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tabRatio="737" activeTab="2"/>
  </bookViews>
  <sheets>
    <sheet name="BibliothèqueProjet" sheetId="14" r:id="rId1"/>
    <sheet name="ListingLocaux" sheetId="15" r:id="rId2"/>
    <sheet name="Synthèse" sheetId="20" r:id="rId3"/>
    <sheet name="BR1" sheetId="80" r:id="rId4"/>
    <sheet name="Cui1" sheetId="81" r:id="rId5"/>
    <sheet name="CH1" sheetId="82" r:id="rId6"/>
    <sheet name="Sej1" sheetId="83" r:id="rId7"/>
    <sheet name="CH2" sheetId="84" r:id="rId8"/>
  </sheets>
  <externalReferences>
    <externalReference r:id="rId9"/>
  </externalReferences>
  <definedNames>
    <definedName name="Administration">#REF!</definedName>
    <definedName name="AdresseBauherr" localSheetId="0">BibliothèqueProjet!$C$23</definedName>
    <definedName name="AdresseBauherr" localSheetId="1">ListingLocaux!$C$14</definedName>
    <definedName name="AdresseBauherr">#REF!</definedName>
    <definedName name="AdresseObjekt" localSheetId="0">BibliothèqueProjet!$C$5</definedName>
    <definedName name="AdresseObjekt" localSheetId="1">ListingLocaux!#REF!</definedName>
    <definedName name="AdresseObjekt">#REF!</definedName>
    <definedName name="AdresseVerfasser" localSheetId="0">BibliothèqueProjet!$C$40</definedName>
    <definedName name="AdresseVerfasser" localSheetId="1">ListingLocaux!$C$28</definedName>
    <definedName name="AdresseVerfasser">#REF!</definedName>
    <definedName name="AdresseVerfasserWaermedaemProj" localSheetId="0">BibliothèqueProjet!$C$31</definedName>
    <definedName name="AdresseVerfasserWaermedaemProj" localSheetId="1">ListingLocaux!$C$21</definedName>
    <definedName name="AdresseVerfasserWaermedaemProj">#REF!</definedName>
    <definedName name="Affectations_accessoires">#REF!</definedName>
    <definedName name="Altitude">#REF!</definedName>
    <definedName name="Ancienne" localSheetId="3">'BR1'!$AR$22:$AR$24</definedName>
    <definedName name="Ancienne" localSheetId="5">'CH1'!$AR$22:$AR$24</definedName>
    <definedName name="Ancienne" localSheetId="7">'CH2'!$AR$22:$AR$24</definedName>
    <definedName name="Ancienne" localSheetId="4">'Cui1'!$AR$22:$AR$24</definedName>
    <definedName name="Ancienne" localSheetId="6">'Sej1'!$AR$22:$AR$24</definedName>
    <definedName name="Ancienne">#REF!</definedName>
    <definedName name="AUtres_constructions" localSheetId="3">'BR1'!$AM$21:$AM$24</definedName>
    <definedName name="AUtres_constructions" localSheetId="5">'CH1'!$AM$21:$AM$24</definedName>
    <definedName name="AUtres_constructions" localSheetId="7">'CH2'!$AM$21:$AM$24</definedName>
    <definedName name="AUtres_constructions" localSheetId="4">'Cui1'!$AM$21:$AM$24</definedName>
    <definedName name="AUtres_constructions" localSheetId="6">'Sej1'!$AM$21:$AM$24</definedName>
    <definedName name="AUtres_constructions">#REF!</definedName>
    <definedName name="Batiment">#REF!</definedName>
    <definedName name="Batiments">#REF!</definedName>
    <definedName name="Bâtiments">#REF!</definedName>
    <definedName name="Brandzeichen" localSheetId="3">'BR1'!$Q$2</definedName>
    <definedName name="Brandzeichen" localSheetId="5">'CH1'!$Q$2</definedName>
    <definedName name="Brandzeichen" localSheetId="7">'CH2'!$Q$2</definedName>
    <definedName name="Brandzeichen" localSheetId="4">'Cui1'!$Q$2</definedName>
    <definedName name="Brandzeichen" localSheetId="6">'Sej1'!$Q$2</definedName>
    <definedName name="Brandzeichen">#REF!</definedName>
    <definedName name="BrandzeichenProjektDaten" localSheetId="0">BibliothèqueProjet!#REF!</definedName>
    <definedName name="BrandzeichenProjektDaten" localSheetId="1">ListingLocaux!#REF!</definedName>
    <definedName name="BrandzeichenProjektDaten" localSheetId="2">'[1]Données projet'!#REF!</definedName>
    <definedName name="BrandzeichenProjektDaten">#REF!</definedName>
    <definedName name="BrandzeichenProjektGrundlagen">#REF!</definedName>
    <definedName name="BrandzeichenZusammenfassung" localSheetId="2">Synthèse!$Q$1</definedName>
    <definedName name="BrandzeichenZusammenfassung">#REF!</definedName>
    <definedName name="Commerces">#REF!</definedName>
    <definedName name="Contact" localSheetId="3">'BR1'!$AO$41:$AO$45</definedName>
    <definedName name="Contact" localSheetId="5">'CH1'!$AO$41:$AO$45</definedName>
    <definedName name="Contact" localSheetId="7">'CH2'!$AO$41:$AO$45</definedName>
    <definedName name="Contact" localSheetId="4">'Cui1'!$AO$41:$AO$45</definedName>
    <definedName name="Contact" localSheetId="6">'Sej1'!$AO$41:$AO$45</definedName>
    <definedName name="Contact">#REF!</definedName>
    <definedName name="Datum" localSheetId="0">BibliothèqueProjet!$E$58</definedName>
    <definedName name="Datum" localSheetId="1">ListingLocaux!$E$35</definedName>
    <definedName name="Datum">#REF!</definedName>
    <definedName name="Depertransm" localSheetId="3">'BR1'!#REF!</definedName>
    <definedName name="Depertransm" localSheetId="5">'CH1'!#REF!</definedName>
    <definedName name="Depertransm" localSheetId="7">'CH2'!#REF!</definedName>
    <definedName name="Depertransm" localSheetId="4">'Cui1'!#REF!</definedName>
    <definedName name="Depertransm" localSheetId="6">'Sej1'!#REF!</definedName>
    <definedName name="Depertransm">#REF!</definedName>
    <definedName name="Dépôts">#REF!</definedName>
    <definedName name="Ecoles">#REF!</definedName>
    <definedName name="GebGleichzeitigkeit" localSheetId="2">Synthèse!$F$16</definedName>
    <definedName name="GebGleichzeitigkeit">#REF!</definedName>
    <definedName name="GebLueftung" localSheetId="2">Synthèse!#REF!</definedName>
    <definedName name="GebLueftung">#REF!</definedName>
    <definedName name="GebLuft" localSheetId="2">Synthèse!$F$16</definedName>
    <definedName name="GebLuft">#REF!</definedName>
    <definedName name="GrundlagenGebaeude">#REF!</definedName>
    <definedName name="GrundlagenKlima">#REF!</definedName>
    <definedName name="Habitat">#REF!</definedName>
    <definedName name="Hôpitaux">#REF!</definedName>
    <definedName name="Hôtel">#REF!</definedName>
    <definedName name="Industrie">#REF!</definedName>
    <definedName name="Installations_sportives">#REF!</definedName>
    <definedName name="Konstruktionen">#REF!</definedName>
    <definedName name="KonstruktionenErdreich">#REF!</definedName>
    <definedName name="Lieux_de_rassemblement">#REF!</definedName>
    <definedName name="Local">#REF!</definedName>
    <definedName name="Menuiseries">BibliothèqueProjet!$A$43:$A$62</definedName>
    <definedName name="Murs">BibliothèqueProjet!$A$6:$A$20</definedName>
    <definedName name="Neuve" localSheetId="3">'BR1'!$AS$22:$AS$23</definedName>
    <definedName name="Neuve" localSheetId="5">'CH1'!$AS$22:$AS$23</definedName>
    <definedName name="Neuve" localSheetId="7">'CH2'!$AS$22:$AS$23</definedName>
    <definedName name="Neuve" localSheetId="4">'Cui1'!$AS$22:$AS$23</definedName>
    <definedName name="Neuve" localSheetId="6">'Sej1'!$AS$22:$AS$23</definedName>
    <definedName name="Neuve">#REF!</definedName>
    <definedName name="Piscines_couvertes">#REF!</definedName>
    <definedName name="planchers">BibliothèqueProjet!$A$33:$A$40</definedName>
    <definedName name="Ponts">BibliothèqueProjet!$A$65:$A$79</definedName>
    <definedName name="RaumBauteile">#REF!</definedName>
    <definedName name="RaumBez" localSheetId="3">'BR1'!$K$2</definedName>
    <definedName name="RaumBez" localSheetId="5">'CH1'!$K$2</definedName>
    <definedName name="RaumBez" localSheetId="7">'CH2'!$K$2</definedName>
    <definedName name="RaumBez" localSheetId="4">'Cui1'!$K$2</definedName>
    <definedName name="RaumBez" localSheetId="6">'Sej1'!$K$2</definedName>
    <definedName name="RaumBez">#REF!</definedName>
    <definedName name="RaumDaten" localSheetId="3">'BR1'!$B$12</definedName>
    <definedName name="RaumDaten" localSheetId="5">'CH1'!$B$12</definedName>
    <definedName name="RaumDaten" localSheetId="7">'CH2'!$B$12</definedName>
    <definedName name="RaumDaten" localSheetId="4">'Cui1'!$B$12</definedName>
    <definedName name="RaumDaten" localSheetId="6">'Sej1'!$B$12</definedName>
    <definedName name="RaumDaten" localSheetId="2">#REF!</definedName>
    <definedName name="RaumDaten">#REF!</definedName>
    <definedName name="RaumH" localSheetId="3">'BR1'!#REF!</definedName>
    <definedName name="RaumH" localSheetId="5">'CH1'!#REF!</definedName>
    <definedName name="RaumH" localSheetId="7">'CH2'!#REF!</definedName>
    <definedName name="RaumH" localSheetId="4">'Cui1'!#REF!</definedName>
    <definedName name="RaumH" localSheetId="6">'Sej1'!#REF!</definedName>
    <definedName name="RaumH">#REF!</definedName>
    <definedName name="RaumInf" localSheetId="3">'BR1'!#REF!</definedName>
    <definedName name="RaumInf" localSheetId="5">'CH1'!#REF!</definedName>
    <definedName name="RaumInf" localSheetId="7">'CH2'!#REF!</definedName>
    <definedName name="RaumInf" localSheetId="4">'Cui1'!#REF!</definedName>
    <definedName name="RaumInf" localSheetId="6">'Sej1'!#REF!</definedName>
    <definedName name="RaumInf">#REF!</definedName>
    <definedName name="RaumKbz" localSheetId="3">'BR1'!$E$2</definedName>
    <definedName name="RaumKbz" localSheetId="5">'CH1'!$E$2</definedName>
    <definedName name="RaumKbz" localSheetId="7">'CH2'!$E$2</definedName>
    <definedName name="RaumKbz" localSheetId="4">'Cui1'!$E$2</definedName>
    <definedName name="RaumKbz" localSheetId="6">'Sej1'!$E$2</definedName>
    <definedName name="RaumKbz">#REF!</definedName>
    <definedName name="RaumLeistung" localSheetId="3">'BR1'!#REF!</definedName>
    <definedName name="RaumLeistung" localSheetId="5">'CH1'!#REF!</definedName>
    <definedName name="RaumLeistung" localSheetId="7">'CH2'!#REF!</definedName>
    <definedName name="RaumLeistung" localSheetId="4">'Cui1'!#REF!</definedName>
    <definedName name="RaumLeistung" localSheetId="6">'Sej1'!#REF!</definedName>
    <definedName name="RaumLeistung">#REF!</definedName>
    <definedName name="RaumMech" localSheetId="3">'BR1'!#REF!</definedName>
    <definedName name="RaumMech" localSheetId="5">'CH1'!#REF!</definedName>
    <definedName name="RaumMech" localSheetId="7">'CH2'!#REF!</definedName>
    <definedName name="RaumMech" localSheetId="4">'Cui1'!#REF!</definedName>
    <definedName name="RaumMech" localSheetId="6">'Sej1'!#REF!</definedName>
    <definedName name="RaumMech">#REF!</definedName>
    <definedName name="RaumMin" localSheetId="3">'BR1'!#REF!</definedName>
    <definedName name="RaumMin" localSheetId="5">'CH1'!#REF!</definedName>
    <definedName name="RaumMin" localSheetId="7">'CH2'!#REF!</definedName>
    <definedName name="RaumMin" localSheetId="4">'Cui1'!#REF!</definedName>
    <definedName name="RaumMin" localSheetId="6">'Sej1'!#REF!</definedName>
    <definedName name="RaumMin">#REF!</definedName>
    <definedName name="RaumNatürlich" localSheetId="3">'BR1'!#REF!</definedName>
    <definedName name="RaumNatürlich" localSheetId="5">'CH1'!#REF!</definedName>
    <definedName name="RaumNatürlich" localSheetId="7">'CH2'!#REF!</definedName>
    <definedName name="RaumNatürlich" localSheetId="4">'Cui1'!#REF!</definedName>
    <definedName name="RaumNatürlich" localSheetId="6">'Sej1'!#REF!</definedName>
    <definedName name="RaumNatürlich">#REF!</definedName>
    <definedName name="RaumTransLeistung" localSheetId="3">'BR1'!#REF!</definedName>
    <definedName name="RaumTransLeistung" localSheetId="5">'CH1'!#REF!</definedName>
    <definedName name="RaumTransLeistung" localSheetId="7">'CH2'!#REF!</definedName>
    <definedName name="RaumTransLeistung" localSheetId="4">'Cui1'!#REF!</definedName>
    <definedName name="RaumTransLeistung" localSheetId="6">'Sej1'!#REF!</definedName>
    <definedName name="RaumTransLeistung">#REF!</definedName>
    <definedName name="RaumZuluft" localSheetId="3">'BR1'!#REF!</definedName>
    <definedName name="RaumZuluft" localSheetId="5">'CH1'!#REF!</definedName>
    <definedName name="RaumZuluft" localSheetId="7">'CH2'!#REF!</definedName>
    <definedName name="RaumZuluft" localSheetId="4">'Cui1'!#REF!</definedName>
    <definedName name="RaumZuluft" localSheetId="6">'Sej1'!#REF!</definedName>
    <definedName name="RaumZuluft">#REF!</definedName>
    <definedName name="RaumZuluftNachbar" localSheetId="3">'BR1'!#REF!</definedName>
    <definedName name="RaumZuluftNachbar" localSheetId="5">'CH1'!#REF!</definedName>
    <definedName name="RaumZuluftNachbar" localSheetId="7">'CH2'!#REF!</definedName>
    <definedName name="RaumZuluftNachbar" localSheetId="4">'Cui1'!#REF!</definedName>
    <definedName name="RaumZuluftNachbar" localSheetId="6">'Sej1'!#REF!</definedName>
    <definedName name="RaumZuluftNachbar">#REF!</definedName>
    <definedName name="Restauration">#REF!</definedName>
    <definedName name="Sans_influence" localSheetId="3">'BR1'!$AS$22</definedName>
    <definedName name="Sans_influence" localSheetId="5">'CH1'!$AS$22</definedName>
    <definedName name="Sans_influence" localSheetId="7">'CH2'!$AS$22</definedName>
    <definedName name="Sans_influence" localSheetId="4">'Cui1'!$AS$22</definedName>
    <definedName name="Sans_influence" localSheetId="6">'Sej1'!$AS$22</definedName>
    <definedName name="Sans_influence">#REF!</definedName>
    <definedName name="Selectionner">#REF!</definedName>
    <definedName name="SummeC13" localSheetId="3">'BR1'!#REF!</definedName>
    <definedName name="SummeC13" localSheetId="5">'CH1'!#REF!</definedName>
    <definedName name="SummeC13" localSheetId="7">'CH2'!#REF!</definedName>
    <definedName name="SummeC13" localSheetId="4">'Cui1'!#REF!</definedName>
    <definedName name="SummeC13" localSheetId="6">'Sej1'!#REF!</definedName>
    <definedName name="SummeC13">#REF!</definedName>
    <definedName name="SummeC16" localSheetId="3">'BR1'!#REF!</definedName>
    <definedName name="SummeC16" localSheetId="5">'CH1'!#REF!</definedName>
    <definedName name="SummeC16" localSheetId="7">'CH2'!#REF!</definedName>
    <definedName name="SummeC16" localSheetId="4">'Cui1'!#REF!</definedName>
    <definedName name="SummeC16" localSheetId="6">'Sej1'!#REF!</definedName>
    <definedName name="SummeC16">#REF!</definedName>
    <definedName name="SummeC17" localSheetId="3">'BR1'!#REF!</definedName>
    <definedName name="SummeC17" localSheetId="5">'CH1'!#REF!</definedName>
    <definedName name="SummeC17" localSheetId="7">'CH2'!#REF!</definedName>
    <definedName name="SummeC17" localSheetId="4">'Cui1'!#REF!</definedName>
    <definedName name="SummeC17" localSheetId="6">'Sej1'!#REF!</definedName>
    <definedName name="SummeC17">#REF!</definedName>
    <definedName name="SummeGeb" localSheetId="2">Synthèse!$L$9</definedName>
    <definedName name="SummeGeb">#REF!</definedName>
    <definedName name="SummeTransgBeheizt" localSheetId="3">'BR1'!#REF!</definedName>
    <definedName name="SummeTransgBeheizt" localSheetId="5">'CH1'!#REF!</definedName>
    <definedName name="SummeTransgBeheizt" localSheetId="7">'CH2'!#REF!</definedName>
    <definedName name="SummeTransgBeheizt" localSheetId="4">'Cui1'!#REF!</definedName>
    <definedName name="SummeTransgBeheizt" localSheetId="6">'Sej1'!#REF!</definedName>
    <definedName name="SummeTransgBeheizt" localSheetId="2">'[1]Modèle fiche local'!#REF!</definedName>
    <definedName name="SummeTransgBeheizt">#REF!</definedName>
    <definedName name="Toitures">BibliothèqueProjet!$A$23:$A$30</definedName>
    <definedName name="Vide">#REF!</definedName>
    <definedName name="Villas" localSheetId="3">'BR1'!$AN$21:$AN$24</definedName>
    <definedName name="Villas" localSheetId="5">'CH1'!$AN$21:$AN$24</definedName>
    <definedName name="Villas" localSheetId="7">'CH2'!$AN$21:$AN$24</definedName>
    <definedName name="Villas" localSheetId="4">'Cui1'!$AN$21:$AN$24</definedName>
    <definedName name="Villas" localSheetId="6">'Sej1'!$AN$21:$AN$24</definedName>
    <definedName name="Villas">#REF!</definedName>
    <definedName name="WbrLinear">#REF!</definedName>
    <definedName name="WbrPunkt">#REF!</definedName>
    <definedName name="_xlnm.Print_Area" localSheetId="3">'BR1'!$B$2:$Q$90</definedName>
    <definedName name="_xlnm.Print_Area" localSheetId="5">'CH1'!$B$2:$Q$90</definedName>
    <definedName name="_xlnm.Print_Area" localSheetId="7">'CH2'!$B$2:$Q$90</definedName>
    <definedName name="_xlnm.Print_Area" localSheetId="4">'Cui1'!$B$2:$Q$90</definedName>
    <definedName name="_xlnm.Print_Area" localSheetId="6">'Sej1'!$B$2:$Q$90</definedName>
    <definedName name="_xlnm.Print_Area" localSheetId="2">Synthèse!$A$1:$Q$17</definedName>
    <definedName name="ZusRaum" localSheetId="2">Synthèse!#REF!</definedName>
    <definedName name="ZusRaum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32" i="80" l="1"/>
  <c r="P132" i="80"/>
  <c r="R132" i="81"/>
  <c r="P132" i="81"/>
  <c r="R132" i="82"/>
  <c r="P132" i="82"/>
  <c r="R132" i="83"/>
  <c r="P132" i="83"/>
  <c r="P132" i="84"/>
  <c r="C132" i="84"/>
  <c r="B132" i="84"/>
  <c r="O101" i="84"/>
  <c r="P97" i="84"/>
  <c r="D93" i="84"/>
  <c r="B93" i="84"/>
  <c r="C93" i="84" s="1"/>
  <c r="O78" i="84"/>
  <c r="P78" i="84" s="1"/>
  <c r="Q78" i="84" s="1"/>
  <c r="N78" i="84"/>
  <c r="M78" i="84"/>
  <c r="D78" i="84"/>
  <c r="P77" i="84"/>
  <c r="Q77" i="84" s="1"/>
  <c r="O77" i="84"/>
  <c r="M77" i="84"/>
  <c r="D77" i="84"/>
  <c r="O76" i="84"/>
  <c r="P76" i="84" s="1"/>
  <c r="Q76" i="84" s="1"/>
  <c r="M76" i="84"/>
  <c r="D76" i="84"/>
  <c r="O75" i="84"/>
  <c r="P75" i="84" s="1"/>
  <c r="Q75" i="84" s="1"/>
  <c r="M75" i="84"/>
  <c r="D75" i="84"/>
  <c r="O74" i="84"/>
  <c r="P74" i="84" s="1"/>
  <c r="Q74" i="84" s="1"/>
  <c r="M74" i="84"/>
  <c r="D74" i="84"/>
  <c r="O73" i="84"/>
  <c r="P73" i="84" s="1"/>
  <c r="Q73" i="84" s="1"/>
  <c r="M73" i="84"/>
  <c r="D73" i="84"/>
  <c r="O72" i="84"/>
  <c r="P72" i="84" s="1"/>
  <c r="Q72" i="84" s="1"/>
  <c r="M72" i="84"/>
  <c r="D72" i="84"/>
  <c r="O71" i="84"/>
  <c r="P71" i="84" s="1"/>
  <c r="Q71" i="84" s="1"/>
  <c r="M71" i="84"/>
  <c r="D71" i="84"/>
  <c r="P70" i="84"/>
  <c r="Q70" i="84" s="1"/>
  <c r="O70" i="84"/>
  <c r="M70" i="84"/>
  <c r="D70" i="84"/>
  <c r="P69" i="84"/>
  <c r="O69" i="84"/>
  <c r="M69" i="84"/>
  <c r="D69" i="84"/>
  <c r="O63" i="84"/>
  <c r="P63" i="84" s="1"/>
  <c r="Q63" i="84" s="1"/>
  <c r="M63" i="84"/>
  <c r="L63" i="84"/>
  <c r="D63" i="84"/>
  <c r="O62" i="84"/>
  <c r="P62" i="84" s="1"/>
  <c r="Q62" i="84" s="1"/>
  <c r="M62" i="84"/>
  <c r="L62" i="84"/>
  <c r="D62" i="84"/>
  <c r="P61" i="84"/>
  <c r="Q61" i="84" s="1"/>
  <c r="O61" i="84"/>
  <c r="M61" i="84"/>
  <c r="L61" i="84"/>
  <c r="D61" i="84"/>
  <c r="Q60" i="84"/>
  <c r="P60" i="84"/>
  <c r="O60" i="84"/>
  <c r="M60" i="84"/>
  <c r="L60" i="84"/>
  <c r="D60" i="84"/>
  <c r="O59" i="84"/>
  <c r="P59" i="84" s="1"/>
  <c r="Q59" i="84" s="1"/>
  <c r="M59" i="84"/>
  <c r="L59" i="84"/>
  <c r="D59" i="84"/>
  <c r="O58" i="84"/>
  <c r="P58" i="84" s="1"/>
  <c r="Q58" i="84" s="1"/>
  <c r="M58" i="84"/>
  <c r="L58" i="84"/>
  <c r="D58" i="84"/>
  <c r="P57" i="84"/>
  <c r="Q57" i="84" s="1"/>
  <c r="O57" i="84"/>
  <c r="M57" i="84"/>
  <c r="L57" i="84"/>
  <c r="D57" i="84"/>
  <c r="O56" i="84"/>
  <c r="M56" i="84"/>
  <c r="K56" i="84"/>
  <c r="L56" i="84" s="1"/>
  <c r="P56" i="84" s="1"/>
  <c r="D56" i="84"/>
  <c r="O50" i="84"/>
  <c r="P50" i="84" s="1"/>
  <c r="Q50" i="84" s="1"/>
  <c r="M50" i="84"/>
  <c r="L50" i="84"/>
  <c r="D50" i="84"/>
  <c r="P49" i="84"/>
  <c r="Q49" i="84" s="1"/>
  <c r="O49" i="84"/>
  <c r="M49" i="84"/>
  <c r="L49" i="84"/>
  <c r="D49" i="84"/>
  <c r="O48" i="84"/>
  <c r="P48" i="84" s="1"/>
  <c r="Q48" i="84" s="1"/>
  <c r="M48" i="84"/>
  <c r="L48" i="84"/>
  <c r="D48" i="84"/>
  <c r="O47" i="84"/>
  <c r="P47" i="84" s="1"/>
  <c r="M47" i="84"/>
  <c r="L47" i="84"/>
  <c r="D47" i="84"/>
  <c r="O41" i="84"/>
  <c r="P41" i="84" s="1"/>
  <c r="Q41" i="84" s="1"/>
  <c r="M41" i="84"/>
  <c r="L41" i="84"/>
  <c r="D41" i="84"/>
  <c r="O40" i="84"/>
  <c r="P40" i="84" s="1"/>
  <c r="Q40" i="84" s="1"/>
  <c r="M40" i="84"/>
  <c r="L40" i="84"/>
  <c r="D40" i="84"/>
  <c r="P39" i="84"/>
  <c r="Q39" i="84" s="1"/>
  <c r="O39" i="84"/>
  <c r="M39" i="84"/>
  <c r="L39" i="84"/>
  <c r="D39" i="84"/>
  <c r="O38" i="84"/>
  <c r="P38" i="84" s="1"/>
  <c r="Q38" i="84" s="1"/>
  <c r="M38" i="84"/>
  <c r="L38" i="84"/>
  <c r="D38" i="84"/>
  <c r="O37" i="84"/>
  <c r="P37" i="84" s="1"/>
  <c r="Q37" i="84" s="1"/>
  <c r="M37" i="84"/>
  <c r="L37" i="84"/>
  <c r="D37" i="84"/>
  <c r="O36" i="84"/>
  <c r="P36" i="84" s="1"/>
  <c r="Q36" i="84" s="1"/>
  <c r="M36" i="84"/>
  <c r="L36" i="84"/>
  <c r="D36" i="84"/>
  <c r="P35" i="84"/>
  <c r="Q35" i="84" s="1"/>
  <c r="O35" i="84"/>
  <c r="M35" i="84"/>
  <c r="L35" i="84"/>
  <c r="D35" i="84"/>
  <c r="O34" i="84"/>
  <c r="P34" i="84" s="1"/>
  <c r="Q34" i="84" s="1"/>
  <c r="M34" i="84"/>
  <c r="L34" i="84"/>
  <c r="D34" i="84"/>
  <c r="O33" i="84"/>
  <c r="P33" i="84" s="1"/>
  <c r="Q33" i="84" s="1"/>
  <c r="M33" i="84"/>
  <c r="L33" i="84"/>
  <c r="D33" i="84"/>
  <c r="O32" i="84"/>
  <c r="P32" i="84" s="1"/>
  <c r="M32" i="84"/>
  <c r="L32" i="84"/>
  <c r="D32" i="84"/>
  <c r="O26" i="84"/>
  <c r="P26" i="84" s="1"/>
  <c r="Q26" i="84" s="1"/>
  <c r="M26" i="84"/>
  <c r="L26" i="84"/>
  <c r="D26" i="84"/>
  <c r="P25" i="84"/>
  <c r="Q25" i="84" s="1"/>
  <c r="O25" i="84"/>
  <c r="M25" i="84"/>
  <c r="L25" i="84"/>
  <c r="D25" i="84"/>
  <c r="O24" i="84"/>
  <c r="P24" i="84" s="1"/>
  <c r="Q24" i="84" s="1"/>
  <c r="M24" i="84"/>
  <c r="L24" i="84"/>
  <c r="D24" i="84"/>
  <c r="Q23" i="84"/>
  <c r="P23" i="84"/>
  <c r="O23" i="84"/>
  <c r="M23" i="84"/>
  <c r="L23" i="84"/>
  <c r="D23" i="84"/>
  <c r="O22" i="84"/>
  <c r="P22" i="84" s="1"/>
  <c r="Q22" i="84" s="1"/>
  <c r="M22" i="84"/>
  <c r="L22" i="84"/>
  <c r="D22" i="84"/>
  <c r="P21" i="84"/>
  <c r="O21" i="84"/>
  <c r="M21" i="84"/>
  <c r="L21" i="84"/>
  <c r="D21" i="84"/>
  <c r="I16" i="84"/>
  <c r="O12" i="84"/>
  <c r="K12" i="84"/>
  <c r="G12" i="84"/>
  <c r="E12" i="84"/>
  <c r="E6" i="84"/>
  <c r="H6" i="84" s="1"/>
  <c r="C132" i="83"/>
  <c r="B132" i="83"/>
  <c r="O101" i="83"/>
  <c r="P97" i="83"/>
  <c r="B93" i="83"/>
  <c r="D93" i="83" s="1"/>
  <c r="O78" i="83"/>
  <c r="P78" i="83" s="1"/>
  <c r="Q78" i="83" s="1"/>
  <c r="N78" i="83"/>
  <c r="M78" i="83"/>
  <c r="D78" i="83"/>
  <c r="P77" i="83"/>
  <c r="Q77" i="83" s="1"/>
  <c r="O77" i="83"/>
  <c r="M77" i="83"/>
  <c r="D77" i="83"/>
  <c r="O76" i="83"/>
  <c r="P76" i="83" s="1"/>
  <c r="Q76" i="83" s="1"/>
  <c r="M76" i="83"/>
  <c r="D76" i="83"/>
  <c r="O75" i="83"/>
  <c r="P75" i="83" s="1"/>
  <c r="Q75" i="83" s="1"/>
  <c r="M75" i="83"/>
  <c r="D75" i="83"/>
  <c r="O74" i="83"/>
  <c r="P74" i="83" s="1"/>
  <c r="Q74" i="83" s="1"/>
  <c r="M74" i="83"/>
  <c r="D74" i="83"/>
  <c r="O73" i="83"/>
  <c r="P73" i="83" s="1"/>
  <c r="Q73" i="83" s="1"/>
  <c r="M73" i="83"/>
  <c r="D73" i="83"/>
  <c r="O72" i="83"/>
  <c r="P72" i="83" s="1"/>
  <c r="Q72" i="83" s="1"/>
  <c r="M72" i="83"/>
  <c r="D72" i="83"/>
  <c r="O71" i="83"/>
  <c r="P71" i="83" s="1"/>
  <c r="Q71" i="83" s="1"/>
  <c r="M71" i="83"/>
  <c r="D71" i="83"/>
  <c r="P70" i="83"/>
  <c r="Q70" i="83" s="1"/>
  <c r="O70" i="83"/>
  <c r="M70" i="83"/>
  <c r="D70" i="83"/>
  <c r="P69" i="83"/>
  <c r="O69" i="83"/>
  <c r="M69" i="83"/>
  <c r="D69" i="83"/>
  <c r="O63" i="83"/>
  <c r="P63" i="83" s="1"/>
  <c r="Q63" i="83" s="1"/>
  <c r="M63" i="83"/>
  <c r="L63" i="83"/>
  <c r="D63" i="83"/>
  <c r="O62" i="83"/>
  <c r="P62" i="83" s="1"/>
  <c r="Q62" i="83" s="1"/>
  <c r="M62" i="83"/>
  <c r="L62" i="83"/>
  <c r="D62" i="83"/>
  <c r="P61" i="83"/>
  <c r="Q61" i="83" s="1"/>
  <c r="O61" i="83"/>
  <c r="M61" i="83"/>
  <c r="L61" i="83"/>
  <c r="D61" i="83"/>
  <c r="Q60" i="83"/>
  <c r="P60" i="83"/>
  <c r="O60" i="83"/>
  <c r="M60" i="83"/>
  <c r="L60" i="83"/>
  <c r="D60" i="83"/>
  <c r="O59" i="83"/>
  <c r="P59" i="83" s="1"/>
  <c r="Q59" i="83" s="1"/>
  <c r="M59" i="83"/>
  <c r="L59" i="83"/>
  <c r="D59" i="83"/>
  <c r="P58" i="83"/>
  <c r="Q58" i="83" s="1"/>
  <c r="O58" i="83"/>
  <c r="M58" i="83"/>
  <c r="L58" i="83"/>
  <c r="D58" i="83"/>
  <c r="P57" i="83"/>
  <c r="Q57" i="83" s="1"/>
  <c r="O57" i="83"/>
  <c r="M57" i="83"/>
  <c r="L57" i="83"/>
  <c r="D57" i="83"/>
  <c r="O56" i="83"/>
  <c r="M56" i="83"/>
  <c r="K56" i="83"/>
  <c r="L56" i="83" s="1"/>
  <c r="P56" i="83" s="1"/>
  <c r="D56" i="83"/>
  <c r="O50" i="83"/>
  <c r="P50" i="83" s="1"/>
  <c r="Q50" i="83" s="1"/>
  <c r="M50" i="83"/>
  <c r="L50" i="83"/>
  <c r="D50" i="83"/>
  <c r="P49" i="83"/>
  <c r="Q49" i="83" s="1"/>
  <c r="O49" i="83"/>
  <c r="M49" i="83"/>
  <c r="L49" i="83"/>
  <c r="D49" i="83"/>
  <c r="O48" i="83"/>
  <c r="P48" i="83" s="1"/>
  <c r="Q48" i="83" s="1"/>
  <c r="M48" i="83"/>
  <c r="L48" i="83"/>
  <c r="D48" i="83"/>
  <c r="O47" i="83"/>
  <c r="P47" i="83" s="1"/>
  <c r="M47" i="83"/>
  <c r="L47" i="83"/>
  <c r="D47" i="83"/>
  <c r="O41" i="83"/>
  <c r="P41" i="83" s="1"/>
  <c r="Q41" i="83" s="1"/>
  <c r="M41" i="83"/>
  <c r="L41" i="83"/>
  <c r="D41" i="83"/>
  <c r="O40" i="83"/>
  <c r="P40" i="83" s="1"/>
  <c r="Q40" i="83" s="1"/>
  <c r="M40" i="83"/>
  <c r="L40" i="83"/>
  <c r="D40" i="83"/>
  <c r="P39" i="83"/>
  <c r="Q39" i="83" s="1"/>
  <c r="O39" i="83"/>
  <c r="M39" i="83"/>
  <c r="L39" i="83"/>
  <c r="D39" i="83"/>
  <c r="O38" i="83"/>
  <c r="P38" i="83" s="1"/>
  <c r="Q38" i="83" s="1"/>
  <c r="M38" i="83"/>
  <c r="L38" i="83"/>
  <c r="D38" i="83"/>
  <c r="O37" i="83"/>
  <c r="P37" i="83" s="1"/>
  <c r="Q37" i="83" s="1"/>
  <c r="M37" i="83"/>
  <c r="L37" i="83"/>
  <c r="D37" i="83"/>
  <c r="O36" i="83"/>
  <c r="P36" i="83" s="1"/>
  <c r="Q36" i="83" s="1"/>
  <c r="M36" i="83"/>
  <c r="L36" i="83"/>
  <c r="D36" i="83"/>
  <c r="P35" i="83"/>
  <c r="Q35" i="83" s="1"/>
  <c r="O35" i="83"/>
  <c r="M35" i="83"/>
  <c r="L35" i="83"/>
  <c r="D35" i="83"/>
  <c r="O34" i="83"/>
  <c r="P34" i="83" s="1"/>
  <c r="Q34" i="83" s="1"/>
  <c r="M34" i="83"/>
  <c r="L34" i="83"/>
  <c r="D34" i="83"/>
  <c r="O33" i="83"/>
  <c r="P33" i="83" s="1"/>
  <c r="Q33" i="83" s="1"/>
  <c r="M33" i="83"/>
  <c r="L33" i="83"/>
  <c r="D33" i="83"/>
  <c r="O32" i="83"/>
  <c r="P32" i="83" s="1"/>
  <c r="M32" i="83"/>
  <c r="L32" i="83"/>
  <c r="D32" i="83"/>
  <c r="O26" i="83"/>
  <c r="P26" i="83" s="1"/>
  <c r="Q26" i="83" s="1"/>
  <c r="M26" i="83"/>
  <c r="L26" i="83"/>
  <c r="D26" i="83"/>
  <c r="P25" i="83"/>
  <c r="Q25" i="83" s="1"/>
  <c r="O25" i="83"/>
  <c r="M25" i="83"/>
  <c r="L25" i="83"/>
  <c r="D25" i="83"/>
  <c r="O24" i="83"/>
  <c r="P24" i="83" s="1"/>
  <c r="Q24" i="83" s="1"/>
  <c r="M24" i="83"/>
  <c r="L24" i="83"/>
  <c r="D24" i="83"/>
  <c r="O23" i="83"/>
  <c r="P23" i="83" s="1"/>
  <c r="Q23" i="83" s="1"/>
  <c r="M23" i="83"/>
  <c r="L23" i="83"/>
  <c r="D23" i="83"/>
  <c r="O22" i="83"/>
  <c r="P22" i="83" s="1"/>
  <c r="Q22" i="83" s="1"/>
  <c r="M22" i="83"/>
  <c r="L22" i="83"/>
  <c r="D22" i="83"/>
  <c r="P21" i="83"/>
  <c r="P27" i="83" s="1"/>
  <c r="O21" i="83"/>
  <c r="M21" i="83"/>
  <c r="L21" i="83"/>
  <c r="D21" i="83"/>
  <c r="I16" i="83"/>
  <c r="O12" i="83"/>
  <c r="K12" i="83"/>
  <c r="G12" i="83"/>
  <c r="E12" i="83"/>
  <c r="E6" i="83"/>
  <c r="H6" i="83" s="1"/>
  <c r="C132" i="82"/>
  <c r="B132" i="82"/>
  <c r="O101" i="82"/>
  <c r="P97" i="82"/>
  <c r="C93" i="82"/>
  <c r="B93" i="82"/>
  <c r="D93" i="82" s="1"/>
  <c r="P78" i="82"/>
  <c r="Q78" i="82" s="1"/>
  <c r="O78" i="82"/>
  <c r="N78" i="82"/>
  <c r="M78" i="82"/>
  <c r="D78" i="82"/>
  <c r="P77" i="82"/>
  <c r="Q77" i="82" s="1"/>
  <c r="O77" i="82"/>
  <c r="M77" i="82"/>
  <c r="D77" i="82"/>
  <c r="P76" i="82"/>
  <c r="Q76" i="82" s="1"/>
  <c r="O76" i="82"/>
  <c r="M76" i="82"/>
  <c r="D76" i="82"/>
  <c r="P75" i="82"/>
  <c r="Q75" i="82" s="1"/>
  <c r="O75" i="82"/>
  <c r="M75" i="82"/>
  <c r="D75" i="82"/>
  <c r="O74" i="82"/>
  <c r="P74" i="82" s="1"/>
  <c r="Q74" i="82" s="1"/>
  <c r="M74" i="82"/>
  <c r="D74" i="82"/>
  <c r="P73" i="82"/>
  <c r="Q73" i="82" s="1"/>
  <c r="O73" i="82"/>
  <c r="M73" i="82"/>
  <c r="D73" i="82"/>
  <c r="O72" i="82"/>
  <c r="P72" i="82" s="1"/>
  <c r="Q72" i="82" s="1"/>
  <c r="M72" i="82"/>
  <c r="D72" i="82"/>
  <c r="O71" i="82"/>
  <c r="P71" i="82" s="1"/>
  <c r="Q71" i="82" s="1"/>
  <c r="M71" i="82"/>
  <c r="D71" i="82"/>
  <c r="O70" i="82"/>
  <c r="P70" i="82" s="1"/>
  <c r="Q70" i="82" s="1"/>
  <c r="M70" i="82"/>
  <c r="D70" i="82"/>
  <c r="P69" i="82"/>
  <c r="O69" i="82"/>
  <c r="M69" i="82"/>
  <c r="D69" i="82"/>
  <c r="O63" i="82"/>
  <c r="P63" i="82" s="1"/>
  <c r="Q63" i="82" s="1"/>
  <c r="M63" i="82"/>
  <c r="L63" i="82"/>
  <c r="D63" i="82"/>
  <c r="Q62" i="82"/>
  <c r="P62" i="82"/>
  <c r="O62" i="82"/>
  <c r="M62" i="82"/>
  <c r="L62" i="82"/>
  <c r="D62" i="82"/>
  <c r="O61" i="82"/>
  <c r="P61" i="82" s="1"/>
  <c r="Q61" i="82" s="1"/>
  <c r="M61" i="82"/>
  <c r="L61" i="82"/>
  <c r="D61" i="82"/>
  <c r="O60" i="82"/>
  <c r="P60" i="82" s="1"/>
  <c r="Q60" i="82" s="1"/>
  <c r="M60" i="82"/>
  <c r="L60" i="82"/>
  <c r="D60" i="82"/>
  <c r="O59" i="82"/>
  <c r="P59" i="82" s="1"/>
  <c r="Q59" i="82" s="1"/>
  <c r="M59" i="82"/>
  <c r="L59" i="82"/>
  <c r="D59" i="82"/>
  <c r="Q58" i="82"/>
  <c r="P58" i="82"/>
  <c r="O58" i="82"/>
  <c r="M58" i="82"/>
  <c r="L58" i="82"/>
  <c r="D58" i="82"/>
  <c r="O57" i="82"/>
  <c r="P57" i="82" s="1"/>
  <c r="Q57" i="82" s="1"/>
  <c r="M57" i="82"/>
  <c r="L57" i="82"/>
  <c r="D57" i="82"/>
  <c r="O56" i="82"/>
  <c r="P56" i="82" s="1"/>
  <c r="M56" i="82"/>
  <c r="L56" i="82"/>
  <c r="K56" i="82"/>
  <c r="D56" i="82"/>
  <c r="P50" i="82"/>
  <c r="Q50" i="82" s="1"/>
  <c r="O50" i="82"/>
  <c r="M50" i="82"/>
  <c r="L50" i="82"/>
  <c r="D50" i="82"/>
  <c r="P49" i="82"/>
  <c r="Q49" i="82" s="1"/>
  <c r="O49" i="82"/>
  <c r="M49" i="82"/>
  <c r="L49" i="82"/>
  <c r="D49" i="82"/>
  <c r="O48" i="82"/>
  <c r="P48" i="82" s="1"/>
  <c r="Q48" i="82" s="1"/>
  <c r="M48" i="82"/>
  <c r="L48" i="82"/>
  <c r="D48" i="82"/>
  <c r="O47" i="82"/>
  <c r="M47" i="82"/>
  <c r="L47" i="82"/>
  <c r="P47" i="82" s="1"/>
  <c r="D47" i="82"/>
  <c r="P41" i="82"/>
  <c r="Q41" i="82" s="1"/>
  <c r="O41" i="82"/>
  <c r="M41" i="82"/>
  <c r="L41" i="82"/>
  <c r="D41" i="82"/>
  <c r="P40" i="82"/>
  <c r="Q40" i="82" s="1"/>
  <c r="O40" i="82"/>
  <c r="M40" i="82"/>
  <c r="L40" i="82"/>
  <c r="D40" i="82"/>
  <c r="P39" i="82"/>
  <c r="Q39" i="82" s="1"/>
  <c r="O39" i="82"/>
  <c r="M39" i="82"/>
  <c r="L39" i="82"/>
  <c r="D39" i="82"/>
  <c r="O38" i="82"/>
  <c r="P38" i="82" s="1"/>
  <c r="Q38" i="82" s="1"/>
  <c r="M38" i="82"/>
  <c r="L38" i="82"/>
  <c r="D38" i="82"/>
  <c r="P37" i="82"/>
  <c r="Q37" i="82" s="1"/>
  <c r="O37" i="82"/>
  <c r="M37" i="82"/>
  <c r="L37" i="82"/>
  <c r="D37" i="82"/>
  <c r="P36" i="82"/>
  <c r="Q36" i="82" s="1"/>
  <c r="O36" i="82"/>
  <c r="M36" i="82"/>
  <c r="L36" i="82"/>
  <c r="D36" i="82"/>
  <c r="P35" i="82"/>
  <c r="Q35" i="82" s="1"/>
  <c r="O35" i="82"/>
  <c r="M35" i="82"/>
  <c r="L35" i="82"/>
  <c r="D35" i="82"/>
  <c r="O34" i="82"/>
  <c r="P34" i="82" s="1"/>
  <c r="Q34" i="82" s="1"/>
  <c r="M34" i="82"/>
  <c r="L34" i="82"/>
  <c r="D34" i="82"/>
  <c r="P33" i="82"/>
  <c r="Q33" i="82" s="1"/>
  <c r="O33" i="82"/>
  <c r="M33" i="82"/>
  <c r="L33" i="82"/>
  <c r="D33" i="82"/>
  <c r="P32" i="82"/>
  <c r="O32" i="82"/>
  <c r="M32" i="82"/>
  <c r="L32" i="82"/>
  <c r="D32" i="82"/>
  <c r="P26" i="82"/>
  <c r="Q26" i="82" s="1"/>
  <c r="O26" i="82"/>
  <c r="M26" i="82"/>
  <c r="L26" i="82"/>
  <c r="D26" i="82"/>
  <c r="P25" i="82"/>
  <c r="Q25" i="82" s="1"/>
  <c r="O25" i="82"/>
  <c r="M25" i="82"/>
  <c r="L25" i="82"/>
  <c r="D25" i="82"/>
  <c r="O24" i="82"/>
  <c r="P24" i="82" s="1"/>
  <c r="Q24" i="82" s="1"/>
  <c r="M24" i="82"/>
  <c r="L24" i="82"/>
  <c r="D24" i="82"/>
  <c r="P23" i="82"/>
  <c r="Q23" i="82" s="1"/>
  <c r="O23" i="82"/>
  <c r="M23" i="82"/>
  <c r="L23" i="82"/>
  <c r="D23" i="82"/>
  <c r="P22" i="82"/>
  <c r="Q22" i="82" s="1"/>
  <c r="O22" i="82"/>
  <c r="M22" i="82"/>
  <c r="L22" i="82"/>
  <c r="D22" i="82"/>
  <c r="P21" i="82"/>
  <c r="O21" i="82"/>
  <c r="M21" i="82"/>
  <c r="L21" i="82"/>
  <c r="D21" i="82"/>
  <c r="I16" i="82"/>
  <c r="O12" i="82"/>
  <c r="K12" i="82"/>
  <c r="G12" i="82"/>
  <c r="E12" i="82"/>
  <c r="E6" i="82"/>
  <c r="H6" i="82" s="1"/>
  <c r="C132" i="81"/>
  <c r="B132" i="81"/>
  <c r="O101" i="81"/>
  <c r="P97" i="81"/>
  <c r="B93" i="81"/>
  <c r="D93" i="81" s="1"/>
  <c r="O78" i="81"/>
  <c r="P78" i="81" s="1"/>
  <c r="Q78" i="81" s="1"/>
  <c r="N78" i="81"/>
  <c r="M78" i="81"/>
  <c r="D78" i="81"/>
  <c r="P77" i="81"/>
  <c r="Q77" i="81" s="1"/>
  <c r="O77" i="81"/>
  <c r="M77" i="81"/>
  <c r="D77" i="81"/>
  <c r="O76" i="81"/>
  <c r="P76" i="81" s="1"/>
  <c r="Q76" i="81" s="1"/>
  <c r="M76" i="81"/>
  <c r="D76" i="81"/>
  <c r="O75" i="81"/>
  <c r="P75" i="81" s="1"/>
  <c r="Q75" i="81" s="1"/>
  <c r="M75" i="81"/>
  <c r="D75" i="81"/>
  <c r="O74" i="81"/>
  <c r="P74" i="81" s="1"/>
  <c r="Q74" i="81" s="1"/>
  <c r="M74" i="81"/>
  <c r="D74" i="81"/>
  <c r="O73" i="81"/>
  <c r="P73" i="81" s="1"/>
  <c r="Q73" i="81" s="1"/>
  <c r="M73" i="81"/>
  <c r="D73" i="81"/>
  <c r="O72" i="81"/>
  <c r="P72" i="81" s="1"/>
  <c r="Q72" i="81" s="1"/>
  <c r="M72" i="81"/>
  <c r="D72" i="81"/>
  <c r="O71" i="81"/>
  <c r="P71" i="81" s="1"/>
  <c r="Q71" i="81" s="1"/>
  <c r="M71" i="81"/>
  <c r="D71" i="81"/>
  <c r="O70" i="81"/>
  <c r="P70" i="81" s="1"/>
  <c r="Q70" i="81" s="1"/>
  <c r="M70" i="81"/>
  <c r="D70" i="81"/>
  <c r="P69" i="81"/>
  <c r="O69" i="81"/>
  <c r="M69" i="81"/>
  <c r="D69" i="81"/>
  <c r="O63" i="81"/>
  <c r="P63" i="81" s="1"/>
  <c r="Q63" i="81" s="1"/>
  <c r="M63" i="81"/>
  <c r="L63" i="81"/>
  <c r="D63" i="81"/>
  <c r="O62" i="81"/>
  <c r="P62" i="81" s="1"/>
  <c r="Q62" i="81" s="1"/>
  <c r="M62" i="81"/>
  <c r="L62" i="81"/>
  <c r="D62" i="81"/>
  <c r="P61" i="81"/>
  <c r="Q61" i="81" s="1"/>
  <c r="O61" i="81"/>
  <c r="M61" i="81"/>
  <c r="L61" i="81"/>
  <c r="D61" i="81"/>
  <c r="Q60" i="81"/>
  <c r="P60" i="81"/>
  <c r="O60" i="81"/>
  <c r="M60" i="81"/>
  <c r="L60" i="81"/>
  <c r="D60" i="81"/>
  <c r="O59" i="81"/>
  <c r="P59" i="81" s="1"/>
  <c r="Q59" i="81" s="1"/>
  <c r="M59" i="81"/>
  <c r="L59" i="81"/>
  <c r="D59" i="81"/>
  <c r="O58" i="81"/>
  <c r="P58" i="81" s="1"/>
  <c r="Q58" i="81" s="1"/>
  <c r="M58" i="81"/>
  <c r="L58" i="81"/>
  <c r="D58" i="81"/>
  <c r="P57" i="81"/>
  <c r="Q57" i="81" s="1"/>
  <c r="O57" i="81"/>
  <c r="M57" i="81"/>
  <c r="L57" i="81"/>
  <c r="D57" i="81"/>
  <c r="O56" i="81"/>
  <c r="M56" i="81"/>
  <c r="K56" i="81"/>
  <c r="L56" i="81" s="1"/>
  <c r="P56" i="81" s="1"/>
  <c r="D56" i="81"/>
  <c r="O50" i="81"/>
  <c r="P50" i="81" s="1"/>
  <c r="Q50" i="81" s="1"/>
  <c r="M50" i="81"/>
  <c r="L50" i="81"/>
  <c r="D50" i="81"/>
  <c r="P49" i="81"/>
  <c r="Q49" i="81" s="1"/>
  <c r="O49" i="81"/>
  <c r="M49" i="81"/>
  <c r="L49" i="81"/>
  <c r="D49" i="81"/>
  <c r="O48" i="81"/>
  <c r="P48" i="81" s="1"/>
  <c r="Q48" i="81" s="1"/>
  <c r="M48" i="81"/>
  <c r="L48" i="81"/>
  <c r="D48" i="81"/>
  <c r="O47" i="81"/>
  <c r="P47" i="81" s="1"/>
  <c r="M47" i="81"/>
  <c r="L47" i="81"/>
  <c r="D47" i="81"/>
  <c r="O41" i="81"/>
  <c r="P41" i="81" s="1"/>
  <c r="Q41" i="81" s="1"/>
  <c r="M41" i="81"/>
  <c r="L41" i="81"/>
  <c r="D41" i="81"/>
  <c r="O40" i="81"/>
  <c r="P40" i="81" s="1"/>
  <c r="Q40" i="81" s="1"/>
  <c r="M40" i="81"/>
  <c r="L40" i="81"/>
  <c r="D40" i="81"/>
  <c r="P39" i="81"/>
  <c r="Q39" i="81" s="1"/>
  <c r="O39" i="81"/>
  <c r="M39" i="81"/>
  <c r="L39" i="81"/>
  <c r="D39" i="81"/>
  <c r="O38" i="81"/>
  <c r="P38" i="81" s="1"/>
  <c r="Q38" i="81" s="1"/>
  <c r="M38" i="81"/>
  <c r="L38" i="81"/>
  <c r="D38" i="81"/>
  <c r="O37" i="81"/>
  <c r="P37" i="81" s="1"/>
  <c r="Q37" i="81" s="1"/>
  <c r="M37" i="81"/>
  <c r="L37" i="81"/>
  <c r="D37" i="81"/>
  <c r="O36" i="81"/>
  <c r="P36" i="81" s="1"/>
  <c r="Q36" i="81" s="1"/>
  <c r="M36" i="81"/>
  <c r="L36" i="81"/>
  <c r="D36" i="81"/>
  <c r="P35" i="81"/>
  <c r="Q35" i="81" s="1"/>
  <c r="O35" i="81"/>
  <c r="M35" i="81"/>
  <c r="L35" i="81"/>
  <c r="D35" i="81"/>
  <c r="O34" i="81"/>
  <c r="P34" i="81" s="1"/>
  <c r="Q34" i="81" s="1"/>
  <c r="M34" i="81"/>
  <c r="L34" i="81"/>
  <c r="D34" i="81"/>
  <c r="O33" i="81"/>
  <c r="P33" i="81" s="1"/>
  <c r="Q33" i="81" s="1"/>
  <c r="M33" i="81"/>
  <c r="L33" i="81"/>
  <c r="D33" i="81"/>
  <c r="O32" i="81"/>
  <c r="P32" i="81" s="1"/>
  <c r="M32" i="81"/>
  <c r="L32" i="81"/>
  <c r="D32" i="81"/>
  <c r="O26" i="81"/>
  <c r="P26" i="81" s="1"/>
  <c r="Q26" i="81" s="1"/>
  <c r="M26" i="81"/>
  <c r="L26" i="81"/>
  <c r="D26" i="81"/>
  <c r="P25" i="81"/>
  <c r="Q25" i="81" s="1"/>
  <c r="O25" i="81"/>
  <c r="M25" i="81"/>
  <c r="L25" i="81"/>
  <c r="D25" i="81"/>
  <c r="O24" i="81"/>
  <c r="P24" i="81" s="1"/>
  <c r="Q24" i="81" s="1"/>
  <c r="M24" i="81"/>
  <c r="L24" i="81"/>
  <c r="D24" i="81"/>
  <c r="O23" i="81"/>
  <c r="P23" i="81" s="1"/>
  <c r="Q23" i="81" s="1"/>
  <c r="M23" i="81"/>
  <c r="L23" i="81"/>
  <c r="D23" i="81"/>
  <c r="O22" i="81"/>
  <c r="P22" i="81" s="1"/>
  <c r="Q22" i="81" s="1"/>
  <c r="M22" i="81"/>
  <c r="L22" i="81"/>
  <c r="D22" i="81"/>
  <c r="P21" i="81"/>
  <c r="O21" i="81"/>
  <c r="M21" i="81"/>
  <c r="L21" i="81"/>
  <c r="D21" i="81"/>
  <c r="I16" i="81"/>
  <c r="O12" i="81"/>
  <c r="K12" i="81"/>
  <c r="G12" i="81"/>
  <c r="E12" i="81"/>
  <c r="E6" i="81"/>
  <c r="H6" i="81" s="1"/>
  <c r="C132" i="80"/>
  <c r="B132" i="80"/>
  <c r="O101" i="80"/>
  <c r="P97" i="80"/>
  <c r="B93" i="80"/>
  <c r="D93" i="80" s="1"/>
  <c r="L89" i="80"/>
  <c r="O78" i="80"/>
  <c r="P78" i="80" s="1"/>
  <c r="Q78" i="80" s="1"/>
  <c r="N78" i="80"/>
  <c r="M78" i="80"/>
  <c r="D78" i="80"/>
  <c r="P77" i="80"/>
  <c r="Q77" i="80" s="1"/>
  <c r="O77" i="80"/>
  <c r="M77" i="80"/>
  <c r="D77" i="80"/>
  <c r="O76" i="80"/>
  <c r="P76" i="80" s="1"/>
  <c r="Q76" i="80" s="1"/>
  <c r="M76" i="80"/>
  <c r="D76" i="80"/>
  <c r="O75" i="80"/>
  <c r="P75" i="80" s="1"/>
  <c r="Q75" i="80" s="1"/>
  <c r="M75" i="80"/>
  <c r="D75" i="80"/>
  <c r="O74" i="80"/>
  <c r="P74" i="80" s="1"/>
  <c r="Q74" i="80" s="1"/>
  <c r="M74" i="80"/>
  <c r="D74" i="80"/>
  <c r="O73" i="80"/>
  <c r="P73" i="80" s="1"/>
  <c r="Q73" i="80" s="1"/>
  <c r="M73" i="80"/>
  <c r="D73" i="80"/>
  <c r="O72" i="80"/>
  <c r="P72" i="80" s="1"/>
  <c r="Q72" i="80" s="1"/>
  <c r="M72" i="80"/>
  <c r="D72" i="80"/>
  <c r="O71" i="80"/>
  <c r="P71" i="80" s="1"/>
  <c r="Q71" i="80" s="1"/>
  <c r="M71" i="80"/>
  <c r="D71" i="80"/>
  <c r="O70" i="80"/>
  <c r="P70" i="80" s="1"/>
  <c r="Q70" i="80" s="1"/>
  <c r="M70" i="80"/>
  <c r="D70" i="80"/>
  <c r="P69" i="80"/>
  <c r="O69" i="80"/>
  <c r="M69" i="80"/>
  <c r="D69" i="80"/>
  <c r="O63" i="80"/>
  <c r="P63" i="80" s="1"/>
  <c r="Q63" i="80" s="1"/>
  <c r="M63" i="80"/>
  <c r="L63" i="80"/>
  <c r="D63" i="80"/>
  <c r="O62" i="80"/>
  <c r="P62" i="80" s="1"/>
  <c r="Q62" i="80" s="1"/>
  <c r="M62" i="80"/>
  <c r="L62" i="80"/>
  <c r="D62" i="80"/>
  <c r="P61" i="80"/>
  <c r="Q61" i="80" s="1"/>
  <c r="O61" i="80"/>
  <c r="M61" i="80"/>
  <c r="L61" i="80"/>
  <c r="D61" i="80"/>
  <c r="Q60" i="80"/>
  <c r="P60" i="80"/>
  <c r="O60" i="80"/>
  <c r="M60" i="80"/>
  <c r="L60" i="80"/>
  <c r="D60" i="80"/>
  <c r="O59" i="80"/>
  <c r="P59" i="80" s="1"/>
  <c r="Q59" i="80" s="1"/>
  <c r="M59" i="80"/>
  <c r="L59" i="80"/>
  <c r="D59" i="80"/>
  <c r="O58" i="80"/>
  <c r="P58" i="80" s="1"/>
  <c r="Q58" i="80" s="1"/>
  <c r="M58" i="80"/>
  <c r="L58" i="80"/>
  <c r="D58" i="80"/>
  <c r="P57" i="80"/>
  <c r="Q57" i="80" s="1"/>
  <c r="O57" i="80"/>
  <c r="M57" i="80"/>
  <c r="L57" i="80"/>
  <c r="D57" i="80"/>
  <c r="O56" i="80"/>
  <c r="M56" i="80"/>
  <c r="K56" i="80"/>
  <c r="L56" i="80" s="1"/>
  <c r="P56" i="80" s="1"/>
  <c r="D56" i="80"/>
  <c r="O50" i="80"/>
  <c r="P50" i="80" s="1"/>
  <c r="Q50" i="80" s="1"/>
  <c r="M50" i="80"/>
  <c r="L50" i="80"/>
  <c r="D50" i="80"/>
  <c r="P49" i="80"/>
  <c r="Q49" i="80" s="1"/>
  <c r="O49" i="80"/>
  <c r="M49" i="80"/>
  <c r="L49" i="80"/>
  <c r="D49" i="80"/>
  <c r="O48" i="80"/>
  <c r="P48" i="80" s="1"/>
  <c r="Q48" i="80" s="1"/>
  <c r="M48" i="80"/>
  <c r="L48" i="80"/>
  <c r="D48" i="80"/>
  <c r="O47" i="80"/>
  <c r="P47" i="80" s="1"/>
  <c r="M47" i="80"/>
  <c r="L47" i="80"/>
  <c r="D47" i="80"/>
  <c r="O41" i="80"/>
  <c r="P41" i="80" s="1"/>
  <c r="Q41" i="80" s="1"/>
  <c r="M41" i="80"/>
  <c r="L41" i="80"/>
  <c r="D41" i="80"/>
  <c r="O40" i="80"/>
  <c r="P40" i="80" s="1"/>
  <c r="Q40" i="80" s="1"/>
  <c r="M40" i="80"/>
  <c r="L40" i="80"/>
  <c r="D40" i="80"/>
  <c r="P39" i="80"/>
  <c r="Q39" i="80" s="1"/>
  <c r="O39" i="80"/>
  <c r="M39" i="80"/>
  <c r="L39" i="80"/>
  <c r="D39" i="80"/>
  <c r="O38" i="80"/>
  <c r="P38" i="80" s="1"/>
  <c r="Q38" i="80" s="1"/>
  <c r="M38" i="80"/>
  <c r="L38" i="80"/>
  <c r="D38" i="80"/>
  <c r="O37" i="80"/>
  <c r="P37" i="80" s="1"/>
  <c r="Q37" i="80" s="1"/>
  <c r="M37" i="80"/>
  <c r="L37" i="80"/>
  <c r="D37" i="80"/>
  <c r="O36" i="80"/>
  <c r="P36" i="80" s="1"/>
  <c r="Q36" i="80" s="1"/>
  <c r="M36" i="80"/>
  <c r="L36" i="80"/>
  <c r="D36" i="80"/>
  <c r="P35" i="80"/>
  <c r="Q35" i="80" s="1"/>
  <c r="O35" i="80"/>
  <c r="M35" i="80"/>
  <c r="L35" i="80"/>
  <c r="D35" i="80"/>
  <c r="O34" i="80"/>
  <c r="P34" i="80" s="1"/>
  <c r="Q34" i="80" s="1"/>
  <c r="M34" i="80"/>
  <c r="L34" i="80"/>
  <c r="D34" i="80"/>
  <c r="O33" i="80"/>
  <c r="P33" i="80" s="1"/>
  <c r="Q33" i="80" s="1"/>
  <c r="M33" i="80"/>
  <c r="L33" i="80"/>
  <c r="D33" i="80"/>
  <c r="O32" i="80"/>
  <c r="P32" i="80" s="1"/>
  <c r="M32" i="80"/>
  <c r="L32" i="80"/>
  <c r="D32" i="80"/>
  <c r="O26" i="80"/>
  <c r="P26" i="80" s="1"/>
  <c r="Q26" i="80" s="1"/>
  <c r="M26" i="80"/>
  <c r="L26" i="80"/>
  <c r="D26" i="80"/>
  <c r="P25" i="80"/>
  <c r="Q25" i="80" s="1"/>
  <c r="O25" i="80"/>
  <c r="M25" i="80"/>
  <c r="L25" i="80"/>
  <c r="D25" i="80"/>
  <c r="O24" i="80"/>
  <c r="P24" i="80" s="1"/>
  <c r="Q24" i="80" s="1"/>
  <c r="M24" i="80"/>
  <c r="L24" i="80"/>
  <c r="D24" i="80"/>
  <c r="O23" i="80"/>
  <c r="P23" i="80" s="1"/>
  <c r="Q23" i="80" s="1"/>
  <c r="M23" i="80"/>
  <c r="L23" i="80"/>
  <c r="D23" i="80"/>
  <c r="O22" i="80"/>
  <c r="P22" i="80" s="1"/>
  <c r="Q22" i="80" s="1"/>
  <c r="M22" i="80"/>
  <c r="L22" i="80"/>
  <c r="D22" i="80"/>
  <c r="P21" i="80"/>
  <c r="O21" i="80"/>
  <c r="M21" i="80"/>
  <c r="L21" i="80"/>
  <c r="D21" i="80"/>
  <c r="I16" i="80"/>
  <c r="O12" i="80"/>
  <c r="K12" i="80"/>
  <c r="G12" i="80"/>
  <c r="E12" i="80"/>
  <c r="E6" i="80"/>
  <c r="H6" i="80" s="1"/>
  <c r="L89" i="81" l="1"/>
  <c r="E93" i="82"/>
  <c r="E93" i="84"/>
  <c r="P42" i="84"/>
  <c r="P64" i="84"/>
  <c r="P51" i="84"/>
  <c r="P27" i="84"/>
  <c r="L89" i="84"/>
  <c r="P79" i="84"/>
  <c r="Q12" i="84"/>
  <c r="P42" i="83"/>
  <c r="P79" i="83"/>
  <c r="P64" i="83"/>
  <c r="P51" i="83"/>
  <c r="L89" i="83"/>
  <c r="Q12" i="83"/>
  <c r="C93" i="83"/>
  <c r="E93" i="83" s="1"/>
  <c r="P64" i="82"/>
  <c r="P51" i="82"/>
  <c r="Q12" i="82"/>
  <c r="L89" i="82"/>
  <c r="P79" i="82"/>
  <c r="P27" i="82"/>
  <c r="P42" i="82"/>
  <c r="P64" i="81"/>
  <c r="P42" i="81"/>
  <c r="P51" i="81"/>
  <c r="P27" i="81"/>
  <c r="Q12" i="81"/>
  <c r="C93" i="81"/>
  <c r="E93" i="81" s="1"/>
  <c r="P79" i="81"/>
  <c r="P42" i="80"/>
  <c r="P64" i="80"/>
  <c r="P51" i="80"/>
  <c r="P79" i="80"/>
  <c r="C93" i="80"/>
  <c r="E93" i="80" s="1"/>
  <c r="P27" i="80"/>
  <c r="Q12" i="80"/>
  <c r="G97" i="84" l="1"/>
  <c r="B101" i="84" s="1"/>
  <c r="R132" i="84" s="1"/>
  <c r="C97" i="84"/>
  <c r="G97" i="83"/>
  <c r="B101" i="83" s="1"/>
  <c r="C97" i="83"/>
  <c r="G97" i="82"/>
  <c r="B101" i="82" s="1"/>
  <c r="C97" i="82"/>
  <c r="G97" i="81"/>
  <c r="B101" i="81" s="1"/>
  <c r="C97" i="81"/>
  <c r="G97" i="80"/>
  <c r="B101" i="80" s="1"/>
  <c r="C97" i="80"/>
  <c r="P9" i="20" l="1"/>
  <c r="N9" i="20"/>
  <c r="M9" i="20"/>
  <c r="L9" i="20"/>
  <c r="I9" i="20"/>
  <c r="Q9" i="20" s="1"/>
  <c r="O9" i="20" l="1"/>
  <c r="I5" i="15"/>
  <c r="K5" i="15" s="1"/>
  <c r="K50" i="15" l="1"/>
  <c r="F12" i="84"/>
  <c r="G93" i="84" l="1"/>
  <c r="H93" i="84" s="1"/>
  <c r="J93" i="84" s="1"/>
  <c r="L12" i="84"/>
  <c r="O93" i="84"/>
  <c r="Q93" i="84" s="1"/>
  <c r="Q97" i="84" s="1"/>
  <c r="F12" i="82"/>
  <c r="F12" i="83"/>
  <c r="G93" i="82"/>
  <c r="H93" i="82" s="1"/>
  <c r="J93" i="82" s="1"/>
  <c r="L12" i="82"/>
  <c r="O93" i="82"/>
  <c r="Q93" i="82" s="1"/>
  <c r="Q97" i="82" s="1"/>
  <c r="F12" i="80"/>
  <c r="O93" i="80" s="1"/>
  <c r="Q93" i="80" s="1"/>
  <c r="Q97" i="80" s="1"/>
  <c r="F12" i="81"/>
  <c r="G93" i="80" l="1"/>
  <c r="H93" i="80" s="1"/>
  <c r="J93" i="80" s="1"/>
  <c r="Q69" i="84"/>
  <c r="Q79" i="84" s="1"/>
  <c r="E112" i="84" s="1"/>
  <c r="Q47" i="84"/>
  <c r="Q51" i="84" s="1"/>
  <c r="E110" i="84" s="1"/>
  <c r="Q56" i="84"/>
  <c r="Q64" i="84" s="1"/>
  <c r="E111" i="84" s="1"/>
  <c r="Q32" i="84"/>
  <c r="Q42" i="84" s="1"/>
  <c r="E109" i="84" s="1"/>
  <c r="Q21" i="84"/>
  <c r="Q27" i="84" s="1"/>
  <c r="C101" i="84"/>
  <c r="P101" i="84" s="1"/>
  <c r="C101" i="80"/>
  <c r="P101" i="80" s="1"/>
  <c r="G93" i="83"/>
  <c r="H93" i="83" s="1"/>
  <c r="J93" i="83" s="1"/>
  <c r="L12" i="83"/>
  <c r="O93" i="83"/>
  <c r="Q93" i="83" s="1"/>
  <c r="Q97" i="83" s="1"/>
  <c r="L12" i="80"/>
  <c r="Q32" i="80" s="1"/>
  <c r="Q42" i="80" s="1"/>
  <c r="E109" i="80" s="1"/>
  <c r="Q32" i="82"/>
  <c r="Q42" i="82" s="1"/>
  <c r="E109" i="82" s="1"/>
  <c r="Q69" i="82"/>
  <c r="Q79" i="82" s="1"/>
  <c r="E112" i="82" s="1"/>
  <c r="Q56" i="82"/>
  <c r="Q64" i="82" s="1"/>
  <c r="E111" i="82" s="1"/>
  <c r="Q47" i="82"/>
  <c r="Q51" i="82" s="1"/>
  <c r="E110" i="82" s="1"/>
  <c r="Q21" i="82"/>
  <c r="Q27" i="82" s="1"/>
  <c r="C101" i="82"/>
  <c r="P101" i="82" s="1"/>
  <c r="G93" i="81"/>
  <c r="H93" i="81" s="1"/>
  <c r="J93" i="81" s="1"/>
  <c r="L12" i="81"/>
  <c r="O93" i="81"/>
  <c r="Q93" i="81" s="1"/>
  <c r="Q97" i="81" s="1"/>
  <c r="P105" i="80"/>
  <c r="P105" i="84" l="1"/>
  <c r="Q101" i="84"/>
  <c r="E108" i="84"/>
  <c r="Q101" i="80"/>
  <c r="Q47" i="80"/>
  <c r="Q51" i="80" s="1"/>
  <c r="E110" i="80" s="1"/>
  <c r="Q69" i="80"/>
  <c r="Q79" i="80" s="1"/>
  <c r="E112" i="80" s="1"/>
  <c r="Q56" i="80"/>
  <c r="Q64" i="80" s="1"/>
  <c r="E111" i="80" s="1"/>
  <c r="Q47" i="83"/>
  <c r="Q51" i="83" s="1"/>
  <c r="E110" i="83" s="1"/>
  <c r="Q56" i="83"/>
  <c r="Q64" i="83" s="1"/>
  <c r="E111" i="83" s="1"/>
  <c r="Q32" i="83"/>
  <c r="Q42" i="83" s="1"/>
  <c r="E109" i="83" s="1"/>
  <c r="Q21" i="83"/>
  <c r="Q27" i="83" s="1"/>
  <c r="Q69" i="83"/>
  <c r="Q79" i="83" s="1"/>
  <c r="E112" i="83" s="1"/>
  <c r="C101" i="83"/>
  <c r="P101" i="83" s="1"/>
  <c r="Q21" i="80"/>
  <c r="Q27" i="80" s="1"/>
  <c r="E108" i="82"/>
  <c r="P105" i="82"/>
  <c r="Q101" i="82"/>
  <c r="Q21" i="81"/>
  <c r="Q27" i="81" s="1"/>
  <c r="Q32" i="81"/>
  <c r="Q42" i="81" s="1"/>
  <c r="E109" i="81" s="1"/>
  <c r="Q56" i="81"/>
  <c r="Q64" i="81" s="1"/>
  <c r="E111" i="81" s="1"/>
  <c r="Q69" i="81"/>
  <c r="Q79" i="81" s="1"/>
  <c r="E112" i="81" s="1"/>
  <c r="Q47" i="81"/>
  <c r="Q51" i="81" s="1"/>
  <c r="E110" i="81" s="1"/>
  <c r="C101" i="81"/>
  <c r="P101" i="81" s="1"/>
  <c r="E113" i="80"/>
  <c r="Q105" i="80" l="1"/>
  <c r="E108" i="80"/>
  <c r="Q105" i="84"/>
  <c r="E113" i="84"/>
  <c r="P105" i="83"/>
  <c r="Q101" i="83"/>
  <c r="E108" i="83"/>
  <c r="Q105" i="82"/>
  <c r="E113" i="82"/>
  <c r="P105" i="81"/>
  <c r="Q101" i="81"/>
  <c r="E108" i="81"/>
  <c r="Q105" i="83" l="1"/>
  <c r="E113" i="83"/>
  <c r="Q105" i="81"/>
  <c r="E113" i="81"/>
</calcChain>
</file>

<file path=xl/comments1.xml><?xml version="1.0" encoding="utf-8"?>
<comments xmlns="http://schemas.openxmlformats.org/spreadsheetml/2006/main">
  <authors>
    <author>Utilisateur</author>
  </authors>
  <commentList>
    <comment ref="K19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20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46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54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68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C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Coefficient d'exposition</t>
        </r>
      </text>
    </comment>
    <comment ref="D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Facteur correctif par rapport à la hauteur du local par rapport au sol</t>
        </r>
      </text>
    </comment>
    <comment ref="I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Température du local d’où provient l'air</t>
        </r>
      </text>
    </comment>
    <comment ref="P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 dans le local annexe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K19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20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46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54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68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C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Coefficient d'exposition</t>
        </r>
      </text>
    </comment>
    <comment ref="D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Facteur correctif par rapport à la hauteur du local par rapport au sol</t>
        </r>
      </text>
    </comment>
    <comment ref="I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Température du local d’où provient l'air</t>
        </r>
      </text>
    </comment>
    <comment ref="P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 dans le local annexe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K19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20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46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54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68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C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Coefficient d'exposition</t>
        </r>
      </text>
    </comment>
    <comment ref="D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Facteur correctif par rapport à la hauteur du local par rapport au sol</t>
        </r>
      </text>
    </comment>
    <comment ref="I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Température du local d’où provient l'air</t>
        </r>
      </text>
    </comment>
    <comment ref="P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 dans le local annexe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K19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20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46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54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68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C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Coefficient d'exposition</t>
        </r>
      </text>
    </comment>
    <comment ref="D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Facteur correctif par rapport à la hauteur du local par rapport au sol</t>
        </r>
      </text>
    </comment>
    <comment ref="I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Température du local d’où provient l'air</t>
        </r>
      </text>
    </comment>
    <comment ref="P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 dans le local annexe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K19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20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46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K54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Surface des menuiseries...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M68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Si contact avec le sol ou un local non chauffé, voir onglet (Coeff B sol…)</t>
        </r>
      </text>
    </comment>
    <comment ref="C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Coefficient d'exposition</t>
        </r>
      </text>
    </comment>
    <comment ref="D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Facteur correctif par rapport à la hauteur du local par rapport au sol</t>
        </r>
      </text>
    </comment>
    <comment ref="I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</t>
        </r>
      </text>
    </comment>
    <comment ref="N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Température du local d’où provient l'air</t>
        </r>
      </text>
    </comment>
    <comment ref="P91" authorId="0" shapeId="0">
      <text>
        <r>
          <rPr>
            <b/>
            <sz val="8"/>
            <color indexed="81"/>
            <rFont val="Tahoma"/>
            <family val="2"/>
          </rPr>
          <t>Utilisateur:</t>
        </r>
        <r>
          <rPr>
            <sz val="8"/>
            <color indexed="81"/>
            <rFont val="Tahoma"/>
            <family val="2"/>
          </rPr>
          <t xml:space="preserve">
Débit d'air introduit par la VMC dans le local annexe</t>
        </r>
      </text>
    </comment>
  </commentList>
</comments>
</file>

<file path=xl/sharedStrings.xml><?xml version="1.0" encoding="utf-8"?>
<sst xmlns="http://schemas.openxmlformats.org/spreadsheetml/2006/main" count="2027" uniqueCount="279">
  <si>
    <t>l</t>
  </si>
  <si>
    <t>A</t>
  </si>
  <si>
    <t>-</t>
  </si>
  <si>
    <t>m</t>
  </si>
  <si>
    <t>°C</t>
  </si>
  <si>
    <t>K</t>
  </si>
  <si>
    <t>W/K</t>
  </si>
  <si>
    <t>b</t>
  </si>
  <si>
    <t>h</t>
  </si>
  <si>
    <t>S</t>
  </si>
  <si>
    <r>
      <t>m</t>
    </r>
    <r>
      <rPr>
        <vertAlign val="superscript"/>
        <sz val="8"/>
        <rFont val="Arial"/>
        <family val="2"/>
      </rPr>
      <t>2</t>
    </r>
  </si>
  <si>
    <r>
      <t>m</t>
    </r>
    <r>
      <rPr>
        <vertAlign val="superscript"/>
        <sz val="8"/>
        <rFont val="Arial"/>
        <family val="2"/>
      </rPr>
      <t>3</t>
    </r>
  </si>
  <si>
    <r>
      <t>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/h</t>
    </r>
  </si>
  <si>
    <t>l, h</t>
  </si>
  <si>
    <t>Orien-</t>
  </si>
  <si>
    <r>
      <t>F</t>
    </r>
    <r>
      <rPr>
        <i/>
        <vertAlign val="subscript"/>
        <sz val="9"/>
        <rFont val="Arial"/>
        <family val="2"/>
      </rPr>
      <t>HL</t>
    </r>
  </si>
  <si>
    <r>
      <t>q</t>
    </r>
    <r>
      <rPr>
        <i/>
        <vertAlign val="subscript"/>
        <sz val="9"/>
        <rFont val="Arial"/>
        <family val="2"/>
      </rPr>
      <t>e</t>
    </r>
  </si>
  <si>
    <r>
      <t>H</t>
    </r>
    <r>
      <rPr>
        <i/>
        <vertAlign val="subscript"/>
        <sz val="9"/>
        <rFont val="Arial"/>
        <family val="2"/>
      </rPr>
      <t>T</t>
    </r>
  </si>
  <si>
    <r>
      <t>F</t>
    </r>
    <r>
      <rPr>
        <i/>
        <vertAlign val="subscript"/>
        <sz val="9"/>
        <rFont val="Arial"/>
        <family val="2"/>
      </rPr>
      <t>T</t>
    </r>
  </si>
  <si>
    <r>
      <t>Wh/m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K</t>
    </r>
  </si>
  <si>
    <r>
      <t>q</t>
    </r>
    <r>
      <rPr>
        <i/>
        <vertAlign val="subscript"/>
        <sz val="9"/>
        <rFont val="Arial"/>
        <family val="2"/>
      </rPr>
      <t>int</t>
    </r>
  </si>
  <si>
    <t>V</t>
  </si>
  <si>
    <r>
      <t>F</t>
    </r>
    <r>
      <rPr>
        <i/>
        <vertAlign val="subscript"/>
        <sz val="9"/>
        <rFont val="Arial"/>
        <family val="2"/>
      </rPr>
      <t>V</t>
    </r>
  </si>
  <si>
    <t>Désignation</t>
  </si>
  <si>
    <t>Bâtiment</t>
  </si>
  <si>
    <t>No</t>
  </si>
  <si>
    <t>Description</t>
  </si>
  <si>
    <t>Description:</t>
  </si>
  <si>
    <t>Affectation</t>
  </si>
  <si>
    <t>Températures</t>
  </si>
  <si>
    <t>Dimensions intérieures du local</t>
  </si>
  <si>
    <t>Ventilation</t>
  </si>
  <si>
    <t>Déperditions calorifiques de base</t>
  </si>
  <si>
    <t>Fiche du local</t>
  </si>
  <si>
    <t>Débit d'air d'infiltration</t>
  </si>
  <si>
    <t>Corr.</t>
  </si>
  <si>
    <r>
      <t>q</t>
    </r>
    <r>
      <rPr>
        <i/>
        <vertAlign val="subscript"/>
        <sz val="9"/>
        <rFont val="Arial"/>
        <family val="2"/>
      </rPr>
      <t>e,corr</t>
    </r>
  </si>
  <si>
    <t>Toiture</t>
  </si>
  <si>
    <t>Murs</t>
  </si>
  <si>
    <t>T</t>
  </si>
  <si>
    <t>m2</t>
  </si>
  <si>
    <r>
      <t>f</t>
    </r>
    <r>
      <rPr>
        <vertAlign val="subscript"/>
        <sz val="9"/>
        <rFont val="Arial"/>
        <family val="2"/>
      </rPr>
      <t xml:space="preserve">ij </t>
    </r>
  </si>
  <si>
    <t>SOMME</t>
  </si>
  <si>
    <t>Cuisine</t>
  </si>
  <si>
    <t>O</t>
  </si>
  <si>
    <t>Bibliothèque du projet</t>
  </si>
  <si>
    <t>N°</t>
  </si>
  <si>
    <t>Composition</t>
  </si>
  <si>
    <t>M1</t>
  </si>
  <si>
    <t>Murs Extérieur</t>
  </si>
  <si>
    <t>M2</t>
  </si>
  <si>
    <t>M3</t>
  </si>
  <si>
    <t>M4</t>
  </si>
  <si>
    <t>M5</t>
  </si>
  <si>
    <t>M6</t>
  </si>
  <si>
    <t>Toitures</t>
  </si>
  <si>
    <t>Planchers</t>
  </si>
  <si>
    <t>Menuisieries</t>
  </si>
  <si>
    <t>Ponts thermiques</t>
  </si>
  <si>
    <t>Local Non Chauffé</t>
  </si>
  <si>
    <t>Local Chauffé</t>
  </si>
  <si>
    <t>Cloison intérieure</t>
  </si>
  <si>
    <t>F1</t>
  </si>
  <si>
    <t>T1</t>
  </si>
  <si>
    <t>T2</t>
  </si>
  <si>
    <t>T3</t>
  </si>
  <si>
    <t>T4</t>
  </si>
  <si>
    <t>T5</t>
  </si>
  <si>
    <t>T6</t>
  </si>
  <si>
    <t>P1</t>
  </si>
  <si>
    <t>P2</t>
  </si>
  <si>
    <t>P3</t>
  </si>
  <si>
    <t>P4</t>
  </si>
  <si>
    <t>P5</t>
  </si>
  <si>
    <t>P6</t>
  </si>
  <si>
    <t>F2</t>
  </si>
  <si>
    <t>F3</t>
  </si>
  <si>
    <t>F4</t>
  </si>
  <si>
    <t>F5</t>
  </si>
  <si>
    <t>F6</t>
  </si>
  <si>
    <t>Pt1</t>
  </si>
  <si>
    <t>Pt2</t>
  </si>
  <si>
    <t>Pt3</t>
  </si>
  <si>
    <t>Pt4</t>
  </si>
  <si>
    <t>Pt5</t>
  </si>
  <si>
    <t>Pt6</t>
  </si>
  <si>
    <t>Ψ(W/(m.K)</t>
  </si>
  <si>
    <t>U(W/(m².K)</t>
  </si>
  <si>
    <t>Etage</t>
  </si>
  <si>
    <t>Abréviation</t>
  </si>
  <si>
    <t>RDC</t>
  </si>
  <si>
    <t>Bureau</t>
  </si>
  <si>
    <t>Type de bâtiment</t>
  </si>
  <si>
    <t>Toilettes_WC</t>
  </si>
  <si>
    <t>Affectations_accessoires</t>
  </si>
  <si>
    <t>Selectionner</t>
  </si>
  <si>
    <t>Construction massive (sans fauxplafonds, planchers ou tapis)</t>
  </si>
  <si>
    <t>Construction très massive (avec fauxplafonds, planchers ou tapis)</t>
  </si>
  <si>
    <t>Construction en bois massif(madriers)</t>
  </si>
  <si>
    <t>Construction légère en bois (ossature bois)</t>
  </si>
  <si>
    <t>Type de construction</t>
  </si>
  <si>
    <t>Ancienne</t>
  </si>
  <si>
    <t>Neuve</t>
  </si>
  <si>
    <t>Degré d'étanchéitée à l'air de l'enveloppe</t>
  </si>
  <si>
    <t>Villas</t>
  </si>
  <si>
    <t>Elevé</t>
  </si>
  <si>
    <t>Faible</t>
  </si>
  <si>
    <t>Moyen</t>
  </si>
  <si>
    <t>Sans influence</t>
  </si>
  <si>
    <t>Autres_constructions</t>
  </si>
  <si>
    <t>Sans_influence</t>
  </si>
  <si>
    <t>Prorata volume du bâtiment</t>
  </si>
  <si>
    <t>Local avec une ouverture sur l'extérieur</t>
  </si>
  <si>
    <t>oui</t>
  </si>
  <si>
    <t>non</t>
  </si>
  <si>
    <t>Sans système de ventilation</t>
  </si>
  <si>
    <t>Avec système de ventilation</t>
  </si>
  <si>
    <t>Air fourni dans le local</t>
  </si>
  <si>
    <t>Débit d'air infiltré provenant des locaux annexes</t>
  </si>
  <si>
    <r>
      <t>n</t>
    </r>
    <r>
      <rPr>
        <i/>
        <vertAlign val="subscript"/>
        <sz val="9"/>
        <rFont val="Arial"/>
        <family val="2"/>
      </rPr>
      <t>50</t>
    </r>
  </si>
  <si>
    <t>e</t>
  </si>
  <si>
    <r>
      <t>V'</t>
    </r>
    <r>
      <rPr>
        <i/>
        <vertAlign val="subscript"/>
        <sz val="9"/>
        <rFont val="Arial"/>
        <family val="2"/>
      </rPr>
      <t>inf</t>
    </r>
  </si>
  <si>
    <r>
      <t>q</t>
    </r>
    <r>
      <rPr>
        <i/>
        <vertAlign val="subscript"/>
        <sz val="9"/>
        <rFont val="Arial"/>
        <family val="2"/>
      </rPr>
      <t>su</t>
    </r>
  </si>
  <si>
    <r>
      <t>f</t>
    </r>
    <r>
      <rPr>
        <i/>
        <vertAlign val="subscript"/>
        <sz val="9"/>
        <rFont val="Arial"/>
        <family val="2"/>
      </rPr>
      <t>v</t>
    </r>
  </si>
  <si>
    <r>
      <t>V'</t>
    </r>
    <r>
      <rPr>
        <i/>
        <vertAlign val="subscript"/>
        <sz val="9"/>
        <rFont val="Arial"/>
        <family val="2"/>
      </rPr>
      <t>su</t>
    </r>
  </si>
  <si>
    <r>
      <t>V'</t>
    </r>
    <r>
      <rPr>
        <i/>
        <vertAlign val="subscript"/>
        <sz val="9"/>
        <rFont val="Arial"/>
        <family val="2"/>
      </rPr>
      <t>su,th</t>
    </r>
  </si>
  <si>
    <r>
      <t>q</t>
    </r>
    <r>
      <rPr>
        <i/>
        <vertAlign val="subscript"/>
        <sz val="9"/>
        <rFont val="Arial"/>
        <family val="2"/>
      </rPr>
      <t>int,j</t>
    </r>
  </si>
  <si>
    <r>
      <t>f</t>
    </r>
    <r>
      <rPr>
        <i/>
        <vertAlign val="subscript"/>
        <sz val="9"/>
        <rFont val="Arial"/>
        <family val="2"/>
      </rPr>
      <t>v,j</t>
    </r>
  </si>
  <si>
    <r>
      <t>h</t>
    </r>
    <r>
      <rPr>
        <vertAlign val="superscript"/>
        <sz val="8"/>
        <rFont val="Arial"/>
        <family val="2"/>
      </rPr>
      <t>-1</t>
    </r>
  </si>
  <si>
    <t>Débit d'air hygién. min.</t>
  </si>
  <si>
    <t>Excédent d'air repris</t>
  </si>
  <si>
    <r>
      <t>n</t>
    </r>
    <r>
      <rPr>
        <i/>
        <vertAlign val="subscript"/>
        <sz val="9"/>
        <rFont val="Arial"/>
        <family val="2"/>
      </rPr>
      <t>min</t>
    </r>
  </si>
  <si>
    <r>
      <t>V'</t>
    </r>
    <r>
      <rPr>
        <i/>
        <vertAlign val="subscript"/>
        <sz val="9"/>
        <rFont val="Arial"/>
        <family val="2"/>
      </rPr>
      <t>min</t>
    </r>
  </si>
  <si>
    <r>
      <t>V'</t>
    </r>
    <r>
      <rPr>
        <i/>
        <vertAlign val="subscript"/>
        <sz val="9"/>
        <rFont val="Arial"/>
        <family val="2"/>
      </rPr>
      <t>mech,inf</t>
    </r>
  </si>
  <si>
    <t>Somme</t>
  </si>
  <si>
    <t>Débit d'air déterminant</t>
  </si>
  <si>
    <t>Déperdition calorifique par renouvellement d'air</t>
  </si>
  <si>
    <t>V'</t>
  </si>
  <si>
    <r>
      <t>V'</t>
    </r>
    <r>
      <rPr>
        <i/>
        <vertAlign val="subscript"/>
        <sz val="9"/>
        <rFont val="Arial"/>
        <family val="2"/>
      </rPr>
      <t>th</t>
    </r>
  </si>
  <si>
    <r>
      <t>c</t>
    </r>
    <r>
      <rPr>
        <i/>
        <sz val="9"/>
        <rFont val="Arial"/>
        <family val="2"/>
      </rPr>
      <t>*</t>
    </r>
    <r>
      <rPr>
        <i/>
        <sz val="9"/>
        <rFont val="Symbol"/>
        <family val="1"/>
        <charset val="2"/>
      </rPr>
      <t>r</t>
    </r>
  </si>
  <si>
    <r>
      <t>H</t>
    </r>
    <r>
      <rPr>
        <i/>
        <vertAlign val="subscript"/>
        <sz val="9"/>
        <rFont val="Arial"/>
        <family val="2"/>
      </rPr>
      <t>V</t>
    </r>
  </si>
  <si>
    <t>W</t>
  </si>
  <si>
    <t>Système de ventilation</t>
  </si>
  <si>
    <t>Mécanique</t>
  </si>
  <si>
    <t>Naturelle</t>
  </si>
  <si>
    <t>Classe d'exposition</t>
  </si>
  <si>
    <t>Sélectionner</t>
  </si>
  <si>
    <t>Local chauffé, pas de mur extérieur</t>
  </si>
  <si>
    <t>Local chauffé, un mur extérieur sur une seule orientation</t>
  </si>
  <si>
    <t>Local chauffé, plusieurs murs extérieurs avec différentes orientations</t>
  </si>
  <si>
    <t>Site non abrité Local chauffé, pas de mur extérieur</t>
  </si>
  <si>
    <t>Site non abrité Local chauffé, plusieurs murs extérieurs avec différentes orientations</t>
  </si>
  <si>
    <t>Site modérément abrité  Local chauffé, pas de mur extérieur</t>
  </si>
  <si>
    <t>Site modérément abrité  Local chauffé, un mur extérieur sur une seule orientation</t>
  </si>
  <si>
    <t>Site modérément abrité  Local chauffé, plusieurs murs extérieurs avec différentes orientations</t>
  </si>
  <si>
    <t>Site très abrité  Local chauffé, pas de mur extérieur</t>
  </si>
  <si>
    <t>Site très abrité  Local chauffé, un mur extérieur sur une seule orientation</t>
  </si>
  <si>
    <t>Site très abrité  Local chauffé, plusieurs murs extérieurs avec différentes orientations</t>
  </si>
  <si>
    <t>Hauteur au-dessus du sol</t>
  </si>
  <si>
    <t>0 m à 10 m</t>
  </si>
  <si>
    <t>10 m à 20 m</t>
  </si>
  <si>
    <t>20 m à 30 m</t>
  </si>
  <si>
    <t>30 m à 40 m</t>
  </si>
  <si>
    <t>40 m à 50 m</t>
  </si>
  <si>
    <t>50 m à 60 m</t>
  </si>
  <si>
    <t>60 m à 80 m</t>
  </si>
  <si>
    <t>&gt; 80 m</t>
  </si>
  <si>
    <t>Hauteur de la pièce par rapport au niveau du sol</t>
  </si>
  <si>
    <r>
      <t>H</t>
    </r>
    <r>
      <rPr>
        <i/>
        <vertAlign val="subscript"/>
        <sz val="9"/>
        <rFont val="Arial"/>
        <family val="2"/>
      </rPr>
      <t>HL</t>
    </r>
  </si>
  <si>
    <t xml:space="preserve"> </t>
  </si>
  <si>
    <t>Transmission Murs</t>
  </si>
  <si>
    <t>Transmission Planchers</t>
  </si>
  <si>
    <t>Contact</t>
  </si>
  <si>
    <t>Facteur correction</t>
  </si>
  <si>
    <t>Espace non chauffé</t>
  </si>
  <si>
    <t>Extérieur</t>
  </si>
  <si>
    <t>Sol</t>
  </si>
  <si>
    <t>Type de pièce</t>
  </si>
  <si>
    <t>Transmission ponts thermiques</t>
  </si>
  <si>
    <r>
      <t xml:space="preserve">Espace chauffé T°C </t>
    </r>
    <r>
      <rPr>
        <sz val="9"/>
        <rFont val="Calibri"/>
        <family val="2"/>
      </rPr>
      <t>≠</t>
    </r>
  </si>
  <si>
    <t>Espace chauffé T°C ≠</t>
  </si>
  <si>
    <t>U</t>
  </si>
  <si>
    <t>W/m2.K</t>
  </si>
  <si>
    <t>Nbr</t>
  </si>
  <si>
    <t>Température du local adjacent</t>
  </si>
  <si>
    <t xml:space="preserve">Facteur de réduction de la température </t>
  </si>
  <si>
    <t>Transmission Toitures</t>
  </si>
  <si>
    <t>Transmission Menuiseries</t>
  </si>
  <si>
    <t>Toiture végétalisée</t>
  </si>
  <si>
    <t>Planchers bas</t>
  </si>
  <si>
    <t>Double vitrage 4/16/4</t>
  </si>
  <si>
    <t>Linéique</t>
  </si>
  <si>
    <t>Menuiseries</t>
  </si>
  <si>
    <t>Ponts Thermique</t>
  </si>
  <si>
    <t>Renouvellement d'air</t>
  </si>
  <si>
    <t>Répartition des Déperditions</t>
  </si>
  <si>
    <t>Abréviation :</t>
  </si>
  <si>
    <t>m²</t>
  </si>
  <si>
    <t>Deduction</t>
  </si>
  <si>
    <r>
      <t>f</t>
    </r>
    <r>
      <rPr>
        <i/>
        <vertAlign val="subscript"/>
        <sz val="9"/>
        <rFont val="Arial"/>
        <family val="2"/>
      </rPr>
      <t>ij</t>
    </r>
  </si>
  <si>
    <t>Calculette Fij , à utiliser comme coefficient b si une parois est en contact avec un local chauffé à une température différente</t>
  </si>
  <si>
    <t>Efficacité echangeur</t>
  </si>
  <si>
    <t>Pt7</t>
  </si>
  <si>
    <t>Pt8</t>
  </si>
  <si>
    <t>Pt9</t>
  </si>
  <si>
    <t>Pt10</t>
  </si>
  <si>
    <t>Pt11</t>
  </si>
  <si>
    <t>Pt12</t>
  </si>
  <si>
    <t>Pt13</t>
  </si>
  <si>
    <t>Pt14</t>
  </si>
  <si>
    <t>Pt15</t>
  </si>
  <si>
    <t>Récapitulation des locaux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</si>
  <si>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</si>
  <si>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</si>
  <si>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</si>
  <si>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</si>
  <si>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</si>
  <si>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</si>
  <si>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</si>
  <si>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</si>
  <si>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</si>
  <si>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Abr.</t>
  </si>
  <si>
    <r>
      <t xml:space="preserve"> q</t>
    </r>
    <r>
      <rPr>
        <i/>
        <vertAlign val="subscript"/>
        <sz val="9"/>
        <rFont val="Arial"/>
        <family val="2"/>
      </rPr>
      <t>int</t>
    </r>
  </si>
  <si>
    <r>
      <t xml:space="preserve"> F</t>
    </r>
    <r>
      <rPr>
        <i/>
        <vertAlign val="subscript"/>
        <sz val="9"/>
        <rFont val="Arial"/>
        <family val="2"/>
      </rPr>
      <t>T</t>
    </r>
  </si>
  <si>
    <r>
      <t xml:space="preserve"> F</t>
    </r>
    <r>
      <rPr>
        <i/>
        <vertAlign val="subscript"/>
        <sz val="9"/>
        <rFont val="Arial"/>
        <family val="2"/>
      </rPr>
      <t>V</t>
    </r>
  </si>
  <si>
    <r>
      <t xml:space="preserve"> F</t>
    </r>
    <r>
      <rPr>
        <i/>
        <vertAlign val="subscript"/>
        <sz val="9"/>
        <rFont val="Arial"/>
        <family val="2"/>
      </rPr>
      <t>HL</t>
    </r>
  </si>
  <si>
    <r>
      <t>q</t>
    </r>
    <r>
      <rPr>
        <i/>
        <vertAlign val="subscript"/>
        <sz val="9"/>
        <rFont val="Arial"/>
        <family val="2"/>
      </rPr>
      <t>HL</t>
    </r>
  </si>
  <si>
    <t>v'</t>
  </si>
  <si>
    <r>
      <t>m</t>
    </r>
    <r>
      <rPr>
        <vertAlign val="superscript"/>
        <sz val="9"/>
        <rFont val="Arial"/>
        <family val="2"/>
      </rPr>
      <t>2</t>
    </r>
  </si>
  <si>
    <r>
      <t>W/m</t>
    </r>
    <r>
      <rPr>
        <vertAlign val="superscript"/>
        <sz val="9"/>
        <rFont val="Arial"/>
        <family val="2"/>
      </rPr>
      <t>2</t>
    </r>
  </si>
  <si>
    <r>
      <t>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/h</t>
    </r>
  </si>
  <si>
    <r>
      <t>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/hm</t>
    </r>
    <r>
      <rPr>
        <vertAlign val="superscript"/>
        <sz val="9"/>
        <rFont val="Arial"/>
        <family val="2"/>
      </rPr>
      <t>2</t>
    </r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</si>
  <si>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</si>
  <si>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</si>
  <si>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</si>
  <si>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</si>
  <si>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</si>
  <si>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</si>
  <si>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</si>
  <si>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</si>
  <si>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</si>
  <si>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T7</t>
  </si>
  <si>
    <t>T8</t>
  </si>
  <si>
    <t>P7</t>
  </si>
  <si>
    <t>P8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</si>
  <si>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</si>
  <si>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</si>
  <si>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</si>
  <si>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</si>
  <si>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</si>
  <si>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</si>
  <si>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</si>
  <si>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</si>
  <si>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</si>
  <si>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</si>
  <si>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</si>
  <si>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</si>
  <si>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</si>
  <si>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</si>
  <si>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Longueur</t>
  </si>
  <si>
    <t>Largeur</t>
  </si>
  <si>
    <t>Surface</t>
  </si>
  <si>
    <t>Hauteur</t>
  </si>
  <si>
    <t>Volume</t>
  </si>
  <si>
    <t>m3</t>
  </si>
  <si>
    <t xml:space="preserve"> qint</t>
  </si>
  <si>
    <t>qe,corr</t>
  </si>
  <si>
    <t>W/m2</t>
  </si>
  <si>
    <t>m3/h</t>
  </si>
  <si>
    <t>m3/hm2</t>
  </si>
  <si>
    <t>Sejour</t>
  </si>
  <si>
    <t>Chambre 2</t>
  </si>
  <si>
    <t>Chambre 1</t>
  </si>
  <si>
    <t>BR1</t>
  </si>
  <si>
    <t>Cui1</t>
  </si>
  <si>
    <t>CH1</t>
  </si>
  <si>
    <t>Sej1</t>
  </si>
  <si>
    <t>CH2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</si>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</sst>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vertAlign val="superscript"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Symbol"/>
      <family val="1"/>
      <charset val="2"/>
    </font>
    <font>
      <sz val="8"/>
      <name val="Arial"/>
      <family val="2"/>
    </font>
    <font>
      <vertAlign val="superscript"/>
      <sz val="8"/>
      <name val="Arial"/>
      <family val="2"/>
    </font>
    <font>
      <sz val="11"/>
      <name val="Symbol"/>
      <family val="1"/>
      <charset val="2"/>
    </font>
    <font>
      <sz val="8"/>
      <name val="Symbol"/>
      <family val="1"/>
      <charset val="2"/>
    </font>
    <font>
      <sz val="8"/>
      <color indexed="10"/>
      <name val="Arial"/>
      <family val="2"/>
    </font>
    <font>
      <i/>
      <sz val="9"/>
      <name val="Arial"/>
      <family val="2"/>
    </font>
    <font>
      <i/>
      <vertAlign val="subscript"/>
      <sz val="9"/>
      <name val="Arial"/>
      <family val="2"/>
    </font>
    <font>
      <i/>
      <sz val="9"/>
      <name val="Symbol"/>
      <family val="1"/>
      <charset val="2"/>
    </font>
    <font>
      <i/>
      <sz val="9"/>
      <name val="Arial"/>
      <family val="2"/>
    </font>
    <font>
      <vertAlign val="subscript"/>
      <sz val="9"/>
      <name val="Arial"/>
      <family val="2"/>
    </font>
    <font>
      <sz val="9"/>
      <color indexed="8"/>
      <name val="Arial"/>
      <family val="2"/>
    </font>
    <font>
      <b/>
      <sz val="8"/>
      <color indexed="56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9"/>
      <name val="Calibri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12"/>
      <name val="Symbol"/>
      <family val="1"/>
      <charset val="2"/>
    </font>
    <font>
      <sz val="10"/>
      <name val="Symbol"/>
      <family val="1"/>
      <charset val="2"/>
    </font>
    <font>
      <u/>
      <sz val="10"/>
      <color theme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38" fillId="0" borderId="0" applyNumberFormat="0" applyFill="0" applyBorder="0" applyAlignment="0" applyProtection="0"/>
  </cellStyleXfs>
  <cellXfs count="570">
    <xf numFmtId="0" fontId="0" fillId="0" borderId="0" xfId="0"/>
    <xf numFmtId="0" fontId="3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3" fillId="0" borderId="0" xfId="0" applyFo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Fill="1" applyBorder="1" applyAlignment="1" applyProtection="1">
      <protection locked="0"/>
    </xf>
    <xf numFmtId="0" fontId="4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5" xfId="0" applyFont="1" applyBorder="1" applyProtection="1">
      <protection locked="0"/>
    </xf>
    <xf numFmtId="0" fontId="11" fillId="0" borderId="0" xfId="0" applyFont="1" applyAlignment="1" applyProtection="1">
      <protection locked="0"/>
    </xf>
    <xf numFmtId="0" fontId="14" fillId="0" borderId="0" xfId="0" applyFont="1" applyAlignment="1" applyProtection="1"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protection locked="0"/>
    </xf>
    <xf numFmtId="0" fontId="4" fillId="0" borderId="1" xfId="0" applyFont="1" applyBorder="1" applyAlignment="1" applyProtection="1">
      <protection locked="0"/>
    </xf>
    <xf numFmtId="0" fontId="2" fillId="0" borderId="0" xfId="0" applyFont="1" applyAlignment="1" applyProtection="1">
      <protection locked="0"/>
    </xf>
    <xf numFmtId="0" fontId="4" fillId="0" borderId="11" xfId="0" applyFont="1" applyBorder="1" applyAlignment="1" applyProtection="1">
      <protection locked="0"/>
    </xf>
    <xf numFmtId="0" fontId="4" fillId="0" borderId="11" xfId="0" quotePrefix="1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4" fillId="0" borderId="6" xfId="0" quotePrefix="1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4" fillId="0" borderId="6" xfId="0" applyNumberFormat="1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19" fillId="0" borderId="18" xfId="0" applyFont="1" applyBorder="1" applyAlignment="1" applyProtection="1">
      <alignment horizontal="center"/>
      <protection locked="0"/>
    </xf>
    <xf numFmtId="0" fontId="4" fillId="0" borderId="25" xfId="0" quotePrefix="1" applyFont="1" applyBorder="1" applyAlignment="1" applyProtection="1">
      <alignment horizontal="center"/>
      <protection locked="0"/>
    </xf>
    <xf numFmtId="0" fontId="11" fillId="0" borderId="0" xfId="0" applyFont="1" applyProtection="1"/>
    <xf numFmtId="0" fontId="14" fillId="0" borderId="0" xfId="0" applyFont="1" applyProtection="1"/>
    <xf numFmtId="0" fontId="14" fillId="0" borderId="28" xfId="0" applyFont="1" applyBorder="1" applyProtection="1"/>
    <xf numFmtId="0" fontId="4" fillId="0" borderId="0" xfId="0" applyFont="1" applyProtection="1"/>
    <xf numFmtId="0" fontId="7" fillId="0" borderId="26" xfId="0" applyFont="1" applyBorder="1" applyAlignment="1" applyProtection="1"/>
    <xf numFmtId="0" fontId="4" fillId="0" borderId="5" xfId="0" applyFont="1" applyBorder="1" applyAlignment="1" applyProtection="1"/>
    <xf numFmtId="0" fontId="4" fillId="0" borderId="15" xfId="0" applyFont="1" applyBorder="1" applyAlignment="1" applyProtection="1"/>
    <xf numFmtId="0" fontId="4" fillId="0" borderId="26" xfId="0" applyFont="1" applyBorder="1" applyAlignment="1" applyProtection="1"/>
    <xf numFmtId="0" fontId="2" fillId="0" borderId="0" xfId="0" applyFont="1" applyProtection="1"/>
    <xf numFmtId="0" fontId="4" fillId="0" borderId="36" xfId="0" applyFont="1" applyBorder="1" applyProtection="1"/>
    <xf numFmtId="0" fontId="4" fillId="0" borderId="2" xfId="0" applyFont="1" applyBorder="1" applyProtection="1"/>
    <xf numFmtId="0" fontId="4" fillId="0" borderId="37" xfId="0" applyFont="1" applyBorder="1" applyAlignment="1" applyProtection="1">
      <alignment horizontal="center"/>
    </xf>
    <xf numFmtId="0" fontId="21" fillId="0" borderId="7" xfId="0" applyFont="1" applyBorder="1" applyAlignment="1" applyProtection="1">
      <alignment horizontal="center"/>
    </xf>
    <xf numFmtId="0" fontId="21" fillId="0" borderId="6" xfId="0" applyFont="1" applyBorder="1" applyAlignment="1" applyProtection="1">
      <alignment horizontal="center"/>
    </xf>
    <xf numFmtId="0" fontId="2" fillId="0" borderId="36" xfId="0" quotePrefix="1" applyFont="1" applyBorder="1" applyAlignment="1" applyProtection="1"/>
    <xf numFmtId="0" fontId="2" fillId="0" borderId="2" xfId="0" applyFont="1" applyBorder="1" applyAlignment="1" applyProtection="1"/>
    <xf numFmtId="0" fontId="2" fillId="0" borderId="37" xfId="0" applyFont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26" fillId="0" borderId="16" xfId="0" applyFont="1" applyBorder="1" applyAlignment="1" applyProtection="1"/>
    <xf numFmtId="0" fontId="4" fillId="0" borderId="28" xfId="0" applyFont="1" applyBorder="1" applyAlignment="1" applyProtection="1"/>
    <xf numFmtId="0" fontId="4" fillId="0" borderId="27" xfId="0" applyFont="1" applyBorder="1" applyAlignment="1" applyProtection="1"/>
    <xf numFmtId="0" fontId="4" fillId="0" borderId="29" xfId="0" applyFont="1" applyBorder="1" applyAlignment="1" applyProtection="1"/>
    <xf numFmtId="0" fontId="4" fillId="0" borderId="0" xfId="0" applyFont="1" applyBorder="1" applyAlignment="1" applyProtection="1"/>
    <xf numFmtId="0" fontId="4" fillId="0" borderId="26" xfId="0" applyFont="1" applyBorder="1" applyAlignment="1" applyProtection="1">
      <alignment horizontal="left"/>
    </xf>
    <xf numFmtId="0" fontId="4" fillId="0" borderId="5" xfId="0" quotePrefix="1" applyFont="1" applyBorder="1" applyAlignment="1" applyProtection="1">
      <alignment horizontal="left"/>
    </xf>
    <xf numFmtId="0" fontId="4" fillId="0" borderId="5" xfId="0" quotePrefix="1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1" fontId="4" fillId="0" borderId="5" xfId="0" applyNumberFormat="1" applyFont="1" applyBorder="1" applyAlignment="1" applyProtection="1">
      <alignment horizontal="center"/>
    </xf>
    <xf numFmtId="9" fontId="4" fillId="0" borderId="5" xfId="0" applyNumberFormat="1" applyFont="1" applyBorder="1" applyAlignment="1" applyProtection="1">
      <alignment horizontal="center"/>
    </xf>
    <xf numFmtId="0" fontId="16" fillId="0" borderId="5" xfId="0" applyFont="1" applyFill="1" applyBorder="1" applyAlignment="1" applyProtection="1">
      <alignment horizontal="center"/>
    </xf>
    <xf numFmtId="0" fontId="4" fillId="0" borderId="0" xfId="0" applyFont="1" applyAlignment="1" applyProtection="1"/>
    <xf numFmtId="0" fontId="4" fillId="0" borderId="0" xfId="0" quotePrefix="1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/>
    </xf>
    <xf numFmtId="1" fontId="4" fillId="0" borderId="6" xfId="0" applyNumberFormat="1" applyFont="1" applyFill="1" applyBorder="1" applyAlignment="1" applyProtection="1">
      <alignment horizontal="center"/>
    </xf>
    <xf numFmtId="2" fontId="4" fillId="0" borderId="8" xfId="0" applyNumberFormat="1" applyFont="1" applyFill="1" applyBorder="1" applyAlignment="1" applyProtection="1">
      <alignment horizontal="center"/>
    </xf>
    <xf numFmtId="0" fontId="4" fillId="0" borderId="1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8" fillId="0" borderId="2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2" fontId="24" fillId="0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8" fillId="0" borderId="0" xfId="0" applyFont="1" applyBorder="1" applyAlignment="1" applyProtection="1">
      <protection locked="0"/>
    </xf>
    <xf numFmtId="0" fontId="4" fillId="0" borderId="27" xfId="0" applyFont="1" applyBorder="1" applyProtection="1">
      <protection locked="0"/>
    </xf>
    <xf numFmtId="0" fontId="4" fillId="0" borderId="28" xfId="0" applyFont="1" applyBorder="1" applyProtection="1">
      <protection locked="0"/>
    </xf>
    <xf numFmtId="0" fontId="4" fillId="0" borderId="29" xfId="0" applyFont="1" applyBorder="1" applyProtection="1">
      <protection locked="0"/>
    </xf>
    <xf numFmtId="0" fontId="4" fillId="0" borderId="54" xfId="0" applyFont="1" applyBorder="1" applyProtection="1">
      <protection locked="0"/>
    </xf>
    <xf numFmtId="0" fontId="4" fillId="0" borderId="24" xfId="0" applyFont="1" applyBorder="1" applyProtection="1">
      <protection locked="0"/>
    </xf>
    <xf numFmtId="0" fontId="4" fillId="0" borderId="38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2" fillId="0" borderId="54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19" fillId="0" borderId="55" xfId="0" applyFont="1" applyBorder="1" applyAlignment="1" applyProtection="1">
      <alignment horizontal="center"/>
      <protection locked="0"/>
    </xf>
    <xf numFmtId="0" fontId="21" fillId="0" borderId="6" xfId="0" applyFont="1" applyBorder="1" applyAlignment="1" applyProtection="1">
      <alignment horizontal="center"/>
      <protection locked="0"/>
    </xf>
    <xf numFmtId="0" fontId="19" fillId="0" borderId="12" xfId="0" applyFont="1" applyBorder="1" applyAlignment="1" applyProtection="1">
      <alignment horizontal="center"/>
      <protection locked="0"/>
    </xf>
    <xf numFmtId="0" fontId="21" fillId="0" borderId="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4" fillId="0" borderId="55" xfId="0" applyFont="1" applyBorder="1" applyProtection="1">
      <protection locked="0"/>
    </xf>
    <xf numFmtId="0" fontId="17" fillId="0" borderId="55" xfId="0" applyFont="1" applyBorder="1" applyAlignment="1" applyProtection="1">
      <alignment horizontal="center"/>
      <protection locked="0"/>
    </xf>
    <xf numFmtId="0" fontId="17" fillId="0" borderId="6" xfId="0" applyFont="1" applyBorder="1" applyAlignment="1" applyProtection="1">
      <alignment horizontal="center"/>
      <protection locked="0"/>
    </xf>
    <xf numFmtId="0" fontId="2" fillId="0" borderId="59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58" xfId="0" applyFont="1" applyBorder="1" applyProtection="1"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17" fillId="0" borderId="25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2" fillId="0" borderId="9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36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30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4" fillId="0" borderId="14" xfId="0" applyFont="1" applyBorder="1" applyProtection="1">
      <protection locked="0"/>
    </xf>
    <xf numFmtId="0" fontId="2" fillId="0" borderId="59" xfId="0" applyFont="1" applyBorder="1" applyAlignment="1" applyProtection="1">
      <alignment horizontal="left" vertical="center"/>
      <protection locked="0"/>
    </xf>
    <xf numFmtId="0" fontId="4" fillId="0" borderId="20" xfId="0" applyFont="1" applyBorder="1" applyProtection="1">
      <protection locked="0"/>
    </xf>
    <xf numFmtId="0" fontId="4" fillId="0" borderId="58" xfId="0" applyFont="1" applyBorder="1" applyProtection="1">
      <protection locked="0"/>
    </xf>
    <xf numFmtId="0" fontId="4" fillId="0" borderId="60" xfId="0" applyFont="1" applyBorder="1" applyAlignment="1" applyProtection="1">
      <alignment horizontal="center"/>
      <protection locked="0"/>
    </xf>
    <xf numFmtId="0" fontId="2" fillId="0" borderId="33" xfId="0" applyFont="1" applyBorder="1" applyAlignment="1" applyProtection="1">
      <alignment horizontal="center"/>
      <protection locked="0"/>
    </xf>
    <xf numFmtId="0" fontId="4" fillId="0" borderId="31" xfId="0" applyFont="1" applyBorder="1" applyProtection="1"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24" xfId="0" applyFont="1" applyBorder="1" applyProtection="1"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0" borderId="46" xfId="0" quotePrefix="1" applyFont="1" applyBorder="1" applyAlignment="1" applyProtection="1">
      <alignment horizontal="center"/>
      <protection locked="0"/>
    </xf>
    <xf numFmtId="0" fontId="4" fillId="0" borderId="47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16" fillId="0" borderId="5" xfId="0" applyFont="1" applyBorder="1" applyAlignment="1" applyProtection="1">
      <alignment horizontal="center"/>
      <protection locked="0"/>
    </xf>
    <xf numFmtId="2" fontId="4" fillId="0" borderId="16" xfId="0" applyNumberFormat="1" applyFont="1" applyBorder="1" applyAlignment="1" applyProtection="1">
      <alignment horizontal="center"/>
      <protection locked="0"/>
    </xf>
    <xf numFmtId="0" fontId="2" fillId="0" borderId="28" xfId="0" applyFont="1" applyBorder="1" applyProtection="1">
      <protection locked="0"/>
    </xf>
    <xf numFmtId="0" fontId="2" fillId="0" borderId="38" xfId="0" applyFont="1" applyBorder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28" xfId="0" applyFont="1" applyBorder="1" applyAlignment="1" applyProtection="1">
      <alignment horizontal="left" vertical="top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4" fillId="0" borderId="28" xfId="0" applyFont="1" applyBorder="1" applyAlignment="1" applyProtection="1">
      <alignment horizontal="center"/>
      <protection locked="0"/>
    </xf>
    <xf numFmtId="0" fontId="4" fillId="0" borderId="29" xfId="0" applyFont="1" applyBorder="1" applyAlignment="1" applyProtection="1">
      <alignment horizontal="center"/>
      <protection locked="0"/>
    </xf>
    <xf numFmtId="0" fontId="18" fillId="0" borderId="28" xfId="0" applyFont="1" applyBorder="1" applyProtection="1"/>
    <xf numFmtId="0" fontId="4" fillId="3" borderId="6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0" fillId="0" borderId="24" xfId="0" applyBorder="1" applyProtection="1"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0" fillId="0" borderId="29" xfId="0" applyBorder="1" applyProtection="1">
      <protection locked="0"/>
    </xf>
    <xf numFmtId="0" fontId="8" fillId="0" borderId="24" xfId="0" applyFont="1" applyBorder="1" applyProtection="1">
      <protection locked="0"/>
    </xf>
    <xf numFmtId="0" fontId="4" fillId="0" borderId="26" xfId="0" applyFont="1" applyBorder="1" applyProtection="1">
      <protection locked="0"/>
    </xf>
    <xf numFmtId="0" fontId="4" fillId="0" borderId="15" xfId="0" applyFont="1" applyBorder="1" applyProtection="1">
      <protection locked="0"/>
    </xf>
    <xf numFmtId="0" fontId="4" fillId="0" borderId="15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left"/>
    </xf>
    <xf numFmtId="0" fontId="4" fillId="0" borderId="0" xfId="0" quotePrefix="1" applyFont="1" applyBorder="1" applyAlignment="1" applyProtection="1">
      <alignment horizontal="left"/>
    </xf>
    <xf numFmtId="1" fontId="4" fillId="0" borderId="0" xfId="0" applyNumberFormat="1" applyFont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  <protection locked="0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2" fontId="7" fillId="0" borderId="0" xfId="0" applyNumberFormat="1" applyFont="1" applyFill="1" applyBorder="1" applyAlignment="1" applyProtection="1">
      <alignment horizontal="center"/>
      <protection locked="0"/>
    </xf>
    <xf numFmtId="2" fontId="4" fillId="0" borderId="62" xfId="0" applyNumberFormat="1" applyFont="1" applyFill="1" applyBorder="1" applyAlignment="1" applyProtection="1">
      <alignment horizontal="center"/>
    </xf>
    <xf numFmtId="0" fontId="17" fillId="0" borderId="63" xfId="0" applyFont="1" applyBorder="1" applyAlignment="1" applyProtection="1">
      <alignment horizontal="center" vertical="center"/>
    </xf>
    <xf numFmtId="0" fontId="14" fillId="0" borderId="63" xfId="0" applyFont="1" applyBorder="1" applyAlignment="1" applyProtection="1">
      <alignment horizontal="center" vertical="center"/>
    </xf>
    <xf numFmtId="0" fontId="14" fillId="0" borderId="63" xfId="0" applyFont="1" applyFill="1" applyBorder="1" applyAlignment="1" applyProtection="1">
      <alignment horizontal="center" vertical="center"/>
    </xf>
    <xf numFmtId="0" fontId="2" fillId="0" borderId="63" xfId="0" applyFont="1" applyBorder="1" applyAlignment="1" applyProtection="1">
      <alignment horizontal="center" vertical="center"/>
    </xf>
    <xf numFmtId="0" fontId="2" fillId="0" borderId="63" xfId="0" applyFont="1" applyBorder="1" applyAlignment="1" applyProtection="1">
      <alignment horizontal="center" vertical="center"/>
      <protection locked="0"/>
    </xf>
    <xf numFmtId="0" fontId="27" fillId="0" borderId="63" xfId="0" applyFon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left" vertical="center" wrapText="1"/>
    </xf>
    <xf numFmtId="0" fontId="14" fillId="0" borderId="28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8" fillId="0" borderId="1" xfId="0" applyFont="1" applyBorder="1" applyProtection="1"/>
    <xf numFmtId="0" fontId="14" fillId="0" borderId="1" xfId="0" applyFont="1" applyBorder="1" applyProtection="1">
      <protection locked="0"/>
    </xf>
    <xf numFmtId="0" fontId="10" fillId="0" borderId="26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left" vertical="center"/>
    </xf>
    <xf numFmtId="0" fontId="12" fillId="0" borderId="5" xfId="0" applyFont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left" vertical="center"/>
      <protection locked="0"/>
    </xf>
    <xf numFmtId="0" fontId="7" fillId="0" borderId="15" xfId="0" applyFont="1" applyBorder="1" applyAlignment="1" applyProtection="1">
      <alignment horizontal="left" vertical="center"/>
    </xf>
    <xf numFmtId="0" fontId="28" fillId="0" borderId="1" xfId="0" applyFont="1" applyBorder="1" applyProtection="1"/>
    <xf numFmtId="0" fontId="21" fillId="0" borderId="39" xfId="0" applyFont="1" applyBorder="1" applyAlignment="1" applyProtection="1">
      <alignment horizontal="center" vertical="center" wrapText="1"/>
    </xf>
    <xf numFmtId="0" fontId="4" fillId="0" borderId="49" xfId="0" applyFont="1" applyBorder="1" applyAlignment="1" applyProtection="1">
      <alignment horizontal="left" vertical="center" wrapText="1"/>
    </xf>
    <xf numFmtId="0" fontId="17" fillId="0" borderId="49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  <protection locked="0"/>
    </xf>
    <xf numFmtId="2" fontId="4" fillId="0" borderId="12" xfId="0" quotePrefix="1" applyNumberFormat="1" applyFont="1" applyBorder="1" applyAlignment="1" applyProtection="1">
      <protection locked="0"/>
    </xf>
    <xf numFmtId="0" fontId="4" fillId="0" borderId="50" xfId="0" applyFont="1" applyBorder="1" applyAlignment="1" applyProtection="1">
      <alignment vertical="center" wrapText="1"/>
    </xf>
    <xf numFmtId="0" fontId="2" fillId="0" borderId="63" xfId="0" applyFont="1" applyBorder="1" applyAlignment="1" applyProtection="1">
      <alignment vertical="center" wrapText="1"/>
    </xf>
    <xf numFmtId="2" fontId="4" fillId="0" borderId="17" xfId="0" quotePrefix="1" applyNumberFormat="1" applyFont="1" applyBorder="1" applyAlignment="1" applyProtection="1">
      <protection locked="0"/>
    </xf>
    <xf numFmtId="0" fontId="4" fillId="0" borderId="51" xfId="0" applyFont="1" applyBorder="1" applyAlignment="1" applyProtection="1">
      <alignment horizontal="left" vertical="center" wrapText="1"/>
    </xf>
    <xf numFmtId="0" fontId="8" fillId="0" borderId="33" xfId="0" applyFont="1" applyFill="1" applyBorder="1" applyAlignment="1" applyProtection="1"/>
    <xf numFmtId="0" fontId="2" fillId="0" borderId="33" xfId="0" applyFont="1" applyBorder="1" applyAlignment="1" applyProtection="1">
      <alignment vertical="center"/>
    </xf>
    <xf numFmtId="0" fontId="3" fillId="0" borderId="32" xfId="0" applyFont="1" applyFill="1" applyBorder="1" applyAlignment="1" applyProtection="1"/>
    <xf numFmtId="0" fontId="3" fillId="0" borderId="36" xfId="0" applyFont="1" applyFill="1" applyBorder="1" applyAlignment="1" applyProtection="1"/>
    <xf numFmtId="0" fontId="1" fillId="0" borderId="2" xfId="0" applyFont="1" applyFill="1" applyBorder="1" applyAlignment="1" applyProtection="1"/>
    <xf numFmtId="0" fontId="1" fillId="0" borderId="2" xfId="0" applyFont="1" applyBorder="1" applyProtection="1">
      <protection locked="0"/>
    </xf>
    <xf numFmtId="0" fontId="3" fillId="0" borderId="36" xfId="0" applyFont="1" applyBorder="1" applyProtection="1">
      <protection locked="0"/>
    </xf>
    <xf numFmtId="0" fontId="4" fillId="3" borderId="11" xfId="0" quotePrefix="1" applyFont="1" applyFill="1" applyBorder="1" applyAlignment="1" applyProtection="1">
      <alignment horizontal="center"/>
      <protection locked="0"/>
    </xf>
    <xf numFmtId="0" fontId="8" fillId="4" borderId="30" xfId="0" applyFont="1" applyFill="1" applyBorder="1" applyAlignment="1" applyProtection="1"/>
    <xf numFmtId="0" fontId="8" fillId="4" borderId="14" xfId="0" applyFont="1" applyFill="1" applyBorder="1" applyAlignment="1" applyProtection="1"/>
    <xf numFmtId="0" fontId="8" fillId="4" borderId="31" xfId="0" applyFont="1" applyFill="1" applyBorder="1" applyAlignment="1" applyProtection="1"/>
    <xf numFmtId="0" fontId="4" fillId="4" borderId="11" xfId="0" quotePrefix="1" applyFont="1" applyFill="1" applyBorder="1" applyAlignment="1" applyProtection="1">
      <alignment horizontal="center"/>
      <protection locked="0"/>
    </xf>
    <xf numFmtId="0" fontId="4" fillId="4" borderId="11" xfId="0" applyFont="1" applyFill="1" applyBorder="1" applyAlignment="1" applyProtection="1">
      <alignment horizontal="center"/>
      <protection locked="0"/>
    </xf>
    <xf numFmtId="1" fontId="4" fillId="4" borderId="11" xfId="0" applyNumberFormat="1" applyFont="1" applyFill="1" applyBorder="1" applyAlignment="1" applyProtection="1">
      <alignment horizontal="center"/>
      <protection locked="0"/>
    </xf>
    <xf numFmtId="0" fontId="4" fillId="4" borderId="6" xfId="0" quotePrefix="1" applyFont="1" applyFill="1" applyBorder="1" applyAlignment="1" applyProtection="1">
      <alignment horizontal="center"/>
      <protection locked="0"/>
    </xf>
    <xf numFmtId="0" fontId="4" fillId="4" borderId="6" xfId="0" applyFont="1" applyFill="1" applyBorder="1" applyAlignment="1" applyProtection="1">
      <alignment horizontal="center"/>
      <protection locked="0"/>
    </xf>
    <xf numFmtId="1" fontId="4" fillId="4" borderId="6" xfId="0" applyNumberFormat="1" applyFont="1" applyFill="1" applyBorder="1" applyAlignment="1" applyProtection="1">
      <alignment horizontal="center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1" fontId="4" fillId="5" borderId="11" xfId="0" applyNumberFormat="1" applyFont="1" applyFill="1" applyBorder="1" applyAlignment="1" applyProtection="1">
      <alignment horizontal="center"/>
      <protection locked="0"/>
    </xf>
    <xf numFmtId="0" fontId="4" fillId="5" borderId="11" xfId="0" quotePrefix="1" applyFont="1" applyFill="1" applyBorder="1" applyAlignment="1" applyProtection="1">
      <alignment horizontal="center"/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1" fontId="4" fillId="5" borderId="6" xfId="0" applyNumberFormat="1" applyFont="1" applyFill="1" applyBorder="1" applyAlignment="1" applyProtection="1">
      <alignment horizontal="center"/>
      <protection locked="0"/>
    </xf>
    <xf numFmtId="2" fontId="4" fillId="0" borderId="22" xfId="0" quotePrefix="1" applyNumberFormat="1" applyFont="1" applyBorder="1" applyAlignment="1" applyProtection="1">
      <protection locked="0"/>
    </xf>
    <xf numFmtId="0" fontId="2" fillId="0" borderId="38" xfId="0" applyFont="1" applyBorder="1" applyAlignment="1" applyProtection="1">
      <alignment horizontal="left"/>
      <protection locked="0"/>
    </xf>
    <xf numFmtId="0" fontId="2" fillId="0" borderId="29" xfId="0" applyFont="1" applyBorder="1" applyAlignment="1" applyProtection="1">
      <alignment horizontal="left" vertical="top"/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19" fillId="0" borderId="10" xfId="0" applyFont="1" applyBorder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/>
      <protection locked="0"/>
    </xf>
    <xf numFmtId="0" fontId="21" fillId="0" borderId="62" xfId="0" applyFont="1" applyBorder="1" applyAlignment="1" applyProtection="1">
      <alignment horizontal="center"/>
      <protection locked="0"/>
    </xf>
    <xf numFmtId="0" fontId="4" fillId="0" borderId="32" xfId="0" applyFont="1" applyBorder="1" applyProtection="1"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7" fillId="5" borderId="2" xfId="0" applyFont="1" applyFill="1" applyBorder="1" applyProtection="1">
      <protection locked="0"/>
    </xf>
    <xf numFmtId="0" fontId="4" fillId="7" borderId="11" xfId="0" applyFont="1" applyFill="1" applyBorder="1" applyAlignment="1" applyProtection="1">
      <alignment horizontal="center"/>
      <protection locked="0"/>
    </xf>
    <xf numFmtId="0" fontId="4" fillId="7" borderId="11" xfId="0" quotePrefix="1" applyFont="1" applyFill="1" applyBorder="1" applyAlignment="1" applyProtection="1">
      <alignment horizontal="center"/>
      <protection locked="0"/>
    </xf>
    <xf numFmtId="0" fontId="4" fillId="7" borderId="6" xfId="0" applyFont="1" applyFill="1" applyBorder="1" applyAlignment="1" applyProtection="1">
      <alignment horizontal="center"/>
      <protection locked="0"/>
    </xf>
    <xf numFmtId="0" fontId="4" fillId="0" borderId="45" xfId="0" applyFont="1" applyBorder="1" applyAlignment="1" applyProtection="1">
      <alignment horizontal="left" vertical="center" wrapText="1"/>
    </xf>
    <xf numFmtId="0" fontId="4" fillId="0" borderId="46" xfId="0" applyFont="1" applyBorder="1" applyAlignment="1" applyProtection="1">
      <alignment horizontal="left" vertical="center" wrapText="1"/>
    </xf>
    <xf numFmtId="0" fontId="4" fillId="0" borderId="43" xfId="0" applyFont="1" applyBorder="1" applyAlignment="1" applyProtection="1">
      <alignment horizontal="left" vertical="center" wrapText="1"/>
    </xf>
    <xf numFmtId="0" fontId="4" fillId="0" borderId="42" xfId="0" applyFont="1" applyBorder="1" applyAlignment="1" applyProtection="1">
      <alignment vertical="center" wrapText="1"/>
    </xf>
    <xf numFmtId="0" fontId="4" fillId="0" borderId="46" xfId="0" applyFont="1" applyBorder="1" applyAlignment="1" applyProtection="1">
      <alignment horizontal="center" vertical="center" wrapText="1"/>
    </xf>
    <xf numFmtId="0" fontId="21" fillId="0" borderId="44" xfId="0" applyFont="1" applyBorder="1" applyAlignment="1" applyProtection="1">
      <alignment horizontal="center" vertical="center" wrapText="1"/>
    </xf>
    <xf numFmtId="0" fontId="8" fillId="7" borderId="26" xfId="0" applyFont="1" applyFill="1" applyBorder="1" applyAlignment="1" applyProtection="1"/>
    <xf numFmtId="0" fontId="8" fillId="7" borderId="5" xfId="0" applyFont="1" applyFill="1" applyBorder="1" applyAlignment="1" applyProtection="1"/>
    <xf numFmtId="0" fontId="8" fillId="7" borderId="15" xfId="0" applyFont="1" applyFill="1" applyBorder="1" applyAlignment="1" applyProtection="1"/>
    <xf numFmtId="0" fontId="8" fillId="5" borderId="26" xfId="0" applyFont="1" applyFill="1" applyBorder="1" applyAlignment="1" applyProtection="1"/>
    <xf numFmtId="0" fontId="8" fillId="5" borderId="5" xfId="0" applyFont="1" applyFill="1" applyBorder="1" applyAlignment="1" applyProtection="1"/>
    <xf numFmtId="0" fontId="8" fillId="5" borderId="15" xfId="0" applyFont="1" applyFill="1" applyBorder="1" applyAlignment="1" applyProtection="1"/>
    <xf numFmtId="0" fontId="8" fillId="6" borderId="26" xfId="0" applyFont="1" applyFill="1" applyBorder="1" applyAlignment="1" applyProtection="1"/>
    <xf numFmtId="0" fontId="8" fillId="6" borderId="5" xfId="0" applyFont="1" applyFill="1" applyBorder="1" applyAlignment="1" applyProtection="1"/>
    <xf numFmtId="0" fontId="8" fillId="6" borderId="15" xfId="0" applyFont="1" applyFill="1" applyBorder="1" applyAlignment="1" applyProtection="1"/>
    <xf numFmtId="0" fontId="8" fillId="3" borderId="26" xfId="0" applyFont="1" applyFill="1" applyBorder="1" applyAlignment="1" applyProtection="1"/>
    <xf numFmtId="0" fontId="8" fillId="3" borderId="5" xfId="0" applyFont="1" applyFill="1" applyBorder="1" applyAlignment="1" applyProtection="1"/>
    <xf numFmtId="0" fontId="8" fillId="3" borderId="15" xfId="0" applyFont="1" applyFill="1" applyBorder="1" applyAlignment="1" applyProtection="1"/>
    <xf numFmtId="0" fontId="8" fillId="8" borderId="26" xfId="0" applyFont="1" applyFill="1" applyBorder="1" applyProtection="1">
      <protection locked="0"/>
    </xf>
    <xf numFmtId="0" fontId="3" fillId="8" borderId="5" xfId="0" applyFont="1" applyFill="1" applyBorder="1" applyProtection="1">
      <protection locked="0"/>
    </xf>
    <xf numFmtId="0" fontId="3" fillId="8" borderId="15" xfId="0" applyFont="1" applyFill="1" applyBorder="1" applyProtection="1">
      <protection locked="0"/>
    </xf>
    <xf numFmtId="0" fontId="4" fillId="8" borderId="4" xfId="0" applyFont="1" applyFill="1" applyBorder="1" applyAlignment="1" applyProtection="1">
      <alignment horizontal="center"/>
      <protection locked="0"/>
    </xf>
    <xf numFmtId="0" fontId="4" fillId="8" borderId="6" xfId="0" applyFont="1" applyFill="1" applyBorder="1" applyAlignment="1" applyProtection="1">
      <alignment horizontal="center"/>
      <protection locked="0"/>
    </xf>
    <xf numFmtId="0" fontId="4" fillId="8" borderId="25" xfId="0" applyFont="1" applyFill="1" applyBorder="1" applyAlignment="1" applyProtection="1">
      <alignment horizontal="center"/>
      <protection locked="0"/>
    </xf>
    <xf numFmtId="0" fontId="4" fillId="8" borderId="46" xfId="0" applyFont="1" applyFill="1" applyBorder="1" applyAlignment="1" applyProtection="1">
      <alignment horizontal="center"/>
      <protection locked="0"/>
    </xf>
    <xf numFmtId="2" fontId="4" fillId="2" borderId="9" xfId="0" applyNumberFormat="1" applyFont="1" applyFill="1" applyBorder="1" applyAlignment="1" applyProtection="1">
      <alignment horizontal="center"/>
      <protection locked="0"/>
    </xf>
    <xf numFmtId="1" fontId="4" fillId="2" borderId="3" xfId="0" applyNumberFormat="1" applyFont="1" applyFill="1" applyBorder="1" applyAlignment="1" applyProtection="1">
      <alignment horizontal="center"/>
      <protection locked="0"/>
    </xf>
    <xf numFmtId="2" fontId="7" fillId="2" borderId="16" xfId="0" applyNumberFormat="1" applyFont="1" applyFill="1" applyBorder="1" applyAlignment="1" applyProtection="1">
      <alignment horizontal="center"/>
      <protection locked="0"/>
    </xf>
    <xf numFmtId="0" fontId="2" fillId="4" borderId="16" xfId="0" applyFont="1" applyFill="1" applyBorder="1" applyAlignment="1" applyProtection="1">
      <alignment vertical="center"/>
      <protection locked="0"/>
    </xf>
    <xf numFmtId="0" fontId="3" fillId="0" borderId="38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2" fillId="0" borderId="27" xfId="0" applyFont="1" applyBorder="1" applyAlignment="1" applyProtection="1">
      <alignment horizontal="left" vertical="top"/>
      <protection locked="0"/>
    </xf>
    <xf numFmtId="0" fontId="25" fillId="0" borderId="28" xfId="0" applyFont="1" applyBorder="1" applyAlignment="1" applyProtection="1"/>
    <xf numFmtId="0" fontId="14" fillId="0" borderId="28" xfId="0" applyFont="1" applyBorder="1" applyAlignment="1" applyProtection="1"/>
    <xf numFmtId="0" fontId="14" fillId="0" borderId="28" xfId="0" applyFont="1" applyFill="1" applyBorder="1" applyProtection="1"/>
    <xf numFmtId="0" fontId="26" fillId="0" borderId="32" xfId="0" applyFont="1" applyBorder="1" applyAlignment="1" applyProtection="1"/>
    <xf numFmtId="0" fontId="11" fillId="0" borderId="33" xfId="0" applyFont="1" applyBorder="1" applyAlignment="1" applyProtection="1"/>
    <xf numFmtId="0" fontId="11" fillId="0" borderId="33" xfId="0" applyFont="1" applyBorder="1" applyProtection="1"/>
    <xf numFmtId="0" fontId="11" fillId="0" borderId="33" xfId="0" applyFont="1" applyBorder="1" applyProtection="1">
      <protection locked="0"/>
    </xf>
    <xf numFmtId="0" fontId="26" fillId="0" borderId="61" xfId="0" applyFont="1" applyBorder="1" applyAlignment="1" applyProtection="1"/>
    <xf numFmtId="0" fontId="26" fillId="0" borderId="27" xfId="0" applyFont="1" applyBorder="1" applyAlignment="1" applyProtection="1"/>
    <xf numFmtId="0" fontId="30" fillId="0" borderId="2" xfId="0" applyFont="1" applyBorder="1" applyAlignment="1" applyProtection="1">
      <protection locked="0"/>
    </xf>
    <xf numFmtId="0" fontId="1" fillId="0" borderId="32" xfId="0" applyFont="1" applyFill="1" applyBorder="1" applyAlignment="1" applyProtection="1">
      <alignment horizontal="left" vertical="center"/>
    </xf>
    <xf numFmtId="0" fontId="3" fillId="0" borderId="33" xfId="0" applyFont="1" applyBorder="1" applyProtection="1">
      <protection locked="0"/>
    </xf>
    <xf numFmtId="0" fontId="3" fillId="0" borderId="56" xfId="0" applyFont="1" applyFill="1" applyBorder="1" applyAlignment="1" applyProtection="1"/>
    <xf numFmtId="0" fontId="1" fillId="0" borderId="19" xfId="0" applyFont="1" applyFill="1" applyBorder="1" applyAlignment="1" applyProtection="1"/>
    <xf numFmtId="0" fontId="4" fillId="0" borderId="19" xfId="0" applyFont="1" applyBorder="1" applyProtection="1">
      <protection locked="0"/>
    </xf>
    <xf numFmtId="0" fontId="3" fillId="0" borderId="19" xfId="0" applyFont="1" applyBorder="1" applyProtection="1">
      <protection locked="0"/>
    </xf>
    <xf numFmtId="0" fontId="4" fillId="6" borderId="10" xfId="0" applyFont="1" applyFill="1" applyBorder="1" applyAlignment="1" applyProtection="1">
      <alignment horizontal="center"/>
      <protection locked="0"/>
    </xf>
    <xf numFmtId="0" fontId="4" fillId="6" borderId="7" xfId="0" quotePrefix="1" applyFont="1" applyFill="1" applyBorder="1" applyAlignment="1" applyProtection="1">
      <alignment horizontal="center"/>
      <protection locked="0"/>
    </xf>
    <xf numFmtId="0" fontId="4" fillId="3" borderId="10" xfId="0" applyFont="1" applyFill="1" applyBorder="1" applyAlignment="1" applyProtection="1">
      <alignment horizontal="center"/>
      <protection locked="0"/>
    </xf>
    <xf numFmtId="0" fontId="4" fillId="3" borderId="7" xfId="0" quotePrefix="1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7" xfId="0" quotePrefix="1" applyFont="1" applyFill="1" applyBorder="1" applyAlignment="1" applyProtection="1">
      <alignment horizontal="center"/>
      <protection locked="0"/>
    </xf>
    <xf numFmtId="0" fontId="4" fillId="7" borderId="10" xfId="0" applyFont="1" applyFill="1" applyBorder="1" applyAlignment="1" applyProtection="1">
      <alignment horizontal="center"/>
      <protection locked="0"/>
    </xf>
    <xf numFmtId="0" fontId="4" fillId="7" borderId="7" xfId="0" quotePrefix="1" applyFont="1" applyFill="1" applyBorder="1" applyAlignment="1" applyProtection="1">
      <alignment horizontal="center"/>
      <protection locked="0"/>
    </xf>
    <xf numFmtId="0" fontId="4" fillId="4" borderId="10" xfId="0" applyFont="1" applyFill="1" applyBorder="1" applyAlignment="1" applyProtection="1">
      <alignment horizontal="center"/>
      <protection locked="0"/>
    </xf>
    <xf numFmtId="0" fontId="4" fillId="4" borderId="7" xfId="0" quotePrefix="1" applyFont="1" applyFill="1" applyBorder="1" applyAlignment="1" applyProtection="1">
      <alignment horizontal="center"/>
      <protection locked="0"/>
    </xf>
    <xf numFmtId="164" fontId="24" fillId="0" borderId="0" xfId="0" applyNumberFormat="1" applyFont="1" applyFill="1" applyBorder="1" applyAlignment="1" applyProtection="1">
      <alignment horizontal="center"/>
      <protection locked="0"/>
    </xf>
    <xf numFmtId="2" fontId="24" fillId="0" borderId="0" xfId="0" applyNumberFormat="1" applyFont="1" applyFill="1" applyBorder="1" applyAlignment="1" applyProtection="1">
      <alignment horizontal="center"/>
      <protection locked="0"/>
    </xf>
    <xf numFmtId="0" fontId="8" fillId="0" borderId="19" xfId="0" applyFont="1" applyFill="1" applyBorder="1" applyAlignment="1" applyProtection="1"/>
    <xf numFmtId="0" fontId="7" fillId="0" borderId="19" xfId="0" applyFont="1" applyBorder="1" applyAlignment="1" applyProtection="1">
      <alignment horizontal="right"/>
    </xf>
    <xf numFmtId="0" fontId="2" fillId="0" borderId="34" xfId="0" applyFont="1" applyBorder="1" applyAlignment="1" applyProtection="1">
      <alignment vertical="center"/>
    </xf>
    <xf numFmtId="0" fontId="8" fillId="0" borderId="57" xfId="0" applyFont="1" applyFill="1" applyBorder="1" applyAlignment="1" applyProtection="1"/>
    <xf numFmtId="0" fontId="3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0" fontId="4" fillId="4" borderId="0" xfId="0" applyFont="1" applyFill="1" applyProtection="1">
      <protection locked="0"/>
    </xf>
    <xf numFmtId="2" fontId="0" fillId="4" borderId="0" xfId="0" applyNumberFormat="1" applyFill="1" applyProtection="1">
      <protection locked="0"/>
    </xf>
    <xf numFmtId="0" fontId="3" fillId="7" borderId="0" xfId="0" applyFont="1" applyFill="1" applyProtection="1">
      <protection locked="0"/>
    </xf>
    <xf numFmtId="0" fontId="0" fillId="7" borderId="0" xfId="0" applyFill="1" applyProtection="1">
      <protection locked="0"/>
    </xf>
    <xf numFmtId="0" fontId="2" fillId="7" borderId="0" xfId="0" applyFont="1" applyFill="1" applyProtection="1">
      <protection locked="0"/>
    </xf>
    <xf numFmtId="2" fontId="0" fillId="7" borderId="0" xfId="0" applyNumberFormat="1" applyFill="1" applyProtection="1">
      <protection locked="0"/>
    </xf>
    <xf numFmtId="0" fontId="3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4" fillId="5" borderId="0" xfId="0" applyFont="1" applyFill="1" applyProtection="1">
      <protection locked="0"/>
    </xf>
    <xf numFmtId="2" fontId="0" fillId="5" borderId="0" xfId="0" applyNumberFormat="1" applyFill="1" applyProtection="1">
      <protection locked="0"/>
    </xf>
    <xf numFmtId="0" fontId="3" fillId="3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4" fillId="3" borderId="0" xfId="0" applyFont="1" applyFill="1" applyProtection="1">
      <protection locked="0"/>
    </xf>
    <xf numFmtId="2" fontId="0" fillId="3" borderId="0" xfId="0" applyNumberFormat="1" applyFill="1" applyProtection="1">
      <protection locked="0"/>
    </xf>
    <xf numFmtId="0" fontId="3" fillId="6" borderId="0" xfId="0" applyFont="1" applyFill="1" applyProtection="1">
      <protection locked="0"/>
    </xf>
    <xf numFmtId="0" fontId="0" fillId="6" borderId="0" xfId="0" applyFill="1" applyProtection="1">
      <protection locked="0"/>
    </xf>
    <xf numFmtId="0" fontId="4" fillId="6" borderId="0" xfId="0" applyFont="1" applyFill="1" applyProtection="1">
      <protection locked="0"/>
    </xf>
    <xf numFmtId="2" fontId="0" fillId="6" borderId="0" xfId="0" applyNumberFormat="1" applyFill="1" applyProtection="1">
      <protection locked="0"/>
    </xf>
    <xf numFmtId="0" fontId="3" fillId="8" borderId="0" xfId="0" applyFont="1" applyFill="1" applyProtection="1">
      <protection locked="0"/>
    </xf>
    <xf numFmtId="0" fontId="0" fillId="8" borderId="0" xfId="0" applyFill="1" applyProtection="1">
      <protection locked="0"/>
    </xf>
    <xf numFmtId="0" fontId="4" fillId="8" borderId="0" xfId="0" applyFont="1" applyFill="1" applyProtection="1">
      <protection locked="0"/>
    </xf>
    <xf numFmtId="2" fontId="4" fillId="0" borderId="3" xfId="0" applyNumberFormat="1" applyFont="1" applyBorder="1" applyAlignment="1" applyProtection="1">
      <alignment horizontal="center"/>
      <protection locked="0"/>
    </xf>
    <xf numFmtId="2" fontId="0" fillId="8" borderId="0" xfId="0" applyNumberFormat="1" applyFill="1" applyProtection="1">
      <protection locked="0"/>
    </xf>
    <xf numFmtId="0" fontId="11" fillId="9" borderId="5" xfId="0" applyFont="1" applyFill="1" applyBorder="1" applyAlignment="1" applyProtection="1">
      <alignment horizontal="left" vertical="center"/>
      <protection locked="0"/>
    </xf>
    <xf numFmtId="2" fontId="4" fillId="4" borderId="55" xfId="0" quotePrefix="1" applyNumberFormat="1" applyFont="1" applyFill="1" applyBorder="1" applyAlignment="1" applyProtection="1">
      <protection locked="0"/>
    </xf>
    <xf numFmtId="0" fontId="0" fillId="4" borderId="40" xfId="0" applyFill="1" applyBorder="1" applyAlignment="1" applyProtection="1">
      <protection locked="0"/>
    </xf>
    <xf numFmtId="0" fontId="22" fillId="0" borderId="10" xfId="0" applyFont="1" applyBorder="1" applyAlignment="1" applyProtection="1">
      <alignment horizontal="center"/>
    </xf>
    <xf numFmtId="0" fontId="22" fillId="0" borderId="11" xfId="0" applyFont="1" applyBorder="1" applyAlignment="1" applyProtection="1">
      <alignment horizontal="center"/>
    </xf>
    <xf numFmtId="0" fontId="22" fillId="0" borderId="62" xfId="0" applyFont="1" applyBorder="1" applyAlignment="1" applyProtection="1">
      <alignment horizontal="center"/>
    </xf>
    <xf numFmtId="0" fontId="19" fillId="0" borderId="4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7" borderId="52" xfId="0" applyFill="1" applyBorder="1" applyAlignment="1" applyProtection="1">
      <protection locked="0"/>
    </xf>
    <xf numFmtId="0" fontId="0" fillId="7" borderId="55" xfId="0" applyFill="1" applyBorder="1" applyAlignment="1" applyProtection="1">
      <protection locked="0"/>
    </xf>
    <xf numFmtId="0" fontId="0" fillId="7" borderId="53" xfId="0" applyFill="1" applyBorder="1" applyAlignment="1" applyProtection="1">
      <protection locked="0"/>
    </xf>
    <xf numFmtId="0" fontId="0" fillId="5" borderId="52" xfId="0" applyFill="1" applyBorder="1" applyAlignment="1" applyProtection="1">
      <protection locked="0"/>
    </xf>
    <xf numFmtId="0" fontId="0" fillId="5" borderId="55" xfId="0" applyFill="1" applyBorder="1" applyAlignment="1" applyProtection="1">
      <protection locked="0"/>
    </xf>
    <xf numFmtId="0" fontId="0" fillId="5" borderId="53" xfId="0" applyFill="1" applyBorder="1" applyAlignment="1" applyProtection="1">
      <protection locked="0"/>
    </xf>
    <xf numFmtId="0" fontId="0" fillId="3" borderId="52" xfId="0" applyFill="1" applyBorder="1" applyAlignment="1" applyProtection="1">
      <protection locked="0"/>
    </xf>
    <xf numFmtId="0" fontId="0" fillId="3" borderId="55" xfId="0" applyFill="1" applyBorder="1" applyAlignment="1" applyProtection="1">
      <protection locked="0"/>
    </xf>
    <xf numFmtId="0" fontId="0" fillId="3" borderId="53" xfId="0" applyFill="1" applyBorder="1" applyAlignment="1" applyProtection="1"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8" fillId="2" borderId="26" xfId="0" applyFont="1" applyFill="1" applyBorder="1" applyProtection="1">
      <protection locked="0"/>
    </xf>
    <xf numFmtId="0" fontId="3" fillId="2" borderId="5" xfId="0" applyFont="1" applyFill="1" applyBorder="1" applyProtection="1">
      <protection locked="0"/>
    </xf>
    <xf numFmtId="0" fontId="3" fillId="2" borderId="15" xfId="0" applyFont="1" applyFill="1" applyBorder="1" applyProtection="1">
      <protection locked="0"/>
    </xf>
    <xf numFmtId="0" fontId="0" fillId="10" borderId="35" xfId="0" applyFill="1" applyBorder="1" applyAlignment="1" applyProtection="1">
      <protection locked="0"/>
    </xf>
    <xf numFmtId="0" fontId="0" fillId="10" borderId="6" xfId="0" applyFill="1" applyBorder="1" applyAlignment="1" applyProtection="1">
      <protection locked="0"/>
    </xf>
    <xf numFmtId="0" fontId="0" fillId="10" borderId="4" xfId="0" applyFill="1" applyBorder="1" applyAlignment="1" applyProtection="1">
      <protection locked="0"/>
    </xf>
    <xf numFmtId="2" fontId="4" fillId="0" borderId="35" xfId="0" quotePrefix="1" applyNumberFormat="1" applyFont="1" applyBorder="1" applyAlignment="1" applyProtection="1">
      <protection locked="0"/>
    </xf>
    <xf numFmtId="2" fontId="4" fillId="0" borderId="6" xfId="0" quotePrefix="1" applyNumberFormat="1" applyFont="1" applyBorder="1" applyAlignment="1" applyProtection="1">
      <protection locked="0"/>
    </xf>
    <xf numFmtId="2" fontId="4" fillId="0" borderId="4" xfId="0" quotePrefix="1" applyNumberFormat="1" applyFont="1" applyBorder="1" applyAlignment="1" applyProtection="1">
      <protection locked="0"/>
    </xf>
    <xf numFmtId="0" fontId="4" fillId="0" borderId="38" xfId="0" applyFont="1" applyBorder="1" applyAlignment="1" applyProtection="1">
      <alignment horizontal="right"/>
      <protection locked="0"/>
    </xf>
    <xf numFmtId="0" fontId="4" fillId="0" borderId="21" xfId="0" applyFont="1" applyBorder="1" applyProtection="1">
      <protection locked="0"/>
    </xf>
    <xf numFmtId="0" fontId="21" fillId="0" borderId="59" xfId="0" applyFont="1" applyBorder="1" applyAlignment="1" applyProtection="1">
      <alignment horizontal="center"/>
      <protection locked="0"/>
    </xf>
    <xf numFmtId="0" fontId="4" fillId="0" borderId="33" xfId="0" quotePrefix="1" applyFont="1" applyBorder="1" applyAlignment="1" applyProtection="1">
      <alignment horizontal="center"/>
      <protection locked="0"/>
    </xf>
    <xf numFmtId="0" fontId="4" fillId="0" borderId="34" xfId="0" applyFont="1" applyBorder="1" applyAlignment="1" applyProtection="1">
      <alignment horizontal="center"/>
      <protection locked="0"/>
    </xf>
    <xf numFmtId="0" fontId="4" fillId="0" borderId="34" xfId="0" applyFont="1" applyBorder="1" applyProtection="1">
      <protection locked="0"/>
    </xf>
    <xf numFmtId="164" fontId="4" fillId="0" borderId="35" xfId="0" quotePrefix="1" applyNumberFormat="1" applyFont="1" applyBorder="1" applyAlignment="1" applyProtection="1">
      <protection locked="0"/>
    </xf>
    <xf numFmtId="164" fontId="4" fillId="0" borderId="6" xfId="0" quotePrefix="1" applyNumberFormat="1" applyFont="1" applyBorder="1" applyAlignment="1" applyProtection="1">
      <protection locked="0"/>
    </xf>
    <xf numFmtId="164" fontId="4" fillId="0" borderId="4" xfId="0" quotePrefix="1" applyNumberFormat="1" applyFont="1" applyBorder="1" applyAlignment="1" applyProtection="1">
      <protection locked="0"/>
    </xf>
    <xf numFmtId="164" fontId="4" fillId="0" borderId="11" xfId="0" quotePrefix="1" applyNumberFormat="1" applyFont="1" applyBorder="1" applyAlignment="1" applyProtection="1">
      <alignment horizontal="center"/>
      <protection locked="0"/>
    </xf>
    <xf numFmtId="2" fontId="4" fillId="6" borderId="22" xfId="0" quotePrefix="1" applyNumberFormat="1" applyFont="1" applyFill="1" applyBorder="1" applyAlignment="1" applyProtection="1">
      <protection locked="0"/>
    </xf>
    <xf numFmtId="2" fontId="4" fillId="6" borderId="12" xfId="0" quotePrefix="1" applyNumberFormat="1" applyFont="1" applyFill="1" applyBorder="1" applyAlignment="1" applyProtection="1">
      <protection locked="0"/>
    </xf>
    <xf numFmtId="2" fontId="4" fillId="6" borderId="35" xfId="0" quotePrefix="1" applyNumberFormat="1" applyFont="1" applyFill="1" applyBorder="1" applyAlignment="1" applyProtection="1">
      <protection locked="0"/>
    </xf>
    <xf numFmtId="2" fontId="4" fillId="6" borderId="6" xfId="0" quotePrefix="1" applyNumberFormat="1" applyFont="1" applyFill="1" applyBorder="1" applyAlignment="1" applyProtection="1">
      <protection locked="0"/>
    </xf>
    <xf numFmtId="2" fontId="4" fillId="6" borderId="4" xfId="0" quotePrefix="1" applyNumberFormat="1" applyFont="1" applyFill="1" applyBorder="1" applyAlignment="1" applyProtection="1">
      <protection locked="0"/>
    </xf>
    <xf numFmtId="2" fontId="4" fillId="0" borderId="11" xfId="0" applyNumberFormat="1" applyFont="1" applyFill="1" applyBorder="1" applyAlignment="1" applyProtection="1">
      <alignment horizontal="center"/>
    </xf>
    <xf numFmtId="2" fontId="4" fillId="0" borderId="6" xfId="0" applyNumberFormat="1" applyFont="1" applyFill="1" applyBorder="1" applyAlignment="1" applyProtection="1">
      <alignment horizontal="center"/>
    </xf>
    <xf numFmtId="0" fontId="2" fillId="0" borderId="64" xfId="0" applyFont="1" applyFill="1" applyBorder="1" applyAlignment="1" applyProtection="1">
      <alignment horizontal="center" vertical="center"/>
    </xf>
    <xf numFmtId="2" fontId="4" fillId="3" borderId="11" xfId="0" applyNumberFormat="1" applyFont="1" applyFill="1" applyBorder="1" applyAlignment="1" applyProtection="1">
      <alignment horizontal="center"/>
      <protection locked="0"/>
    </xf>
    <xf numFmtId="2" fontId="4" fillId="3" borderId="6" xfId="0" applyNumberFormat="1" applyFont="1" applyFill="1" applyBorder="1" applyAlignment="1" applyProtection="1">
      <alignment horizontal="center"/>
      <protection locked="0"/>
    </xf>
    <xf numFmtId="2" fontId="4" fillId="7" borderId="11" xfId="0" applyNumberFormat="1" applyFont="1" applyFill="1" applyBorder="1" applyAlignment="1" applyProtection="1">
      <alignment horizontal="center"/>
      <protection locked="0"/>
    </xf>
    <xf numFmtId="2" fontId="4" fillId="7" borderId="6" xfId="0" applyNumberFormat="1" applyFont="1" applyFill="1" applyBorder="1" applyAlignment="1" applyProtection="1">
      <alignment horizontal="center"/>
      <protection locked="0"/>
    </xf>
    <xf numFmtId="0" fontId="10" fillId="0" borderId="30" xfId="1" applyFont="1" applyBorder="1" applyProtection="1">
      <protection locked="0"/>
    </xf>
    <xf numFmtId="0" fontId="35" fillId="0" borderId="14" xfId="1" applyFont="1" applyBorder="1" applyProtection="1">
      <protection locked="0"/>
    </xf>
    <xf numFmtId="0" fontId="3" fillId="0" borderId="14" xfId="1" applyBorder="1" applyProtection="1">
      <protection locked="0"/>
    </xf>
    <xf numFmtId="0" fontId="36" fillId="0" borderId="14" xfId="1" applyFont="1" applyBorder="1" applyProtection="1">
      <protection locked="0"/>
    </xf>
    <xf numFmtId="0" fontId="4" fillId="0" borderId="31" xfId="1" applyFont="1" applyBorder="1" applyAlignment="1">
      <alignment horizontal="right"/>
    </xf>
    <xf numFmtId="0" fontId="35" fillId="0" borderId="0" xfId="1" applyFont="1" applyProtection="1">
      <protection locked="0"/>
    </xf>
    <xf numFmtId="0" fontId="2" fillId="0" borderId="30" xfId="1" applyFont="1" applyBorder="1" applyProtection="1">
      <protection locked="0"/>
    </xf>
    <xf numFmtId="0" fontId="2" fillId="0" borderId="14" xfId="1" applyFont="1" applyBorder="1" applyProtection="1">
      <protection locked="0"/>
    </xf>
    <xf numFmtId="0" fontId="2" fillId="0" borderId="0" xfId="1" applyFont="1" applyProtection="1">
      <protection locked="0"/>
    </xf>
    <xf numFmtId="0" fontId="4" fillId="0" borderId="27" xfId="1" applyFont="1" applyBorder="1" applyProtection="1">
      <protection locked="0"/>
    </xf>
    <xf numFmtId="0" fontId="4" fillId="0" borderId="28" xfId="1" applyFont="1" applyBorder="1" applyProtection="1">
      <protection locked="0"/>
    </xf>
    <xf numFmtId="0" fontId="4" fillId="0" borderId="63" xfId="1" applyFont="1" applyBorder="1" applyAlignment="1" applyProtection="1">
      <alignment horizontal="center"/>
      <protection locked="0"/>
    </xf>
    <xf numFmtId="0" fontId="4" fillId="0" borderId="64" xfId="1" applyFont="1" applyBorder="1" applyAlignment="1" applyProtection="1">
      <alignment horizontal="center"/>
      <protection locked="0"/>
    </xf>
    <xf numFmtId="0" fontId="4" fillId="0" borderId="51" xfId="1" applyFont="1" applyBorder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0" fontId="4" fillId="0" borderId="18" xfId="1" applyFont="1" applyBorder="1" applyProtection="1">
      <protection locked="0"/>
    </xf>
    <xf numFmtId="0" fontId="4" fillId="0" borderId="22" xfId="1" applyFont="1" applyBorder="1" applyProtection="1">
      <protection locked="0"/>
    </xf>
    <xf numFmtId="0" fontId="4" fillId="0" borderId="33" xfId="1" applyFont="1" applyBorder="1" applyProtection="1">
      <protection locked="0"/>
    </xf>
    <xf numFmtId="164" fontId="19" fillId="0" borderId="35" xfId="1" applyNumberFormat="1" applyFont="1" applyBorder="1" applyAlignment="1" applyProtection="1">
      <alignment horizontal="center"/>
      <protection locked="0"/>
    </xf>
    <xf numFmtId="0" fontId="21" fillId="0" borderId="35" xfId="1" applyFont="1" applyBorder="1" applyAlignment="1" applyProtection="1">
      <alignment horizontal="center"/>
      <protection locked="0"/>
    </xf>
    <xf numFmtId="0" fontId="19" fillId="0" borderId="35" xfId="1" applyFont="1" applyBorder="1" applyAlignment="1" applyProtection="1">
      <alignment horizontal="center"/>
      <protection locked="0"/>
    </xf>
    <xf numFmtId="0" fontId="19" fillId="0" borderId="23" xfId="1" applyFont="1" applyBorder="1" applyAlignment="1" applyProtection="1">
      <alignment horizontal="center"/>
      <protection locked="0"/>
    </xf>
    <xf numFmtId="0" fontId="4" fillId="0" borderId="9" xfId="1" applyFont="1" applyBorder="1" applyProtection="1">
      <protection locked="0"/>
    </xf>
    <xf numFmtId="0" fontId="4" fillId="0" borderId="13" xfId="1" applyFont="1" applyBorder="1" applyProtection="1">
      <protection locked="0"/>
    </xf>
    <xf numFmtId="0" fontId="4" fillId="0" borderId="19" xfId="1" applyFont="1" applyBorder="1" applyProtection="1">
      <protection locked="0"/>
    </xf>
    <xf numFmtId="164" fontId="4" fillId="0" borderId="4" xfId="1" applyNumberFormat="1" applyFont="1" applyBorder="1" applyAlignment="1" applyProtection="1">
      <alignment horizontal="center"/>
      <protection locked="0"/>
    </xf>
    <xf numFmtId="0" fontId="4" fillId="0" borderId="4" xfId="1" applyFont="1" applyBorder="1" applyAlignment="1" applyProtection="1">
      <alignment horizontal="center"/>
      <protection locked="0"/>
    </xf>
    <xf numFmtId="0" fontId="4" fillId="0" borderId="3" xfId="1" applyFont="1" applyBorder="1" applyAlignment="1" applyProtection="1">
      <alignment horizontal="center"/>
      <protection locked="0"/>
    </xf>
    <xf numFmtId="1" fontId="3" fillId="0" borderId="11" xfId="1" applyNumberFormat="1" applyBorder="1" applyAlignment="1" applyProtection="1">
      <alignment horizontal="center"/>
      <protection locked="0"/>
    </xf>
    <xf numFmtId="164" fontId="3" fillId="0" borderId="62" xfId="1" applyNumberFormat="1" applyBorder="1" applyAlignment="1" applyProtection="1">
      <alignment horizontal="center"/>
      <protection locked="0"/>
    </xf>
    <xf numFmtId="0" fontId="3" fillId="0" borderId="0" xfId="1" applyProtection="1">
      <protection locked="0"/>
    </xf>
    <xf numFmtId="49" fontId="3" fillId="0" borderId="7" xfId="1" applyNumberFormat="1" applyBorder="1" applyAlignment="1" applyProtection="1">
      <alignment horizontal="right"/>
      <protection locked="0"/>
    </xf>
    <xf numFmtId="0" fontId="3" fillId="0" borderId="2" xfId="1" applyBorder="1" applyProtection="1">
      <protection locked="0"/>
    </xf>
    <xf numFmtId="1" fontId="3" fillId="0" borderId="6" xfId="1" applyNumberFormat="1" applyBorder="1" applyAlignment="1" applyProtection="1">
      <alignment horizontal="center"/>
      <protection locked="0"/>
    </xf>
    <xf numFmtId="164" fontId="3" fillId="0" borderId="8" xfId="1" applyNumberFormat="1" applyBorder="1" applyAlignment="1" applyProtection="1">
      <alignment horizontal="center"/>
      <protection locked="0"/>
    </xf>
    <xf numFmtId="49" fontId="3" fillId="0" borderId="65" xfId="1" applyNumberFormat="1" applyBorder="1" applyAlignment="1" applyProtection="1">
      <alignment horizontal="right"/>
      <protection locked="0"/>
    </xf>
    <xf numFmtId="0" fontId="3" fillId="0" borderId="20" xfId="1" applyBorder="1" applyProtection="1">
      <protection locked="0"/>
    </xf>
    <xf numFmtId="1" fontId="3" fillId="0" borderId="25" xfId="1" applyNumberFormat="1" applyBorder="1" applyAlignment="1" applyProtection="1">
      <alignment horizontal="center"/>
      <protection locked="0"/>
    </xf>
    <xf numFmtId="164" fontId="3" fillId="0" borderId="60" xfId="1" applyNumberFormat="1" applyBorder="1" applyAlignment="1" applyProtection="1">
      <alignment horizontal="center"/>
      <protection locked="0"/>
    </xf>
    <xf numFmtId="0" fontId="4" fillId="0" borderId="26" xfId="1" applyFont="1" applyBorder="1" applyProtection="1">
      <protection locked="0"/>
    </xf>
    <xf numFmtId="0" fontId="3" fillId="0" borderId="5" xfId="1" applyBorder="1" applyProtection="1">
      <protection locked="0"/>
    </xf>
    <xf numFmtId="0" fontId="37" fillId="0" borderId="5" xfId="1" applyFont="1" applyBorder="1" applyAlignment="1" applyProtection="1">
      <alignment horizontal="center"/>
      <protection locked="0"/>
    </xf>
    <xf numFmtId="1" fontId="3" fillId="0" borderId="63" xfId="1" applyNumberFormat="1" applyBorder="1" applyAlignment="1" applyProtection="1">
      <alignment horizontal="center"/>
      <protection locked="0"/>
    </xf>
    <xf numFmtId="164" fontId="3" fillId="0" borderId="64" xfId="1" applyNumberFormat="1" applyBorder="1" applyAlignment="1" applyProtection="1">
      <alignment horizontal="center"/>
      <protection locked="0"/>
    </xf>
    <xf numFmtId="0" fontId="37" fillId="0" borderId="0" xfId="1" applyFont="1" applyAlignment="1" applyProtection="1">
      <alignment horizontal="center"/>
      <protection locked="0"/>
    </xf>
    <xf numFmtId="1" fontId="4" fillId="0" borderId="0" xfId="1" applyNumberFormat="1" applyFont="1" applyAlignment="1" applyProtection="1">
      <alignment horizontal="center"/>
      <protection locked="0"/>
    </xf>
    <xf numFmtId="0" fontId="11" fillId="0" borderId="0" xfId="1" applyFont="1" applyProtection="1">
      <protection locked="0"/>
    </xf>
    <xf numFmtId="164" fontId="4" fillId="0" borderId="9" xfId="0" applyNumberFormat="1" applyFont="1" applyBorder="1" applyAlignment="1" applyProtection="1">
      <alignment horizontal="center"/>
      <protection locked="0"/>
    </xf>
    <xf numFmtId="0" fontId="21" fillId="0" borderId="11" xfId="0" applyFont="1" applyBorder="1" applyAlignment="1" applyProtection="1">
      <alignment horizontal="center"/>
    </xf>
    <xf numFmtId="0" fontId="14" fillId="0" borderId="5" xfId="0" applyFont="1" applyBorder="1" applyProtection="1">
      <protection locked="0"/>
    </xf>
    <xf numFmtId="0" fontId="14" fillId="0" borderId="15" xfId="0" applyFont="1" applyBorder="1" applyProtection="1">
      <protection locked="0"/>
    </xf>
    <xf numFmtId="0" fontId="0" fillId="3" borderId="67" xfId="0" applyFill="1" applyBorder="1" applyAlignment="1" applyProtection="1">
      <protection locked="0"/>
    </xf>
    <xf numFmtId="2" fontId="4" fillId="6" borderId="17" xfId="0" quotePrefix="1" applyNumberFormat="1" applyFont="1" applyFill="1" applyBorder="1" applyAlignment="1" applyProtection="1">
      <protection locked="0"/>
    </xf>
    <xf numFmtId="2" fontId="4" fillId="6" borderId="11" xfId="0" quotePrefix="1" applyNumberFormat="1" applyFont="1" applyFill="1" applyBorder="1" applyAlignment="1" applyProtection="1">
      <protection locked="0"/>
    </xf>
    <xf numFmtId="2" fontId="0" fillId="0" borderId="35" xfId="0" applyNumberFormat="1" applyBorder="1" applyAlignment="1" applyProtection="1">
      <protection locked="0"/>
    </xf>
    <xf numFmtId="2" fontId="4" fillId="0" borderId="35" xfId="0" applyNumberFormat="1" applyFont="1" applyFill="1" applyBorder="1" applyAlignment="1" applyProtection="1">
      <alignment horizontal="center"/>
    </xf>
    <xf numFmtId="2" fontId="4" fillId="0" borderId="23" xfId="0" applyNumberFormat="1" applyFont="1" applyFill="1" applyBorder="1" applyAlignment="1" applyProtection="1">
      <alignment horizontal="center"/>
    </xf>
    <xf numFmtId="2" fontId="0" fillId="0" borderId="6" xfId="0" applyNumberFormat="1" applyBorder="1" applyAlignment="1" applyProtection="1">
      <protection locked="0"/>
    </xf>
    <xf numFmtId="2" fontId="0" fillId="0" borderId="4" xfId="0" applyNumberFormat="1" applyBorder="1" applyAlignment="1" applyProtection="1">
      <protection locked="0"/>
    </xf>
    <xf numFmtId="2" fontId="4" fillId="0" borderId="4" xfId="0" applyNumberFormat="1" applyFont="1" applyFill="1" applyBorder="1" applyAlignment="1" applyProtection="1">
      <alignment horizontal="center"/>
    </xf>
    <xf numFmtId="2" fontId="4" fillId="0" borderId="3" xfId="0" applyNumberFormat="1" applyFont="1" applyFill="1" applyBorder="1" applyAlignment="1" applyProtection="1">
      <alignment horizontal="center"/>
    </xf>
    <xf numFmtId="2" fontId="4" fillId="0" borderId="13" xfId="0" quotePrefix="1" applyNumberFormat="1" applyFont="1" applyBorder="1" applyAlignment="1" applyProtection="1">
      <protection locked="0"/>
    </xf>
    <xf numFmtId="0" fontId="4" fillId="11" borderId="55" xfId="0" applyFont="1" applyFill="1" applyBorder="1" applyAlignment="1" applyProtection="1">
      <alignment horizontal="center"/>
      <protection locked="0"/>
    </xf>
    <xf numFmtId="0" fontId="4" fillId="11" borderId="58" xfId="0" applyFont="1" applyFill="1" applyBorder="1" applyAlignment="1" applyProtection="1">
      <alignment horizontal="center"/>
      <protection locked="0"/>
    </xf>
    <xf numFmtId="0" fontId="4" fillId="11" borderId="43" xfId="0" applyFont="1" applyFill="1" applyBorder="1" applyAlignment="1" applyProtection="1">
      <alignment horizontal="center"/>
      <protection locked="0"/>
    </xf>
    <xf numFmtId="0" fontId="4" fillId="0" borderId="36" xfId="0" applyFont="1" applyBorder="1" applyAlignment="1" applyProtection="1">
      <alignment horizontal="left"/>
      <protection locked="0"/>
    </xf>
    <xf numFmtId="0" fontId="38" fillId="0" borderId="2" xfId="4" applyBorder="1" applyProtection="1"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19" fillId="0" borderId="7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8" xfId="0" applyFont="1" applyBorder="1" applyAlignment="1" applyProtection="1">
      <alignment horizontal="center"/>
      <protection locked="0"/>
    </xf>
    <xf numFmtId="0" fontId="4" fillId="0" borderId="63" xfId="0" applyFont="1" applyBorder="1" applyAlignment="1" applyProtection="1">
      <alignment horizontal="center" vertical="center" wrapText="1"/>
    </xf>
    <xf numFmtId="0" fontId="8" fillId="0" borderId="41" xfId="0" applyFont="1" applyBorder="1" applyAlignment="1" applyProtection="1">
      <alignment horizontal="center"/>
      <protection locked="0"/>
    </xf>
    <xf numFmtId="0" fontId="1" fillId="0" borderId="11" xfId="0" applyFont="1" applyBorder="1" applyProtection="1">
      <protection locked="0"/>
    </xf>
    <xf numFmtId="0" fontId="4" fillId="0" borderId="9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21" fillId="0" borderId="11" xfId="1" applyFont="1" applyBorder="1" applyAlignment="1" applyProtection="1">
      <alignment horizontal="left"/>
      <protection locked="0"/>
    </xf>
    <xf numFmtId="0" fontId="19" fillId="0" borderId="11" xfId="1" applyFon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164" fontId="0" fillId="0" borderId="2" xfId="0" applyNumberFormat="1" applyBorder="1" applyAlignment="1" applyProtection="1">
      <alignment horizontal="left"/>
      <protection locked="0"/>
    </xf>
    <xf numFmtId="1" fontId="0" fillId="0" borderId="2" xfId="0" applyNumberForma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19" fillId="0" borderId="7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8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1" fillId="8" borderId="33" xfId="0" applyFont="1" applyFill="1" applyBorder="1" applyAlignment="1" applyProtection="1">
      <alignment horizontal="center"/>
    </xf>
    <xf numFmtId="0" fontId="1" fillId="8" borderId="34" xfId="0" applyFont="1" applyFill="1" applyBorder="1" applyAlignment="1" applyProtection="1">
      <alignment horizontal="center"/>
    </xf>
    <xf numFmtId="0" fontId="1" fillId="8" borderId="2" xfId="0" applyFont="1" applyFill="1" applyBorder="1" applyAlignment="1" applyProtection="1">
      <alignment horizontal="center"/>
    </xf>
    <xf numFmtId="0" fontId="1" fillId="8" borderId="37" xfId="0" applyFont="1" applyFill="1" applyBorder="1" applyAlignment="1" applyProtection="1">
      <alignment horizontal="center"/>
    </xf>
    <xf numFmtId="0" fontId="1" fillId="8" borderId="19" xfId="0" applyFont="1" applyFill="1" applyBorder="1" applyAlignment="1" applyProtection="1">
      <alignment horizontal="center"/>
    </xf>
    <xf numFmtId="0" fontId="1" fillId="8" borderId="57" xfId="0" applyFont="1" applyFill="1" applyBorder="1" applyAlignment="1" applyProtection="1">
      <alignment horizontal="center"/>
    </xf>
    <xf numFmtId="0" fontId="4" fillId="0" borderId="32" xfId="0" applyFont="1" applyBorder="1" applyAlignment="1" applyProtection="1">
      <alignment horizontal="left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4" fillId="0" borderId="34" xfId="0" applyFont="1" applyBorder="1" applyAlignment="1" applyProtection="1">
      <alignment horizontal="left"/>
      <protection locked="0"/>
    </xf>
    <xf numFmtId="0" fontId="4" fillId="6" borderId="12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4" fillId="6" borderId="55" xfId="0" applyFont="1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4" fillId="6" borderId="19" xfId="0" applyFont="1" applyFill="1" applyBorder="1" applyAlignment="1" applyProtection="1">
      <alignment horizontal="center"/>
      <protection locked="0"/>
    </xf>
    <xf numFmtId="0" fontId="4" fillId="6" borderId="53" xfId="0" applyFont="1" applyFill="1" applyBorder="1" applyAlignment="1" applyProtection="1">
      <alignment horizontal="center"/>
      <protection locked="0"/>
    </xf>
    <xf numFmtId="0" fontId="4" fillId="0" borderId="42" xfId="0" applyFont="1" applyBorder="1" applyAlignment="1" applyProtection="1">
      <alignment horizontal="center" vertical="center" wrapText="1"/>
    </xf>
    <xf numFmtId="0" fontId="4" fillId="0" borderId="43" xfId="0" applyFont="1" applyBorder="1" applyAlignment="1" applyProtection="1">
      <alignment horizontal="center" vertical="center" wrapText="1"/>
    </xf>
    <xf numFmtId="0" fontId="4" fillId="0" borderId="63" xfId="0" applyFont="1" applyBorder="1" applyAlignment="1" applyProtection="1">
      <alignment horizontal="center" vertical="center" wrapText="1"/>
    </xf>
    <xf numFmtId="0" fontId="4" fillId="6" borderId="22" xfId="0" applyFont="1" applyFill="1" applyBorder="1" applyAlignment="1" applyProtection="1">
      <alignment horizontal="center"/>
      <protection locked="0"/>
    </xf>
    <xf numFmtId="0" fontId="4" fillId="6" borderId="33" xfId="0" applyFont="1" applyFill="1" applyBorder="1" applyAlignment="1" applyProtection="1">
      <alignment horizontal="center"/>
      <protection locked="0"/>
    </xf>
    <xf numFmtId="0" fontId="4" fillId="6" borderId="52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55" xfId="0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 applyProtection="1">
      <alignment horizontal="center"/>
      <protection locked="0"/>
    </xf>
    <xf numFmtId="0" fontId="4" fillId="3" borderId="19" xfId="0" applyFont="1" applyFill="1" applyBorder="1" applyAlignment="1" applyProtection="1">
      <alignment horizontal="center"/>
      <protection locked="0"/>
    </xf>
    <xf numFmtId="0" fontId="4" fillId="3" borderId="53" xfId="0" applyFont="1" applyFill="1" applyBorder="1" applyAlignment="1" applyProtection="1">
      <alignment horizontal="center"/>
      <protection locked="0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2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 wrapText="1"/>
    </xf>
    <xf numFmtId="0" fontId="4" fillId="3" borderId="22" xfId="0" applyFont="1" applyFill="1" applyBorder="1" applyAlignment="1" applyProtection="1">
      <alignment horizontal="center"/>
      <protection locked="0"/>
    </xf>
    <xf numFmtId="0" fontId="4" fillId="3" borderId="33" xfId="0" applyFont="1" applyFill="1" applyBorder="1" applyAlignment="1" applyProtection="1">
      <alignment horizontal="center"/>
      <protection locked="0"/>
    </xf>
    <xf numFmtId="0" fontId="4" fillId="3" borderId="52" xfId="0" applyFont="1" applyFill="1" applyBorder="1" applyAlignment="1" applyProtection="1">
      <alignment horizontal="center"/>
      <protection locked="0"/>
    </xf>
    <xf numFmtId="0" fontId="4" fillId="5" borderId="22" xfId="0" applyFont="1" applyFill="1" applyBorder="1" applyAlignment="1" applyProtection="1">
      <alignment horizontal="center"/>
      <protection locked="0"/>
    </xf>
    <xf numFmtId="0" fontId="4" fillId="5" borderId="33" xfId="0" applyFont="1" applyFill="1" applyBorder="1" applyAlignment="1" applyProtection="1">
      <alignment horizontal="center"/>
      <protection locked="0"/>
    </xf>
    <xf numFmtId="0" fontId="4" fillId="5" borderId="52" xfId="0" applyFont="1" applyFill="1" applyBorder="1" applyAlignment="1" applyProtection="1">
      <alignment horizontal="center"/>
      <protection locked="0"/>
    </xf>
    <xf numFmtId="0" fontId="4" fillId="5" borderId="12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4" fillId="5" borderId="55" xfId="0" applyFont="1" applyFill="1" applyBorder="1" applyAlignment="1" applyProtection="1">
      <alignment horizont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4" fillId="5" borderId="19" xfId="0" applyFont="1" applyFill="1" applyBorder="1" applyAlignment="1" applyProtection="1">
      <alignment horizontal="center"/>
      <protection locked="0"/>
    </xf>
    <xf numFmtId="0" fontId="4" fillId="5" borderId="53" xfId="0" applyFont="1" applyFill="1" applyBorder="1" applyAlignment="1" applyProtection="1">
      <alignment horizontal="center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2" xfId="0" applyFont="1" applyFill="1" applyBorder="1" applyAlignment="1" applyProtection="1">
      <alignment horizontal="center"/>
      <protection locked="0"/>
    </xf>
    <xf numFmtId="0" fontId="4" fillId="7" borderId="55" xfId="0" applyFont="1" applyFill="1" applyBorder="1" applyAlignment="1" applyProtection="1">
      <alignment horizontal="center"/>
      <protection locked="0"/>
    </xf>
    <xf numFmtId="0" fontId="4" fillId="7" borderId="13" xfId="0" applyFont="1" applyFill="1" applyBorder="1" applyAlignment="1" applyProtection="1">
      <alignment horizontal="center"/>
      <protection locked="0"/>
    </xf>
    <xf numFmtId="0" fontId="4" fillId="7" borderId="19" xfId="0" applyFont="1" applyFill="1" applyBorder="1" applyAlignment="1" applyProtection="1">
      <alignment horizontal="center"/>
      <protection locked="0"/>
    </xf>
    <xf numFmtId="0" fontId="4" fillId="7" borderId="53" xfId="0" applyFont="1" applyFill="1" applyBorder="1" applyAlignment="1" applyProtection="1">
      <alignment horizontal="center"/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33" xfId="0" applyFont="1" applyFill="1" applyBorder="1" applyAlignment="1" applyProtection="1">
      <alignment horizontal="center"/>
      <protection locked="0"/>
    </xf>
    <xf numFmtId="0" fontId="4" fillId="7" borderId="52" xfId="0" applyFont="1" applyFill="1" applyBorder="1" applyAlignment="1" applyProtection="1">
      <alignment horizontal="center"/>
      <protection locked="0"/>
    </xf>
    <xf numFmtId="0" fontId="4" fillId="4" borderId="22" xfId="0" applyFont="1" applyFill="1" applyBorder="1" applyAlignment="1" applyProtection="1">
      <alignment horizontal="center"/>
      <protection locked="0"/>
    </xf>
    <xf numFmtId="0" fontId="4" fillId="4" borderId="33" xfId="0" applyFont="1" applyFill="1" applyBorder="1" applyAlignment="1" applyProtection="1">
      <alignment horizontal="center"/>
      <protection locked="0"/>
    </xf>
    <xf numFmtId="0" fontId="4" fillId="4" borderId="52" xfId="0" applyFont="1" applyFill="1" applyBorder="1" applyAlignment="1" applyProtection="1">
      <alignment horizontal="center"/>
      <protection locked="0"/>
    </xf>
    <xf numFmtId="0" fontId="4" fillId="4" borderId="12" xfId="0" applyFont="1" applyFill="1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4" fillId="4" borderId="55" xfId="0" applyFont="1" applyFill="1" applyBorder="1" applyAlignment="1" applyProtection="1">
      <alignment horizontal="center"/>
      <protection locked="0"/>
    </xf>
    <xf numFmtId="0" fontId="4" fillId="4" borderId="13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center"/>
      <protection locked="0"/>
    </xf>
    <xf numFmtId="0" fontId="4" fillId="4" borderId="53" xfId="0" applyFont="1" applyFill="1" applyBorder="1" applyAlignment="1" applyProtection="1">
      <alignment horizontal="center"/>
      <protection locked="0"/>
    </xf>
    <xf numFmtId="1" fontId="2" fillId="0" borderId="13" xfId="0" applyNumberFormat="1" applyFont="1" applyFill="1" applyBorder="1" applyAlignment="1" applyProtection="1">
      <alignment horizontal="center"/>
      <protection locked="0"/>
    </xf>
    <xf numFmtId="1" fontId="2" fillId="0" borderId="19" xfId="0" applyNumberFormat="1" applyFont="1" applyFill="1" applyBorder="1" applyAlignment="1" applyProtection="1">
      <alignment horizontal="center"/>
      <protection locked="0"/>
    </xf>
    <xf numFmtId="1" fontId="2" fillId="0" borderId="53" xfId="0" applyNumberFormat="1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 vertical="top" wrapText="1"/>
    </xf>
    <xf numFmtId="0" fontId="4" fillId="0" borderId="50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26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51" xfId="0" applyFont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/>
    </xf>
    <xf numFmtId="0" fontId="4" fillId="3" borderId="34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48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left"/>
    </xf>
    <xf numFmtId="0" fontId="3" fillId="3" borderId="48" xfId="0" applyFont="1" applyFill="1" applyBorder="1" applyAlignment="1" applyProtection="1">
      <alignment horizontal="left"/>
    </xf>
    <xf numFmtId="0" fontId="3" fillId="3" borderId="28" xfId="0" applyFont="1" applyFill="1" applyBorder="1" applyAlignment="1" applyProtection="1">
      <alignment horizontal="left"/>
    </xf>
    <xf numFmtId="0" fontId="3" fillId="3" borderId="29" xfId="0" applyFont="1" applyFill="1" applyBorder="1" applyAlignment="1" applyProtection="1">
      <alignment horizontal="left"/>
    </xf>
    <xf numFmtId="0" fontId="21" fillId="0" borderId="22" xfId="0" applyFont="1" applyBorder="1" applyAlignment="1" applyProtection="1">
      <alignment horizontal="center"/>
    </xf>
    <xf numFmtId="0" fontId="21" fillId="0" borderId="33" xfId="0" applyFont="1" applyBorder="1" applyAlignment="1" applyProtection="1">
      <alignment horizontal="center"/>
    </xf>
    <xf numFmtId="0" fontId="21" fillId="0" borderId="52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55" xfId="0" applyFont="1" applyBorder="1" applyAlignment="1" applyProtection="1">
      <alignment horizontal="center"/>
    </xf>
    <xf numFmtId="49" fontId="3" fillId="0" borderId="10" xfId="1" applyNumberFormat="1" applyBorder="1" applyAlignment="1" applyProtection="1">
      <alignment horizontal="right"/>
      <protection locked="0"/>
    </xf>
    <xf numFmtId="0" fontId="3" fillId="0" borderId="1" xfId="1" applyBorder="1" applyProtection="1">
      <protection locked="0"/>
    </xf>
    <xf numFmtId="0" fontId="3" fillId="0" borderId="17" xfId="1" applyBorder="1" applyAlignment="1" applyProtection="1">
      <alignment horizontal="left"/>
      <protection locked="0"/>
    </xf>
    <xf numFmtId="0" fontId="3" fillId="0" borderId="12" xfId="1" applyBorder="1" applyAlignment="1" applyProtection="1">
      <alignment horizontal="left"/>
      <protection locked="0"/>
    </xf>
    <xf numFmtId="0" fontId="3" fillId="0" borderId="66" xfId="1" applyBorder="1" applyAlignment="1" applyProtection="1">
      <alignment horizontal="left"/>
      <protection locked="0"/>
    </xf>
  </cellXfs>
  <cellStyles count="5">
    <cellStyle name="Lien hypertexte" xfId="4" builtinId="8"/>
    <cellStyle name="Normal" xfId="0" builtinId="0"/>
    <cellStyle name="Normal 2" xfId="1"/>
    <cellStyle name="Normal 3" xfId="2"/>
    <cellStyle name="Standard 2" xfId="3"/>
  </cellStyles>
  <dxfs count="10"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'BR1'!$B$107</c:f>
              <c:strCache>
                <c:ptCount val="1"/>
                <c:pt idx="0">
                  <c:v>Répartition des Déperditions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014-4A40-9184-71988CFEC1B2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014-4A40-9184-71988CFEC1B2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014-4A40-9184-71988CFEC1B2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014-4A40-9184-71988CFEC1B2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014-4A40-9184-71988CFEC1B2}"/>
              </c:ext>
            </c:extLst>
          </c:dPt>
          <c:dPt>
            <c:idx val="5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014-4A40-9184-71988CFEC1B2}"/>
              </c:ext>
            </c:extLst>
          </c:dPt>
          <c:dLbls>
            <c:dLbl>
              <c:idx val="0"/>
              <c:layout>
                <c:manualLayout>
                  <c:x val="1.5902592417110447E-3"/>
                  <c:y val="-2.81855897045127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4064239513125485E-2"/>
                  <c:y val="-6.01307255947845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645359843421828E-2"/>
                  <c:y val="-2.3408686817373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3012257604305"/>
                  <c:y val="-1.968368470070273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0207430697495738E-2"/>
                  <c:y val="7.12014224028448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9.7786799302653965E-2"/>
                  <c:y val="3.081010941048099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8014-4A40-9184-71988CFEC1B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'BR1'!$B$108:$B$113</c:f>
              <c:strCache>
                <c:ptCount val="6"/>
                <c:pt idx="0">
                  <c:v>Murs</c:v>
                </c:pt>
                <c:pt idx="1">
                  <c:v>Menuiseries</c:v>
                </c:pt>
                <c:pt idx="2">
                  <c:v>Planchers</c:v>
                </c:pt>
                <c:pt idx="3">
                  <c:v>Toiture</c:v>
                </c:pt>
                <c:pt idx="4">
                  <c:v>Ponts Thermique</c:v>
                </c:pt>
                <c:pt idx="5">
                  <c:v>Renouvellement d'air</c:v>
                </c:pt>
              </c:strCache>
            </c:strRef>
          </c:cat>
          <c:val>
            <c:numRef>
              <c:f>'BR1'!$E$108:$E$113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8014-4A40-9184-71988CFEC1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'Cui1'!$B$107</c:f>
              <c:strCache>
                <c:ptCount val="1"/>
                <c:pt idx="0">
                  <c:v>Répartition des Déperditions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B71-46A3-AA0D-38F0C5293CF7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71-46A3-AA0D-38F0C5293CF7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B71-46A3-AA0D-38F0C5293CF7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B71-46A3-AA0D-38F0C5293CF7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B71-46A3-AA0D-38F0C5293CF7}"/>
              </c:ext>
            </c:extLst>
          </c:dPt>
          <c:dPt>
            <c:idx val="5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B71-46A3-AA0D-38F0C5293CF7}"/>
              </c:ext>
            </c:extLst>
          </c:dPt>
          <c:dLbls>
            <c:dLbl>
              <c:idx val="0"/>
              <c:layout>
                <c:manualLayout>
                  <c:x val="1.5902592417110447E-3"/>
                  <c:y val="-2.81855897045127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4064239513125485E-2"/>
                  <c:y val="-6.01307255947845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645359843421828E-2"/>
                  <c:y val="-2.3408686817373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3012257604305"/>
                  <c:y val="-1.968368470070273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0207430697495738E-2"/>
                  <c:y val="7.12014224028448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9.7786799302653965E-2"/>
                  <c:y val="3.081010941048099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B71-46A3-AA0D-38F0C5293CF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'Cui1'!$B$108:$B$113</c:f>
              <c:strCache>
                <c:ptCount val="6"/>
                <c:pt idx="0">
                  <c:v>Murs</c:v>
                </c:pt>
                <c:pt idx="1">
                  <c:v>Menuiseries</c:v>
                </c:pt>
                <c:pt idx="2">
                  <c:v>Planchers</c:v>
                </c:pt>
                <c:pt idx="3">
                  <c:v>Toiture</c:v>
                </c:pt>
                <c:pt idx="4">
                  <c:v>Ponts Thermique</c:v>
                </c:pt>
                <c:pt idx="5">
                  <c:v>Renouvellement d'air</c:v>
                </c:pt>
              </c:strCache>
            </c:strRef>
          </c:cat>
          <c:val>
            <c:numRef>
              <c:f>'Cui1'!$E$108:$E$113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B71-46A3-AA0D-38F0C5293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'CH1'!$B$107</c:f>
              <c:strCache>
                <c:ptCount val="1"/>
                <c:pt idx="0">
                  <c:v>Répartition des Déperditions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DB4-42D5-B1E8-3D0F4FFB6EA9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DB4-42D5-B1E8-3D0F4FFB6EA9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DB4-42D5-B1E8-3D0F4FFB6EA9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DB4-42D5-B1E8-3D0F4FFB6EA9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DB4-42D5-B1E8-3D0F4FFB6EA9}"/>
              </c:ext>
            </c:extLst>
          </c:dPt>
          <c:dPt>
            <c:idx val="5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DB4-42D5-B1E8-3D0F4FFB6EA9}"/>
              </c:ext>
            </c:extLst>
          </c:dPt>
          <c:dLbls>
            <c:dLbl>
              <c:idx val="0"/>
              <c:layout>
                <c:manualLayout>
                  <c:x val="1.5902592417110447E-3"/>
                  <c:y val="-2.81855897045127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4064239513125485E-2"/>
                  <c:y val="-6.01307255947845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645359843421828E-2"/>
                  <c:y val="-2.3408686817373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3012257604305"/>
                  <c:y val="-1.968368470070273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0207430697495738E-2"/>
                  <c:y val="7.12014224028448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9.7786799302653965E-2"/>
                  <c:y val="3.081010941048099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EDB4-42D5-B1E8-3D0F4FFB6EA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'CH1'!$B$108:$B$113</c:f>
              <c:strCache>
                <c:ptCount val="6"/>
                <c:pt idx="0">
                  <c:v>Murs</c:v>
                </c:pt>
                <c:pt idx="1">
                  <c:v>Menuiseries</c:v>
                </c:pt>
                <c:pt idx="2">
                  <c:v>Planchers</c:v>
                </c:pt>
                <c:pt idx="3">
                  <c:v>Toiture</c:v>
                </c:pt>
                <c:pt idx="4">
                  <c:v>Ponts Thermique</c:v>
                </c:pt>
                <c:pt idx="5">
                  <c:v>Renouvellement d'air</c:v>
                </c:pt>
              </c:strCache>
            </c:strRef>
          </c:cat>
          <c:val>
            <c:numRef>
              <c:f>'CH1'!$E$108:$E$113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EDB4-42D5-B1E8-3D0F4FFB6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'Sej1'!$B$107</c:f>
              <c:strCache>
                <c:ptCount val="1"/>
                <c:pt idx="0">
                  <c:v>Répartition des Déperditions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9ED-4824-A9AF-C06DC5049535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9ED-4824-A9AF-C06DC5049535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9ED-4824-A9AF-C06DC5049535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9ED-4824-A9AF-C06DC5049535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9ED-4824-A9AF-C06DC5049535}"/>
              </c:ext>
            </c:extLst>
          </c:dPt>
          <c:dPt>
            <c:idx val="5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9ED-4824-A9AF-C06DC5049535}"/>
              </c:ext>
            </c:extLst>
          </c:dPt>
          <c:dLbls>
            <c:dLbl>
              <c:idx val="0"/>
              <c:layout>
                <c:manualLayout>
                  <c:x val="1.5902592417110447E-3"/>
                  <c:y val="-2.81855897045127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4064239513125485E-2"/>
                  <c:y val="-6.01307255947845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645359843421828E-2"/>
                  <c:y val="-2.3408686817373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3012257604305"/>
                  <c:y val="-1.968368470070273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0207430697495738E-2"/>
                  <c:y val="7.12014224028448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9.7786799302653965E-2"/>
                  <c:y val="3.081010941048099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89ED-4824-A9AF-C06DC504953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'Sej1'!$B$108:$B$113</c:f>
              <c:strCache>
                <c:ptCount val="6"/>
                <c:pt idx="0">
                  <c:v>Murs</c:v>
                </c:pt>
                <c:pt idx="1">
                  <c:v>Menuiseries</c:v>
                </c:pt>
                <c:pt idx="2">
                  <c:v>Planchers</c:v>
                </c:pt>
                <c:pt idx="3">
                  <c:v>Toiture</c:v>
                </c:pt>
                <c:pt idx="4">
                  <c:v>Ponts Thermique</c:v>
                </c:pt>
                <c:pt idx="5">
                  <c:v>Renouvellement d'air</c:v>
                </c:pt>
              </c:strCache>
            </c:strRef>
          </c:cat>
          <c:val>
            <c:numRef>
              <c:f>'Sej1'!$E$108:$E$113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89ED-4824-A9AF-C06DC5049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'CH2'!$B$107</c:f>
              <c:strCache>
                <c:ptCount val="1"/>
                <c:pt idx="0">
                  <c:v>Répartition des Déperditions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ECA-47DD-867F-AB48AB90E13A}"/>
              </c:ext>
            </c:extLst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ECA-47DD-867F-AB48AB90E13A}"/>
              </c:ext>
            </c:extLst>
          </c:dPt>
          <c:dPt>
            <c:idx val="2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ECA-47DD-867F-AB48AB90E13A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ECA-47DD-867F-AB48AB90E13A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ECA-47DD-867F-AB48AB90E13A}"/>
              </c:ext>
            </c:extLst>
          </c:dPt>
          <c:dPt>
            <c:idx val="5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ECA-47DD-867F-AB48AB90E13A}"/>
              </c:ext>
            </c:extLst>
          </c:dPt>
          <c:dLbls>
            <c:dLbl>
              <c:idx val="0"/>
              <c:layout>
                <c:manualLayout>
                  <c:x val="1.5902592417110447E-3"/>
                  <c:y val="-2.81855897045127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8.4064239513125485E-2"/>
                  <c:y val="-6.01307255947845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645359843421828E-2"/>
                  <c:y val="-2.340868681737363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3012257604305"/>
                  <c:y val="-1.968368470070273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0207430697495738E-2"/>
                  <c:y val="7.12014224028448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9.7786799302653965E-2"/>
                  <c:y val="3.081010941048099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ECA-47DD-867F-AB48AB90E13A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'CH2'!$B$108:$B$113</c:f>
              <c:strCache>
                <c:ptCount val="6"/>
                <c:pt idx="0">
                  <c:v>Murs</c:v>
                </c:pt>
                <c:pt idx="1">
                  <c:v>Menuiseries</c:v>
                </c:pt>
                <c:pt idx="2">
                  <c:v>Planchers</c:v>
                </c:pt>
                <c:pt idx="3">
                  <c:v>Toiture</c:v>
                </c:pt>
                <c:pt idx="4">
                  <c:v>Ponts Thermique</c:v>
                </c:pt>
                <c:pt idx="5">
                  <c:v>Renouvellement d'air</c:v>
                </c:pt>
              </c:strCache>
            </c:strRef>
          </c:cat>
          <c:val>
            <c:numRef>
              <c:f>'CH2'!$E$108:$E$113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ECA-47DD-867F-AB48AB90E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209550</xdr:colOff>
      <xdr:row>1</xdr:row>
      <xdr:rowOff>38100</xdr:rowOff>
    </xdr:from>
    <xdr:to>
      <xdr:col>21</xdr:col>
      <xdr:colOff>323850</xdr:colOff>
      <xdr:row>3</xdr:row>
      <xdr:rowOff>123825</xdr:rowOff>
    </xdr:to>
    <xdr:sp macro="[0]!Test" textlink="">
      <xdr:nvSpPr>
        <xdr:cNvPr id="2" name="Rectangle à coins arrondis 1"/>
        <xdr:cNvSpPr/>
      </xdr:nvSpPr>
      <xdr:spPr>
        <a:xfrm>
          <a:off x="7496175" y="238125"/>
          <a:ext cx="12858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106</xdr:row>
      <xdr:rowOff>133350</xdr:rowOff>
    </xdr:from>
    <xdr:to>
      <xdr:col>16</xdr:col>
      <xdr:colOff>400051</xdr:colOff>
      <xdr:row>126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46743B0-3078-4ACF-A195-64D8B87E3C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106</xdr:row>
      <xdr:rowOff>133350</xdr:rowOff>
    </xdr:from>
    <xdr:to>
      <xdr:col>16</xdr:col>
      <xdr:colOff>400051</xdr:colOff>
      <xdr:row>126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8769AA83-DCFC-46A9-A625-E190604203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106</xdr:row>
      <xdr:rowOff>133350</xdr:rowOff>
    </xdr:from>
    <xdr:to>
      <xdr:col>16</xdr:col>
      <xdr:colOff>400051</xdr:colOff>
      <xdr:row>126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759E4F5-20A1-485B-8EBB-18F987FA22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106</xdr:row>
      <xdr:rowOff>133350</xdr:rowOff>
    </xdr:from>
    <xdr:to>
      <xdr:col>16</xdr:col>
      <xdr:colOff>400051</xdr:colOff>
      <xdr:row>126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C94C55A2-87E5-4252-B332-6C8DCB8986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106</xdr:row>
      <xdr:rowOff>133350</xdr:rowOff>
    </xdr:from>
    <xdr:to>
      <xdr:col>16</xdr:col>
      <xdr:colOff>400051</xdr:colOff>
      <xdr:row>126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D6C54935-61DF-4D6F-977F-5796A78741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00-Entreprise/01-BE/02-Affaires/19-Putallaz/Calorim&#233;trie/Logiciel%20Calo/384-201_form_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rojet"/>
      <sheetName val="Bases projet"/>
      <sheetName val="Modèle fiche local"/>
      <sheetName val="Récapitulation"/>
    </sheetNames>
    <sheetDataSet>
      <sheetData sheetId="0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0.79998168889431442"/>
  </sheetPr>
  <dimension ref="A1:S81"/>
  <sheetViews>
    <sheetView showGridLines="0" zoomScaleNormal="100" zoomScaleSheetLayoutView="100" workbookViewId="0">
      <selection activeCell="S31" sqref="S31"/>
    </sheetView>
  </sheetViews>
  <sheetFormatPr baseColWidth="10" defaultRowHeight="12.75" x14ac:dyDescent="0.2"/>
  <cols>
    <col min="1" max="1" width="8.140625" style="14" customWidth="1"/>
    <col min="2" max="2" width="4.85546875" style="14" customWidth="1"/>
    <col min="3" max="3" width="9" style="14" customWidth="1"/>
    <col min="4" max="7" width="8.140625" style="14" customWidth="1"/>
    <col min="8" max="8" width="8.42578125" style="14" customWidth="1"/>
    <col min="9" max="22" width="8.140625" style="14" customWidth="1"/>
    <col min="23" max="16384" width="11.42578125" style="14"/>
  </cols>
  <sheetData>
    <row r="1" spans="1:19" s="4" customFormat="1" ht="20.25" x14ac:dyDescent="0.3">
      <c r="A1" s="2" t="s">
        <v>45</v>
      </c>
      <c r="B1" s="3"/>
      <c r="C1" s="3"/>
      <c r="D1" s="3"/>
      <c r="E1" s="3"/>
      <c r="F1" s="3"/>
      <c r="G1" s="3"/>
      <c r="H1" s="3"/>
      <c r="I1" s="3"/>
      <c r="J1" s="3"/>
    </row>
    <row r="2" spans="1:19" s="6" customFormat="1" ht="18.7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</row>
    <row r="3" spans="1:19" s="8" customFormat="1" ht="18.7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</row>
    <row r="4" spans="1:19" s="10" customFormat="1" ht="18.75" customHeight="1" x14ac:dyDescent="0.2">
      <c r="A4" s="9" t="s">
        <v>38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s="12" customFormat="1" ht="12" x14ac:dyDescent="0.2">
      <c r="A5" s="89" t="s">
        <v>46</v>
      </c>
      <c r="B5" s="89" t="s">
        <v>23</v>
      </c>
      <c r="C5" s="11"/>
      <c r="E5" s="18" t="s">
        <v>47</v>
      </c>
      <c r="J5" s="89" t="s">
        <v>87</v>
      </c>
    </row>
    <row r="6" spans="1:19" s="12" customFormat="1" ht="12" x14ac:dyDescent="0.2">
      <c r="A6" s="89" t="s">
        <v>48</v>
      </c>
      <c r="B6" s="89" t="s">
        <v>49</v>
      </c>
      <c r="C6" s="11"/>
      <c r="D6" s="90"/>
      <c r="E6" s="13"/>
      <c r="F6" s="13"/>
      <c r="G6" s="13"/>
      <c r="H6" s="13"/>
      <c r="I6" s="13"/>
      <c r="J6" s="13">
        <v>0.15</v>
      </c>
    </row>
    <row r="7" spans="1:19" s="12" customFormat="1" ht="12" x14ac:dyDescent="0.2">
      <c r="A7" s="89" t="s">
        <v>50</v>
      </c>
      <c r="B7" s="89" t="s">
        <v>59</v>
      </c>
      <c r="C7" s="11"/>
      <c r="D7" s="90"/>
      <c r="E7" s="13"/>
      <c r="F7" s="13"/>
      <c r="G7" s="13"/>
      <c r="H7" s="13"/>
      <c r="I7" s="13"/>
      <c r="J7" s="13"/>
    </row>
    <row r="8" spans="1:19" s="12" customFormat="1" ht="12" x14ac:dyDescent="0.2">
      <c r="A8" s="89" t="s">
        <v>51</v>
      </c>
      <c r="B8" s="89" t="s">
        <v>60</v>
      </c>
      <c r="C8" s="11"/>
      <c r="D8" s="90"/>
      <c r="E8" s="13"/>
      <c r="F8" s="13"/>
      <c r="G8" s="13"/>
      <c r="H8" s="13"/>
      <c r="I8" s="13"/>
      <c r="J8" s="13"/>
    </row>
    <row r="9" spans="1:19" s="12" customFormat="1" ht="12" x14ac:dyDescent="0.2">
      <c r="A9" s="89" t="s">
        <v>52</v>
      </c>
      <c r="B9" s="89" t="s">
        <v>61</v>
      </c>
      <c r="C9" s="11"/>
      <c r="D9" s="90"/>
      <c r="E9" s="13"/>
      <c r="F9" s="13"/>
      <c r="G9" s="13"/>
      <c r="H9" s="13"/>
      <c r="I9" s="13"/>
      <c r="J9" s="13"/>
    </row>
    <row r="10" spans="1:19" s="12" customFormat="1" ht="12" x14ac:dyDescent="0.2">
      <c r="A10" s="89" t="s">
        <v>53</v>
      </c>
      <c r="B10" s="89"/>
      <c r="C10" s="11"/>
      <c r="D10" s="90"/>
      <c r="E10" s="13"/>
      <c r="F10" s="13"/>
      <c r="G10" s="13"/>
      <c r="H10" s="13"/>
      <c r="I10" s="13"/>
      <c r="J10" s="13"/>
    </row>
    <row r="11" spans="1:19" s="12" customFormat="1" ht="12" x14ac:dyDescent="0.2">
      <c r="A11" s="89" t="s">
        <v>54</v>
      </c>
      <c r="B11" s="89"/>
      <c r="C11" s="11"/>
      <c r="D11" s="90"/>
      <c r="E11" s="13"/>
      <c r="F11" s="13"/>
      <c r="G11" s="13"/>
      <c r="H11" s="13"/>
      <c r="I11" s="13"/>
      <c r="J11" s="13"/>
    </row>
    <row r="12" spans="1:19" s="12" customFormat="1" ht="12" x14ac:dyDescent="0.2">
      <c r="A12" s="89" t="s">
        <v>232</v>
      </c>
      <c r="B12" s="89"/>
      <c r="C12" s="11"/>
      <c r="D12" s="90"/>
      <c r="E12" s="13"/>
      <c r="F12" s="13"/>
      <c r="G12" s="13"/>
      <c r="H12" s="13"/>
      <c r="I12" s="13"/>
      <c r="J12" s="13"/>
    </row>
    <row r="13" spans="1:19" s="12" customFormat="1" ht="12" x14ac:dyDescent="0.2">
      <c r="A13" s="89" t="s">
        <v>233</v>
      </c>
      <c r="B13" s="89"/>
      <c r="C13" s="11"/>
      <c r="D13" s="90"/>
      <c r="E13" s="13"/>
      <c r="F13" s="13"/>
      <c r="G13" s="13"/>
      <c r="H13" s="13"/>
      <c r="I13" s="13"/>
      <c r="J13" s="13"/>
    </row>
    <row r="14" spans="1:19" s="12" customFormat="1" ht="12" x14ac:dyDescent="0.2">
      <c r="A14" s="89" t="s">
        <v>234</v>
      </c>
      <c r="B14" s="89"/>
      <c r="C14" s="11"/>
      <c r="D14" s="90"/>
      <c r="E14" s="13"/>
      <c r="F14" s="13"/>
      <c r="G14" s="13"/>
      <c r="H14" s="13"/>
      <c r="I14" s="13"/>
      <c r="J14" s="13"/>
    </row>
    <row r="15" spans="1:19" s="12" customFormat="1" ht="12" x14ac:dyDescent="0.2">
      <c r="A15" s="89" t="s">
        <v>235</v>
      </c>
      <c r="B15" s="89"/>
      <c r="C15" s="11"/>
      <c r="D15" s="90"/>
      <c r="E15" s="13"/>
      <c r="F15" s="13"/>
      <c r="G15" s="13"/>
      <c r="H15" s="13"/>
      <c r="I15" s="13"/>
      <c r="J15" s="13"/>
    </row>
    <row r="16" spans="1:19" s="12" customFormat="1" ht="12" x14ac:dyDescent="0.2">
      <c r="A16" s="89" t="s">
        <v>236</v>
      </c>
      <c r="B16" s="89"/>
      <c r="C16" s="11"/>
      <c r="D16" s="90"/>
      <c r="E16" s="13"/>
      <c r="F16" s="13"/>
      <c r="G16" s="13"/>
      <c r="H16" s="13"/>
      <c r="I16" s="13"/>
      <c r="J16" s="13"/>
    </row>
    <row r="17" spans="1:10" s="12" customFormat="1" ht="12" x14ac:dyDescent="0.2">
      <c r="A17" s="89" t="s">
        <v>237</v>
      </c>
      <c r="B17" s="89"/>
      <c r="C17" s="11"/>
      <c r="D17" s="90"/>
      <c r="E17" s="13"/>
      <c r="F17" s="13"/>
      <c r="G17" s="13"/>
      <c r="H17" s="13"/>
      <c r="I17" s="13"/>
      <c r="J17" s="13"/>
    </row>
    <row r="18" spans="1:10" s="12" customFormat="1" ht="12" x14ac:dyDescent="0.2">
      <c r="A18" s="89" t="s">
        <v>238</v>
      </c>
      <c r="B18" s="89"/>
      <c r="C18" s="11"/>
      <c r="D18" s="90"/>
      <c r="E18" s="13"/>
      <c r="F18" s="13"/>
      <c r="G18" s="13"/>
      <c r="H18" s="13"/>
      <c r="I18" s="13"/>
      <c r="J18" s="13"/>
    </row>
    <row r="19" spans="1:10" s="12" customFormat="1" ht="12" x14ac:dyDescent="0.2">
      <c r="A19" s="89" t="s">
        <v>239</v>
      </c>
      <c r="B19" s="89"/>
      <c r="C19" s="11"/>
      <c r="D19" s="90"/>
      <c r="E19" s="13"/>
      <c r="F19" s="13"/>
      <c r="G19" s="13"/>
      <c r="H19" s="13"/>
      <c r="I19" s="13"/>
      <c r="J19" s="13"/>
    </row>
    <row r="20" spans="1:10" s="12" customFormat="1" ht="12" x14ac:dyDescent="0.2">
      <c r="A20" s="89" t="s">
        <v>240</v>
      </c>
      <c r="B20" s="89"/>
      <c r="C20" s="11"/>
      <c r="D20" s="90"/>
      <c r="E20" s="13"/>
      <c r="F20" s="13"/>
      <c r="G20" s="13"/>
      <c r="H20" s="13"/>
      <c r="I20" s="13"/>
      <c r="J20" s="13"/>
    </row>
    <row r="21" spans="1:10" s="12" customFormat="1" ht="22.5" customHeight="1" x14ac:dyDescent="0.2">
      <c r="A21" s="9" t="s">
        <v>55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s="10" customFormat="1" x14ac:dyDescent="0.2">
      <c r="A22" s="89" t="s">
        <v>46</v>
      </c>
      <c r="B22" s="89" t="s">
        <v>23</v>
      </c>
      <c r="C22" s="11"/>
      <c r="D22" s="12"/>
      <c r="E22" s="18" t="s">
        <v>47</v>
      </c>
      <c r="F22" s="12"/>
      <c r="G22" s="12"/>
      <c r="H22" s="12"/>
      <c r="I22" s="12"/>
      <c r="J22" s="89" t="s">
        <v>87</v>
      </c>
    </row>
    <row r="23" spans="1:10" s="12" customFormat="1" ht="12" x14ac:dyDescent="0.2">
      <c r="A23" s="89" t="s">
        <v>63</v>
      </c>
      <c r="B23" s="89" t="s">
        <v>188</v>
      </c>
      <c r="C23" s="11"/>
      <c r="D23" s="90"/>
      <c r="E23" s="13"/>
      <c r="F23" s="13"/>
      <c r="G23" s="13"/>
      <c r="H23" s="13"/>
      <c r="I23" s="13"/>
      <c r="J23" s="13">
        <v>0.13</v>
      </c>
    </row>
    <row r="24" spans="1:10" s="12" customFormat="1" ht="12" x14ac:dyDescent="0.2">
      <c r="A24" s="89" t="s">
        <v>64</v>
      </c>
      <c r="B24" s="89"/>
      <c r="C24" s="11"/>
      <c r="D24" s="90"/>
      <c r="E24" s="13"/>
      <c r="F24" s="13"/>
      <c r="G24" s="13"/>
      <c r="H24" s="13"/>
      <c r="I24" s="13"/>
      <c r="J24" s="13"/>
    </row>
    <row r="25" spans="1:10" s="12" customFormat="1" ht="12" x14ac:dyDescent="0.2">
      <c r="A25" s="89" t="s">
        <v>65</v>
      </c>
      <c r="B25" s="89"/>
      <c r="C25" s="11"/>
      <c r="D25" s="90"/>
      <c r="E25" s="13"/>
      <c r="F25" s="13"/>
      <c r="G25" s="13"/>
      <c r="H25" s="13"/>
      <c r="I25" s="13"/>
      <c r="J25" s="13"/>
    </row>
    <row r="26" spans="1:10" s="12" customFormat="1" ht="12" x14ac:dyDescent="0.2">
      <c r="A26" s="89" t="s">
        <v>66</v>
      </c>
      <c r="B26" s="89"/>
      <c r="C26" s="11"/>
      <c r="D26" s="90"/>
      <c r="E26" s="13"/>
      <c r="F26" s="13"/>
      <c r="G26" s="13"/>
      <c r="H26" s="13"/>
      <c r="I26" s="13"/>
      <c r="J26" s="13"/>
    </row>
    <row r="27" spans="1:10" s="12" customFormat="1" ht="12" x14ac:dyDescent="0.2">
      <c r="A27" s="89" t="s">
        <v>67</v>
      </c>
      <c r="B27" s="89"/>
      <c r="C27" s="11"/>
      <c r="D27" s="90"/>
      <c r="E27" s="13"/>
      <c r="F27" s="13"/>
      <c r="G27" s="13"/>
      <c r="H27" s="13"/>
      <c r="I27" s="13"/>
      <c r="J27" s="13"/>
    </row>
    <row r="28" spans="1:10" s="12" customFormat="1" ht="12" x14ac:dyDescent="0.2">
      <c r="A28" s="89" t="s">
        <v>68</v>
      </c>
      <c r="B28" s="89"/>
      <c r="C28" s="11"/>
      <c r="D28" s="90"/>
      <c r="E28" s="13"/>
      <c r="F28" s="13"/>
      <c r="G28" s="13"/>
      <c r="H28" s="13"/>
      <c r="I28" s="13"/>
      <c r="J28" s="13"/>
    </row>
    <row r="29" spans="1:10" s="12" customFormat="1" ht="12" x14ac:dyDescent="0.2">
      <c r="A29" s="89" t="s">
        <v>241</v>
      </c>
      <c r="B29" s="89"/>
      <c r="C29" s="11"/>
      <c r="D29" s="90"/>
      <c r="E29" s="13"/>
      <c r="F29" s="13"/>
      <c r="G29" s="13"/>
      <c r="H29" s="13"/>
      <c r="I29" s="13"/>
      <c r="J29" s="13"/>
    </row>
    <row r="30" spans="1:10" s="12" customFormat="1" ht="12" x14ac:dyDescent="0.2">
      <c r="A30" s="89" t="s">
        <v>242</v>
      </c>
      <c r="B30" s="89"/>
      <c r="C30" s="11"/>
      <c r="D30" s="90"/>
      <c r="E30" s="13"/>
      <c r="F30" s="13"/>
      <c r="G30" s="13"/>
      <c r="H30" s="13"/>
      <c r="I30" s="13"/>
      <c r="J30" s="13"/>
    </row>
    <row r="31" spans="1:10" s="12" customFormat="1" ht="21.95" customHeight="1" x14ac:dyDescent="0.2">
      <c r="A31" s="9" t="s">
        <v>56</v>
      </c>
      <c r="B31" s="1"/>
      <c r="C31" s="1"/>
      <c r="D31" s="1"/>
      <c r="E31" s="1"/>
      <c r="F31" s="1"/>
      <c r="G31" s="1"/>
      <c r="H31" s="1"/>
      <c r="I31" s="1"/>
      <c r="J31" s="1"/>
    </row>
    <row r="32" spans="1:10" s="12" customFormat="1" ht="12" x14ac:dyDescent="0.2">
      <c r="A32" s="89" t="s">
        <v>46</v>
      </c>
      <c r="B32" s="89" t="s">
        <v>23</v>
      </c>
      <c r="C32" s="11"/>
      <c r="E32" s="18" t="s">
        <v>47</v>
      </c>
      <c r="J32" s="89" t="s">
        <v>87</v>
      </c>
    </row>
    <row r="33" spans="1:10" s="12" customFormat="1" ht="12" x14ac:dyDescent="0.2">
      <c r="A33" s="89" t="s">
        <v>69</v>
      </c>
      <c r="B33" s="89" t="s">
        <v>189</v>
      </c>
      <c r="C33" s="11"/>
      <c r="D33" s="90"/>
      <c r="E33" s="13"/>
      <c r="F33" s="13"/>
      <c r="G33" s="13"/>
      <c r="H33" s="13"/>
      <c r="I33" s="13"/>
      <c r="J33" s="13">
        <v>0.3</v>
      </c>
    </row>
    <row r="34" spans="1:10" s="12" customFormat="1" ht="12" x14ac:dyDescent="0.2">
      <c r="A34" s="89" t="s">
        <v>70</v>
      </c>
      <c r="B34" s="89"/>
      <c r="C34" s="11"/>
      <c r="D34" s="90"/>
      <c r="E34" s="13"/>
      <c r="F34" s="13"/>
      <c r="G34" s="13"/>
      <c r="H34" s="13"/>
      <c r="I34" s="13"/>
      <c r="J34" s="13"/>
    </row>
    <row r="35" spans="1:10" s="12" customFormat="1" ht="12" x14ac:dyDescent="0.2">
      <c r="A35" s="89" t="s">
        <v>71</v>
      </c>
      <c r="B35" s="89"/>
      <c r="C35" s="11"/>
      <c r="D35" s="90"/>
      <c r="E35" s="13"/>
      <c r="F35" s="13"/>
      <c r="G35" s="13"/>
      <c r="H35" s="13"/>
      <c r="I35" s="13"/>
      <c r="J35" s="13"/>
    </row>
    <row r="36" spans="1:10" s="12" customFormat="1" ht="12" x14ac:dyDescent="0.2">
      <c r="A36" s="89" t="s">
        <v>72</v>
      </c>
      <c r="B36" s="89"/>
      <c r="C36" s="11"/>
      <c r="D36" s="90"/>
      <c r="E36" s="13"/>
      <c r="F36" s="13"/>
      <c r="G36" s="13"/>
      <c r="H36" s="13"/>
      <c r="I36" s="13"/>
      <c r="J36" s="13"/>
    </row>
    <row r="37" spans="1:10" s="10" customFormat="1" x14ac:dyDescent="0.2">
      <c r="A37" s="89" t="s">
        <v>73</v>
      </c>
      <c r="B37" s="89"/>
      <c r="C37" s="11"/>
      <c r="D37" s="90"/>
      <c r="E37" s="13"/>
      <c r="F37" s="13"/>
      <c r="G37" s="13"/>
      <c r="H37" s="13"/>
      <c r="I37" s="13"/>
      <c r="J37" s="13"/>
    </row>
    <row r="38" spans="1:10" s="10" customFormat="1" x14ac:dyDescent="0.2">
      <c r="A38" s="89" t="s">
        <v>74</v>
      </c>
      <c r="B38" s="89"/>
      <c r="C38" s="11"/>
      <c r="D38" s="90"/>
      <c r="E38" s="13"/>
      <c r="F38" s="13"/>
      <c r="G38" s="13"/>
      <c r="H38" s="13"/>
      <c r="I38" s="13"/>
      <c r="J38" s="13"/>
    </row>
    <row r="39" spans="1:10" s="10" customFormat="1" x14ac:dyDescent="0.2">
      <c r="A39" s="89" t="s">
        <v>243</v>
      </c>
      <c r="B39" s="89"/>
      <c r="C39" s="11"/>
      <c r="D39" s="90"/>
      <c r="E39" s="13"/>
      <c r="F39" s="13"/>
      <c r="G39" s="13"/>
      <c r="H39" s="13"/>
      <c r="I39" s="13"/>
      <c r="J39" s="13"/>
    </row>
    <row r="40" spans="1:10" s="12" customFormat="1" ht="12" x14ac:dyDescent="0.2">
      <c r="A40" s="89" t="s">
        <v>244</v>
      </c>
      <c r="B40" s="89"/>
      <c r="C40" s="11"/>
      <c r="D40" s="90"/>
      <c r="E40" s="13"/>
      <c r="F40" s="13"/>
      <c r="G40" s="13"/>
      <c r="H40" s="13"/>
      <c r="I40" s="13"/>
      <c r="J40" s="13"/>
    </row>
    <row r="41" spans="1:10" s="12" customFormat="1" ht="18.75" customHeight="1" x14ac:dyDescent="0.2">
      <c r="A41" s="9" t="s">
        <v>57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s="12" customFormat="1" ht="12" x14ac:dyDescent="0.2">
      <c r="A42" s="89" t="s">
        <v>46</v>
      </c>
      <c r="B42" s="89" t="s">
        <v>23</v>
      </c>
      <c r="C42" s="11"/>
      <c r="E42" s="18" t="s">
        <v>47</v>
      </c>
      <c r="J42" s="89" t="s">
        <v>87</v>
      </c>
    </row>
    <row r="43" spans="1:10" s="12" customFormat="1" ht="12" x14ac:dyDescent="0.2">
      <c r="A43" s="89" t="s">
        <v>62</v>
      </c>
      <c r="B43" s="89" t="s">
        <v>190</v>
      </c>
      <c r="C43" s="11"/>
      <c r="D43" s="90"/>
      <c r="E43" s="13"/>
      <c r="F43" s="13"/>
      <c r="G43" s="13"/>
      <c r="H43" s="13"/>
      <c r="I43" s="13"/>
      <c r="J43" s="13">
        <v>0.91</v>
      </c>
    </row>
    <row r="44" spans="1:10" s="12" customFormat="1" ht="12" x14ac:dyDescent="0.2">
      <c r="A44" s="89" t="s">
        <v>75</v>
      </c>
      <c r="B44" s="89"/>
      <c r="C44" s="11"/>
      <c r="D44" s="90"/>
      <c r="E44" s="13"/>
      <c r="F44" s="13"/>
      <c r="G44" s="13"/>
      <c r="H44" s="13"/>
      <c r="I44" s="13"/>
      <c r="J44" s="13"/>
    </row>
    <row r="45" spans="1:10" s="12" customFormat="1" ht="12" x14ac:dyDescent="0.2">
      <c r="A45" s="89" t="s">
        <v>76</v>
      </c>
      <c r="B45" s="89"/>
      <c r="C45" s="11"/>
      <c r="D45" s="90"/>
      <c r="E45" s="13"/>
      <c r="F45" s="13"/>
      <c r="G45" s="13"/>
      <c r="H45" s="13"/>
      <c r="I45" s="13"/>
      <c r="J45" s="13"/>
    </row>
    <row r="46" spans="1:10" s="12" customFormat="1" ht="12" x14ac:dyDescent="0.2">
      <c r="A46" s="89" t="s">
        <v>77</v>
      </c>
      <c r="B46" s="89"/>
      <c r="C46" s="11"/>
      <c r="D46" s="90"/>
      <c r="E46" s="13"/>
      <c r="F46" s="13"/>
      <c r="G46" s="13"/>
      <c r="H46" s="13"/>
      <c r="I46" s="13"/>
      <c r="J46" s="13"/>
    </row>
    <row r="47" spans="1:10" s="12" customFormat="1" ht="12" x14ac:dyDescent="0.2">
      <c r="A47" s="89" t="s">
        <v>78</v>
      </c>
      <c r="B47" s="89"/>
      <c r="C47" s="11"/>
      <c r="D47" s="90"/>
      <c r="E47" s="13"/>
      <c r="F47" s="13"/>
      <c r="G47" s="13"/>
      <c r="H47" s="13"/>
      <c r="I47" s="13"/>
      <c r="J47" s="13"/>
    </row>
    <row r="48" spans="1:10" s="12" customFormat="1" ht="12" x14ac:dyDescent="0.2">
      <c r="A48" s="89" t="s">
        <v>79</v>
      </c>
      <c r="B48" s="89"/>
      <c r="C48" s="11"/>
      <c r="D48" s="90"/>
      <c r="E48" s="13"/>
      <c r="F48" s="13"/>
      <c r="G48" s="13"/>
      <c r="H48" s="13"/>
      <c r="I48" s="13"/>
      <c r="J48" s="13"/>
    </row>
    <row r="49" spans="1:11" s="12" customFormat="1" ht="12" x14ac:dyDescent="0.2">
      <c r="A49" s="89" t="s">
        <v>245</v>
      </c>
      <c r="B49" s="89"/>
      <c r="C49" s="11"/>
      <c r="D49" s="90"/>
      <c r="E49" s="13"/>
      <c r="F49" s="13"/>
      <c r="G49" s="13"/>
      <c r="H49" s="13"/>
      <c r="I49" s="13"/>
      <c r="J49" s="13"/>
    </row>
    <row r="50" spans="1:11" s="12" customFormat="1" ht="12" x14ac:dyDescent="0.2">
      <c r="A50" s="89" t="s">
        <v>246</v>
      </c>
      <c r="B50" s="89"/>
      <c r="C50" s="11"/>
      <c r="D50" s="90"/>
      <c r="E50" s="13"/>
      <c r="F50" s="13"/>
      <c r="G50" s="13"/>
      <c r="H50" s="13"/>
      <c r="I50" s="13"/>
      <c r="J50" s="13"/>
    </row>
    <row r="51" spans="1:11" s="12" customFormat="1" ht="12" x14ac:dyDescent="0.2">
      <c r="A51" s="89" t="s">
        <v>247</v>
      </c>
      <c r="B51" s="89"/>
      <c r="C51" s="11"/>
      <c r="D51" s="90"/>
      <c r="E51" s="13"/>
      <c r="F51" s="13"/>
      <c r="G51" s="13"/>
      <c r="H51" s="13"/>
      <c r="I51" s="13"/>
      <c r="J51" s="13"/>
    </row>
    <row r="52" spans="1:11" s="12" customFormat="1" ht="12" x14ac:dyDescent="0.2">
      <c r="A52" s="89" t="s">
        <v>248</v>
      </c>
      <c r="B52" s="89"/>
      <c r="C52" s="11"/>
      <c r="D52" s="90"/>
      <c r="E52" s="13"/>
      <c r="F52" s="13"/>
      <c r="G52" s="13"/>
      <c r="H52" s="13"/>
      <c r="I52" s="13"/>
      <c r="J52" s="13"/>
    </row>
    <row r="53" spans="1:11" s="12" customFormat="1" ht="12" x14ac:dyDescent="0.2">
      <c r="A53" s="89" t="s">
        <v>249</v>
      </c>
      <c r="B53" s="89"/>
      <c r="C53" s="11"/>
      <c r="D53" s="90"/>
      <c r="E53" s="13"/>
      <c r="F53" s="13"/>
      <c r="G53" s="13"/>
      <c r="H53" s="13"/>
      <c r="I53" s="13"/>
      <c r="J53" s="13"/>
    </row>
    <row r="54" spans="1:11" s="12" customFormat="1" ht="12" x14ac:dyDescent="0.2">
      <c r="A54" s="89" t="s">
        <v>250</v>
      </c>
      <c r="B54" s="89"/>
      <c r="C54" s="11"/>
      <c r="D54" s="90"/>
      <c r="E54" s="13"/>
      <c r="F54" s="13"/>
      <c r="G54" s="13"/>
      <c r="H54" s="13"/>
      <c r="I54" s="13"/>
      <c r="J54" s="13"/>
    </row>
    <row r="55" spans="1:11" s="12" customFormat="1" ht="12" x14ac:dyDescent="0.2">
      <c r="A55" s="89" t="s">
        <v>251</v>
      </c>
      <c r="B55" s="89"/>
      <c r="C55" s="11"/>
      <c r="D55" s="90"/>
      <c r="E55" s="13"/>
      <c r="F55" s="13"/>
      <c r="G55" s="13"/>
      <c r="H55" s="13"/>
      <c r="I55" s="13"/>
      <c r="J55" s="13"/>
    </row>
    <row r="56" spans="1:11" s="12" customFormat="1" ht="12" x14ac:dyDescent="0.2">
      <c r="A56" s="89" t="s">
        <v>252</v>
      </c>
      <c r="B56" s="89"/>
      <c r="C56" s="11"/>
      <c r="D56" s="90"/>
      <c r="E56" s="13"/>
      <c r="F56" s="13"/>
      <c r="G56" s="13"/>
      <c r="H56" s="13"/>
      <c r="I56" s="13"/>
      <c r="J56" s="13"/>
    </row>
    <row r="57" spans="1:11" s="12" customFormat="1" ht="12" x14ac:dyDescent="0.2">
      <c r="A57" s="89" t="s">
        <v>253</v>
      </c>
      <c r="B57" s="89"/>
      <c r="C57" s="11"/>
      <c r="D57" s="90"/>
      <c r="E57" s="13"/>
      <c r="F57" s="13"/>
      <c r="G57" s="13"/>
      <c r="H57" s="13"/>
      <c r="I57" s="13"/>
      <c r="J57" s="13"/>
    </row>
    <row r="58" spans="1:11" s="12" customFormat="1" ht="12" x14ac:dyDescent="0.2">
      <c r="A58" s="89" t="s">
        <v>254</v>
      </c>
      <c r="B58" s="89"/>
      <c r="C58" s="11"/>
      <c r="D58" s="90"/>
      <c r="E58" s="13"/>
      <c r="F58" s="13"/>
      <c r="G58" s="13"/>
      <c r="H58" s="13"/>
      <c r="I58" s="13"/>
      <c r="J58" s="13"/>
    </row>
    <row r="59" spans="1:11" s="12" customFormat="1" x14ac:dyDescent="0.2">
      <c r="A59" s="89" t="s">
        <v>255</v>
      </c>
      <c r="B59" s="89"/>
      <c r="C59" s="11"/>
      <c r="D59" s="90"/>
      <c r="E59" s="13"/>
      <c r="F59" s="13"/>
      <c r="G59" s="13"/>
      <c r="H59" s="13"/>
      <c r="I59" s="13"/>
      <c r="J59" s="13"/>
      <c r="K59" s="10"/>
    </row>
    <row r="60" spans="1:11" s="12" customFormat="1" x14ac:dyDescent="0.2">
      <c r="A60" s="89" t="s">
        <v>256</v>
      </c>
      <c r="B60" s="89"/>
      <c r="C60" s="11"/>
      <c r="D60" s="90"/>
      <c r="E60" s="13"/>
      <c r="F60" s="13"/>
      <c r="G60" s="13"/>
      <c r="H60" s="13"/>
      <c r="I60" s="13"/>
      <c r="J60" s="13"/>
      <c r="K60" s="10"/>
    </row>
    <row r="61" spans="1:11" s="12" customFormat="1" x14ac:dyDescent="0.2">
      <c r="A61" s="89" t="s">
        <v>257</v>
      </c>
      <c r="B61" s="89"/>
      <c r="C61" s="11"/>
      <c r="D61" s="90"/>
      <c r="E61" s="13"/>
      <c r="F61" s="13"/>
      <c r="G61" s="13"/>
      <c r="H61" s="13"/>
      <c r="I61" s="13"/>
      <c r="J61" s="13"/>
      <c r="K61" s="10"/>
    </row>
    <row r="62" spans="1:11" s="12" customFormat="1" ht="12" x14ac:dyDescent="0.2">
      <c r="A62" s="89" t="s">
        <v>258</v>
      </c>
      <c r="B62" s="89"/>
      <c r="C62" s="11"/>
      <c r="D62" s="90"/>
      <c r="E62" s="13"/>
      <c r="F62" s="13"/>
      <c r="G62" s="13"/>
      <c r="H62" s="13"/>
      <c r="I62" s="13"/>
      <c r="J62" s="13"/>
    </row>
    <row r="63" spans="1:11" ht="21.95" customHeight="1" x14ac:dyDescent="0.2">
      <c r="A63" s="9" t="s">
        <v>58</v>
      </c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">
      <c r="A64" s="89" t="s">
        <v>46</v>
      </c>
      <c r="B64" s="89" t="s">
        <v>23</v>
      </c>
      <c r="C64" s="11"/>
      <c r="D64" s="12"/>
      <c r="E64" s="18" t="s">
        <v>47</v>
      </c>
      <c r="F64" s="12"/>
      <c r="G64" s="12"/>
      <c r="H64" s="12"/>
      <c r="I64" s="12"/>
      <c r="J64" s="89" t="s">
        <v>86</v>
      </c>
    </row>
    <row r="65" spans="1:10" x14ac:dyDescent="0.2">
      <c r="A65" s="89" t="s">
        <v>80</v>
      </c>
      <c r="B65" s="89" t="s">
        <v>191</v>
      </c>
      <c r="C65" s="11"/>
      <c r="D65" s="90"/>
      <c r="E65" s="13"/>
      <c r="F65" s="13"/>
      <c r="G65" s="13"/>
      <c r="H65" s="13"/>
      <c r="I65" s="13"/>
      <c r="J65" s="13">
        <v>0.1</v>
      </c>
    </row>
    <row r="66" spans="1:10" x14ac:dyDescent="0.2">
      <c r="A66" s="89" t="s">
        <v>81</v>
      </c>
      <c r="B66" s="89"/>
      <c r="C66" s="11"/>
      <c r="D66" s="90"/>
      <c r="E66" s="13"/>
      <c r="F66" s="13"/>
      <c r="G66" s="13"/>
      <c r="H66" s="13"/>
      <c r="I66" s="13"/>
      <c r="J66" s="13">
        <v>0.08</v>
      </c>
    </row>
    <row r="67" spans="1:10" x14ac:dyDescent="0.2">
      <c r="A67" s="89" t="s">
        <v>82</v>
      </c>
      <c r="B67" s="89"/>
      <c r="C67" s="11"/>
      <c r="D67" s="90"/>
      <c r="E67" s="13"/>
      <c r="F67" s="13"/>
      <c r="G67" s="13"/>
      <c r="H67" s="13"/>
      <c r="I67" s="13"/>
      <c r="J67" s="13">
        <v>0.24</v>
      </c>
    </row>
    <row r="68" spans="1:10" x14ac:dyDescent="0.2">
      <c r="A68" s="89" t="s">
        <v>83</v>
      </c>
      <c r="B68" s="89"/>
      <c r="C68" s="11"/>
      <c r="D68" s="90"/>
      <c r="E68" s="13"/>
      <c r="F68" s="13"/>
      <c r="G68" s="13"/>
      <c r="H68" s="13"/>
      <c r="I68" s="13"/>
      <c r="J68" s="13"/>
    </row>
    <row r="69" spans="1:10" x14ac:dyDescent="0.2">
      <c r="A69" s="89" t="s">
        <v>84</v>
      </c>
      <c r="B69" s="89"/>
      <c r="C69" s="11"/>
      <c r="D69" s="90"/>
      <c r="E69" s="13"/>
      <c r="F69" s="13"/>
      <c r="G69" s="13"/>
      <c r="H69" s="13"/>
      <c r="I69" s="13"/>
      <c r="J69" s="13"/>
    </row>
    <row r="70" spans="1:10" x14ac:dyDescent="0.2">
      <c r="A70" s="89" t="s">
        <v>85</v>
      </c>
      <c r="B70" s="89"/>
      <c r="C70" s="11"/>
      <c r="D70" s="90"/>
      <c r="E70" s="13"/>
      <c r="F70" s="13"/>
      <c r="G70" s="13"/>
      <c r="H70" s="13"/>
      <c r="I70" s="13"/>
      <c r="J70" s="13"/>
    </row>
    <row r="71" spans="1:10" x14ac:dyDescent="0.2">
      <c r="A71" s="89" t="s">
        <v>202</v>
      </c>
      <c r="B71" s="89"/>
      <c r="C71" s="11"/>
      <c r="D71" s="90"/>
      <c r="E71" s="13"/>
      <c r="F71" s="13"/>
      <c r="G71" s="13"/>
      <c r="H71" s="13"/>
      <c r="I71" s="13"/>
      <c r="J71" s="13"/>
    </row>
    <row r="72" spans="1:10" x14ac:dyDescent="0.2">
      <c r="A72" s="89" t="s">
        <v>203</v>
      </c>
      <c r="B72" s="89"/>
      <c r="C72" s="11"/>
      <c r="D72" s="90"/>
      <c r="E72" s="13"/>
      <c r="F72" s="13"/>
      <c r="G72" s="13"/>
      <c r="H72" s="13"/>
      <c r="I72" s="13"/>
      <c r="J72" s="13"/>
    </row>
    <row r="73" spans="1:10" ht="15" customHeight="1" x14ac:dyDescent="0.2">
      <c r="A73" s="89" t="s">
        <v>204</v>
      </c>
      <c r="B73" s="89"/>
      <c r="C73" s="11"/>
      <c r="D73" s="90"/>
      <c r="E73" s="13"/>
      <c r="F73" s="13"/>
      <c r="G73" s="13"/>
      <c r="H73" s="13"/>
      <c r="I73" s="13"/>
      <c r="J73" s="13"/>
    </row>
    <row r="74" spans="1:10" x14ac:dyDescent="0.2">
      <c r="A74" s="89" t="s">
        <v>205</v>
      </c>
      <c r="B74" s="89"/>
      <c r="C74" s="11"/>
      <c r="D74" s="90"/>
      <c r="E74" s="13"/>
      <c r="F74" s="13"/>
      <c r="G74" s="13"/>
      <c r="H74" s="13"/>
      <c r="I74" s="13"/>
      <c r="J74" s="13"/>
    </row>
    <row r="75" spans="1:10" ht="15" customHeight="1" x14ac:dyDescent="0.2">
      <c r="A75" s="89" t="s">
        <v>206</v>
      </c>
      <c r="B75" s="89"/>
      <c r="C75" s="11"/>
      <c r="D75" s="90"/>
      <c r="E75" s="13"/>
      <c r="F75" s="13"/>
      <c r="G75" s="13"/>
      <c r="H75" s="13"/>
      <c r="I75" s="13"/>
      <c r="J75" s="13"/>
    </row>
    <row r="76" spans="1:10" x14ac:dyDescent="0.2">
      <c r="A76" s="89" t="s">
        <v>207</v>
      </c>
      <c r="B76" s="89"/>
      <c r="C76" s="11"/>
      <c r="D76" s="90"/>
      <c r="E76" s="13"/>
      <c r="F76" s="13"/>
      <c r="G76" s="13"/>
      <c r="H76" s="13"/>
      <c r="I76" s="13"/>
      <c r="J76" s="13"/>
    </row>
    <row r="77" spans="1:10" ht="15" customHeight="1" x14ac:dyDescent="0.2">
      <c r="A77" s="89" t="s">
        <v>208</v>
      </c>
      <c r="B77" s="89"/>
      <c r="C77" s="11"/>
      <c r="D77" s="90"/>
      <c r="E77" s="13"/>
      <c r="F77" s="13"/>
      <c r="G77" s="13"/>
      <c r="H77" s="13"/>
      <c r="I77" s="13"/>
      <c r="J77" s="13"/>
    </row>
    <row r="78" spans="1:10" x14ac:dyDescent="0.2">
      <c r="A78" s="89" t="s">
        <v>209</v>
      </c>
      <c r="B78" s="89"/>
      <c r="C78" s="11"/>
      <c r="D78" s="90"/>
      <c r="E78" s="13"/>
      <c r="F78" s="13"/>
      <c r="G78" s="13"/>
      <c r="H78" s="13"/>
      <c r="I78" s="13"/>
      <c r="J78" s="13"/>
    </row>
    <row r="79" spans="1:10" ht="15" customHeight="1" x14ac:dyDescent="0.2">
      <c r="A79" s="89" t="s">
        <v>210</v>
      </c>
      <c r="B79" s="89"/>
      <c r="C79" s="11"/>
      <c r="D79" s="90"/>
      <c r="E79" s="13"/>
      <c r="F79" s="13"/>
      <c r="G79" s="13"/>
      <c r="H79" s="13"/>
      <c r="I79" s="13"/>
      <c r="J79" s="13"/>
    </row>
    <row r="80" spans="1:10" ht="21.95" customHeight="1" x14ac:dyDescent="0.2"/>
    <row r="81" ht="21.95" customHeight="1" x14ac:dyDescent="0.2"/>
  </sheetData>
  <sheetProtection formatCells="0" formatColumns="0" formatRows="0" insertColumns="0" insertRows="0" deleteColumns="0" deleteRows="0"/>
  <phoneticPr fontId="2" type="noConversion"/>
  <pageMargins left="0.78740157480314965" right="0.39370078740157483" top="0.62992125984251968" bottom="0.62992125984251968" header="0.51181102362204722" footer="0.51181102362204722"/>
  <pageSetup paperSize="9" orientation="portrait" r:id="rId1"/>
  <headerFooter alignWithMargins="0">
    <oddHeader xml:space="preserve">&amp;R
</oddHeader>
    <oddFooter>&amp;L&amp;8Formulaire de calcul SIA 384.201&amp;C&amp;8Données du projet&amp;R&amp;8Page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79998168889431442"/>
  </sheetPr>
  <dimension ref="A1:S57"/>
  <sheetViews>
    <sheetView showGridLines="0" zoomScaleNormal="100" zoomScaleSheetLayoutView="100" workbookViewId="0">
      <selection activeCell="G24" sqref="G24"/>
    </sheetView>
  </sheetViews>
  <sheetFormatPr baseColWidth="10" defaultRowHeight="12.75" x14ac:dyDescent="0.2"/>
  <cols>
    <col min="1" max="1" width="8.140625" style="14" customWidth="1"/>
    <col min="2" max="2" width="4.85546875" style="14" customWidth="1"/>
    <col min="3" max="3" width="11.7109375" style="14" bestFit="1" customWidth="1"/>
    <col min="4" max="4" width="11.42578125" style="14" bestFit="1" customWidth="1"/>
    <col min="5" max="6" width="8.140625" style="14" customWidth="1"/>
    <col min="7" max="7" width="9.7109375" style="14" bestFit="1" customWidth="1"/>
    <col min="8" max="8" width="8.42578125" style="14" customWidth="1"/>
    <col min="9" max="22" width="8.140625" style="14" customWidth="1"/>
    <col min="23" max="16384" width="11.42578125" style="14"/>
  </cols>
  <sheetData>
    <row r="1" spans="1:19" s="10" customFormat="1" ht="18.75" customHeight="1" x14ac:dyDescent="0.2">
      <c r="A1" s="9" t="s">
        <v>88</v>
      </c>
      <c r="B1" s="9"/>
      <c r="C1" s="9" t="s">
        <v>23</v>
      </c>
      <c r="D1" s="9" t="s">
        <v>89</v>
      </c>
      <c r="F1" s="1"/>
      <c r="G1" s="472" t="s">
        <v>30</v>
      </c>
      <c r="H1" s="472"/>
      <c r="I1" s="472"/>
      <c r="J1" s="472"/>
      <c r="K1" s="472"/>
      <c r="L1" s="96" t="s">
        <v>111</v>
      </c>
      <c r="M1" s="96"/>
      <c r="N1" s="96"/>
      <c r="O1" s="96"/>
      <c r="P1" s="96"/>
      <c r="Q1" s="1"/>
      <c r="R1" s="1"/>
      <c r="S1" s="1"/>
    </row>
    <row r="2" spans="1:19" s="10" customFormat="1" x14ac:dyDescent="0.2">
      <c r="A2" s="9"/>
      <c r="B2" s="9"/>
      <c r="C2" s="9"/>
      <c r="D2" s="9"/>
      <c r="F2" s="1"/>
      <c r="G2" s="456" t="s">
        <v>259</v>
      </c>
      <c r="H2" s="456" t="s">
        <v>260</v>
      </c>
      <c r="I2" s="456" t="s">
        <v>261</v>
      </c>
      <c r="J2" s="456" t="s">
        <v>262</v>
      </c>
      <c r="K2" s="456" t="s">
        <v>263</v>
      </c>
      <c r="L2" s="96"/>
      <c r="M2" s="96"/>
      <c r="N2" s="96"/>
      <c r="O2" s="96"/>
      <c r="P2" s="96"/>
      <c r="Q2" s="1"/>
      <c r="R2" s="1"/>
      <c r="S2" s="1"/>
    </row>
    <row r="3" spans="1:19" s="10" customFormat="1" x14ac:dyDescent="0.2">
      <c r="A3" s="9"/>
      <c r="B3" s="9"/>
      <c r="C3" s="9"/>
      <c r="D3" s="9"/>
      <c r="F3" s="1"/>
      <c r="G3" s="334" t="s">
        <v>0</v>
      </c>
      <c r="H3" s="334" t="s">
        <v>7</v>
      </c>
      <c r="I3" s="334" t="s">
        <v>1</v>
      </c>
      <c r="J3" s="334" t="s">
        <v>8</v>
      </c>
      <c r="K3" s="334" t="s">
        <v>21</v>
      </c>
      <c r="L3" s="96"/>
      <c r="M3" s="96"/>
      <c r="N3" s="96"/>
      <c r="O3" s="96"/>
      <c r="P3" s="96"/>
      <c r="Q3" s="1"/>
      <c r="R3" s="1"/>
      <c r="S3" s="1"/>
    </row>
    <row r="4" spans="1:19" s="10" customFormat="1" x14ac:dyDescent="0.2">
      <c r="A4" s="9"/>
      <c r="B4" s="9"/>
      <c r="C4" s="9"/>
      <c r="D4" s="9"/>
      <c r="F4" s="1"/>
      <c r="G4" s="457" t="s">
        <v>3</v>
      </c>
      <c r="H4" s="457" t="s">
        <v>3</v>
      </c>
      <c r="I4" s="457" t="s">
        <v>197</v>
      </c>
      <c r="J4" s="457" t="s">
        <v>3</v>
      </c>
      <c r="K4" s="457" t="s">
        <v>264</v>
      </c>
      <c r="L4" s="96"/>
      <c r="M4" s="96"/>
      <c r="N4" s="96"/>
      <c r="O4" s="96"/>
      <c r="P4" s="96"/>
      <c r="Q4" s="1"/>
      <c r="R4" s="1"/>
      <c r="S4" s="1"/>
    </row>
    <row r="5" spans="1:19" s="12" customFormat="1" x14ac:dyDescent="0.2">
      <c r="A5" s="90" t="s">
        <v>90</v>
      </c>
      <c r="B5" s="90"/>
      <c r="C5" s="90" t="s">
        <v>91</v>
      </c>
      <c r="D5" s="445" t="s">
        <v>273</v>
      </c>
      <c r="E5" s="90"/>
      <c r="F5" s="90"/>
      <c r="G5" s="237">
        <v>2</v>
      </c>
      <c r="H5" s="237">
        <v>4</v>
      </c>
      <c r="I5" s="13">
        <f>H5*G5</f>
        <v>8</v>
      </c>
      <c r="J5" s="237">
        <v>2.5</v>
      </c>
      <c r="K5" s="13">
        <f>I5*J5</f>
        <v>20</v>
      </c>
    </row>
    <row r="6" spans="1:19" s="12" customFormat="1" x14ac:dyDescent="0.2">
      <c r="A6" s="90" t="s">
        <v>90</v>
      </c>
      <c r="B6" s="90"/>
      <c r="C6" s="90" t="s">
        <v>43</v>
      </c>
      <c r="D6" s="445" t="s">
        <v>274</v>
      </c>
      <c r="F6" s="13"/>
      <c r="G6" s="13">
        <v>8</v>
      </c>
      <c r="H6" s="13">
        <v>12</v>
      </c>
      <c r="I6" s="13">
        <v>20</v>
      </c>
      <c r="J6" s="13"/>
      <c r="K6" s="13"/>
    </row>
    <row r="7" spans="1:19" s="12" customFormat="1" x14ac:dyDescent="0.2">
      <c r="A7" s="90" t="s">
        <v>90</v>
      </c>
      <c r="B7" s="90"/>
      <c r="C7" s="90" t="s">
        <v>272</v>
      </c>
      <c r="D7" s="445" t="s">
        <v>275</v>
      </c>
      <c r="E7" s="90"/>
      <c r="F7" s="13"/>
      <c r="G7" s="13">
        <v>1</v>
      </c>
      <c r="H7" s="13">
        <v>6</v>
      </c>
      <c r="I7" s="13">
        <v>30</v>
      </c>
      <c r="J7" s="13"/>
      <c r="K7" s="13"/>
    </row>
    <row r="8" spans="1:19" s="12" customFormat="1" x14ac:dyDescent="0.2">
      <c r="A8" s="90" t="s">
        <v>90</v>
      </c>
      <c r="B8" s="90"/>
      <c r="C8" s="90" t="s">
        <v>270</v>
      </c>
      <c r="D8" s="445" t="s">
        <v>276</v>
      </c>
      <c r="E8" s="90"/>
      <c r="F8" s="13"/>
      <c r="G8" s="13"/>
      <c r="H8" s="13"/>
      <c r="I8" s="13">
        <v>40</v>
      </c>
      <c r="J8" s="13"/>
      <c r="K8" s="13"/>
    </row>
    <row r="9" spans="1:19" s="12" customFormat="1" x14ac:dyDescent="0.2">
      <c r="A9" s="90" t="s">
        <v>90</v>
      </c>
      <c r="B9" s="90"/>
      <c r="C9" s="90" t="s">
        <v>271</v>
      </c>
      <c r="D9" s="445" t="s">
        <v>277</v>
      </c>
      <c r="E9" s="13"/>
      <c r="F9" s="13"/>
      <c r="G9" s="13"/>
      <c r="H9" s="13"/>
      <c r="I9" s="13">
        <v>50</v>
      </c>
      <c r="J9" s="13"/>
      <c r="K9" s="13"/>
    </row>
    <row r="10" spans="1:19" s="12" customFormat="1" ht="12" x14ac:dyDescent="0.2">
      <c r="A10" s="90"/>
      <c r="B10" s="90"/>
      <c r="C10" s="13"/>
      <c r="D10" s="90"/>
      <c r="E10" s="13"/>
      <c r="F10" s="13"/>
      <c r="G10" s="13"/>
      <c r="H10" s="13"/>
      <c r="I10" s="13"/>
      <c r="J10" s="13"/>
      <c r="K10" s="13"/>
    </row>
    <row r="11" spans="1:19" s="12" customFormat="1" ht="12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9" s="12" customFormat="1" x14ac:dyDescent="0.2">
      <c r="A12" s="91"/>
      <c r="B12" s="92"/>
      <c r="C12" s="92"/>
      <c r="D12" s="92"/>
      <c r="E12" s="92"/>
      <c r="F12" s="92"/>
      <c r="G12" s="92"/>
      <c r="H12" s="92"/>
      <c r="I12" s="92"/>
      <c r="J12" s="92"/>
      <c r="K12" s="13"/>
    </row>
    <row r="13" spans="1:19" s="10" customFormat="1" x14ac:dyDescent="0.2">
      <c r="A13" s="90"/>
      <c r="B13" s="90"/>
      <c r="C13" s="13"/>
      <c r="D13" s="13"/>
      <c r="E13" s="90"/>
      <c r="F13" s="13"/>
      <c r="G13" s="13"/>
      <c r="H13" s="13"/>
      <c r="I13" s="13"/>
      <c r="J13" s="90"/>
      <c r="K13" s="92"/>
    </row>
    <row r="14" spans="1:19" s="12" customFormat="1" ht="12" x14ac:dyDescent="0.2">
      <c r="A14" s="90"/>
      <c r="B14" s="90"/>
      <c r="C14" s="13"/>
      <c r="D14" s="90"/>
      <c r="E14" s="13"/>
      <c r="F14" s="13"/>
      <c r="G14" s="13"/>
      <c r="H14" s="13"/>
      <c r="I14" s="13"/>
      <c r="J14" s="13"/>
      <c r="K14" s="13"/>
    </row>
    <row r="15" spans="1:19" s="12" customFormat="1" ht="12" x14ac:dyDescent="0.2">
      <c r="A15" s="90"/>
      <c r="B15" s="90"/>
      <c r="C15" s="13"/>
      <c r="D15" s="90"/>
      <c r="E15" s="13"/>
      <c r="F15" s="13"/>
      <c r="G15" s="13"/>
      <c r="H15" s="13"/>
      <c r="I15" s="13"/>
      <c r="J15" s="13"/>
      <c r="K15" s="13"/>
    </row>
    <row r="16" spans="1:19" s="12" customFormat="1" ht="12" x14ac:dyDescent="0.2">
      <c r="A16" s="90"/>
      <c r="B16" s="90"/>
      <c r="C16" s="13"/>
      <c r="D16" s="90"/>
      <c r="E16" s="13"/>
      <c r="F16" s="13"/>
      <c r="G16" s="13"/>
      <c r="H16" s="13"/>
      <c r="I16" s="13"/>
      <c r="J16" s="13"/>
      <c r="K16" s="13"/>
    </row>
    <row r="17" spans="1:11" s="12" customFormat="1" ht="12" x14ac:dyDescent="0.2">
      <c r="A17" s="90"/>
      <c r="B17" s="90"/>
      <c r="C17" s="13"/>
      <c r="D17" s="90"/>
      <c r="E17" s="13"/>
      <c r="F17" s="13"/>
      <c r="G17" s="13"/>
      <c r="H17" s="13"/>
      <c r="I17" s="13"/>
      <c r="J17" s="13"/>
      <c r="K17" s="13"/>
    </row>
    <row r="18" spans="1:11" s="12" customFormat="1" ht="12" x14ac:dyDescent="0.2">
      <c r="A18" s="90"/>
      <c r="B18" s="90"/>
      <c r="C18" s="13"/>
      <c r="D18" s="90"/>
      <c r="E18" s="13"/>
      <c r="F18" s="13"/>
      <c r="G18" s="13"/>
      <c r="H18" s="13"/>
      <c r="I18" s="13"/>
      <c r="J18" s="13"/>
      <c r="K18" s="13"/>
    </row>
    <row r="19" spans="1:11" s="12" customFormat="1" ht="12" x14ac:dyDescent="0.2">
      <c r="A19" s="90"/>
      <c r="B19" s="90"/>
      <c r="C19" s="13"/>
      <c r="D19" s="90"/>
      <c r="E19" s="13"/>
      <c r="F19" s="13"/>
      <c r="G19" s="13"/>
      <c r="H19" s="13"/>
      <c r="I19" s="13"/>
      <c r="J19" s="13"/>
      <c r="K19" s="13"/>
    </row>
    <row r="20" spans="1:11" s="10" customFormat="1" x14ac:dyDescent="0.2">
      <c r="A20" s="91"/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1" s="12" customFormat="1" x14ac:dyDescent="0.2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13"/>
    </row>
    <row r="22" spans="1:11" s="12" customFormat="1" ht="12" x14ac:dyDescent="0.2">
      <c r="A22" s="90"/>
      <c r="B22" s="90"/>
      <c r="C22" s="13"/>
      <c r="D22" s="13"/>
      <c r="E22" s="90"/>
      <c r="F22" s="13"/>
      <c r="G22" s="13"/>
      <c r="H22" s="13"/>
      <c r="I22" s="13"/>
      <c r="J22" s="90"/>
      <c r="K22" s="13"/>
    </row>
    <row r="23" spans="1:11" s="12" customFormat="1" ht="12" x14ac:dyDescent="0.2">
      <c r="A23" s="90"/>
      <c r="B23" s="90"/>
      <c r="C23" s="13"/>
      <c r="D23" s="90"/>
      <c r="E23" s="13"/>
      <c r="F23" s="13"/>
      <c r="G23" s="13"/>
      <c r="H23" s="13"/>
      <c r="I23" s="13"/>
      <c r="J23" s="13"/>
      <c r="K23" s="13"/>
    </row>
    <row r="24" spans="1:11" s="12" customFormat="1" ht="12" x14ac:dyDescent="0.2">
      <c r="A24" s="90"/>
      <c r="B24" s="90"/>
      <c r="C24" s="13"/>
      <c r="D24" s="90"/>
      <c r="E24" s="13"/>
      <c r="F24" s="13"/>
      <c r="G24" s="13"/>
      <c r="H24" s="13"/>
      <c r="I24" s="13"/>
      <c r="J24" s="13"/>
      <c r="K24" s="13"/>
    </row>
    <row r="25" spans="1:11" s="12" customFormat="1" ht="12" x14ac:dyDescent="0.2">
      <c r="A25" s="90"/>
      <c r="B25" s="90"/>
      <c r="C25" s="13"/>
      <c r="D25" s="90"/>
      <c r="E25" s="13"/>
      <c r="F25" s="13"/>
      <c r="G25" s="13"/>
      <c r="H25" s="13"/>
      <c r="I25" s="13"/>
      <c r="J25" s="13"/>
      <c r="K25" s="13"/>
    </row>
    <row r="26" spans="1:11" s="12" customFormat="1" ht="12" x14ac:dyDescent="0.2">
      <c r="A26" s="90"/>
      <c r="B26" s="90"/>
      <c r="C26" s="13"/>
      <c r="D26" s="90"/>
      <c r="E26" s="13"/>
      <c r="F26" s="13"/>
      <c r="G26" s="13"/>
      <c r="H26" s="13"/>
      <c r="I26" s="13"/>
      <c r="J26" s="13"/>
      <c r="K26" s="13"/>
    </row>
    <row r="27" spans="1:11" s="10" customFormat="1" x14ac:dyDescent="0.2">
      <c r="A27" s="90"/>
      <c r="B27" s="90"/>
      <c r="C27" s="13"/>
      <c r="D27" s="90"/>
      <c r="E27" s="13"/>
      <c r="F27" s="13"/>
      <c r="G27" s="13"/>
      <c r="H27" s="13"/>
      <c r="I27" s="13"/>
      <c r="J27" s="13"/>
      <c r="K27" s="92"/>
    </row>
    <row r="28" spans="1:11" s="12" customFormat="1" ht="12" x14ac:dyDescent="0.2">
      <c r="A28" s="90"/>
      <c r="B28" s="90"/>
      <c r="C28" s="13"/>
      <c r="D28" s="90"/>
      <c r="E28" s="13"/>
      <c r="F28" s="13"/>
      <c r="G28" s="13"/>
      <c r="H28" s="13"/>
      <c r="I28" s="13"/>
      <c r="J28" s="13"/>
      <c r="K28" s="13"/>
    </row>
    <row r="29" spans="1:11" s="12" customFormat="1" ht="12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s="12" customFormat="1" x14ac:dyDescent="0.2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13"/>
    </row>
    <row r="31" spans="1:11" s="12" customFormat="1" ht="12" x14ac:dyDescent="0.2">
      <c r="A31" s="90"/>
      <c r="B31" s="90"/>
      <c r="C31" s="13"/>
      <c r="D31" s="13"/>
      <c r="E31" s="90"/>
      <c r="F31" s="13"/>
      <c r="G31" s="13"/>
      <c r="H31" s="13"/>
      <c r="I31" s="13"/>
      <c r="J31" s="90"/>
      <c r="K31" s="13"/>
    </row>
    <row r="32" spans="1:11" s="12" customFormat="1" ht="12" x14ac:dyDescent="0.2">
      <c r="A32" s="90"/>
      <c r="B32" s="90"/>
      <c r="C32" s="13"/>
      <c r="D32" s="90"/>
      <c r="E32" s="13"/>
      <c r="F32" s="13"/>
      <c r="G32" s="13"/>
      <c r="H32" s="13"/>
      <c r="I32" s="13"/>
      <c r="J32" s="13"/>
      <c r="K32" s="13"/>
    </row>
    <row r="33" spans="1:11" s="12" customFormat="1" ht="12" x14ac:dyDescent="0.2">
      <c r="A33" s="90"/>
      <c r="B33" s="90"/>
      <c r="C33" s="13"/>
      <c r="D33" s="90"/>
      <c r="E33" s="13"/>
      <c r="F33" s="13"/>
      <c r="G33" s="13"/>
      <c r="H33" s="13"/>
      <c r="I33" s="13"/>
      <c r="J33" s="13"/>
      <c r="K33" s="13"/>
    </row>
    <row r="34" spans="1:11" s="12" customFormat="1" ht="12" x14ac:dyDescent="0.2">
      <c r="A34" s="90"/>
      <c r="B34" s="90"/>
      <c r="C34" s="13"/>
      <c r="D34" s="90"/>
      <c r="E34" s="13"/>
      <c r="F34" s="13"/>
      <c r="G34" s="13"/>
      <c r="H34" s="13"/>
      <c r="I34" s="13"/>
      <c r="J34" s="13"/>
      <c r="K34" s="13"/>
    </row>
    <row r="35" spans="1:11" s="12" customFormat="1" ht="12" x14ac:dyDescent="0.2">
      <c r="A35" s="90"/>
      <c r="B35" s="90"/>
      <c r="C35" s="13"/>
      <c r="D35" s="90"/>
      <c r="E35" s="13"/>
      <c r="F35" s="13"/>
      <c r="G35" s="13"/>
      <c r="H35" s="13"/>
      <c r="I35" s="13"/>
      <c r="J35" s="13"/>
      <c r="K35" s="13"/>
    </row>
    <row r="36" spans="1:11" s="12" customFormat="1" x14ac:dyDescent="0.2">
      <c r="A36" s="90"/>
      <c r="B36" s="90"/>
      <c r="C36" s="13"/>
      <c r="D36" s="90"/>
      <c r="E36" s="13"/>
      <c r="F36" s="13"/>
      <c r="G36" s="13"/>
      <c r="H36" s="13"/>
      <c r="I36" s="13"/>
      <c r="J36" s="13"/>
      <c r="K36" s="92"/>
    </row>
    <row r="37" spans="1:11" s="12" customFormat="1" ht="12" x14ac:dyDescent="0.2">
      <c r="A37" s="90"/>
      <c r="B37" s="90"/>
      <c r="C37" s="13"/>
      <c r="D37" s="90"/>
      <c r="E37" s="13"/>
      <c r="F37" s="13"/>
      <c r="G37" s="13"/>
      <c r="H37" s="13"/>
      <c r="I37" s="13"/>
      <c r="J37" s="13"/>
      <c r="K37" s="13"/>
    </row>
    <row r="38" spans="1:11" s="12" customFormat="1" x14ac:dyDescent="0.2">
      <c r="A38" s="13"/>
      <c r="B38" s="13"/>
      <c r="C38" s="13"/>
      <c r="D38" s="93"/>
      <c r="E38" s="13"/>
      <c r="F38" s="13"/>
      <c r="G38" s="13"/>
      <c r="H38" s="13"/>
      <c r="I38" s="13"/>
      <c r="J38" s="13"/>
      <c r="K38" s="13"/>
    </row>
    <row r="39" spans="1:11" x14ac:dyDescent="0.2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3"/>
    </row>
    <row r="40" spans="1:11" x14ac:dyDescent="0.2">
      <c r="A40" s="90"/>
      <c r="B40" s="90"/>
      <c r="C40" s="13"/>
      <c r="D40" s="13"/>
      <c r="E40" s="90"/>
      <c r="F40" s="13"/>
      <c r="G40" s="13"/>
      <c r="H40" s="13"/>
      <c r="I40" s="13"/>
      <c r="J40" s="90"/>
      <c r="K40" s="93"/>
    </row>
    <row r="41" spans="1:11" x14ac:dyDescent="0.2">
      <c r="A41" s="90"/>
      <c r="B41" s="90"/>
      <c r="C41" s="13"/>
      <c r="D41" s="90"/>
      <c r="E41" s="13"/>
      <c r="F41" s="13"/>
      <c r="G41" s="13"/>
      <c r="H41" s="13"/>
      <c r="I41" s="13"/>
      <c r="J41" s="13"/>
      <c r="K41" s="93"/>
    </row>
    <row r="42" spans="1:11" x14ac:dyDescent="0.2">
      <c r="A42" s="90"/>
      <c r="B42" s="90"/>
      <c r="C42" s="13"/>
      <c r="D42" s="90"/>
      <c r="E42" s="13"/>
      <c r="F42" s="13"/>
      <c r="G42" s="13"/>
      <c r="H42" s="13"/>
      <c r="I42" s="13"/>
      <c r="J42" s="13"/>
      <c r="K42" s="93"/>
    </row>
    <row r="43" spans="1:11" x14ac:dyDescent="0.2">
      <c r="A43" s="90"/>
      <c r="B43" s="90"/>
      <c r="C43" s="13"/>
      <c r="D43" s="90"/>
      <c r="E43" s="13"/>
      <c r="F43" s="13"/>
      <c r="G43" s="13"/>
      <c r="H43" s="13"/>
      <c r="I43" s="13"/>
      <c r="J43" s="13"/>
      <c r="K43" s="93"/>
    </row>
    <row r="44" spans="1:11" x14ac:dyDescent="0.2">
      <c r="A44" s="90"/>
      <c r="B44" s="90"/>
      <c r="C44" s="13"/>
      <c r="D44" s="90"/>
      <c r="E44" s="13"/>
      <c r="F44" s="13"/>
      <c r="G44" s="13"/>
      <c r="H44" s="13"/>
      <c r="I44" s="13"/>
      <c r="J44" s="13"/>
      <c r="K44" s="93"/>
    </row>
    <row r="45" spans="1:11" x14ac:dyDescent="0.2">
      <c r="A45" s="90"/>
      <c r="B45" s="90"/>
      <c r="C45" s="13"/>
      <c r="D45" s="90"/>
      <c r="E45" s="13"/>
      <c r="F45" s="13"/>
      <c r="G45" s="13"/>
      <c r="H45" s="13"/>
      <c r="I45" s="13"/>
      <c r="J45" s="13"/>
      <c r="K45" s="93"/>
    </row>
    <row r="46" spans="1:11" x14ac:dyDescent="0.2">
      <c r="A46" s="90"/>
      <c r="B46" s="90"/>
      <c r="C46" s="13"/>
      <c r="D46" s="90"/>
      <c r="E46" s="13"/>
      <c r="F46" s="13"/>
      <c r="G46" s="13"/>
      <c r="H46" s="13"/>
      <c r="I46" s="13"/>
      <c r="J46" s="13"/>
      <c r="K46" s="93"/>
    </row>
    <row r="47" spans="1:11" x14ac:dyDescent="0.2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</row>
    <row r="48" spans="1:11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</row>
    <row r="49" spans="1:11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</row>
    <row r="50" spans="1:11" x14ac:dyDescent="0.2">
      <c r="K50" s="14">
        <f>SUM(K5:K49)</f>
        <v>20</v>
      </c>
    </row>
    <row r="52" spans="1:11" ht="21.95" customHeight="1" x14ac:dyDescent="0.2"/>
    <row r="53" spans="1:11" ht="21.95" customHeight="1" x14ac:dyDescent="0.2"/>
    <row r="54" spans="1:11" ht="21.95" customHeight="1" x14ac:dyDescent="0.2"/>
    <row r="55" spans="1:11" ht="21.95" customHeight="1" x14ac:dyDescent="0.2"/>
    <row r="56" spans="1:11" ht="21.95" customHeight="1" x14ac:dyDescent="0.2"/>
    <row r="57" spans="1:11" ht="21.95" customHeight="1" x14ac:dyDescent="0.2"/>
  </sheetData>
  <sheetProtection formatCells="0" formatColumns="0" formatRows="0" insertColumns="0" insertRows="0" deleteColumns="0" deleteRows="0"/>
  <mergeCells count="1">
    <mergeCell ref="G1:K1"/>
  </mergeCells>
  <hyperlinks>
    <hyperlink ref="D5" location="'BR1'!A1" display="BR1"/>
    <hyperlink ref="D6" location="'Cui1'!A1" display="Cui1"/>
    <hyperlink ref="D7" location="'CH1'!A1" display="CH1"/>
    <hyperlink ref="D8" location="'Sej1'!A1" display="Sej1"/>
    <hyperlink ref="D9" location="'CH2'!A1" display="CH2"/>
  </hyperlinks>
  <pageMargins left="0.78740157480314965" right="0.39370078740157483" top="0.62992125984251968" bottom="0.62992125984251968" header="0.51181102362204722" footer="0.51181102362204722"/>
  <pageSetup paperSize="9" orientation="portrait" r:id="rId1"/>
  <headerFooter alignWithMargins="0">
    <oddHeader xml:space="preserve">&amp;R
</oddHeader>
    <oddFooter>&amp;L&amp;8Formulaire de calcul SIA 384.201&amp;C&amp;8Données du projet&amp;R&amp;8Page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79998168889431442"/>
    <pageSetUpPr fitToPage="1"/>
  </sheetPr>
  <dimension ref="A1:Y23"/>
  <sheetViews>
    <sheetView showGridLines="0" showZeros="0" tabSelected="1" zoomScaleNormal="100" zoomScaleSheetLayoutView="100" workbookViewId="0">
      <selection activeCell="T8" sqref="T8"/>
    </sheetView>
  </sheetViews>
  <sheetFormatPr baseColWidth="10" defaultRowHeight="12.75" x14ac:dyDescent="0.2"/>
  <cols>
    <col min="1" max="5" width="5.85546875" style="409" customWidth="1"/>
    <col min="6" max="6" width="6.7109375" style="409" customWidth="1"/>
    <col min="7" max="7" width="6.28515625" style="409" customWidth="1"/>
    <col min="8" max="10" width="5.85546875" style="409" customWidth="1"/>
    <col min="11" max="13" width="6" style="409" customWidth="1"/>
    <col min="14" max="14" width="6.42578125" style="409" customWidth="1"/>
    <col min="15" max="16" width="6" style="409" customWidth="1"/>
    <col min="17" max="17" width="6.5703125" style="409" customWidth="1"/>
    <col min="18" max="18" width="6.42578125" style="409" customWidth="1"/>
    <col min="19" max="23" width="5.85546875" style="409" customWidth="1"/>
    <col min="24" max="24" width="5.28515625" style="409" customWidth="1"/>
    <col min="25" max="256" width="11.42578125" style="409"/>
    <col min="257" max="261" width="5.85546875" style="409" customWidth="1"/>
    <col min="262" max="262" width="6.7109375" style="409" customWidth="1"/>
    <col min="263" max="263" width="6.28515625" style="409" customWidth="1"/>
    <col min="264" max="266" width="5.85546875" style="409" customWidth="1"/>
    <col min="267" max="269" width="6" style="409" customWidth="1"/>
    <col min="270" max="270" width="6.42578125" style="409" customWidth="1"/>
    <col min="271" max="272" width="6" style="409" customWidth="1"/>
    <col min="273" max="273" width="6.5703125" style="409" customWidth="1"/>
    <col min="274" max="274" width="6.42578125" style="409" customWidth="1"/>
    <col min="275" max="279" width="5.85546875" style="409" customWidth="1"/>
    <col min="280" max="280" width="5.28515625" style="409" customWidth="1"/>
    <col min="281" max="512" width="11.42578125" style="409"/>
    <col min="513" max="517" width="5.85546875" style="409" customWidth="1"/>
    <col min="518" max="518" width="6.7109375" style="409" customWidth="1"/>
    <col min="519" max="519" width="6.28515625" style="409" customWidth="1"/>
    <col min="520" max="522" width="5.85546875" style="409" customWidth="1"/>
    <col min="523" max="525" width="6" style="409" customWidth="1"/>
    <col min="526" max="526" width="6.42578125" style="409" customWidth="1"/>
    <col min="527" max="528" width="6" style="409" customWidth="1"/>
    <col min="529" max="529" width="6.5703125" style="409" customWidth="1"/>
    <col min="530" max="530" width="6.42578125" style="409" customWidth="1"/>
    <col min="531" max="535" width="5.85546875" style="409" customWidth="1"/>
    <col min="536" max="536" width="5.28515625" style="409" customWidth="1"/>
    <col min="537" max="768" width="11.42578125" style="409"/>
    <col min="769" max="773" width="5.85546875" style="409" customWidth="1"/>
    <col min="774" max="774" width="6.7109375" style="409" customWidth="1"/>
    <col min="775" max="775" width="6.28515625" style="409" customWidth="1"/>
    <col min="776" max="778" width="5.85546875" style="409" customWidth="1"/>
    <col min="779" max="781" width="6" style="409" customWidth="1"/>
    <col min="782" max="782" width="6.42578125" style="409" customWidth="1"/>
    <col min="783" max="784" width="6" style="409" customWidth="1"/>
    <col min="785" max="785" width="6.5703125" style="409" customWidth="1"/>
    <col min="786" max="786" width="6.42578125" style="409" customWidth="1"/>
    <col min="787" max="791" width="5.85546875" style="409" customWidth="1"/>
    <col min="792" max="792" width="5.28515625" style="409" customWidth="1"/>
    <col min="793" max="1024" width="11.42578125" style="409"/>
    <col min="1025" max="1029" width="5.85546875" style="409" customWidth="1"/>
    <col min="1030" max="1030" width="6.7109375" style="409" customWidth="1"/>
    <col min="1031" max="1031" width="6.28515625" style="409" customWidth="1"/>
    <col min="1032" max="1034" width="5.85546875" style="409" customWidth="1"/>
    <col min="1035" max="1037" width="6" style="409" customWidth="1"/>
    <col min="1038" max="1038" width="6.42578125" style="409" customWidth="1"/>
    <col min="1039" max="1040" width="6" style="409" customWidth="1"/>
    <col min="1041" max="1041" width="6.5703125" style="409" customWidth="1"/>
    <col min="1042" max="1042" width="6.42578125" style="409" customWidth="1"/>
    <col min="1043" max="1047" width="5.85546875" style="409" customWidth="1"/>
    <col min="1048" max="1048" width="5.28515625" style="409" customWidth="1"/>
    <col min="1049" max="1280" width="11.42578125" style="409"/>
    <col min="1281" max="1285" width="5.85546875" style="409" customWidth="1"/>
    <col min="1286" max="1286" width="6.7109375" style="409" customWidth="1"/>
    <col min="1287" max="1287" width="6.28515625" style="409" customWidth="1"/>
    <col min="1288" max="1290" width="5.85546875" style="409" customWidth="1"/>
    <col min="1291" max="1293" width="6" style="409" customWidth="1"/>
    <col min="1294" max="1294" width="6.42578125" style="409" customWidth="1"/>
    <col min="1295" max="1296" width="6" style="409" customWidth="1"/>
    <col min="1297" max="1297" width="6.5703125" style="409" customWidth="1"/>
    <col min="1298" max="1298" width="6.42578125" style="409" customWidth="1"/>
    <col min="1299" max="1303" width="5.85546875" style="409" customWidth="1"/>
    <col min="1304" max="1304" width="5.28515625" style="409" customWidth="1"/>
    <col min="1305" max="1536" width="11.42578125" style="409"/>
    <col min="1537" max="1541" width="5.85546875" style="409" customWidth="1"/>
    <col min="1542" max="1542" width="6.7109375" style="409" customWidth="1"/>
    <col min="1543" max="1543" width="6.28515625" style="409" customWidth="1"/>
    <col min="1544" max="1546" width="5.85546875" style="409" customWidth="1"/>
    <col min="1547" max="1549" width="6" style="409" customWidth="1"/>
    <col min="1550" max="1550" width="6.42578125" style="409" customWidth="1"/>
    <col min="1551" max="1552" width="6" style="409" customWidth="1"/>
    <col min="1553" max="1553" width="6.5703125" style="409" customWidth="1"/>
    <col min="1554" max="1554" width="6.42578125" style="409" customWidth="1"/>
    <col min="1555" max="1559" width="5.85546875" style="409" customWidth="1"/>
    <col min="1560" max="1560" width="5.28515625" style="409" customWidth="1"/>
    <col min="1561" max="1792" width="11.42578125" style="409"/>
    <col min="1793" max="1797" width="5.85546875" style="409" customWidth="1"/>
    <col min="1798" max="1798" width="6.7109375" style="409" customWidth="1"/>
    <col min="1799" max="1799" width="6.28515625" style="409" customWidth="1"/>
    <col min="1800" max="1802" width="5.85546875" style="409" customWidth="1"/>
    <col min="1803" max="1805" width="6" style="409" customWidth="1"/>
    <col min="1806" max="1806" width="6.42578125" style="409" customWidth="1"/>
    <col min="1807" max="1808" width="6" style="409" customWidth="1"/>
    <col min="1809" max="1809" width="6.5703125" style="409" customWidth="1"/>
    <col min="1810" max="1810" width="6.42578125" style="409" customWidth="1"/>
    <col min="1811" max="1815" width="5.85546875" style="409" customWidth="1"/>
    <col min="1816" max="1816" width="5.28515625" style="409" customWidth="1"/>
    <col min="1817" max="2048" width="11.42578125" style="409"/>
    <col min="2049" max="2053" width="5.85546875" style="409" customWidth="1"/>
    <col min="2054" max="2054" width="6.7109375" style="409" customWidth="1"/>
    <col min="2055" max="2055" width="6.28515625" style="409" customWidth="1"/>
    <col min="2056" max="2058" width="5.85546875" style="409" customWidth="1"/>
    <col min="2059" max="2061" width="6" style="409" customWidth="1"/>
    <col min="2062" max="2062" width="6.42578125" style="409" customWidth="1"/>
    <col min="2063" max="2064" width="6" style="409" customWidth="1"/>
    <col min="2065" max="2065" width="6.5703125" style="409" customWidth="1"/>
    <col min="2066" max="2066" width="6.42578125" style="409" customWidth="1"/>
    <col min="2067" max="2071" width="5.85546875" style="409" customWidth="1"/>
    <col min="2072" max="2072" width="5.28515625" style="409" customWidth="1"/>
    <col min="2073" max="2304" width="11.42578125" style="409"/>
    <col min="2305" max="2309" width="5.85546875" style="409" customWidth="1"/>
    <col min="2310" max="2310" width="6.7109375" style="409" customWidth="1"/>
    <col min="2311" max="2311" width="6.28515625" style="409" customWidth="1"/>
    <col min="2312" max="2314" width="5.85546875" style="409" customWidth="1"/>
    <col min="2315" max="2317" width="6" style="409" customWidth="1"/>
    <col min="2318" max="2318" width="6.42578125" style="409" customWidth="1"/>
    <col min="2319" max="2320" width="6" style="409" customWidth="1"/>
    <col min="2321" max="2321" width="6.5703125" style="409" customWidth="1"/>
    <col min="2322" max="2322" width="6.42578125" style="409" customWidth="1"/>
    <col min="2323" max="2327" width="5.85546875" style="409" customWidth="1"/>
    <col min="2328" max="2328" width="5.28515625" style="409" customWidth="1"/>
    <col min="2329" max="2560" width="11.42578125" style="409"/>
    <col min="2561" max="2565" width="5.85546875" style="409" customWidth="1"/>
    <col min="2566" max="2566" width="6.7109375" style="409" customWidth="1"/>
    <col min="2567" max="2567" width="6.28515625" style="409" customWidth="1"/>
    <col min="2568" max="2570" width="5.85546875" style="409" customWidth="1"/>
    <col min="2571" max="2573" width="6" style="409" customWidth="1"/>
    <col min="2574" max="2574" width="6.42578125" style="409" customWidth="1"/>
    <col min="2575" max="2576" width="6" style="409" customWidth="1"/>
    <col min="2577" max="2577" width="6.5703125" style="409" customWidth="1"/>
    <col min="2578" max="2578" width="6.42578125" style="409" customWidth="1"/>
    <col min="2579" max="2583" width="5.85546875" style="409" customWidth="1"/>
    <col min="2584" max="2584" width="5.28515625" style="409" customWidth="1"/>
    <col min="2585" max="2816" width="11.42578125" style="409"/>
    <col min="2817" max="2821" width="5.85546875" style="409" customWidth="1"/>
    <col min="2822" max="2822" width="6.7109375" style="409" customWidth="1"/>
    <col min="2823" max="2823" width="6.28515625" style="409" customWidth="1"/>
    <col min="2824" max="2826" width="5.85546875" style="409" customWidth="1"/>
    <col min="2827" max="2829" width="6" style="409" customWidth="1"/>
    <col min="2830" max="2830" width="6.42578125" style="409" customWidth="1"/>
    <col min="2831" max="2832" width="6" style="409" customWidth="1"/>
    <col min="2833" max="2833" width="6.5703125" style="409" customWidth="1"/>
    <col min="2834" max="2834" width="6.42578125" style="409" customWidth="1"/>
    <col min="2835" max="2839" width="5.85546875" style="409" customWidth="1"/>
    <col min="2840" max="2840" width="5.28515625" style="409" customWidth="1"/>
    <col min="2841" max="3072" width="11.42578125" style="409"/>
    <col min="3073" max="3077" width="5.85546875" style="409" customWidth="1"/>
    <col min="3078" max="3078" width="6.7109375" style="409" customWidth="1"/>
    <col min="3079" max="3079" width="6.28515625" style="409" customWidth="1"/>
    <col min="3080" max="3082" width="5.85546875" style="409" customWidth="1"/>
    <col min="3083" max="3085" width="6" style="409" customWidth="1"/>
    <col min="3086" max="3086" width="6.42578125" style="409" customWidth="1"/>
    <col min="3087" max="3088" width="6" style="409" customWidth="1"/>
    <col min="3089" max="3089" width="6.5703125" style="409" customWidth="1"/>
    <col min="3090" max="3090" width="6.42578125" style="409" customWidth="1"/>
    <col min="3091" max="3095" width="5.85546875" style="409" customWidth="1"/>
    <col min="3096" max="3096" width="5.28515625" style="409" customWidth="1"/>
    <col min="3097" max="3328" width="11.42578125" style="409"/>
    <col min="3329" max="3333" width="5.85546875" style="409" customWidth="1"/>
    <col min="3334" max="3334" width="6.7109375" style="409" customWidth="1"/>
    <col min="3335" max="3335" width="6.28515625" style="409" customWidth="1"/>
    <col min="3336" max="3338" width="5.85546875" style="409" customWidth="1"/>
    <col min="3339" max="3341" width="6" style="409" customWidth="1"/>
    <col min="3342" max="3342" width="6.42578125" style="409" customWidth="1"/>
    <col min="3343" max="3344" width="6" style="409" customWidth="1"/>
    <col min="3345" max="3345" width="6.5703125" style="409" customWidth="1"/>
    <col min="3346" max="3346" width="6.42578125" style="409" customWidth="1"/>
    <col min="3347" max="3351" width="5.85546875" style="409" customWidth="1"/>
    <col min="3352" max="3352" width="5.28515625" style="409" customWidth="1"/>
    <col min="3353" max="3584" width="11.42578125" style="409"/>
    <col min="3585" max="3589" width="5.85546875" style="409" customWidth="1"/>
    <col min="3590" max="3590" width="6.7109375" style="409" customWidth="1"/>
    <col min="3591" max="3591" width="6.28515625" style="409" customWidth="1"/>
    <col min="3592" max="3594" width="5.85546875" style="409" customWidth="1"/>
    <col min="3595" max="3597" width="6" style="409" customWidth="1"/>
    <col min="3598" max="3598" width="6.42578125" style="409" customWidth="1"/>
    <col min="3599" max="3600" width="6" style="409" customWidth="1"/>
    <col min="3601" max="3601" width="6.5703125" style="409" customWidth="1"/>
    <col min="3602" max="3602" width="6.42578125" style="409" customWidth="1"/>
    <col min="3603" max="3607" width="5.85546875" style="409" customWidth="1"/>
    <col min="3608" max="3608" width="5.28515625" style="409" customWidth="1"/>
    <col min="3609" max="3840" width="11.42578125" style="409"/>
    <col min="3841" max="3845" width="5.85546875" style="409" customWidth="1"/>
    <col min="3846" max="3846" width="6.7109375" style="409" customWidth="1"/>
    <col min="3847" max="3847" width="6.28515625" style="409" customWidth="1"/>
    <col min="3848" max="3850" width="5.85546875" style="409" customWidth="1"/>
    <col min="3851" max="3853" width="6" style="409" customWidth="1"/>
    <col min="3854" max="3854" width="6.42578125" style="409" customWidth="1"/>
    <col min="3855" max="3856" width="6" style="409" customWidth="1"/>
    <col min="3857" max="3857" width="6.5703125" style="409" customWidth="1"/>
    <col min="3858" max="3858" width="6.42578125" style="409" customWidth="1"/>
    <col min="3859" max="3863" width="5.85546875" style="409" customWidth="1"/>
    <col min="3864" max="3864" width="5.28515625" style="409" customWidth="1"/>
    <col min="3865" max="4096" width="11.42578125" style="409"/>
    <col min="4097" max="4101" width="5.85546875" style="409" customWidth="1"/>
    <col min="4102" max="4102" width="6.7109375" style="409" customWidth="1"/>
    <col min="4103" max="4103" width="6.28515625" style="409" customWidth="1"/>
    <col min="4104" max="4106" width="5.85546875" style="409" customWidth="1"/>
    <col min="4107" max="4109" width="6" style="409" customWidth="1"/>
    <col min="4110" max="4110" width="6.42578125" style="409" customWidth="1"/>
    <col min="4111" max="4112" width="6" style="409" customWidth="1"/>
    <col min="4113" max="4113" width="6.5703125" style="409" customWidth="1"/>
    <col min="4114" max="4114" width="6.42578125" style="409" customWidth="1"/>
    <col min="4115" max="4119" width="5.85546875" style="409" customWidth="1"/>
    <col min="4120" max="4120" width="5.28515625" style="409" customWidth="1"/>
    <col min="4121" max="4352" width="11.42578125" style="409"/>
    <col min="4353" max="4357" width="5.85546875" style="409" customWidth="1"/>
    <col min="4358" max="4358" width="6.7109375" style="409" customWidth="1"/>
    <col min="4359" max="4359" width="6.28515625" style="409" customWidth="1"/>
    <col min="4360" max="4362" width="5.85546875" style="409" customWidth="1"/>
    <col min="4363" max="4365" width="6" style="409" customWidth="1"/>
    <col min="4366" max="4366" width="6.42578125" style="409" customWidth="1"/>
    <col min="4367" max="4368" width="6" style="409" customWidth="1"/>
    <col min="4369" max="4369" width="6.5703125" style="409" customWidth="1"/>
    <col min="4370" max="4370" width="6.42578125" style="409" customWidth="1"/>
    <col min="4371" max="4375" width="5.85546875" style="409" customWidth="1"/>
    <col min="4376" max="4376" width="5.28515625" style="409" customWidth="1"/>
    <col min="4377" max="4608" width="11.42578125" style="409"/>
    <col min="4609" max="4613" width="5.85546875" style="409" customWidth="1"/>
    <col min="4614" max="4614" width="6.7109375" style="409" customWidth="1"/>
    <col min="4615" max="4615" width="6.28515625" style="409" customWidth="1"/>
    <col min="4616" max="4618" width="5.85546875" style="409" customWidth="1"/>
    <col min="4619" max="4621" width="6" style="409" customWidth="1"/>
    <col min="4622" max="4622" width="6.42578125" style="409" customWidth="1"/>
    <col min="4623" max="4624" width="6" style="409" customWidth="1"/>
    <col min="4625" max="4625" width="6.5703125" style="409" customWidth="1"/>
    <col min="4626" max="4626" width="6.42578125" style="409" customWidth="1"/>
    <col min="4627" max="4631" width="5.85546875" style="409" customWidth="1"/>
    <col min="4632" max="4632" width="5.28515625" style="409" customWidth="1"/>
    <col min="4633" max="4864" width="11.42578125" style="409"/>
    <col min="4865" max="4869" width="5.85546875" style="409" customWidth="1"/>
    <col min="4870" max="4870" width="6.7109375" style="409" customWidth="1"/>
    <col min="4871" max="4871" width="6.28515625" style="409" customWidth="1"/>
    <col min="4872" max="4874" width="5.85546875" style="409" customWidth="1"/>
    <col min="4875" max="4877" width="6" style="409" customWidth="1"/>
    <col min="4878" max="4878" width="6.42578125" style="409" customWidth="1"/>
    <col min="4879" max="4880" width="6" style="409" customWidth="1"/>
    <col min="4881" max="4881" width="6.5703125" style="409" customWidth="1"/>
    <col min="4882" max="4882" width="6.42578125" style="409" customWidth="1"/>
    <col min="4883" max="4887" width="5.85546875" style="409" customWidth="1"/>
    <col min="4888" max="4888" width="5.28515625" style="409" customWidth="1"/>
    <col min="4889" max="5120" width="11.42578125" style="409"/>
    <col min="5121" max="5125" width="5.85546875" style="409" customWidth="1"/>
    <col min="5126" max="5126" width="6.7109375" style="409" customWidth="1"/>
    <col min="5127" max="5127" width="6.28515625" style="409" customWidth="1"/>
    <col min="5128" max="5130" width="5.85546875" style="409" customWidth="1"/>
    <col min="5131" max="5133" width="6" style="409" customWidth="1"/>
    <col min="5134" max="5134" width="6.42578125" style="409" customWidth="1"/>
    <col min="5135" max="5136" width="6" style="409" customWidth="1"/>
    <col min="5137" max="5137" width="6.5703125" style="409" customWidth="1"/>
    <col min="5138" max="5138" width="6.42578125" style="409" customWidth="1"/>
    <col min="5139" max="5143" width="5.85546875" style="409" customWidth="1"/>
    <col min="5144" max="5144" width="5.28515625" style="409" customWidth="1"/>
    <col min="5145" max="5376" width="11.42578125" style="409"/>
    <col min="5377" max="5381" width="5.85546875" style="409" customWidth="1"/>
    <col min="5382" max="5382" width="6.7109375" style="409" customWidth="1"/>
    <col min="5383" max="5383" width="6.28515625" style="409" customWidth="1"/>
    <col min="5384" max="5386" width="5.85546875" style="409" customWidth="1"/>
    <col min="5387" max="5389" width="6" style="409" customWidth="1"/>
    <col min="5390" max="5390" width="6.42578125" style="409" customWidth="1"/>
    <col min="5391" max="5392" width="6" style="409" customWidth="1"/>
    <col min="5393" max="5393" width="6.5703125" style="409" customWidth="1"/>
    <col min="5394" max="5394" width="6.42578125" style="409" customWidth="1"/>
    <col min="5395" max="5399" width="5.85546875" style="409" customWidth="1"/>
    <col min="5400" max="5400" width="5.28515625" style="409" customWidth="1"/>
    <col min="5401" max="5632" width="11.42578125" style="409"/>
    <col min="5633" max="5637" width="5.85546875" style="409" customWidth="1"/>
    <col min="5638" max="5638" width="6.7109375" style="409" customWidth="1"/>
    <col min="5639" max="5639" width="6.28515625" style="409" customWidth="1"/>
    <col min="5640" max="5642" width="5.85546875" style="409" customWidth="1"/>
    <col min="5643" max="5645" width="6" style="409" customWidth="1"/>
    <col min="5646" max="5646" width="6.42578125" style="409" customWidth="1"/>
    <col min="5647" max="5648" width="6" style="409" customWidth="1"/>
    <col min="5649" max="5649" width="6.5703125" style="409" customWidth="1"/>
    <col min="5650" max="5650" width="6.42578125" style="409" customWidth="1"/>
    <col min="5651" max="5655" width="5.85546875" style="409" customWidth="1"/>
    <col min="5656" max="5656" width="5.28515625" style="409" customWidth="1"/>
    <col min="5657" max="5888" width="11.42578125" style="409"/>
    <col min="5889" max="5893" width="5.85546875" style="409" customWidth="1"/>
    <col min="5894" max="5894" width="6.7109375" style="409" customWidth="1"/>
    <col min="5895" max="5895" width="6.28515625" style="409" customWidth="1"/>
    <col min="5896" max="5898" width="5.85546875" style="409" customWidth="1"/>
    <col min="5899" max="5901" width="6" style="409" customWidth="1"/>
    <col min="5902" max="5902" width="6.42578125" style="409" customWidth="1"/>
    <col min="5903" max="5904" width="6" style="409" customWidth="1"/>
    <col min="5905" max="5905" width="6.5703125" style="409" customWidth="1"/>
    <col min="5906" max="5906" width="6.42578125" style="409" customWidth="1"/>
    <col min="5907" max="5911" width="5.85546875" style="409" customWidth="1"/>
    <col min="5912" max="5912" width="5.28515625" style="409" customWidth="1"/>
    <col min="5913" max="6144" width="11.42578125" style="409"/>
    <col min="6145" max="6149" width="5.85546875" style="409" customWidth="1"/>
    <col min="6150" max="6150" width="6.7109375" style="409" customWidth="1"/>
    <col min="6151" max="6151" width="6.28515625" style="409" customWidth="1"/>
    <col min="6152" max="6154" width="5.85546875" style="409" customWidth="1"/>
    <col min="6155" max="6157" width="6" style="409" customWidth="1"/>
    <col min="6158" max="6158" width="6.42578125" style="409" customWidth="1"/>
    <col min="6159" max="6160" width="6" style="409" customWidth="1"/>
    <col min="6161" max="6161" width="6.5703125" style="409" customWidth="1"/>
    <col min="6162" max="6162" width="6.42578125" style="409" customWidth="1"/>
    <col min="6163" max="6167" width="5.85546875" style="409" customWidth="1"/>
    <col min="6168" max="6168" width="5.28515625" style="409" customWidth="1"/>
    <col min="6169" max="6400" width="11.42578125" style="409"/>
    <col min="6401" max="6405" width="5.85546875" style="409" customWidth="1"/>
    <col min="6406" max="6406" width="6.7109375" style="409" customWidth="1"/>
    <col min="6407" max="6407" width="6.28515625" style="409" customWidth="1"/>
    <col min="6408" max="6410" width="5.85546875" style="409" customWidth="1"/>
    <col min="6411" max="6413" width="6" style="409" customWidth="1"/>
    <col min="6414" max="6414" width="6.42578125" style="409" customWidth="1"/>
    <col min="6415" max="6416" width="6" style="409" customWidth="1"/>
    <col min="6417" max="6417" width="6.5703125" style="409" customWidth="1"/>
    <col min="6418" max="6418" width="6.42578125" style="409" customWidth="1"/>
    <col min="6419" max="6423" width="5.85546875" style="409" customWidth="1"/>
    <col min="6424" max="6424" width="5.28515625" style="409" customWidth="1"/>
    <col min="6425" max="6656" width="11.42578125" style="409"/>
    <col min="6657" max="6661" width="5.85546875" style="409" customWidth="1"/>
    <col min="6662" max="6662" width="6.7109375" style="409" customWidth="1"/>
    <col min="6663" max="6663" width="6.28515625" style="409" customWidth="1"/>
    <col min="6664" max="6666" width="5.85546875" style="409" customWidth="1"/>
    <col min="6667" max="6669" width="6" style="409" customWidth="1"/>
    <col min="6670" max="6670" width="6.42578125" style="409" customWidth="1"/>
    <col min="6671" max="6672" width="6" style="409" customWidth="1"/>
    <col min="6673" max="6673" width="6.5703125" style="409" customWidth="1"/>
    <col min="6674" max="6674" width="6.42578125" style="409" customWidth="1"/>
    <col min="6675" max="6679" width="5.85546875" style="409" customWidth="1"/>
    <col min="6680" max="6680" width="5.28515625" style="409" customWidth="1"/>
    <col min="6681" max="6912" width="11.42578125" style="409"/>
    <col min="6913" max="6917" width="5.85546875" style="409" customWidth="1"/>
    <col min="6918" max="6918" width="6.7109375" style="409" customWidth="1"/>
    <col min="6919" max="6919" width="6.28515625" style="409" customWidth="1"/>
    <col min="6920" max="6922" width="5.85546875" style="409" customWidth="1"/>
    <col min="6923" max="6925" width="6" style="409" customWidth="1"/>
    <col min="6926" max="6926" width="6.42578125" style="409" customWidth="1"/>
    <col min="6927" max="6928" width="6" style="409" customWidth="1"/>
    <col min="6929" max="6929" width="6.5703125" style="409" customWidth="1"/>
    <col min="6930" max="6930" width="6.42578125" style="409" customWidth="1"/>
    <col min="6931" max="6935" width="5.85546875" style="409" customWidth="1"/>
    <col min="6936" max="6936" width="5.28515625" style="409" customWidth="1"/>
    <col min="6937" max="7168" width="11.42578125" style="409"/>
    <col min="7169" max="7173" width="5.85546875" style="409" customWidth="1"/>
    <col min="7174" max="7174" width="6.7109375" style="409" customWidth="1"/>
    <col min="7175" max="7175" width="6.28515625" style="409" customWidth="1"/>
    <col min="7176" max="7178" width="5.85546875" style="409" customWidth="1"/>
    <col min="7179" max="7181" width="6" style="409" customWidth="1"/>
    <col min="7182" max="7182" width="6.42578125" style="409" customWidth="1"/>
    <col min="7183" max="7184" width="6" style="409" customWidth="1"/>
    <col min="7185" max="7185" width="6.5703125" style="409" customWidth="1"/>
    <col min="7186" max="7186" width="6.42578125" style="409" customWidth="1"/>
    <col min="7187" max="7191" width="5.85546875" style="409" customWidth="1"/>
    <col min="7192" max="7192" width="5.28515625" style="409" customWidth="1"/>
    <col min="7193" max="7424" width="11.42578125" style="409"/>
    <col min="7425" max="7429" width="5.85546875" style="409" customWidth="1"/>
    <col min="7430" max="7430" width="6.7109375" style="409" customWidth="1"/>
    <col min="7431" max="7431" width="6.28515625" style="409" customWidth="1"/>
    <col min="7432" max="7434" width="5.85546875" style="409" customWidth="1"/>
    <col min="7435" max="7437" width="6" style="409" customWidth="1"/>
    <col min="7438" max="7438" width="6.42578125" style="409" customWidth="1"/>
    <col min="7439" max="7440" width="6" style="409" customWidth="1"/>
    <col min="7441" max="7441" width="6.5703125" style="409" customWidth="1"/>
    <col min="7442" max="7442" width="6.42578125" style="409" customWidth="1"/>
    <col min="7443" max="7447" width="5.85546875" style="409" customWidth="1"/>
    <col min="7448" max="7448" width="5.28515625" style="409" customWidth="1"/>
    <col min="7449" max="7680" width="11.42578125" style="409"/>
    <col min="7681" max="7685" width="5.85546875" style="409" customWidth="1"/>
    <col min="7686" max="7686" width="6.7109375" style="409" customWidth="1"/>
    <col min="7687" max="7687" width="6.28515625" style="409" customWidth="1"/>
    <col min="7688" max="7690" width="5.85546875" style="409" customWidth="1"/>
    <col min="7691" max="7693" width="6" style="409" customWidth="1"/>
    <col min="7694" max="7694" width="6.42578125" style="409" customWidth="1"/>
    <col min="7695" max="7696" width="6" style="409" customWidth="1"/>
    <col min="7697" max="7697" width="6.5703125" style="409" customWidth="1"/>
    <col min="7698" max="7698" width="6.42578125" style="409" customWidth="1"/>
    <col min="7699" max="7703" width="5.85546875" style="409" customWidth="1"/>
    <col min="7704" max="7704" width="5.28515625" style="409" customWidth="1"/>
    <col min="7705" max="7936" width="11.42578125" style="409"/>
    <col min="7937" max="7941" width="5.85546875" style="409" customWidth="1"/>
    <col min="7942" max="7942" width="6.7109375" style="409" customWidth="1"/>
    <col min="7943" max="7943" width="6.28515625" style="409" customWidth="1"/>
    <col min="7944" max="7946" width="5.85546875" style="409" customWidth="1"/>
    <col min="7947" max="7949" width="6" style="409" customWidth="1"/>
    <col min="7950" max="7950" width="6.42578125" style="409" customWidth="1"/>
    <col min="7951" max="7952" width="6" style="409" customWidth="1"/>
    <col min="7953" max="7953" width="6.5703125" style="409" customWidth="1"/>
    <col min="7954" max="7954" width="6.42578125" style="409" customWidth="1"/>
    <col min="7955" max="7959" width="5.85546875" style="409" customWidth="1"/>
    <col min="7960" max="7960" width="5.28515625" style="409" customWidth="1"/>
    <col min="7961" max="8192" width="11.42578125" style="409"/>
    <col min="8193" max="8197" width="5.85546875" style="409" customWidth="1"/>
    <col min="8198" max="8198" width="6.7109375" style="409" customWidth="1"/>
    <col min="8199" max="8199" width="6.28515625" style="409" customWidth="1"/>
    <col min="8200" max="8202" width="5.85546875" style="409" customWidth="1"/>
    <col min="8203" max="8205" width="6" style="409" customWidth="1"/>
    <col min="8206" max="8206" width="6.42578125" style="409" customWidth="1"/>
    <col min="8207" max="8208" width="6" style="409" customWidth="1"/>
    <col min="8209" max="8209" width="6.5703125" style="409" customWidth="1"/>
    <col min="8210" max="8210" width="6.42578125" style="409" customWidth="1"/>
    <col min="8211" max="8215" width="5.85546875" style="409" customWidth="1"/>
    <col min="8216" max="8216" width="5.28515625" style="409" customWidth="1"/>
    <col min="8217" max="8448" width="11.42578125" style="409"/>
    <col min="8449" max="8453" width="5.85546875" style="409" customWidth="1"/>
    <col min="8454" max="8454" width="6.7109375" style="409" customWidth="1"/>
    <col min="8455" max="8455" width="6.28515625" style="409" customWidth="1"/>
    <col min="8456" max="8458" width="5.85546875" style="409" customWidth="1"/>
    <col min="8459" max="8461" width="6" style="409" customWidth="1"/>
    <col min="8462" max="8462" width="6.42578125" style="409" customWidth="1"/>
    <col min="8463" max="8464" width="6" style="409" customWidth="1"/>
    <col min="8465" max="8465" width="6.5703125" style="409" customWidth="1"/>
    <col min="8466" max="8466" width="6.42578125" style="409" customWidth="1"/>
    <col min="8467" max="8471" width="5.85546875" style="409" customWidth="1"/>
    <col min="8472" max="8472" width="5.28515625" style="409" customWidth="1"/>
    <col min="8473" max="8704" width="11.42578125" style="409"/>
    <col min="8705" max="8709" width="5.85546875" style="409" customWidth="1"/>
    <col min="8710" max="8710" width="6.7109375" style="409" customWidth="1"/>
    <col min="8711" max="8711" width="6.28515625" style="409" customWidth="1"/>
    <col min="8712" max="8714" width="5.85546875" style="409" customWidth="1"/>
    <col min="8715" max="8717" width="6" style="409" customWidth="1"/>
    <col min="8718" max="8718" width="6.42578125" style="409" customWidth="1"/>
    <col min="8719" max="8720" width="6" style="409" customWidth="1"/>
    <col min="8721" max="8721" width="6.5703125" style="409" customWidth="1"/>
    <col min="8722" max="8722" width="6.42578125" style="409" customWidth="1"/>
    <col min="8723" max="8727" width="5.85546875" style="409" customWidth="1"/>
    <col min="8728" max="8728" width="5.28515625" style="409" customWidth="1"/>
    <col min="8729" max="8960" width="11.42578125" style="409"/>
    <col min="8961" max="8965" width="5.85546875" style="409" customWidth="1"/>
    <col min="8966" max="8966" width="6.7109375" style="409" customWidth="1"/>
    <col min="8967" max="8967" width="6.28515625" style="409" customWidth="1"/>
    <col min="8968" max="8970" width="5.85546875" style="409" customWidth="1"/>
    <col min="8971" max="8973" width="6" style="409" customWidth="1"/>
    <col min="8974" max="8974" width="6.42578125" style="409" customWidth="1"/>
    <col min="8975" max="8976" width="6" style="409" customWidth="1"/>
    <col min="8977" max="8977" width="6.5703125" style="409" customWidth="1"/>
    <col min="8978" max="8978" width="6.42578125" style="409" customWidth="1"/>
    <col min="8979" max="8983" width="5.85546875" style="409" customWidth="1"/>
    <col min="8984" max="8984" width="5.28515625" style="409" customWidth="1"/>
    <col min="8985" max="9216" width="11.42578125" style="409"/>
    <col min="9217" max="9221" width="5.85546875" style="409" customWidth="1"/>
    <col min="9222" max="9222" width="6.7109375" style="409" customWidth="1"/>
    <col min="9223" max="9223" width="6.28515625" style="409" customWidth="1"/>
    <col min="9224" max="9226" width="5.85546875" style="409" customWidth="1"/>
    <col min="9227" max="9229" width="6" style="409" customWidth="1"/>
    <col min="9230" max="9230" width="6.42578125" style="409" customWidth="1"/>
    <col min="9231" max="9232" width="6" style="409" customWidth="1"/>
    <col min="9233" max="9233" width="6.5703125" style="409" customWidth="1"/>
    <col min="9234" max="9234" width="6.42578125" style="409" customWidth="1"/>
    <col min="9235" max="9239" width="5.85546875" style="409" customWidth="1"/>
    <col min="9240" max="9240" width="5.28515625" style="409" customWidth="1"/>
    <col min="9241" max="9472" width="11.42578125" style="409"/>
    <col min="9473" max="9477" width="5.85546875" style="409" customWidth="1"/>
    <col min="9478" max="9478" width="6.7109375" style="409" customWidth="1"/>
    <col min="9479" max="9479" width="6.28515625" style="409" customWidth="1"/>
    <col min="9480" max="9482" width="5.85546875" style="409" customWidth="1"/>
    <col min="9483" max="9485" width="6" style="409" customWidth="1"/>
    <col min="9486" max="9486" width="6.42578125" style="409" customWidth="1"/>
    <col min="9487" max="9488" width="6" style="409" customWidth="1"/>
    <col min="9489" max="9489" width="6.5703125" style="409" customWidth="1"/>
    <col min="9490" max="9490" width="6.42578125" style="409" customWidth="1"/>
    <col min="9491" max="9495" width="5.85546875" style="409" customWidth="1"/>
    <col min="9496" max="9496" width="5.28515625" style="409" customWidth="1"/>
    <col min="9497" max="9728" width="11.42578125" style="409"/>
    <col min="9729" max="9733" width="5.85546875" style="409" customWidth="1"/>
    <col min="9734" max="9734" width="6.7109375" style="409" customWidth="1"/>
    <col min="9735" max="9735" width="6.28515625" style="409" customWidth="1"/>
    <col min="9736" max="9738" width="5.85546875" style="409" customWidth="1"/>
    <col min="9739" max="9741" width="6" style="409" customWidth="1"/>
    <col min="9742" max="9742" width="6.42578125" style="409" customWidth="1"/>
    <col min="9743" max="9744" width="6" style="409" customWidth="1"/>
    <col min="9745" max="9745" width="6.5703125" style="409" customWidth="1"/>
    <col min="9746" max="9746" width="6.42578125" style="409" customWidth="1"/>
    <col min="9747" max="9751" width="5.85546875" style="409" customWidth="1"/>
    <col min="9752" max="9752" width="5.28515625" style="409" customWidth="1"/>
    <col min="9753" max="9984" width="11.42578125" style="409"/>
    <col min="9985" max="9989" width="5.85546875" style="409" customWidth="1"/>
    <col min="9990" max="9990" width="6.7109375" style="409" customWidth="1"/>
    <col min="9991" max="9991" width="6.28515625" style="409" customWidth="1"/>
    <col min="9992" max="9994" width="5.85546875" style="409" customWidth="1"/>
    <col min="9995" max="9997" width="6" style="409" customWidth="1"/>
    <col min="9998" max="9998" width="6.42578125" style="409" customWidth="1"/>
    <col min="9999" max="10000" width="6" style="409" customWidth="1"/>
    <col min="10001" max="10001" width="6.5703125" style="409" customWidth="1"/>
    <col min="10002" max="10002" width="6.42578125" style="409" customWidth="1"/>
    <col min="10003" max="10007" width="5.85546875" style="409" customWidth="1"/>
    <col min="10008" max="10008" width="5.28515625" style="409" customWidth="1"/>
    <col min="10009" max="10240" width="11.42578125" style="409"/>
    <col min="10241" max="10245" width="5.85546875" style="409" customWidth="1"/>
    <col min="10246" max="10246" width="6.7109375" style="409" customWidth="1"/>
    <col min="10247" max="10247" width="6.28515625" style="409" customWidth="1"/>
    <col min="10248" max="10250" width="5.85546875" style="409" customWidth="1"/>
    <col min="10251" max="10253" width="6" style="409" customWidth="1"/>
    <col min="10254" max="10254" width="6.42578125" style="409" customWidth="1"/>
    <col min="10255" max="10256" width="6" style="409" customWidth="1"/>
    <col min="10257" max="10257" width="6.5703125" style="409" customWidth="1"/>
    <col min="10258" max="10258" width="6.42578125" style="409" customWidth="1"/>
    <col min="10259" max="10263" width="5.85546875" style="409" customWidth="1"/>
    <col min="10264" max="10264" width="5.28515625" style="409" customWidth="1"/>
    <col min="10265" max="10496" width="11.42578125" style="409"/>
    <col min="10497" max="10501" width="5.85546875" style="409" customWidth="1"/>
    <col min="10502" max="10502" width="6.7109375" style="409" customWidth="1"/>
    <col min="10503" max="10503" width="6.28515625" style="409" customWidth="1"/>
    <col min="10504" max="10506" width="5.85546875" style="409" customWidth="1"/>
    <col min="10507" max="10509" width="6" style="409" customWidth="1"/>
    <col min="10510" max="10510" width="6.42578125" style="409" customWidth="1"/>
    <col min="10511" max="10512" width="6" style="409" customWidth="1"/>
    <col min="10513" max="10513" width="6.5703125" style="409" customWidth="1"/>
    <col min="10514" max="10514" width="6.42578125" style="409" customWidth="1"/>
    <col min="10515" max="10519" width="5.85546875" style="409" customWidth="1"/>
    <col min="10520" max="10520" width="5.28515625" style="409" customWidth="1"/>
    <col min="10521" max="10752" width="11.42578125" style="409"/>
    <col min="10753" max="10757" width="5.85546875" style="409" customWidth="1"/>
    <col min="10758" max="10758" width="6.7109375" style="409" customWidth="1"/>
    <col min="10759" max="10759" width="6.28515625" style="409" customWidth="1"/>
    <col min="10760" max="10762" width="5.85546875" style="409" customWidth="1"/>
    <col min="10763" max="10765" width="6" style="409" customWidth="1"/>
    <col min="10766" max="10766" width="6.42578125" style="409" customWidth="1"/>
    <col min="10767" max="10768" width="6" style="409" customWidth="1"/>
    <col min="10769" max="10769" width="6.5703125" style="409" customWidth="1"/>
    <col min="10770" max="10770" width="6.42578125" style="409" customWidth="1"/>
    <col min="10771" max="10775" width="5.85546875" style="409" customWidth="1"/>
    <col min="10776" max="10776" width="5.28515625" style="409" customWidth="1"/>
    <col min="10777" max="11008" width="11.42578125" style="409"/>
    <col min="11009" max="11013" width="5.85546875" style="409" customWidth="1"/>
    <col min="11014" max="11014" width="6.7109375" style="409" customWidth="1"/>
    <col min="11015" max="11015" width="6.28515625" style="409" customWidth="1"/>
    <col min="11016" max="11018" width="5.85546875" style="409" customWidth="1"/>
    <col min="11019" max="11021" width="6" style="409" customWidth="1"/>
    <col min="11022" max="11022" width="6.42578125" style="409" customWidth="1"/>
    <col min="11023" max="11024" width="6" style="409" customWidth="1"/>
    <col min="11025" max="11025" width="6.5703125" style="409" customWidth="1"/>
    <col min="11026" max="11026" width="6.42578125" style="409" customWidth="1"/>
    <col min="11027" max="11031" width="5.85546875" style="409" customWidth="1"/>
    <col min="11032" max="11032" width="5.28515625" style="409" customWidth="1"/>
    <col min="11033" max="11264" width="11.42578125" style="409"/>
    <col min="11265" max="11269" width="5.85546875" style="409" customWidth="1"/>
    <col min="11270" max="11270" width="6.7109375" style="409" customWidth="1"/>
    <col min="11271" max="11271" width="6.28515625" style="409" customWidth="1"/>
    <col min="11272" max="11274" width="5.85546875" style="409" customWidth="1"/>
    <col min="11275" max="11277" width="6" style="409" customWidth="1"/>
    <col min="11278" max="11278" width="6.42578125" style="409" customWidth="1"/>
    <col min="11279" max="11280" width="6" style="409" customWidth="1"/>
    <col min="11281" max="11281" width="6.5703125" style="409" customWidth="1"/>
    <col min="11282" max="11282" width="6.42578125" style="409" customWidth="1"/>
    <col min="11283" max="11287" width="5.85546875" style="409" customWidth="1"/>
    <col min="11288" max="11288" width="5.28515625" style="409" customWidth="1"/>
    <col min="11289" max="11520" width="11.42578125" style="409"/>
    <col min="11521" max="11525" width="5.85546875" style="409" customWidth="1"/>
    <col min="11526" max="11526" width="6.7109375" style="409" customWidth="1"/>
    <col min="11527" max="11527" width="6.28515625" style="409" customWidth="1"/>
    <col min="11528" max="11530" width="5.85546875" style="409" customWidth="1"/>
    <col min="11531" max="11533" width="6" style="409" customWidth="1"/>
    <col min="11534" max="11534" width="6.42578125" style="409" customWidth="1"/>
    <col min="11535" max="11536" width="6" style="409" customWidth="1"/>
    <col min="11537" max="11537" width="6.5703125" style="409" customWidth="1"/>
    <col min="11538" max="11538" width="6.42578125" style="409" customWidth="1"/>
    <col min="11539" max="11543" width="5.85546875" style="409" customWidth="1"/>
    <col min="11544" max="11544" width="5.28515625" style="409" customWidth="1"/>
    <col min="11545" max="11776" width="11.42578125" style="409"/>
    <col min="11777" max="11781" width="5.85546875" style="409" customWidth="1"/>
    <col min="11782" max="11782" width="6.7109375" style="409" customWidth="1"/>
    <col min="11783" max="11783" width="6.28515625" style="409" customWidth="1"/>
    <col min="11784" max="11786" width="5.85546875" style="409" customWidth="1"/>
    <col min="11787" max="11789" width="6" style="409" customWidth="1"/>
    <col min="11790" max="11790" width="6.42578125" style="409" customWidth="1"/>
    <col min="11791" max="11792" width="6" style="409" customWidth="1"/>
    <col min="11793" max="11793" width="6.5703125" style="409" customWidth="1"/>
    <col min="11794" max="11794" width="6.42578125" style="409" customWidth="1"/>
    <col min="11795" max="11799" width="5.85546875" style="409" customWidth="1"/>
    <col min="11800" max="11800" width="5.28515625" style="409" customWidth="1"/>
    <col min="11801" max="12032" width="11.42578125" style="409"/>
    <col min="12033" max="12037" width="5.85546875" style="409" customWidth="1"/>
    <col min="12038" max="12038" width="6.7109375" style="409" customWidth="1"/>
    <col min="12039" max="12039" width="6.28515625" style="409" customWidth="1"/>
    <col min="12040" max="12042" width="5.85546875" style="409" customWidth="1"/>
    <col min="12043" max="12045" width="6" style="409" customWidth="1"/>
    <col min="12046" max="12046" width="6.42578125" style="409" customWidth="1"/>
    <col min="12047" max="12048" width="6" style="409" customWidth="1"/>
    <col min="12049" max="12049" width="6.5703125" style="409" customWidth="1"/>
    <col min="12050" max="12050" width="6.42578125" style="409" customWidth="1"/>
    <col min="12051" max="12055" width="5.85546875" style="409" customWidth="1"/>
    <col min="12056" max="12056" width="5.28515625" style="409" customWidth="1"/>
    <col min="12057" max="12288" width="11.42578125" style="409"/>
    <col min="12289" max="12293" width="5.85546875" style="409" customWidth="1"/>
    <col min="12294" max="12294" width="6.7109375" style="409" customWidth="1"/>
    <col min="12295" max="12295" width="6.28515625" style="409" customWidth="1"/>
    <col min="12296" max="12298" width="5.85546875" style="409" customWidth="1"/>
    <col min="12299" max="12301" width="6" style="409" customWidth="1"/>
    <col min="12302" max="12302" width="6.42578125" style="409" customWidth="1"/>
    <col min="12303" max="12304" width="6" style="409" customWidth="1"/>
    <col min="12305" max="12305" width="6.5703125" style="409" customWidth="1"/>
    <col min="12306" max="12306" width="6.42578125" style="409" customWidth="1"/>
    <col min="12307" max="12311" width="5.85546875" style="409" customWidth="1"/>
    <col min="12312" max="12312" width="5.28515625" style="409" customWidth="1"/>
    <col min="12313" max="12544" width="11.42578125" style="409"/>
    <col min="12545" max="12549" width="5.85546875" style="409" customWidth="1"/>
    <col min="12550" max="12550" width="6.7109375" style="409" customWidth="1"/>
    <col min="12551" max="12551" width="6.28515625" style="409" customWidth="1"/>
    <col min="12552" max="12554" width="5.85546875" style="409" customWidth="1"/>
    <col min="12555" max="12557" width="6" style="409" customWidth="1"/>
    <col min="12558" max="12558" width="6.42578125" style="409" customWidth="1"/>
    <col min="12559" max="12560" width="6" style="409" customWidth="1"/>
    <col min="12561" max="12561" width="6.5703125" style="409" customWidth="1"/>
    <col min="12562" max="12562" width="6.42578125" style="409" customWidth="1"/>
    <col min="12563" max="12567" width="5.85546875" style="409" customWidth="1"/>
    <col min="12568" max="12568" width="5.28515625" style="409" customWidth="1"/>
    <col min="12569" max="12800" width="11.42578125" style="409"/>
    <col min="12801" max="12805" width="5.85546875" style="409" customWidth="1"/>
    <col min="12806" max="12806" width="6.7109375" style="409" customWidth="1"/>
    <col min="12807" max="12807" width="6.28515625" style="409" customWidth="1"/>
    <col min="12808" max="12810" width="5.85546875" style="409" customWidth="1"/>
    <col min="12811" max="12813" width="6" style="409" customWidth="1"/>
    <col min="12814" max="12814" width="6.42578125" style="409" customWidth="1"/>
    <col min="12815" max="12816" width="6" style="409" customWidth="1"/>
    <col min="12817" max="12817" width="6.5703125" style="409" customWidth="1"/>
    <col min="12818" max="12818" width="6.42578125" style="409" customWidth="1"/>
    <col min="12819" max="12823" width="5.85546875" style="409" customWidth="1"/>
    <col min="12824" max="12824" width="5.28515625" style="409" customWidth="1"/>
    <col min="12825" max="13056" width="11.42578125" style="409"/>
    <col min="13057" max="13061" width="5.85546875" style="409" customWidth="1"/>
    <col min="13062" max="13062" width="6.7109375" style="409" customWidth="1"/>
    <col min="13063" max="13063" width="6.28515625" style="409" customWidth="1"/>
    <col min="13064" max="13066" width="5.85546875" style="409" customWidth="1"/>
    <col min="13067" max="13069" width="6" style="409" customWidth="1"/>
    <col min="13070" max="13070" width="6.42578125" style="409" customWidth="1"/>
    <col min="13071" max="13072" width="6" style="409" customWidth="1"/>
    <col min="13073" max="13073" width="6.5703125" style="409" customWidth="1"/>
    <col min="13074" max="13074" width="6.42578125" style="409" customWidth="1"/>
    <col min="13075" max="13079" width="5.85546875" style="409" customWidth="1"/>
    <col min="13080" max="13080" width="5.28515625" style="409" customWidth="1"/>
    <col min="13081" max="13312" width="11.42578125" style="409"/>
    <col min="13313" max="13317" width="5.85546875" style="409" customWidth="1"/>
    <col min="13318" max="13318" width="6.7109375" style="409" customWidth="1"/>
    <col min="13319" max="13319" width="6.28515625" style="409" customWidth="1"/>
    <col min="13320" max="13322" width="5.85546875" style="409" customWidth="1"/>
    <col min="13323" max="13325" width="6" style="409" customWidth="1"/>
    <col min="13326" max="13326" width="6.42578125" style="409" customWidth="1"/>
    <col min="13327" max="13328" width="6" style="409" customWidth="1"/>
    <col min="13329" max="13329" width="6.5703125" style="409" customWidth="1"/>
    <col min="13330" max="13330" width="6.42578125" style="409" customWidth="1"/>
    <col min="13331" max="13335" width="5.85546875" style="409" customWidth="1"/>
    <col min="13336" max="13336" width="5.28515625" style="409" customWidth="1"/>
    <col min="13337" max="13568" width="11.42578125" style="409"/>
    <col min="13569" max="13573" width="5.85546875" style="409" customWidth="1"/>
    <col min="13574" max="13574" width="6.7109375" style="409" customWidth="1"/>
    <col min="13575" max="13575" width="6.28515625" style="409" customWidth="1"/>
    <col min="13576" max="13578" width="5.85546875" style="409" customWidth="1"/>
    <col min="13579" max="13581" width="6" style="409" customWidth="1"/>
    <col min="13582" max="13582" width="6.42578125" style="409" customWidth="1"/>
    <col min="13583" max="13584" width="6" style="409" customWidth="1"/>
    <col min="13585" max="13585" width="6.5703125" style="409" customWidth="1"/>
    <col min="13586" max="13586" width="6.42578125" style="409" customWidth="1"/>
    <col min="13587" max="13591" width="5.85546875" style="409" customWidth="1"/>
    <col min="13592" max="13592" width="5.28515625" style="409" customWidth="1"/>
    <col min="13593" max="13824" width="11.42578125" style="409"/>
    <col min="13825" max="13829" width="5.85546875" style="409" customWidth="1"/>
    <col min="13830" max="13830" width="6.7109375" style="409" customWidth="1"/>
    <col min="13831" max="13831" width="6.28515625" style="409" customWidth="1"/>
    <col min="13832" max="13834" width="5.85546875" style="409" customWidth="1"/>
    <col min="13835" max="13837" width="6" style="409" customWidth="1"/>
    <col min="13838" max="13838" width="6.42578125" style="409" customWidth="1"/>
    <col min="13839" max="13840" width="6" style="409" customWidth="1"/>
    <col min="13841" max="13841" width="6.5703125" style="409" customWidth="1"/>
    <col min="13842" max="13842" width="6.42578125" style="409" customWidth="1"/>
    <col min="13843" max="13847" width="5.85546875" style="409" customWidth="1"/>
    <col min="13848" max="13848" width="5.28515625" style="409" customWidth="1"/>
    <col min="13849" max="14080" width="11.42578125" style="409"/>
    <col min="14081" max="14085" width="5.85546875" style="409" customWidth="1"/>
    <col min="14086" max="14086" width="6.7109375" style="409" customWidth="1"/>
    <col min="14087" max="14087" width="6.28515625" style="409" customWidth="1"/>
    <col min="14088" max="14090" width="5.85546875" style="409" customWidth="1"/>
    <col min="14091" max="14093" width="6" style="409" customWidth="1"/>
    <col min="14094" max="14094" width="6.42578125" style="409" customWidth="1"/>
    <col min="14095" max="14096" width="6" style="409" customWidth="1"/>
    <col min="14097" max="14097" width="6.5703125" style="409" customWidth="1"/>
    <col min="14098" max="14098" width="6.42578125" style="409" customWidth="1"/>
    <col min="14099" max="14103" width="5.85546875" style="409" customWidth="1"/>
    <col min="14104" max="14104" width="5.28515625" style="409" customWidth="1"/>
    <col min="14105" max="14336" width="11.42578125" style="409"/>
    <col min="14337" max="14341" width="5.85546875" style="409" customWidth="1"/>
    <col min="14342" max="14342" width="6.7109375" style="409" customWidth="1"/>
    <col min="14343" max="14343" width="6.28515625" style="409" customWidth="1"/>
    <col min="14344" max="14346" width="5.85546875" style="409" customWidth="1"/>
    <col min="14347" max="14349" width="6" style="409" customWidth="1"/>
    <col min="14350" max="14350" width="6.42578125" style="409" customWidth="1"/>
    <col min="14351" max="14352" width="6" style="409" customWidth="1"/>
    <col min="14353" max="14353" width="6.5703125" style="409" customWidth="1"/>
    <col min="14354" max="14354" width="6.42578125" style="409" customWidth="1"/>
    <col min="14355" max="14359" width="5.85546875" style="409" customWidth="1"/>
    <col min="14360" max="14360" width="5.28515625" style="409" customWidth="1"/>
    <col min="14361" max="14592" width="11.42578125" style="409"/>
    <col min="14593" max="14597" width="5.85546875" style="409" customWidth="1"/>
    <col min="14598" max="14598" width="6.7109375" style="409" customWidth="1"/>
    <col min="14599" max="14599" width="6.28515625" style="409" customWidth="1"/>
    <col min="14600" max="14602" width="5.85546875" style="409" customWidth="1"/>
    <col min="14603" max="14605" width="6" style="409" customWidth="1"/>
    <col min="14606" max="14606" width="6.42578125" style="409" customWidth="1"/>
    <col min="14607" max="14608" width="6" style="409" customWidth="1"/>
    <col min="14609" max="14609" width="6.5703125" style="409" customWidth="1"/>
    <col min="14610" max="14610" width="6.42578125" style="409" customWidth="1"/>
    <col min="14611" max="14615" width="5.85546875" style="409" customWidth="1"/>
    <col min="14616" max="14616" width="5.28515625" style="409" customWidth="1"/>
    <col min="14617" max="14848" width="11.42578125" style="409"/>
    <col min="14849" max="14853" width="5.85546875" style="409" customWidth="1"/>
    <col min="14854" max="14854" width="6.7109375" style="409" customWidth="1"/>
    <col min="14855" max="14855" width="6.28515625" style="409" customWidth="1"/>
    <col min="14856" max="14858" width="5.85546875" style="409" customWidth="1"/>
    <col min="14859" max="14861" width="6" style="409" customWidth="1"/>
    <col min="14862" max="14862" width="6.42578125" style="409" customWidth="1"/>
    <col min="14863" max="14864" width="6" style="409" customWidth="1"/>
    <col min="14865" max="14865" width="6.5703125" style="409" customWidth="1"/>
    <col min="14866" max="14866" width="6.42578125" style="409" customWidth="1"/>
    <col min="14867" max="14871" width="5.85546875" style="409" customWidth="1"/>
    <col min="14872" max="14872" width="5.28515625" style="409" customWidth="1"/>
    <col min="14873" max="15104" width="11.42578125" style="409"/>
    <col min="15105" max="15109" width="5.85546875" style="409" customWidth="1"/>
    <col min="15110" max="15110" width="6.7109375" style="409" customWidth="1"/>
    <col min="15111" max="15111" width="6.28515625" style="409" customWidth="1"/>
    <col min="15112" max="15114" width="5.85546875" style="409" customWidth="1"/>
    <col min="15115" max="15117" width="6" style="409" customWidth="1"/>
    <col min="15118" max="15118" width="6.42578125" style="409" customWidth="1"/>
    <col min="15119" max="15120" width="6" style="409" customWidth="1"/>
    <col min="15121" max="15121" width="6.5703125" style="409" customWidth="1"/>
    <col min="15122" max="15122" width="6.42578125" style="409" customWidth="1"/>
    <col min="15123" max="15127" width="5.85546875" style="409" customWidth="1"/>
    <col min="15128" max="15128" width="5.28515625" style="409" customWidth="1"/>
    <col min="15129" max="15360" width="11.42578125" style="409"/>
    <col min="15361" max="15365" width="5.85546875" style="409" customWidth="1"/>
    <col min="15366" max="15366" width="6.7109375" style="409" customWidth="1"/>
    <col min="15367" max="15367" width="6.28515625" style="409" customWidth="1"/>
    <col min="15368" max="15370" width="5.85546875" style="409" customWidth="1"/>
    <col min="15371" max="15373" width="6" style="409" customWidth="1"/>
    <col min="15374" max="15374" width="6.42578125" style="409" customWidth="1"/>
    <col min="15375" max="15376" width="6" style="409" customWidth="1"/>
    <col min="15377" max="15377" width="6.5703125" style="409" customWidth="1"/>
    <col min="15378" max="15378" width="6.42578125" style="409" customWidth="1"/>
    <col min="15379" max="15383" width="5.85546875" style="409" customWidth="1"/>
    <col min="15384" max="15384" width="5.28515625" style="409" customWidth="1"/>
    <col min="15385" max="15616" width="11.42578125" style="409"/>
    <col min="15617" max="15621" width="5.85546875" style="409" customWidth="1"/>
    <col min="15622" max="15622" width="6.7109375" style="409" customWidth="1"/>
    <col min="15623" max="15623" width="6.28515625" style="409" customWidth="1"/>
    <col min="15624" max="15626" width="5.85546875" style="409" customWidth="1"/>
    <col min="15627" max="15629" width="6" style="409" customWidth="1"/>
    <col min="15630" max="15630" width="6.42578125" style="409" customWidth="1"/>
    <col min="15631" max="15632" width="6" style="409" customWidth="1"/>
    <col min="15633" max="15633" width="6.5703125" style="409" customWidth="1"/>
    <col min="15634" max="15634" width="6.42578125" style="409" customWidth="1"/>
    <col min="15635" max="15639" width="5.85546875" style="409" customWidth="1"/>
    <col min="15640" max="15640" width="5.28515625" style="409" customWidth="1"/>
    <col min="15641" max="15872" width="11.42578125" style="409"/>
    <col min="15873" max="15877" width="5.85546875" style="409" customWidth="1"/>
    <col min="15878" max="15878" width="6.7109375" style="409" customWidth="1"/>
    <col min="15879" max="15879" width="6.28515625" style="409" customWidth="1"/>
    <col min="15880" max="15882" width="5.85546875" style="409" customWidth="1"/>
    <col min="15883" max="15885" width="6" style="409" customWidth="1"/>
    <col min="15886" max="15886" width="6.42578125" style="409" customWidth="1"/>
    <col min="15887" max="15888" width="6" style="409" customWidth="1"/>
    <col min="15889" max="15889" width="6.5703125" style="409" customWidth="1"/>
    <col min="15890" max="15890" width="6.42578125" style="409" customWidth="1"/>
    <col min="15891" max="15895" width="5.85546875" style="409" customWidth="1"/>
    <col min="15896" max="15896" width="5.28515625" style="409" customWidth="1"/>
    <col min="15897" max="16128" width="11.42578125" style="409"/>
    <col min="16129" max="16133" width="5.85546875" style="409" customWidth="1"/>
    <col min="16134" max="16134" width="6.7109375" style="409" customWidth="1"/>
    <col min="16135" max="16135" width="6.28515625" style="409" customWidth="1"/>
    <col min="16136" max="16138" width="5.85546875" style="409" customWidth="1"/>
    <col min="16139" max="16141" width="6" style="409" customWidth="1"/>
    <col min="16142" max="16142" width="6.42578125" style="409" customWidth="1"/>
    <col min="16143" max="16144" width="6" style="409" customWidth="1"/>
    <col min="16145" max="16145" width="6.5703125" style="409" customWidth="1"/>
    <col min="16146" max="16146" width="6.42578125" style="409" customWidth="1"/>
    <col min="16147" max="16151" width="5.85546875" style="409" customWidth="1"/>
    <col min="16152" max="16152" width="5.28515625" style="409" customWidth="1"/>
    <col min="16153" max="16384" width="11.42578125" style="409"/>
  </cols>
  <sheetData>
    <row r="1" spans="1:25" s="384" customFormat="1" ht="15.75" x14ac:dyDescent="0.25">
      <c r="A1" s="379" t="s">
        <v>278</v>
      </c>
      <c r="B1" s="380"/>
      <c r="C1" s="380"/>
      <c r="D1" s="380"/>
      <c r="E1" s="380"/>
      <c r="F1" s="380"/>
      <c r="G1" s="380"/>
      <c r="H1" s="380"/>
      <c r="I1" s="380"/>
      <c r="J1" s="381"/>
      <c r="K1" s="380"/>
      <c r="L1" s="382"/>
      <c r="M1" s="382"/>
      <c r="N1" s="382"/>
      <c r="O1" s="382"/>
      <c r="P1" s="382"/>
      <c r="Q1" s="383"/>
    </row>
    <row r="2" spans="1:25" s="387" customFormat="1" ht="12" x14ac:dyDescent="0.2">
      <c r="A2" s="388" t="s">
        <v>211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</row>
    <row r="3" spans="1:25" s="393" customFormat="1" ht="12" x14ac:dyDescent="0.2">
      <c r="A3" s="385"/>
      <c r="B3" s="386"/>
      <c r="C3" s="386"/>
      <c r="D3" s="386"/>
      <c r="E3" s="386"/>
      <c r="F3" s="386"/>
      <c r="G3" s="386"/>
      <c r="H3" s="386"/>
      <c r="I3" s="390" t="s">
        <v>212</v>
      </c>
      <c r="J3" s="390" t="s">
        <v>213</v>
      </c>
      <c r="K3" s="391" t="s">
        <v>214</v>
      </c>
      <c r="L3" s="392" t="s">
        <v>215</v>
      </c>
      <c r="M3" s="390" t="s">
        <v>216</v>
      </c>
      <c r="N3" s="390" t="s">
        <v>217</v>
      </c>
      <c r="O3" s="390" t="s">
        <v>218</v>
      </c>
      <c r="P3" s="390" t="s">
        <v>219</v>
      </c>
      <c r="Q3" s="391" t="s">
        <v>220</v>
      </c>
      <c r="S3" s="387"/>
      <c r="Y3" s="387"/>
    </row>
    <row r="4" spans="1:25" s="393" customFormat="1" ht="15" x14ac:dyDescent="0.3">
      <c r="A4" s="394" t="s">
        <v>221</v>
      </c>
      <c r="B4" s="395" t="s">
        <v>23</v>
      </c>
      <c r="C4" s="396"/>
      <c r="D4" s="396"/>
      <c r="E4" s="396"/>
      <c r="F4" s="396"/>
      <c r="G4" s="396"/>
      <c r="H4" s="396"/>
      <c r="I4" s="397" t="s">
        <v>1</v>
      </c>
      <c r="J4" s="398" t="s">
        <v>222</v>
      </c>
      <c r="K4" s="398" t="s">
        <v>36</v>
      </c>
      <c r="L4" s="398" t="s">
        <v>223</v>
      </c>
      <c r="M4" s="398" t="s">
        <v>224</v>
      </c>
      <c r="N4" s="398" t="s">
        <v>225</v>
      </c>
      <c r="O4" s="399" t="s">
        <v>226</v>
      </c>
      <c r="P4" s="399" t="s">
        <v>137</v>
      </c>
      <c r="Q4" s="400" t="s">
        <v>227</v>
      </c>
      <c r="S4" s="387"/>
    </row>
    <row r="5" spans="1:25" s="393" customFormat="1" ht="13.5" x14ac:dyDescent="0.2">
      <c r="A5" s="401"/>
      <c r="B5" s="402"/>
      <c r="C5" s="403"/>
      <c r="D5" s="403"/>
      <c r="E5" s="403"/>
      <c r="F5" s="403"/>
      <c r="G5" s="403"/>
      <c r="H5" s="403"/>
      <c r="I5" s="404" t="s">
        <v>228</v>
      </c>
      <c r="J5" s="405" t="s">
        <v>4</v>
      </c>
      <c r="K5" s="405" t="s">
        <v>4</v>
      </c>
      <c r="L5" s="405" t="s">
        <v>141</v>
      </c>
      <c r="M5" s="405" t="s">
        <v>141</v>
      </c>
      <c r="N5" s="405" t="s">
        <v>141</v>
      </c>
      <c r="O5" s="405" t="s">
        <v>229</v>
      </c>
      <c r="P5" s="405" t="s">
        <v>230</v>
      </c>
      <c r="Q5" s="406" t="s">
        <v>231</v>
      </c>
    </row>
    <row r="6" spans="1:25" ht="18.75" customHeight="1" x14ac:dyDescent="0.2">
      <c r="A6" s="565"/>
      <c r="B6" s="567"/>
      <c r="C6" s="566"/>
      <c r="D6" s="566"/>
      <c r="E6" s="566"/>
      <c r="F6" s="566"/>
      <c r="G6" s="566"/>
      <c r="H6" s="566"/>
      <c r="I6" s="407"/>
      <c r="J6" s="407"/>
      <c r="K6" s="407"/>
      <c r="L6" s="407"/>
      <c r="M6" s="407"/>
      <c r="N6" s="407"/>
      <c r="O6" s="407"/>
      <c r="P6" s="407"/>
      <c r="Q6" s="408"/>
    </row>
    <row r="7" spans="1:25" ht="18.75" customHeight="1" x14ac:dyDescent="0.2">
      <c r="A7" s="410"/>
      <c r="B7" s="568"/>
      <c r="C7" s="411"/>
      <c r="D7" s="411"/>
      <c r="E7" s="411"/>
      <c r="F7" s="411"/>
      <c r="G7" s="411"/>
      <c r="H7" s="411"/>
      <c r="I7" s="412"/>
      <c r="J7" s="412"/>
      <c r="K7" s="412"/>
      <c r="L7" s="412"/>
      <c r="M7" s="412"/>
      <c r="N7" s="412"/>
      <c r="O7" s="412"/>
      <c r="P7" s="412"/>
      <c r="Q7" s="413"/>
    </row>
    <row r="8" spans="1:25" ht="18.75" customHeight="1" x14ac:dyDescent="0.2">
      <c r="A8" s="414"/>
      <c r="B8" s="569"/>
      <c r="C8" s="415"/>
      <c r="D8" s="415"/>
      <c r="E8" s="415"/>
      <c r="F8" s="415"/>
      <c r="G8" s="415"/>
      <c r="H8" s="415"/>
      <c r="I8" s="416"/>
      <c r="J8" s="416"/>
      <c r="K8" s="416"/>
      <c r="L8" s="416"/>
      <c r="M8" s="416"/>
      <c r="N8" s="416"/>
      <c r="O8" s="416"/>
      <c r="P8" s="416"/>
      <c r="Q8" s="417"/>
    </row>
    <row r="9" spans="1:25" ht="18.75" customHeight="1" x14ac:dyDescent="0.2">
      <c r="A9" s="418" t="s">
        <v>24</v>
      </c>
      <c r="B9" s="419"/>
      <c r="C9" s="419"/>
      <c r="D9" s="419"/>
      <c r="E9" s="419"/>
      <c r="F9" s="419"/>
      <c r="G9" s="419"/>
      <c r="H9" s="420"/>
      <c r="I9" s="421">
        <f>SUM(I6:I8)</f>
        <v>0</v>
      </c>
      <c r="J9" s="421"/>
      <c r="K9" s="421"/>
      <c r="L9" s="421">
        <f>SUM(L6:L8)</f>
        <v>0</v>
      </c>
      <c r="M9" s="421">
        <f>SUM(M6:M8)</f>
        <v>0</v>
      </c>
      <c r="N9" s="421">
        <f>SUM(N6:N8)</f>
        <v>0</v>
      </c>
      <c r="O9" s="421">
        <f>IF(I9=0,0,N9/I9)</f>
        <v>0</v>
      </c>
      <c r="P9" s="421">
        <f>SUM(P6:P8)</f>
        <v>0</v>
      </c>
      <c r="Q9" s="422">
        <f>IF(I9=0,0,P9/I9)</f>
        <v>0</v>
      </c>
    </row>
    <row r="10" spans="1:25" ht="18.75" customHeight="1" x14ac:dyDescent="0.2">
      <c r="A10" s="393"/>
      <c r="H10" s="423"/>
      <c r="I10" s="424"/>
      <c r="L10" s="423"/>
      <c r="M10" s="424"/>
      <c r="N10" s="424"/>
      <c r="O10" s="424"/>
      <c r="P10" s="424"/>
      <c r="Q10" s="424"/>
    </row>
    <row r="11" spans="1:25" ht="14.25" x14ac:dyDescent="0.2">
      <c r="A11" s="393"/>
      <c r="H11" s="423"/>
      <c r="I11" s="424"/>
      <c r="L11" s="423"/>
      <c r="M11" s="424"/>
      <c r="N11" s="424"/>
      <c r="O11" s="424"/>
      <c r="P11" s="424"/>
      <c r="Q11" s="424"/>
      <c r="R11" s="425"/>
    </row>
    <row r="12" spans="1:25" s="425" customFormat="1" ht="14.25" x14ac:dyDescent="0.2">
      <c r="A12" s="393"/>
      <c r="B12" s="409"/>
      <c r="C12" s="409"/>
      <c r="D12" s="409"/>
      <c r="E12" s="409"/>
      <c r="F12" s="409"/>
      <c r="G12" s="409"/>
      <c r="H12" s="423"/>
      <c r="I12" s="424"/>
      <c r="J12" s="409"/>
      <c r="K12" s="409"/>
      <c r="L12" s="423"/>
      <c r="M12" s="424"/>
      <c r="N12" s="424"/>
      <c r="O12" s="424"/>
      <c r="P12" s="424"/>
      <c r="Q12" s="424"/>
    </row>
    <row r="13" spans="1:25" x14ac:dyDescent="0.2">
      <c r="A13" s="393"/>
      <c r="H13" s="423"/>
      <c r="I13" s="424"/>
      <c r="L13" s="423"/>
      <c r="M13" s="424"/>
      <c r="N13" s="424"/>
      <c r="O13" s="424"/>
      <c r="P13" s="424"/>
      <c r="Q13" s="424"/>
    </row>
    <row r="14" spans="1:25" ht="27" customHeight="1" x14ac:dyDescent="0.2">
      <c r="A14" s="393"/>
      <c r="H14" s="423"/>
      <c r="I14" s="424"/>
      <c r="L14" s="423"/>
      <c r="M14" s="424"/>
      <c r="N14" s="424"/>
      <c r="O14" s="424"/>
      <c r="P14" s="424"/>
      <c r="Q14" s="424"/>
    </row>
    <row r="15" spans="1:25" x14ac:dyDescent="0.2">
      <c r="A15" s="393"/>
      <c r="H15" s="423"/>
      <c r="I15" s="424"/>
      <c r="L15" s="423"/>
      <c r="M15" s="424"/>
      <c r="N15" s="424"/>
      <c r="O15" s="424"/>
      <c r="P15" s="424"/>
      <c r="Q15" s="424"/>
    </row>
    <row r="16" spans="1:25" ht="18.75" customHeight="1" x14ac:dyDescent="0.2">
      <c r="A16" s="393"/>
      <c r="H16" s="423"/>
      <c r="I16" s="424"/>
      <c r="L16" s="423"/>
      <c r="M16" s="424"/>
      <c r="N16" s="424"/>
      <c r="O16" s="424"/>
      <c r="P16" s="424"/>
      <c r="Q16" s="424"/>
    </row>
    <row r="17" spans="1:17" x14ac:dyDescent="0.2">
      <c r="A17" s="393"/>
      <c r="H17" s="423"/>
      <c r="I17" s="424"/>
      <c r="L17" s="423"/>
      <c r="M17" s="424"/>
      <c r="N17" s="424"/>
      <c r="O17" s="424"/>
      <c r="P17" s="424"/>
      <c r="Q17" s="424"/>
    </row>
    <row r="18" spans="1:17" ht="12.75" customHeight="1" x14ac:dyDescent="0.2">
      <c r="A18" s="393"/>
      <c r="H18" s="423"/>
      <c r="I18" s="424"/>
      <c r="L18" s="423"/>
      <c r="M18" s="424"/>
      <c r="N18" s="424"/>
      <c r="O18" s="424"/>
      <c r="P18" s="424"/>
      <c r="Q18" s="424"/>
    </row>
    <row r="19" spans="1:17" x14ac:dyDescent="0.2">
      <c r="A19" s="393"/>
      <c r="H19" s="423"/>
      <c r="I19" s="424"/>
      <c r="L19" s="423"/>
      <c r="M19" s="424"/>
      <c r="N19" s="424"/>
      <c r="O19" s="424"/>
      <c r="P19" s="424"/>
      <c r="Q19" s="424"/>
    </row>
    <row r="20" spans="1:17" x14ac:dyDescent="0.2">
      <c r="A20" s="393"/>
      <c r="H20" s="423"/>
      <c r="I20" s="424"/>
      <c r="L20" s="423"/>
      <c r="M20" s="424"/>
      <c r="N20" s="424"/>
      <c r="O20" s="424"/>
      <c r="P20" s="424"/>
      <c r="Q20" s="424"/>
    </row>
    <row r="21" spans="1:17" x14ac:dyDescent="0.2">
      <c r="A21" s="393"/>
      <c r="H21" s="423"/>
      <c r="I21" s="424"/>
      <c r="L21" s="423"/>
      <c r="M21" s="424"/>
      <c r="N21" s="424"/>
      <c r="O21" s="424"/>
      <c r="P21" s="424"/>
      <c r="Q21" s="424"/>
    </row>
    <row r="22" spans="1:17" x14ac:dyDescent="0.2">
      <c r="A22" s="393"/>
      <c r="H22" s="423"/>
      <c r="I22" s="424"/>
      <c r="L22" s="423"/>
      <c r="M22" s="424"/>
      <c r="N22" s="424"/>
      <c r="O22" s="424"/>
      <c r="P22" s="424"/>
      <c r="Q22" s="424"/>
    </row>
    <row r="23" spans="1:17" x14ac:dyDescent="0.2">
      <c r="A23" s="393"/>
      <c r="H23" s="423"/>
      <c r="I23" s="424"/>
      <c r="L23" s="423"/>
      <c r="M23" s="424"/>
      <c r="N23" s="424"/>
      <c r="O23" s="424"/>
      <c r="P23" s="424"/>
      <c r="Q23" s="424"/>
    </row>
  </sheetData>
  <sheetProtection formatCells="0" formatColumns="0" formatRows="0" insertColumns="0" insertRows="0" deleteColumns="0" deleteRows="0" sort="0"/>
  <pageMargins left="0.78740157480314965" right="0.39370078740157483" top="0.62992125984251968" bottom="0.62992125984251968" header="0.51181102362204722" footer="0.51181102362204722"/>
  <pageSetup paperSize="9" scale="89" orientation="portrait" r:id="rId1"/>
  <headerFooter alignWithMargins="0">
    <oddHeader xml:space="preserve">&amp;R
</oddHeader>
    <oddFooter>&amp;L&amp;8Formulaire de calcul SIA 384.201&amp;C&amp;8Récapitulation&amp;R&amp;8Page &amp;P</oddFooter>
  </headerFooter>
  <colBreaks count="1" manualBreakCount="1">
    <brk id="11" max="1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0.79998168889431442"/>
    <pageSetUpPr fitToPage="1"/>
  </sheetPr>
  <dimension ref="A1:BA132"/>
  <sheetViews>
    <sheetView showGridLines="0" topLeftCell="A103" zoomScaleNormal="100" zoomScaleSheetLayoutView="100" workbookViewId="0">
      <selection activeCell="B132" sqref="B132"/>
    </sheetView>
  </sheetViews>
  <sheetFormatPr baseColWidth="10" defaultRowHeight="12.75" x14ac:dyDescent="0.2"/>
  <cols>
    <col min="1" max="1" width="0.7109375" style="14" customWidth="1"/>
    <col min="2" max="3" width="6.140625" style="14" customWidth="1"/>
    <col min="4" max="5" width="9.42578125" style="14" customWidth="1"/>
    <col min="6" max="6" width="6.140625" style="14" customWidth="1"/>
    <col min="7" max="9" width="6" style="14" customWidth="1"/>
    <col min="10" max="10" width="7.140625" style="14" customWidth="1"/>
    <col min="11" max="11" width="6.140625" style="14" customWidth="1"/>
    <col min="12" max="12" width="6.5703125" style="14" customWidth="1"/>
    <col min="13" max="14" width="6.140625" style="14" customWidth="1"/>
    <col min="15" max="15" width="7.140625" style="14" customWidth="1"/>
    <col min="16" max="16" width="9.140625" style="14" bestFit="1" customWidth="1"/>
    <col min="17" max="17" width="7" style="14" bestFit="1" customWidth="1"/>
    <col min="18" max="20" width="6.140625" style="14" customWidth="1"/>
    <col min="21" max="22" width="11.28515625" style="14" bestFit="1" customWidth="1"/>
    <col min="23" max="23" width="9.5703125" style="14" customWidth="1"/>
    <col min="24" max="24" width="13.85546875" style="14" customWidth="1"/>
    <col min="25" max="26" width="8.140625" style="14" customWidth="1"/>
    <col min="27" max="34" width="11.42578125" style="14"/>
    <col min="35" max="60" width="7.7109375" style="14" customWidth="1"/>
    <col min="61" max="16384" width="11.42578125" style="14"/>
  </cols>
  <sheetData>
    <row r="1" spans="1:53" s="22" customFormat="1" ht="14.25" customHeight="1" x14ac:dyDescent="0.2">
      <c r="A1" s="51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4"/>
    </row>
    <row r="2" spans="1:53" s="22" customFormat="1" ht="24.75" customHeight="1" x14ac:dyDescent="0.2">
      <c r="A2" s="51"/>
      <c r="B2" s="180" t="s">
        <v>33</v>
      </c>
      <c r="C2" s="181"/>
      <c r="D2" s="181"/>
      <c r="E2" s="182" t="s">
        <v>196</v>
      </c>
      <c r="F2" s="182"/>
      <c r="G2" s="330" t="s">
        <v>273</v>
      </c>
      <c r="H2" s="330"/>
      <c r="I2" s="23"/>
      <c r="J2" s="182" t="s">
        <v>27</v>
      </c>
      <c r="K2" s="183"/>
      <c r="L2" s="330" t="s">
        <v>91</v>
      </c>
      <c r="M2" s="330"/>
      <c r="N2" s="330"/>
      <c r="O2" s="184"/>
      <c r="P2" s="184"/>
      <c r="Q2" s="185"/>
      <c r="R2" s="24"/>
      <c r="AM2" s="21"/>
    </row>
    <row r="3" spans="1:53" s="22" customFormat="1" ht="15" x14ac:dyDescent="0.2">
      <c r="A3" s="51"/>
      <c r="B3" s="190"/>
      <c r="C3" s="191"/>
      <c r="D3" s="191"/>
      <c r="E3" s="192"/>
      <c r="F3" s="192"/>
      <c r="H3" s="193"/>
      <c r="J3" s="192"/>
      <c r="K3" s="194"/>
      <c r="L3" s="195"/>
      <c r="M3" s="195"/>
      <c r="N3" s="195"/>
      <c r="O3" s="195"/>
      <c r="P3" s="195"/>
      <c r="Q3" s="194"/>
      <c r="R3" s="24"/>
      <c r="AM3" s="6"/>
    </row>
    <row r="4" spans="1:53" s="22" customFormat="1" ht="14.25" x14ac:dyDescent="0.2">
      <c r="A4" s="51"/>
      <c r="B4" s="276" t="s">
        <v>92</v>
      </c>
      <c r="C4" s="277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551" t="s">
        <v>94</v>
      </c>
      <c r="O4" s="551"/>
      <c r="P4" s="551"/>
      <c r="Q4" s="552"/>
      <c r="R4" s="24"/>
      <c r="AU4" s="17" t="s">
        <v>95</v>
      </c>
    </row>
    <row r="5" spans="1:53" s="22" customFormat="1" ht="14.25" x14ac:dyDescent="0.2">
      <c r="A5" s="51"/>
      <c r="B5" s="280" t="s">
        <v>177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53" t="s">
        <v>93</v>
      </c>
      <c r="O5" s="553"/>
      <c r="P5" s="553"/>
      <c r="Q5" s="554"/>
      <c r="R5" s="24"/>
      <c r="AM5" s="6" t="s">
        <v>150</v>
      </c>
      <c r="AO5" s="17"/>
      <c r="AP5" s="21"/>
      <c r="AQ5" s="17"/>
      <c r="AR5" s="17">
        <v>0</v>
      </c>
      <c r="AS5" s="17">
        <v>0</v>
      </c>
      <c r="AU5" s="17" t="s">
        <v>147</v>
      </c>
    </row>
    <row r="6" spans="1:53" s="21" customFormat="1" ht="14.25" x14ac:dyDescent="0.2">
      <c r="A6" s="52"/>
      <c r="B6" s="280" t="s">
        <v>145</v>
      </c>
      <c r="C6" s="178"/>
      <c r="D6" s="178"/>
      <c r="E6" s="186" t="e">
        <f>#REF!</f>
        <v>#REF!</v>
      </c>
      <c r="F6" s="179"/>
      <c r="G6" s="179"/>
      <c r="H6" s="282" t="e">
        <f>E6&amp;" "&amp;I6</f>
        <v>#REF!</v>
      </c>
      <c r="I6" s="555" t="s">
        <v>147</v>
      </c>
      <c r="J6" s="555"/>
      <c r="K6" s="555"/>
      <c r="L6" s="555"/>
      <c r="M6" s="555"/>
      <c r="N6" s="555"/>
      <c r="O6" s="555"/>
      <c r="P6" s="555"/>
      <c r="Q6" s="556"/>
      <c r="R6" s="25"/>
      <c r="AM6" s="21" t="s">
        <v>151</v>
      </c>
      <c r="AN6" s="22"/>
      <c r="AO6" s="17"/>
      <c r="AQ6" s="17"/>
      <c r="AR6" s="17"/>
      <c r="AS6" s="17">
        <v>0.05</v>
      </c>
      <c r="AU6" s="17" t="s">
        <v>148</v>
      </c>
    </row>
    <row r="7" spans="1:53" s="21" customFormat="1" ht="14.25" x14ac:dyDescent="0.2">
      <c r="A7" s="52"/>
      <c r="B7" s="281" t="s">
        <v>167</v>
      </c>
      <c r="C7" s="151"/>
      <c r="D7" s="151"/>
      <c r="E7" s="53"/>
      <c r="F7" s="176"/>
      <c r="G7" s="176"/>
      <c r="H7" s="176"/>
      <c r="I7" s="557" t="s">
        <v>159</v>
      </c>
      <c r="J7" s="557"/>
      <c r="K7" s="557"/>
      <c r="L7" s="557"/>
      <c r="M7" s="557"/>
      <c r="N7" s="557"/>
      <c r="O7" s="557"/>
      <c r="P7" s="557"/>
      <c r="Q7" s="558"/>
      <c r="R7" s="25"/>
      <c r="AM7" s="21" t="s">
        <v>152</v>
      </c>
      <c r="AN7" s="22"/>
      <c r="AO7" s="17"/>
      <c r="AQ7" s="17"/>
      <c r="AS7" s="21">
        <v>0</v>
      </c>
      <c r="AT7" s="17"/>
      <c r="AU7" s="17" t="s">
        <v>149</v>
      </c>
      <c r="AV7" s="17"/>
      <c r="AW7" s="17"/>
      <c r="AX7" s="17"/>
      <c r="AY7" s="17"/>
      <c r="AZ7" s="17"/>
    </row>
    <row r="8" spans="1:53" s="21" customFormat="1" ht="14.25" x14ac:dyDescent="0.2">
      <c r="A8" s="52"/>
      <c r="B8" s="273"/>
      <c r="C8" s="53"/>
      <c r="D8" s="53"/>
      <c r="E8" s="53"/>
      <c r="F8" s="274"/>
      <c r="G8" s="53"/>
      <c r="H8" s="53"/>
      <c r="I8" s="53"/>
      <c r="J8" s="53"/>
      <c r="K8" s="53"/>
      <c r="L8" s="53"/>
      <c r="M8" s="274"/>
      <c r="N8" s="53"/>
      <c r="O8" s="274"/>
      <c r="P8" s="275"/>
      <c r="Q8" s="53"/>
      <c r="R8" s="25"/>
      <c r="AM8" s="21" t="s">
        <v>153</v>
      </c>
      <c r="AN8" s="22"/>
      <c r="AO8" s="17"/>
      <c r="AP8" s="17"/>
      <c r="AQ8" s="17"/>
      <c r="AR8" s="17"/>
      <c r="AS8" s="17">
        <v>0.02</v>
      </c>
      <c r="AT8" s="17">
        <v>0</v>
      </c>
      <c r="AU8" s="17">
        <v>0</v>
      </c>
      <c r="AV8" s="17"/>
      <c r="AW8" s="17"/>
      <c r="AX8" s="17"/>
      <c r="AY8" s="17"/>
      <c r="AZ8" s="17"/>
    </row>
    <row r="9" spans="1:53" s="21" customFormat="1" ht="14.25" x14ac:dyDescent="0.2">
      <c r="A9" s="52"/>
      <c r="B9" s="55" t="s">
        <v>28</v>
      </c>
      <c r="C9" s="56"/>
      <c r="D9" s="57"/>
      <c r="E9" s="58" t="s">
        <v>29</v>
      </c>
      <c r="F9" s="56"/>
      <c r="G9" s="56"/>
      <c r="H9" s="56"/>
      <c r="I9" s="56"/>
      <c r="J9" s="56"/>
      <c r="K9" s="428"/>
      <c r="L9" s="429"/>
      <c r="M9" s="58" t="s">
        <v>30</v>
      </c>
      <c r="N9" s="56"/>
      <c r="O9" s="56"/>
      <c r="P9" s="56"/>
      <c r="Q9" s="57"/>
      <c r="AM9" s="21" t="s">
        <v>154</v>
      </c>
      <c r="AN9" s="22"/>
      <c r="AO9" s="17"/>
      <c r="AP9" s="6"/>
      <c r="AQ9" s="17"/>
      <c r="AR9" s="6"/>
      <c r="AS9" s="17">
        <v>0.03</v>
      </c>
      <c r="AV9" s="17"/>
      <c r="AW9" s="17"/>
      <c r="AX9" s="17"/>
      <c r="AY9" s="17"/>
      <c r="AZ9" s="17" t="s">
        <v>146</v>
      </c>
      <c r="BA9" s="6" t="s">
        <v>2</v>
      </c>
    </row>
    <row r="10" spans="1:53" s="21" customFormat="1" ht="15.75" x14ac:dyDescent="0.3">
      <c r="A10" s="52"/>
      <c r="B10" s="60"/>
      <c r="C10" s="61"/>
      <c r="D10" s="62"/>
      <c r="E10" s="63" t="s">
        <v>20</v>
      </c>
      <c r="F10" s="64" t="s">
        <v>16</v>
      </c>
      <c r="G10" s="559" t="s">
        <v>39</v>
      </c>
      <c r="H10" s="560"/>
      <c r="I10" s="560"/>
      <c r="J10" s="561"/>
      <c r="K10" s="334" t="s">
        <v>35</v>
      </c>
      <c r="L10" s="427" t="s">
        <v>36</v>
      </c>
      <c r="M10" s="333" t="s">
        <v>0</v>
      </c>
      <c r="N10" s="334" t="s">
        <v>7</v>
      </c>
      <c r="O10" s="334" t="s">
        <v>1</v>
      </c>
      <c r="P10" s="334" t="s">
        <v>8</v>
      </c>
      <c r="Q10" s="335" t="s">
        <v>21</v>
      </c>
      <c r="AM10" s="21" t="s">
        <v>155</v>
      </c>
      <c r="AN10" s="22"/>
      <c r="AO10" s="17"/>
      <c r="AP10" s="17"/>
      <c r="AQ10" s="17"/>
      <c r="AR10" s="17"/>
      <c r="AS10" s="17">
        <v>0</v>
      </c>
      <c r="AU10" s="6" t="s">
        <v>158</v>
      </c>
      <c r="AV10" s="17"/>
      <c r="AW10" s="17"/>
      <c r="AX10" s="17"/>
      <c r="AY10" s="6"/>
      <c r="AZ10" s="337" t="s">
        <v>175</v>
      </c>
      <c r="BA10" s="337">
        <v>1</v>
      </c>
    </row>
    <row r="11" spans="1:53" s="21" customFormat="1" ht="14.25" x14ac:dyDescent="0.2">
      <c r="A11" s="52"/>
      <c r="B11" s="65"/>
      <c r="C11" s="66"/>
      <c r="D11" s="67"/>
      <c r="E11" s="68" t="s">
        <v>4</v>
      </c>
      <c r="F11" s="69" t="s">
        <v>4</v>
      </c>
      <c r="G11" s="562" t="s">
        <v>8</v>
      </c>
      <c r="H11" s="563"/>
      <c r="I11" s="563"/>
      <c r="J11" s="564"/>
      <c r="K11" s="69" t="s">
        <v>5</v>
      </c>
      <c r="L11" s="69" t="s">
        <v>4</v>
      </c>
      <c r="M11" s="68" t="s">
        <v>3</v>
      </c>
      <c r="N11" s="69" t="s">
        <v>3</v>
      </c>
      <c r="O11" s="69" t="s">
        <v>10</v>
      </c>
      <c r="P11" s="69" t="s">
        <v>3</v>
      </c>
      <c r="Q11" s="70" t="s">
        <v>11</v>
      </c>
      <c r="AM11" s="21" t="s">
        <v>156</v>
      </c>
      <c r="AN11" s="22"/>
      <c r="AO11" s="17"/>
      <c r="AP11" s="6"/>
      <c r="AQ11" s="17"/>
      <c r="AR11" s="6"/>
      <c r="AS11" s="17">
        <v>0.01</v>
      </c>
      <c r="AU11" s="6" t="s">
        <v>146</v>
      </c>
      <c r="AY11" s="6"/>
      <c r="AZ11" s="337" t="s">
        <v>174</v>
      </c>
      <c r="BA11" s="336" t="s">
        <v>7</v>
      </c>
    </row>
    <row r="12" spans="1:53" s="17" customFormat="1" ht="15" x14ac:dyDescent="0.2">
      <c r="A12" s="54"/>
      <c r="B12" s="73"/>
      <c r="C12" s="72"/>
      <c r="D12" s="74"/>
      <c r="E12" s="449" t="e">
        <f>VLOOKUP(N5,#REF!,2,FALSE)</f>
        <v>#REF!</v>
      </c>
      <c r="F12" s="450" t="e">
        <f>#REF!</f>
        <v>#REF!</v>
      </c>
      <c r="G12" s="542" t="e">
        <f>#REF!</f>
        <v>#REF!</v>
      </c>
      <c r="H12" s="543"/>
      <c r="I12" s="543"/>
      <c r="J12" s="544"/>
      <c r="K12" s="94" t="e">
        <f>#REF!</f>
        <v>#REF!</v>
      </c>
      <c r="L12" s="450" t="e">
        <f>IF(ISNUMBER(F12),F12+K12,F12)</f>
        <v>#REF!</v>
      </c>
      <c r="M12" s="458">
        <v>2</v>
      </c>
      <c r="N12" s="459">
        <v>4</v>
      </c>
      <c r="O12" s="459">
        <f>M12*N12</f>
        <v>8</v>
      </c>
      <c r="P12" s="459">
        <v>2.5</v>
      </c>
      <c r="Q12" s="460">
        <f>O12*P12</f>
        <v>20</v>
      </c>
      <c r="AM12" s="21" t="s">
        <v>157</v>
      </c>
      <c r="AN12" s="22"/>
      <c r="AR12" s="22"/>
      <c r="AS12" s="17">
        <v>0.02</v>
      </c>
      <c r="AU12" s="6" t="s">
        <v>159</v>
      </c>
      <c r="AV12" s="21">
        <v>1</v>
      </c>
      <c r="AY12" s="6"/>
      <c r="AZ12" s="337" t="s">
        <v>180</v>
      </c>
      <c r="BA12" s="336" t="s">
        <v>199</v>
      </c>
    </row>
    <row r="13" spans="1:53" s="6" customFormat="1" ht="12" customHeight="1" x14ac:dyDescent="0.2">
      <c r="A13" s="54"/>
      <c r="B13" s="75"/>
      <c r="C13" s="75"/>
      <c r="D13" s="75"/>
      <c r="E13" s="234"/>
      <c r="F13" s="234"/>
      <c r="G13" s="299"/>
      <c r="I13" s="300"/>
      <c r="J13" s="234"/>
      <c r="K13" s="234"/>
      <c r="L13" s="234"/>
      <c r="M13" s="234"/>
      <c r="N13" s="234"/>
      <c r="O13" s="234"/>
      <c r="P13" s="85"/>
      <c r="Q13" s="85"/>
      <c r="AU13" s="6" t="s">
        <v>160</v>
      </c>
      <c r="AV13" s="17">
        <v>1.3</v>
      </c>
      <c r="AZ13" s="337" t="s">
        <v>176</v>
      </c>
      <c r="BA13" s="336" t="s">
        <v>7</v>
      </c>
    </row>
    <row r="14" spans="1:53" s="17" customFormat="1" ht="14.25" customHeight="1" x14ac:dyDescent="0.2">
      <c r="A14" s="59"/>
      <c r="B14" s="545" t="s">
        <v>200</v>
      </c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AM14" s="21" t="s">
        <v>146</v>
      </c>
      <c r="AP14" s="22"/>
      <c r="AQ14" s="22"/>
      <c r="AR14" s="22"/>
      <c r="AS14" s="22">
        <v>0</v>
      </c>
      <c r="AU14" s="6" t="s">
        <v>161</v>
      </c>
      <c r="AV14" s="6">
        <v>1.4</v>
      </c>
    </row>
    <row r="15" spans="1:53" s="6" customFormat="1" ht="14.25" customHeight="1" x14ac:dyDescent="0.2">
      <c r="A15" s="17"/>
      <c r="B15" s="203" t="s">
        <v>184</v>
      </c>
      <c r="C15" s="201"/>
      <c r="D15" s="201"/>
      <c r="E15" s="201"/>
      <c r="F15" s="201"/>
      <c r="G15" s="201"/>
      <c r="H15" s="201"/>
      <c r="I15" s="269"/>
      <c r="J15" s="202"/>
      <c r="K15" s="202"/>
      <c r="L15" s="202"/>
      <c r="M15" s="202"/>
      <c r="N15" s="202"/>
      <c r="O15" s="202"/>
      <c r="P15" s="202"/>
      <c r="Q15" s="303"/>
      <c r="AM15" s="21" t="s">
        <v>96</v>
      </c>
      <c r="AN15" s="21"/>
      <c r="AO15" s="21"/>
      <c r="AP15" s="21"/>
      <c r="AQ15" s="21"/>
      <c r="AR15" s="21"/>
      <c r="AS15" s="21">
        <v>1</v>
      </c>
      <c r="AU15" s="6" t="s">
        <v>162</v>
      </c>
      <c r="AV15" s="17">
        <v>1.6</v>
      </c>
    </row>
    <row r="16" spans="1:53" s="17" customFormat="1" ht="13.5" customHeight="1" x14ac:dyDescent="0.25">
      <c r="B16" s="285" t="s">
        <v>185</v>
      </c>
      <c r="C16" s="301"/>
      <c r="D16" s="301"/>
      <c r="E16" s="301"/>
      <c r="F16" s="301"/>
      <c r="G16" s="301"/>
      <c r="H16" s="302" t="s">
        <v>41</v>
      </c>
      <c r="I16" s="71">
        <f>IF(I15="",1,(E12-I15)/(E12-L12))</f>
        <v>1</v>
      </c>
      <c r="J16" s="301"/>
      <c r="K16" s="301"/>
      <c r="L16" s="301"/>
      <c r="M16" s="301"/>
      <c r="N16" s="301"/>
      <c r="O16" s="301"/>
      <c r="P16" s="301"/>
      <c r="Q16" s="304"/>
      <c r="R16" s="27"/>
      <c r="AM16" s="21" t="s">
        <v>97</v>
      </c>
      <c r="AN16" s="21"/>
      <c r="AO16" s="21"/>
      <c r="AP16" s="21"/>
      <c r="AQ16" s="21"/>
      <c r="AR16" s="21"/>
      <c r="AS16" s="21">
        <v>0.5</v>
      </c>
      <c r="AU16" s="6" t="s">
        <v>163</v>
      </c>
      <c r="AV16" s="6">
        <v>1.7</v>
      </c>
      <c r="AX16" s="22"/>
      <c r="AY16" s="22"/>
      <c r="AZ16" s="22"/>
    </row>
    <row r="17" spans="2:52" s="17" customFormat="1" ht="12" x14ac:dyDescent="0.2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15"/>
      <c r="AM17" s="21" t="s">
        <v>98</v>
      </c>
      <c r="AS17" s="17">
        <v>0.3</v>
      </c>
      <c r="AU17" s="6" t="s">
        <v>164</v>
      </c>
      <c r="AV17" s="17">
        <v>1.8</v>
      </c>
      <c r="AX17" s="21"/>
      <c r="AY17" s="21"/>
      <c r="AZ17" s="21"/>
    </row>
    <row r="18" spans="2:52" s="8" customFormat="1" x14ac:dyDescent="0.2">
      <c r="B18" s="209" t="s">
        <v>170</v>
      </c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1"/>
      <c r="R18" s="29"/>
      <c r="AM18" s="21" t="s">
        <v>99</v>
      </c>
      <c r="AN18" s="6"/>
      <c r="AO18" s="6"/>
      <c r="AP18" s="6"/>
      <c r="AQ18" s="6"/>
      <c r="AR18" s="6"/>
      <c r="AS18" s="6">
        <v>0.1</v>
      </c>
      <c r="AU18" s="6" t="s">
        <v>165</v>
      </c>
      <c r="AV18" s="17">
        <v>2</v>
      </c>
      <c r="AX18" s="21"/>
      <c r="AY18" s="21"/>
      <c r="AZ18" s="21"/>
    </row>
    <row r="19" spans="2:52" s="6" customFormat="1" ht="22.5" customHeight="1" x14ac:dyDescent="0.2">
      <c r="B19" s="188" t="s">
        <v>25</v>
      </c>
      <c r="C19" s="175" t="s">
        <v>14</v>
      </c>
      <c r="D19" s="546" t="s">
        <v>26</v>
      </c>
      <c r="E19" s="547"/>
      <c r="F19" s="548" t="s">
        <v>172</v>
      </c>
      <c r="G19" s="547"/>
      <c r="H19" s="549"/>
      <c r="I19" s="200" t="s">
        <v>7</v>
      </c>
      <c r="J19" s="175" t="s">
        <v>13</v>
      </c>
      <c r="K19" s="175" t="s">
        <v>198</v>
      </c>
      <c r="L19" s="175" t="s">
        <v>1</v>
      </c>
      <c r="M19" s="546" t="s">
        <v>173</v>
      </c>
      <c r="N19" s="550"/>
      <c r="O19" s="197" t="s">
        <v>181</v>
      </c>
      <c r="P19" s="455" t="s">
        <v>17</v>
      </c>
      <c r="Q19" s="187" t="s">
        <v>18</v>
      </c>
      <c r="R19" s="5"/>
      <c r="AU19" s="6" t="s">
        <v>166</v>
      </c>
      <c r="AV19" s="8">
        <v>2.2000000000000002</v>
      </c>
      <c r="AX19" s="17"/>
      <c r="AY19" s="17"/>
      <c r="AZ19" s="17"/>
    </row>
    <row r="20" spans="2:52" s="6" customFormat="1" ht="14.25" customHeight="1" x14ac:dyDescent="0.2">
      <c r="B20" s="189" t="s">
        <v>2</v>
      </c>
      <c r="C20" s="172"/>
      <c r="D20" s="173"/>
      <c r="E20" s="172"/>
      <c r="F20" s="172"/>
      <c r="G20" s="174"/>
      <c r="H20" s="174"/>
      <c r="I20" s="170" t="s">
        <v>3</v>
      </c>
      <c r="J20" s="170" t="s">
        <v>3</v>
      </c>
      <c r="K20" s="172" t="s">
        <v>197</v>
      </c>
      <c r="L20" s="170" t="s">
        <v>40</v>
      </c>
      <c r="M20" s="499" t="s">
        <v>7</v>
      </c>
      <c r="N20" s="499"/>
      <c r="O20" s="198" t="s">
        <v>182</v>
      </c>
      <c r="P20" s="171" t="s">
        <v>6</v>
      </c>
      <c r="Q20" s="374" t="s">
        <v>141</v>
      </c>
      <c r="R20" s="31"/>
      <c r="AM20" s="5"/>
      <c r="AN20" s="5"/>
    </row>
    <row r="21" spans="2:52" s="6" customFormat="1" ht="12.75" customHeight="1" x14ac:dyDescent="0.2">
      <c r="B21" s="297" t="s">
        <v>48</v>
      </c>
      <c r="C21" s="35" t="s">
        <v>44</v>
      </c>
      <c r="D21" s="48" t="str">
        <f>IF(ISNA(VLOOKUP(B21,BibliothèqueProjet!$A$6:$J$70,2,FALSE)) = TRUE, "", VLOOKUP(B21,BibliothèqueProjet!$A$6:$J$20,2,FALSE))</f>
        <v>Murs Extérieur</v>
      </c>
      <c r="E21" s="33"/>
      <c r="F21" s="533" t="s">
        <v>180</v>
      </c>
      <c r="G21" s="534"/>
      <c r="H21" s="535"/>
      <c r="I21" s="212">
        <v>3.89</v>
      </c>
      <c r="J21" s="213">
        <v>3.4849999999999999</v>
      </c>
      <c r="K21" s="214">
        <v>6.35</v>
      </c>
      <c r="L21" s="36">
        <f t="shared" ref="L21:L26" si="0">(I21*J21)-K21</f>
        <v>7.2066499999999998</v>
      </c>
      <c r="M21" s="36" t="str">
        <f t="shared" ref="M21:M26" si="1">VLOOKUP(F21,$AZ$9:$BA$13,2,FALSE)</f>
        <v>fij</v>
      </c>
      <c r="N21" s="332">
        <v>1</v>
      </c>
      <c r="O21" s="199">
        <f>IF(B21&lt;&gt;0,VLOOKUP(B21,BibliothèqueProjet!$A$5:$J$20,10,FALSE),"")</f>
        <v>0.15</v>
      </c>
      <c r="P21" s="372">
        <f t="shared" ref="P21:P26" si="2">IF(O21&lt;&gt;"",L21*N21*O21,"")</f>
        <v>1.0809974999999998</v>
      </c>
      <c r="Q21" s="168" t="e">
        <f t="shared" ref="Q21:Q26" si="3">IF(P21&lt;&gt;"",P21*($E$12-$L$12),"")</f>
        <v>#REF!</v>
      </c>
      <c r="R21" s="31"/>
      <c r="AM21" s="10" t="s">
        <v>95</v>
      </c>
      <c r="AN21" s="10" t="s">
        <v>95</v>
      </c>
      <c r="AO21" s="10" t="s">
        <v>95</v>
      </c>
      <c r="AP21" s="10" t="s">
        <v>95</v>
      </c>
      <c r="AQ21" s="7"/>
      <c r="AR21" s="1" t="s">
        <v>101</v>
      </c>
      <c r="AS21" s="1" t="s">
        <v>102</v>
      </c>
      <c r="AT21" s="7"/>
      <c r="AU21" s="10" t="s">
        <v>95</v>
      </c>
      <c r="AV21" s="17"/>
      <c r="AW21" s="17"/>
      <c r="AX21" s="17"/>
      <c r="AY21" s="17"/>
      <c r="AZ21" s="17"/>
    </row>
    <row r="22" spans="2:52" s="6" customFormat="1" x14ac:dyDescent="0.2">
      <c r="B22" s="298"/>
      <c r="C22" s="38"/>
      <c r="D22" s="48" t="str">
        <f>IF(ISNA(VLOOKUP(B22,BibliothèqueProjet!$A$6:$J$70,2,FALSE)) = TRUE, "", VLOOKUP(B22,BibliothèqueProjet!$A$6:$J$20,2,FALSE))</f>
        <v/>
      </c>
      <c r="E22" s="39"/>
      <c r="F22" s="536" t="s">
        <v>146</v>
      </c>
      <c r="G22" s="537"/>
      <c r="H22" s="538"/>
      <c r="I22" s="215"/>
      <c r="J22" s="216"/>
      <c r="K22" s="217"/>
      <c r="L22" s="36">
        <f t="shared" si="0"/>
        <v>0</v>
      </c>
      <c r="M22" s="36" t="str">
        <f t="shared" si="1"/>
        <v>-</v>
      </c>
      <c r="N22" s="331"/>
      <c r="O22" s="199" t="str">
        <f>IF(B22&lt;&gt;0,VLOOKUP(B22,BibliothèqueProjet!$A$5:$J$20,10,FALSE),"")</f>
        <v/>
      </c>
      <c r="P22" s="372" t="str">
        <f t="shared" si="2"/>
        <v/>
      </c>
      <c r="Q22" s="168" t="str">
        <f t="shared" si="3"/>
        <v/>
      </c>
      <c r="R22" s="31"/>
      <c r="AM22" s="1" t="s">
        <v>105</v>
      </c>
      <c r="AN22" s="1" t="s">
        <v>105</v>
      </c>
      <c r="AO22" s="1" t="s">
        <v>101</v>
      </c>
      <c r="AP22" s="8"/>
      <c r="AQ22" s="8"/>
      <c r="AR22" s="10" t="s">
        <v>95</v>
      </c>
      <c r="AS22" s="95" t="s">
        <v>110</v>
      </c>
      <c r="AT22" s="7"/>
      <c r="AU22" s="17" t="s">
        <v>143</v>
      </c>
      <c r="AV22" s="17"/>
      <c r="AW22" s="5"/>
      <c r="AX22" s="5"/>
      <c r="AY22" s="5"/>
      <c r="AZ22" s="19"/>
    </row>
    <row r="23" spans="2:52" s="6" customFormat="1" ht="12.75" customHeight="1" x14ac:dyDescent="0.2">
      <c r="B23" s="298"/>
      <c r="C23" s="35"/>
      <c r="D23" s="48" t="str">
        <f>IF(ISNA(VLOOKUP(B23,BibliothèqueProjet!$A$6:$J$70,2,FALSE)) = TRUE, "", VLOOKUP(B23,BibliothèqueProjet!$A$6:$J$20,2,FALSE))</f>
        <v/>
      </c>
      <c r="E23" s="33"/>
      <c r="F23" s="536" t="s">
        <v>146</v>
      </c>
      <c r="G23" s="537"/>
      <c r="H23" s="538"/>
      <c r="I23" s="212"/>
      <c r="J23" s="213"/>
      <c r="K23" s="214"/>
      <c r="L23" s="36">
        <f t="shared" si="0"/>
        <v>0</v>
      </c>
      <c r="M23" s="36" t="str">
        <f t="shared" si="1"/>
        <v>-</v>
      </c>
      <c r="N23" s="331"/>
      <c r="O23" s="199" t="str">
        <f>IF(B23&lt;&gt;0,VLOOKUP(B23,BibliothèqueProjet!$A$5:$J$20,10,FALSE),"")</f>
        <v/>
      </c>
      <c r="P23" s="372" t="str">
        <f t="shared" si="2"/>
        <v/>
      </c>
      <c r="Q23" s="168" t="str">
        <f t="shared" si="3"/>
        <v/>
      </c>
      <c r="R23" s="31"/>
      <c r="AM23" s="1" t="s">
        <v>107</v>
      </c>
      <c r="AN23" s="1" t="s">
        <v>107</v>
      </c>
      <c r="AO23" s="1" t="s">
        <v>102</v>
      </c>
      <c r="AP23" s="1"/>
      <c r="AQ23" s="7"/>
      <c r="AR23" s="1" t="s">
        <v>104</v>
      </c>
      <c r="AS23" s="7"/>
      <c r="AT23" s="7"/>
      <c r="AU23" s="17" t="s">
        <v>144</v>
      </c>
      <c r="AV23" s="17"/>
      <c r="AW23" s="5"/>
      <c r="AX23" s="5"/>
      <c r="AY23" s="5"/>
      <c r="AZ23" s="19"/>
    </row>
    <row r="24" spans="2:52" s="6" customFormat="1" ht="12" customHeight="1" x14ac:dyDescent="0.2">
      <c r="B24" s="298"/>
      <c r="C24" s="35"/>
      <c r="D24" s="48" t="str">
        <f>IF(ISNA(VLOOKUP(B24,BibliothèqueProjet!$A$6:$J$70,2,FALSE)) = TRUE, "", VLOOKUP(B24,BibliothèqueProjet!$A$6:$J$20,2,FALSE))</f>
        <v/>
      </c>
      <c r="E24" s="33"/>
      <c r="F24" s="536" t="s">
        <v>146</v>
      </c>
      <c r="G24" s="537"/>
      <c r="H24" s="538"/>
      <c r="I24" s="212"/>
      <c r="J24" s="213"/>
      <c r="K24" s="214"/>
      <c r="L24" s="36">
        <f t="shared" si="0"/>
        <v>0</v>
      </c>
      <c r="M24" s="36" t="str">
        <f t="shared" si="1"/>
        <v>-</v>
      </c>
      <c r="N24" s="331"/>
      <c r="O24" s="199" t="str">
        <f>IF(B24&lt;&gt;0,VLOOKUP(B24,BibliothèqueProjet!$A$5:$J$20,10,FALSE),"")</f>
        <v/>
      </c>
      <c r="P24" s="372" t="str">
        <f t="shared" si="2"/>
        <v/>
      </c>
      <c r="Q24" s="168" t="str">
        <f t="shared" si="3"/>
        <v/>
      </c>
      <c r="R24" s="31"/>
      <c r="AM24" s="1" t="s">
        <v>106</v>
      </c>
      <c r="AN24" s="1" t="s">
        <v>106</v>
      </c>
      <c r="AO24" s="17"/>
      <c r="AP24" s="1"/>
      <c r="AQ24" s="7"/>
      <c r="AR24" s="17" t="s">
        <v>109</v>
      </c>
      <c r="AS24" s="7"/>
      <c r="AT24" s="7"/>
      <c r="AU24" s="17"/>
      <c r="AV24" s="17"/>
      <c r="AW24" s="5"/>
      <c r="AX24" s="5"/>
      <c r="AY24" s="5"/>
      <c r="AZ24" s="19"/>
    </row>
    <row r="25" spans="2:52" s="6" customFormat="1" ht="12" customHeight="1" x14ac:dyDescent="0.2">
      <c r="B25" s="298"/>
      <c r="C25" s="35"/>
      <c r="D25" s="48" t="str">
        <f>IF(ISNA(VLOOKUP(B25,BibliothèqueProjet!$A$6:$J$70,2,FALSE)) = TRUE, "", VLOOKUP(B25,BibliothèqueProjet!$A$6:$J$20,2,FALSE))</f>
        <v/>
      </c>
      <c r="E25" s="33"/>
      <c r="F25" s="536" t="s">
        <v>146</v>
      </c>
      <c r="G25" s="537"/>
      <c r="H25" s="538"/>
      <c r="I25" s="212"/>
      <c r="J25" s="213"/>
      <c r="K25" s="214"/>
      <c r="L25" s="36">
        <f t="shared" si="0"/>
        <v>0</v>
      </c>
      <c r="M25" s="36" t="str">
        <f t="shared" si="1"/>
        <v>-</v>
      </c>
      <c r="N25" s="331"/>
      <c r="O25" s="199" t="str">
        <f>IF(B25&lt;&gt;0,VLOOKUP(B25,BibliothèqueProjet!$A$5:$J$20,10,FALSE),"")</f>
        <v/>
      </c>
      <c r="P25" s="372" t="str">
        <f t="shared" si="2"/>
        <v/>
      </c>
      <c r="Q25" s="168" t="str">
        <f t="shared" si="3"/>
        <v/>
      </c>
      <c r="R25" s="31"/>
      <c r="AM25" s="28"/>
      <c r="AN25" s="17"/>
      <c r="AO25" s="17"/>
      <c r="AP25" s="1"/>
      <c r="AQ25" s="1"/>
      <c r="AR25" s="1"/>
      <c r="AS25" s="1"/>
      <c r="AT25" s="7"/>
      <c r="AU25" s="17"/>
      <c r="AV25" s="17"/>
      <c r="AW25" s="5"/>
      <c r="AX25" s="5"/>
      <c r="AY25" s="5"/>
      <c r="AZ25" s="5"/>
    </row>
    <row r="26" spans="2:52" s="6" customFormat="1" ht="12" customHeight="1" x14ac:dyDescent="0.2">
      <c r="B26" s="298"/>
      <c r="C26" s="38"/>
      <c r="D26" s="48" t="str">
        <f>IF(ISNA(VLOOKUP(B26,BibliothèqueProjet!$A$6:$J$70,2,FALSE)) = TRUE, "", VLOOKUP(B26,BibliothèqueProjet!$A$6:$J$20,2,FALSE))</f>
        <v/>
      </c>
      <c r="E26" s="33"/>
      <c r="F26" s="539" t="s">
        <v>146</v>
      </c>
      <c r="G26" s="540"/>
      <c r="H26" s="541"/>
      <c r="I26" s="212"/>
      <c r="J26" s="213"/>
      <c r="K26" s="214"/>
      <c r="L26" s="36">
        <f t="shared" si="0"/>
        <v>0</v>
      </c>
      <c r="M26" s="36" t="str">
        <f t="shared" si="1"/>
        <v>-</v>
      </c>
      <c r="N26" s="331"/>
      <c r="O26" s="199" t="str">
        <f>IF(B26&lt;&gt;0,VLOOKUP(B26,BibliothèqueProjet!$A$5:$J$20,10,FALSE),"")</f>
        <v/>
      </c>
      <c r="P26" s="372" t="str">
        <f t="shared" si="2"/>
        <v/>
      </c>
      <c r="Q26" s="168" t="str">
        <f t="shared" si="3"/>
        <v/>
      </c>
      <c r="AM26" s="28"/>
      <c r="AN26" s="17"/>
      <c r="AO26" s="17"/>
      <c r="AP26" s="1"/>
      <c r="AQ26" s="1"/>
      <c r="AR26" s="1"/>
      <c r="AS26" s="1"/>
      <c r="AT26" s="7"/>
      <c r="AU26" s="17"/>
      <c r="AV26" s="17"/>
      <c r="AW26" s="5"/>
      <c r="AX26" s="5"/>
      <c r="AY26" s="5"/>
      <c r="AZ26" s="5"/>
    </row>
    <row r="27" spans="2:52" s="6" customFormat="1" ht="15" x14ac:dyDescent="0.25">
      <c r="B27" s="76" t="s">
        <v>42</v>
      </c>
      <c r="C27" s="56"/>
      <c r="D27" s="77"/>
      <c r="E27" s="56"/>
      <c r="F27" s="56"/>
      <c r="G27" s="56"/>
      <c r="H27" s="78"/>
      <c r="I27" s="79"/>
      <c r="J27" s="80"/>
      <c r="K27" s="78"/>
      <c r="L27" s="79"/>
      <c r="M27" s="79"/>
      <c r="N27" s="81"/>
      <c r="O27" s="82" t="s">
        <v>9</v>
      </c>
      <c r="P27" s="268">
        <f>SUM(P21:P26)</f>
        <v>1.0809974999999998</v>
      </c>
      <c r="Q27" s="268" t="e">
        <f>SUM(Q21:Q26)</f>
        <v>#REF!</v>
      </c>
      <c r="R27" s="32"/>
      <c r="AM27" s="28"/>
      <c r="AN27" s="17"/>
      <c r="AO27" s="17"/>
      <c r="AP27" s="1"/>
      <c r="AQ27" s="1" t="s">
        <v>104</v>
      </c>
      <c r="AR27" s="17" t="s">
        <v>109</v>
      </c>
      <c r="AS27" s="5"/>
      <c r="AT27" s="18" t="s">
        <v>108</v>
      </c>
      <c r="AU27" s="17"/>
      <c r="AV27" s="17"/>
      <c r="AW27" s="5"/>
      <c r="AX27" s="5"/>
      <c r="AY27" s="5"/>
      <c r="AZ27" s="5"/>
    </row>
    <row r="28" spans="2:52" s="17" customForma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AM28" s="10" t="s">
        <v>95</v>
      </c>
      <c r="AP28" s="1" t="s">
        <v>105</v>
      </c>
      <c r="AQ28" s="7">
        <v>4</v>
      </c>
      <c r="AR28" s="16">
        <v>2</v>
      </c>
      <c r="AS28" s="5"/>
      <c r="AT28" s="5">
        <v>0.1</v>
      </c>
      <c r="AW28" s="18"/>
      <c r="AX28" s="18"/>
      <c r="AY28" s="18"/>
      <c r="AZ28" s="18"/>
    </row>
    <row r="29" spans="2:52" s="17" customFormat="1" x14ac:dyDescent="0.2">
      <c r="B29" s="247" t="s">
        <v>187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9"/>
      <c r="R29" s="15"/>
      <c r="AM29" s="28" t="s">
        <v>113</v>
      </c>
      <c r="AP29" s="1" t="s">
        <v>107</v>
      </c>
      <c r="AQ29" s="7">
        <v>7</v>
      </c>
      <c r="AR29" s="43">
        <v>4</v>
      </c>
      <c r="AS29" s="5"/>
      <c r="AT29" s="5"/>
    </row>
    <row r="30" spans="2:52" s="17" customFormat="1" ht="22.5" customHeight="1" x14ac:dyDescent="0.2">
      <c r="B30" s="241" t="s">
        <v>25</v>
      </c>
      <c r="C30" s="242" t="s">
        <v>14</v>
      </c>
      <c r="D30" s="497" t="s">
        <v>26</v>
      </c>
      <c r="E30" s="509"/>
      <c r="F30" s="510" t="s">
        <v>172</v>
      </c>
      <c r="G30" s="509"/>
      <c r="H30" s="511"/>
      <c r="I30" s="243" t="s">
        <v>7</v>
      </c>
      <c r="J30" s="242" t="s">
        <v>13</v>
      </c>
      <c r="K30" s="242" t="s">
        <v>183</v>
      </c>
      <c r="L30" s="242" t="s">
        <v>1</v>
      </c>
      <c r="M30" s="497" t="s">
        <v>173</v>
      </c>
      <c r="N30" s="498"/>
      <c r="O30" s="244" t="s">
        <v>181</v>
      </c>
      <c r="P30" s="245" t="s">
        <v>17</v>
      </c>
      <c r="Q30" s="246" t="s">
        <v>18</v>
      </c>
      <c r="R30" s="15"/>
      <c r="AM30" s="28" t="s">
        <v>114</v>
      </c>
      <c r="AN30" s="18"/>
      <c r="AO30" s="18"/>
      <c r="AP30" s="1" t="s">
        <v>106</v>
      </c>
      <c r="AQ30" s="7">
        <v>10</v>
      </c>
      <c r="AR30" s="18">
        <v>5</v>
      </c>
      <c r="AS30" s="5"/>
      <c r="AT30" s="5"/>
    </row>
    <row r="31" spans="2:52" s="17" customFormat="1" ht="12" customHeight="1" x14ac:dyDescent="0.2">
      <c r="B31" s="189" t="s">
        <v>2</v>
      </c>
      <c r="C31" s="172"/>
      <c r="D31" s="173"/>
      <c r="E31" s="172"/>
      <c r="F31" s="172"/>
      <c r="G31" s="174"/>
      <c r="H31" s="174"/>
      <c r="I31" s="170" t="s">
        <v>3</v>
      </c>
      <c r="J31" s="170" t="s">
        <v>3</v>
      </c>
      <c r="K31" s="169" t="s">
        <v>2</v>
      </c>
      <c r="L31" s="170" t="s">
        <v>40</v>
      </c>
      <c r="M31" s="499" t="s">
        <v>7</v>
      </c>
      <c r="N31" s="499"/>
      <c r="O31" s="198" t="s">
        <v>182</v>
      </c>
      <c r="P31" s="171" t="s">
        <v>6</v>
      </c>
      <c r="Q31" s="374" t="s">
        <v>141</v>
      </c>
      <c r="R31" s="15"/>
      <c r="AM31" s="28"/>
      <c r="AN31" s="16"/>
      <c r="AO31" s="18"/>
      <c r="AT31" s="5"/>
    </row>
    <row r="32" spans="2:52" s="17" customFormat="1" ht="12" customHeight="1" x14ac:dyDescent="0.2">
      <c r="B32" s="295" t="s">
        <v>62</v>
      </c>
      <c r="C32" s="35" t="s">
        <v>44</v>
      </c>
      <c r="D32" s="48" t="str">
        <f>IF(ISNA(VLOOKUP(B32,BibliothèqueProjet!$A$43:$J$62,2,FALSE)) = TRUE, "", VLOOKUP(B32,BibliothèqueProjet!$A$43:$J$62,2,FALSE))</f>
        <v>Double vitrage 4/16/4</v>
      </c>
      <c r="E32" s="33"/>
      <c r="F32" s="530" t="s">
        <v>146</v>
      </c>
      <c r="G32" s="531"/>
      <c r="H32" s="532"/>
      <c r="I32" s="238">
        <v>2.75</v>
      </c>
      <c r="J32" s="377">
        <v>2.31</v>
      </c>
      <c r="K32" s="239">
        <v>1</v>
      </c>
      <c r="L32" s="354">
        <f>+I32*J32*K32</f>
        <v>6.3525</v>
      </c>
      <c r="M32" s="351" t="str">
        <f>VLOOKUP(F32,$AZ$9:$BA$13,2,FALSE)</f>
        <v>-</v>
      </c>
      <c r="N32" s="338">
        <v>1</v>
      </c>
      <c r="O32" s="354">
        <f>IF(B32&lt;&gt;0,VLOOKUP(B32,BibliothèqueProjet!$A$5:$J$70,10,FALSE),"")</f>
        <v>0.91</v>
      </c>
      <c r="P32" s="434">
        <f>IF(O32&lt;&gt;"",K32*L32*O32*N32,"")</f>
        <v>5.7807750000000002</v>
      </c>
      <c r="Q32" s="435" t="e">
        <f>IF(P32&lt;&gt;"",P32*($E$12-$L$12),"")</f>
        <v>#REF!</v>
      </c>
      <c r="R32" s="15"/>
      <c r="AM32" s="28"/>
      <c r="AN32" s="16"/>
      <c r="AO32" s="18"/>
      <c r="AT32" s="5"/>
    </row>
    <row r="33" spans="1:52" s="17" customFormat="1" ht="12" customHeight="1" x14ac:dyDescent="0.2">
      <c r="B33" s="295"/>
      <c r="C33" s="35"/>
      <c r="D33" s="48" t="str">
        <f>IF(ISNA(VLOOKUP(B33,BibliothèqueProjet!$A$43:$J$62,2,FALSE)) = TRUE, "", VLOOKUP(B33,BibliothèqueProjet!$A$43:$J$62,2,FALSE))</f>
        <v/>
      </c>
      <c r="E33" s="33"/>
      <c r="F33" s="524" t="s">
        <v>146</v>
      </c>
      <c r="G33" s="525"/>
      <c r="H33" s="526"/>
      <c r="I33" s="238"/>
      <c r="J33" s="377"/>
      <c r="K33" s="239"/>
      <c r="L33" s="355">
        <f t="shared" ref="L33:L38" si="4">+I33*J33*K33</f>
        <v>0</v>
      </c>
      <c r="M33" s="352" t="str">
        <f t="shared" ref="M33:M38" si="5">VLOOKUP(F33,$AZ$9:$BA$13,2,FALSE)</f>
        <v>-</v>
      </c>
      <c r="N33" s="339"/>
      <c r="O33" s="355" t="str">
        <f>IF(B33&lt;&gt;0,VLOOKUP(B33,BibliothèqueProjet!$A$5:$J$70,10,FALSE),"")</f>
        <v/>
      </c>
      <c r="P33" s="373" t="str">
        <f>IF(O33&lt;&gt;"",K33*L33*O33*N33,"")</f>
        <v/>
      </c>
      <c r="Q33" s="88" t="str">
        <f t="shared" ref="Q33:Q41" si="6">IF(P33&lt;&gt;"",P33*($E$12-$L$12),"")</f>
        <v/>
      </c>
      <c r="R33" s="15"/>
      <c r="AM33" s="28"/>
      <c r="AN33" s="16"/>
      <c r="AO33" s="18"/>
      <c r="AT33" s="5"/>
    </row>
    <row r="34" spans="1:52" s="6" customFormat="1" ht="12.75" customHeight="1" x14ac:dyDescent="0.2">
      <c r="B34" s="295"/>
      <c r="C34" s="35"/>
      <c r="D34" s="48" t="str">
        <f>IF(ISNA(VLOOKUP(B34,BibliothèqueProjet!$A$43:$J$62,2,FALSE)) = TRUE, "", VLOOKUP(B34,BibliothèqueProjet!$A$43:$J$62,2,FALSE))</f>
        <v/>
      </c>
      <c r="E34" s="33"/>
      <c r="F34" s="524" t="s">
        <v>146</v>
      </c>
      <c r="G34" s="525"/>
      <c r="H34" s="526"/>
      <c r="I34" s="238"/>
      <c r="J34" s="377"/>
      <c r="K34" s="239"/>
      <c r="L34" s="355">
        <f t="shared" si="4"/>
        <v>0</v>
      </c>
      <c r="M34" s="352" t="str">
        <f t="shared" si="5"/>
        <v>-</v>
      </c>
      <c r="N34" s="339"/>
      <c r="O34" s="355" t="str">
        <f>IF(B34&lt;&gt;0,VLOOKUP(B34,BibliothèqueProjet!$A$5:$J$70,10,FALSE),"")</f>
        <v/>
      </c>
      <c r="P34" s="373" t="str">
        <f t="shared" ref="P34:P41" si="7">IF(O34&lt;&gt;"",K34*L34*O34*N34,"")</f>
        <v/>
      </c>
      <c r="Q34" s="88" t="str">
        <f t="shared" si="6"/>
        <v/>
      </c>
      <c r="R34" s="32"/>
      <c r="AM34" s="34"/>
      <c r="AN34" s="31"/>
    </row>
    <row r="35" spans="1:52" s="17" customFormat="1" x14ac:dyDescent="0.2">
      <c r="B35" s="295"/>
      <c r="C35" s="35"/>
      <c r="D35" s="48" t="str">
        <f>IF(ISNA(VLOOKUP(B35,BibliothèqueProjet!$A$43:$J$62,2,FALSE)) = TRUE, "", VLOOKUP(B35,BibliothèqueProjet!$A$43:$J$62,2,FALSE))</f>
        <v/>
      </c>
      <c r="E35" s="33"/>
      <c r="F35" s="524" t="s">
        <v>146</v>
      </c>
      <c r="G35" s="525"/>
      <c r="H35" s="526"/>
      <c r="I35" s="238"/>
      <c r="J35" s="377"/>
      <c r="K35" s="239"/>
      <c r="L35" s="355">
        <f t="shared" si="4"/>
        <v>0</v>
      </c>
      <c r="M35" s="352" t="str">
        <f t="shared" si="5"/>
        <v>-</v>
      </c>
      <c r="N35" s="339"/>
      <c r="O35" s="355" t="str">
        <f>IF(B35&lt;&gt;0,VLOOKUP(B35,BibliothèqueProjet!$A$5:$J$70,10,FALSE),"")</f>
        <v/>
      </c>
      <c r="P35" s="373" t="str">
        <f t="shared" si="7"/>
        <v/>
      </c>
      <c r="Q35" s="88" t="str">
        <f t="shared" si="6"/>
        <v/>
      </c>
      <c r="R35" s="15"/>
      <c r="AM35" s="28"/>
    </row>
    <row r="36" spans="1:52" s="17" customFormat="1" x14ac:dyDescent="0.2">
      <c r="B36" s="295"/>
      <c r="C36" s="35"/>
      <c r="D36" s="48" t="str">
        <f>IF(ISNA(VLOOKUP(B36,BibliothèqueProjet!$A$43:$J$62,2,FALSE)) = TRUE, "", VLOOKUP(B36,BibliothèqueProjet!$A$43:$J$62,2,FALSE))</f>
        <v/>
      </c>
      <c r="E36" s="33"/>
      <c r="F36" s="524" t="s">
        <v>146</v>
      </c>
      <c r="G36" s="525"/>
      <c r="H36" s="526"/>
      <c r="I36" s="238"/>
      <c r="J36" s="377"/>
      <c r="K36" s="239"/>
      <c r="L36" s="355">
        <f t="shared" si="4"/>
        <v>0</v>
      </c>
      <c r="M36" s="352" t="str">
        <f t="shared" si="5"/>
        <v>-</v>
      </c>
      <c r="N36" s="339"/>
      <c r="O36" s="355" t="str">
        <f>IF(B36&lt;&gt;0,VLOOKUP(B36,BibliothèqueProjet!$A$5:$J$70,10,FALSE),"")</f>
        <v/>
      </c>
      <c r="P36" s="373" t="str">
        <f t="shared" si="7"/>
        <v/>
      </c>
      <c r="Q36" s="88" t="str">
        <f t="shared" si="6"/>
        <v/>
      </c>
      <c r="R36" s="15"/>
      <c r="AM36" s="28"/>
    </row>
    <row r="37" spans="1:52" s="17" customFormat="1" x14ac:dyDescent="0.2">
      <c r="B37" s="295"/>
      <c r="C37" s="35"/>
      <c r="D37" s="48" t="str">
        <f>IF(ISNA(VLOOKUP(B37,BibliothèqueProjet!$A$43:$J$62,2,FALSE)) = TRUE, "", VLOOKUP(B37,BibliothèqueProjet!$A$43:$J$62,2,FALSE))</f>
        <v/>
      </c>
      <c r="E37" s="33"/>
      <c r="F37" s="524" t="s">
        <v>146</v>
      </c>
      <c r="G37" s="525"/>
      <c r="H37" s="526"/>
      <c r="I37" s="238"/>
      <c r="J37" s="377"/>
      <c r="K37" s="239"/>
      <c r="L37" s="355">
        <f t="shared" si="4"/>
        <v>0</v>
      </c>
      <c r="M37" s="352" t="str">
        <f t="shared" si="5"/>
        <v>-</v>
      </c>
      <c r="N37" s="339"/>
      <c r="O37" s="355" t="str">
        <f>IF(B37&lt;&gt;0,VLOOKUP(B37,BibliothèqueProjet!$A$5:$J$70,10,FALSE),"")</f>
        <v/>
      </c>
      <c r="P37" s="373" t="str">
        <f t="shared" si="7"/>
        <v/>
      </c>
      <c r="Q37" s="88" t="str">
        <f t="shared" si="6"/>
        <v/>
      </c>
      <c r="R37" s="15"/>
      <c r="AM37" s="28"/>
    </row>
    <row r="38" spans="1:52" s="17" customFormat="1" x14ac:dyDescent="0.2">
      <c r="B38" s="295"/>
      <c r="C38" s="35"/>
      <c r="D38" s="48" t="str">
        <f>IF(ISNA(VLOOKUP(B38,BibliothèqueProjet!$A$43:$J$62,2,FALSE)) = TRUE, "", VLOOKUP(B38,BibliothèqueProjet!$A$43:$J$62,2,FALSE))</f>
        <v/>
      </c>
      <c r="E38" s="33"/>
      <c r="F38" s="524" t="s">
        <v>146</v>
      </c>
      <c r="G38" s="525"/>
      <c r="H38" s="526"/>
      <c r="I38" s="238"/>
      <c r="J38" s="377"/>
      <c r="K38" s="239"/>
      <c r="L38" s="355">
        <f t="shared" si="4"/>
        <v>0</v>
      </c>
      <c r="M38" s="352" t="str">
        <f t="shared" si="5"/>
        <v>-</v>
      </c>
      <c r="N38" s="339"/>
      <c r="O38" s="355" t="str">
        <f>IF(B38&lt;&gt;0,VLOOKUP(B38,BibliothèqueProjet!$A$5:$J$70,10,FALSE),"")</f>
        <v/>
      </c>
      <c r="P38" s="373" t="str">
        <f t="shared" si="7"/>
        <v/>
      </c>
      <c r="Q38" s="88" t="str">
        <f t="shared" si="6"/>
        <v/>
      </c>
      <c r="R38" s="15"/>
      <c r="AM38" s="28"/>
    </row>
    <row r="39" spans="1:52" s="17" customFormat="1" x14ac:dyDescent="0.2">
      <c r="B39" s="296"/>
      <c r="C39" s="38"/>
      <c r="D39" s="48" t="str">
        <f>IF(ISNA(VLOOKUP(B39,BibliothèqueProjet!$A$6:$J$70,2,FALSE)) = TRUE, "", VLOOKUP(B39,BibliothèqueProjet!$A$6:$J$70,2,FALSE))</f>
        <v/>
      </c>
      <c r="E39" s="39"/>
      <c r="F39" s="524" t="s">
        <v>146</v>
      </c>
      <c r="G39" s="525"/>
      <c r="H39" s="526"/>
      <c r="I39" s="240"/>
      <c r="J39" s="378"/>
      <c r="K39" s="239"/>
      <c r="L39" s="355">
        <f>+I39*J39*K39</f>
        <v>0</v>
      </c>
      <c r="M39" s="352" t="str">
        <f>VLOOKUP(F39,$AZ$9:$BA$13,2,FALSE)</f>
        <v>-</v>
      </c>
      <c r="N39" s="339"/>
      <c r="O39" s="355" t="str">
        <f>IF(B39&lt;&gt;0,VLOOKUP(B39,BibliothèqueProjet!$A$5:$J$70,10,FALSE),"")</f>
        <v/>
      </c>
      <c r="P39" s="373" t="str">
        <f t="shared" si="7"/>
        <v/>
      </c>
      <c r="Q39" s="88" t="str">
        <f t="shared" si="6"/>
        <v/>
      </c>
      <c r="R39" s="15"/>
    </row>
    <row r="40" spans="1:52" s="17" customFormat="1" x14ac:dyDescent="0.2">
      <c r="B40" s="296"/>
      <c r="C40" s="35"/>
      <c r="D40" s="48" t="str">
        <f>IF(ISNA(VLOOKUP(B40,BibliothèqueProjet!$A$6:$J$70,2,FALSE)) = TRUE, "", VLOOKUP(B40,BibliothèqueProjet!$A$6:$J$70,2,FALSE))</f>
        <v/>
      </c>
      <c r="E40" s="33"/>
      <c r="F40" s="524" t="s">
        <v>146</v>
      </c>
      <c r="G40" s="525"/>
      <c r="H40" s="526"/>
      <c r="I40" s="238"/>
      <c r="J40" s="377"/>
      <c r="K40" s="239"/>
      <c r="L40" s="355">
        <f>+I40*J40*K40</f>
        <v>0</v>
      </c>
      <c r="M40" s="352" t="str">
        <f>VLOOKUP(F40,$AZ$9:$BA$13,2,FALSE)</f>
        <v>-</v>
      </c>
      <c r="N40" s="339"/>
      <c r="O40" s="355" t="str">
        <f>IF(B40&lt;&gt;0,VLOOKUP(B40,BibliothèqueProjet!$A$5:$J$70,10,FALSE),"")</f>
        <v/>
      </c>
      <c r="P40" s="373" t="str">
        <f t="shared" si="7"/>
        <v/>
      </c>
      <c r="Q40" s="88" t="str">
        <f t="shared" si="6"/>
        <v/>
      </c>
      <c r="R40" s="41"/>
    </row>
    <row r="41" spans="1:52" s="17" customFormat="1" x14ac:dyDescent="0.2">
      <c r="B41" s="296"/>
      <c r="C41" s="38"/>
      <c r="D41" s="48" t="str">
        <f>IF(ISNA(VLOOKUP(B41,BibliothèqueProjet!$A$6:$J$70,2,FALSE)) = TRUE, "", VLOOKUP(B41,BibliothèqueProjet!$A$6:$J$70,2,FALSE))</f>
        <v/>
      </c>
      <c r="E41" s="33"/>
      <c r="F41" s="527" t="s">
        <v>146</v>
      </c>
      <c r="G41" s="528"/>
      <c r="H41" s="529"/>
      <c r="I41" s="238"/>
      <c r="J41" s="377"/>
      <c r="K41" s="239"/>
      <c r="L41" s="356">
        <f>+I41*J41*K41</f>
        <v>0</v>
      </c>
      <c r="M41" s="353" t="str">
        <f>VLOOKUP(F41,$AZ$9:$BA$13,2,FALSE)</f>
        <v>-</v>
      </c>
      <c r="N41" s="340"/>
      <c r="O41" s="356" t="str">
        <f>IF(B41&lt;&gt;0,VLOOKUP(B41,BibliothèqueProjet!$A$5:$J$70,10,FALSE),"")</f>
        <v/>
      </c>
      <c r="P41" s="438" t="str">
        <f t="shared" si="7"/>
        <v/>
      </c>
      <c r="Q41" s="439" t="str">
        <f t="shared" si="6"/>
        <v/>
      </c>
      <c r="R41" s="28"/>
      <c r="AO41" s="17" t="s">
        <v>146</v>
      </c>
    </row>
    <row r="42" spans="1:52" s="17" customFormat="1" ht="15" x14ac:dyDescent="0.25">
      <c r="B42" s="76" t="s">
        <v>42</v>
      </c>
      <c r="C42" s="56"/>
      <c r="D42" s="77"/>
      <c r="E42" s="56"/>
      <c r="F42" s="56"/>
      <c r="G42" s="56"/>
      <c r="H42" s="78"/>
      <c r="I42" s="79"/>
      <c r="J42" s="80"/>
      <c r="K42" s="78"/>
      <c r="L42" s="79"/>
      <c r="M42" s="79"/>
      <c r="N42" s="81"/>
      <c r="O42" s="82" t="s">
        <v>9</v>
      </c>
      <c r="P42" s="268">
        <f>SUM(P32:P41)</f>
        <v>5.7807750000000002</v>
      </c>
      <c r="Q42" s="268" t="e">
        <f>SUM(Q32:Q41)</f>
        <v>#REF!</v>
      </c>
      <c r="R42" s="28"/>
      <c r="AO42" s="17" t="s">
        <v>175</v>
      </c>
    </row>
    <row r="43" spans="1:52" s="17" customFormat="1" ht="12" x14ac:dyDescent="0.2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28"/>
      <c r="AO43" s="17" t="s">
        <v>174</v>
      </c>
    </row>
    <row r="44" spans="1:52" s="8" customFormat="1" x14ac:dyDescent="0.2">
      <c r="A44" s="17"/>
      <c r="B44" s="250" t="s">
        <v>171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2"/>
      <c r="R44" s="29"/>
      <c r="AM44" s="21"/>
      <c r="AN44" s="6"/>
      <c r="AO44" s="17" t="s">
        <v>179</v>
      </c>
      <c r="AP44" s="6"/>
      <c r="AQ44" s="6"/>
      <c r="AR44" s="6"/>
      <c r="AS44" s="6"/>
      <c r="AU44" s="6"/>
      <c r="AV44" s="17"/>
      <c r="AX44" s="21"/>
      <c r="AY44" s="21"/>
      <c r="AZ44" s="21"/>
    </row>
    <row r="45" spans="1:52" s="17" customFormat="1" ht="24" x14ac:dyDescent="0.2">
      <c r="B45" s="241" t="s">
        <v>25</v>
      </c>
      <c r="C45" s="242" t="s">
        <v>14</v>
      </c>
      <c r="D45" s="497" t="s">
        <v>26</v>
      </c>
      <c r="E45" s="509"/>
      <c r="F45" s="510" t="s">
        <v>172</v>
      </c>
      <c r="G45" s="509"/>
      <c r="H45" s="511"/>
      <c r="I45" s="243" t="s">
        <v>7</v>
      </c>
      <c r="J45" s="242" t="s">
        <v>13</v>
      </c>
      <c r="K45" s="175" t="s">
        <v>198</v>
      </c>
      <c r="L45" s="242" t="s">
        <v>1</v>
      </c>
      <c r="M45" s="497" t="s">
        <v>173</v>
      </c>
      <c r="N45" s="498"/>
      <c r="O45" s="244" t="s">
        <v>181</v>
      </c>
      <c r="P45" s="245" t="s">
        <v>17</v>
      </c>
      <c r="Q45" s="246" t="s">
        <v>18</v>
      </c>
      <c r="R45" s="15"/>
      <c r="AM45" s="10"/>
      <c r="AO45" s="17" t="s">
        <v>176</v>
      </c>
      <c r="AP45" s="1"/>
      <c r="AQ45" s="7"/>
      <c r="AR45" s="16"/>
      <c r="AS45" s="5"/>
      <c r="AT45" s="5"/>
      <c r="AW45" s="18"/>
      <c r="AX45" s="18"/>
      <c r="AY45" s="18"/>
      <c r="AZ45" s="18"/>
    </row>
    <row r="46" spans="1:52" s="6" customFormat="1" ht="12.75" customHeight="1" x14ac:dyDescent="0.2">
      <c r="A46" s="17"/>
      <c r="B46" s="189" t="s">
        <v>2</v>
      </c>
      <c r="C46" s="172"/>
      <c r="D46" s="173"/>
      <c r="E46" s="172"/>
      <c r="F46" s="172"/>
      <c r="G46" s="174"/>
      <c r="H46" s="174"/>
      <c r="I46" s="170" t="s">
        <v>3</v>
      </c>
      <c r="J46" s="170" t="s">
        <v>3</v>
      </c>
      <c r="K46" s="172" t="s">
        <v>197</v>
      </c>
      <c r="L46" s="170" t="s">
        <v>40</v>
      </c>
      <c r="M46" s="499" t="s">
        <v>7</v>
      </c>
      <c r="N46" s="499"/>
      <c r="O46" s="198" t="s">
        <v>182</v>
      </c>
      <c r="P46" s="171" t="s">
        <v>6</v>
      </c>
      <c r="Q46" s="374" t="s">
        <v>141</v>
      </c>
      <c r="R46" s="32"/>
      <c r="AM46" s="34"/>
      <c r="AN46" s="31"/>
    </row>
    <row r="47" spans="1:52" s="17" customFormat="1" x14ac:dyDescent="0.2">
      <c r="B47" s="293" t="s">
        <v>69</v>
      </c>
      <c r="C47" s="35" t="s">
        <v>44</v>
      </c>
      <c r="D47" s="48" t="str">
        <f>IF(ISNA(VLOOKUP(B47,BibliothèqueProjet!$A$6:$J$70,2,FALSE)) = TRUE, "", VLOOKUP(B47,BibliothèqueProjet!$A$6:$J$70,2,FALSE))</f>
        <v>Planchers bas</v>
      </c>
      <c r="E47" s="33"/>
      <c r="F47" s="515" t="s">
        <v>176</v>
      </c>
      <c r="G47" s="516"/>
      <c r="H47" s="517"/>
      <c r="I47" s="218"/>
      <c r="J47" s="219"/>
      <c r="K47" s="220"/>
      <c r="L47" s="366">
        <f>(I47*J47)-K47</f>
        <v>0</v>
      </c>
      <c r="M47" s="351" t="str">
        <f>VLOOKUP(F47,$AZ$9:$BA$13,2,FALSE)</f>
        <v>b</v>
      </c>
      <c r="N47" s="341"/>
      <c r="O47" s="223">
        <f>IF(B47&lt;&gt;0,VLOOKUP(B47,BibliothèqueProjet!$A$5:$J$70,10,FALSE),"")</f>
        <v>0.3</v>
      </c>
      <c r="P47" s="87">
        <f>IF(O47&lt;&gt;"",L47*O47*N47,"")</f>
        <v>0</v>
      </c>
      <c r="Q47" s="88" t="e">
        <f>IF(P47&lt;&gt;"",P47*($E$12-$L$12),"")</f>
        <v>#REF!</v>
      </c>
      <c r="R47" s="15"/>
      <c r="AH47" s="28"/>
    </row>
    <row r="48" spans="1:52" s="17" customFormat="1" x14ac:dyDescent="0.2">
      <c r="B48" s="294"/>
      <c r="C48" s="38"/>
      <c r="D48" s="48" t="str">
        <f>IF(ISNA(VLOOKUP(B48,BibliothèqueProjet!$A$6:$J$70,2,FALSE)) = TRUE, "", VLOOKUP(B48,BibliothèqueProjet!$A$6:$J$70,2,FALSE))</f>
        <v/>
      </c>
      <c r="E48" s="39"/>
      <c r="F48" s="518" t="s">
        <v>146</v>
      </c>
      <c r="G48" s="519"/>
      <c r="H48" s="520"/>
      <c r="I48" s="221"/>
      <c r="J48" s="222"/>
      <c r="K48" s="220"/>
      <c r="L48" s="366">
        <f>(I48*J48)-K48</f>
        <v>0</v>
      </c>
      <c r="M48" s="352" t="str">
        <f>VLOOKUP(F48,$AZ$9:$BA$13,2,FALSE)</f>
        <v>-</v>
      </c>
      <c r="N48" s="342"/>
      <c r="O48" s="196" t="str">
        <f>IF(B48&lt;&gt;0,VLOOKUP(B48,BibliothèqueProjet!$A$5:$J$70,10,FALSE),"")</f>
        <v/>
      </c>
      <c r="P48" s="87" t="str">
        <f>IF(O48&lt;&gt;"",L48*O48*N48,"")</f>
        <v/>
      </c>
      <c r="Q48" s="88" t="str">
        <f>IF(P48&lt;&gt;"",P48*($E$12-$L$12),"")</f>
        <v/>
      </c>
      <c r="R48" s="15"/>
      <c r="AH48" s="28"/>
    </row>
    <row r="49" spans="2:48" s="17" customFormat="1" x14ac:dyDescent="0.2">
      <c r="B49" s="294"/>
      <c r="C49" s="35"/>
      <c r="D49" s="48" t="str">
        <f>IF(ISNA(VLOOKUP(B49,BibliothèqueProjet!$A$6:$J$70,2,FALSE)) = TRUE, "", VLOOKUP(B49,BibliothèqueProjet!$A$6:$J$70,2,FALSE))</f>
        <v/>
      </c>
      <c r="E49" s="33"/>
      <c r="F49" s="518" t="s">
        <v>146</v>
      </c>
      <c r="G49" s="519"/>
      <c r="H49" s="520"/>
      <c r="I49" s="218"/>
      <c r="J49" s="219"/>
      <c r="K49" s="220"/>
      <c r="L49" s="366">
        <f>(I49*J49)-K49</f>
        <v>0</v>
      </c>
      <c r="M49" s="352" t="str">
        <f>VLOOKUP(F49,$AZ$9:$BA$13,2,FALSE)</f>
        <v>-</v>
      </c>
      <c r="N49" s="342"/>
      <c r="O49" s="196" t="str">
        <f>IF(B49&lt;&gt;0,VLOOKUP(B49,BibliothèqueProjet!$A$5:$J$70,10,FALSE),"")</f>
        <v/>
      </c>
      <c r="P49" s="87" t="str">
        <f>IF(O49&lt;&gt;"",L49*O49*N49,"")</f>
        <v/>
      </c>
      <c r="Q49" s="88" t="str">
        <f>IF(P49&lt;&gt;"",P49*($E$12-$L$12),"")</f>
        <v/>
      </c>
      <c r="R49" s="15"/>
      <c r="AH49" s="28"/>
    </row>
    <row r="50" spans="2:48" s="17" customFormat="1" ht="12" customHeight="1" x14ac:dyDescent="0.2">
      <c r="B50" s="294"/>
      <c r="C50" s="38"/>
      <c r="D50" s="48" t="str">
        <f>IF(ISNA(VLOOKUP(B50,BibliothèqueProjet!$A$6:$J$70,2,FALSE)) = TRUE, "", VLOOKUP(B50,BibliothèqueProjet!$A$6:$J$70,2,FALSE))</f>
        <v/>
      </c>
      <c r="E50" s="33"/>
      <c r="F50" s="521" t="s">
        <v>146</v>
      </c>
      <c r="G50" s="522"/>
      <c r="H50" s="523"/>
      <c r="I50" s="218"/>
      <c r="J50" s="219"/>
      <c r="K50" s="220"/>
      <c r="L50" s="366">
        <f>(I50*J50)-K50</f>
        <v>0</v>
      </c>
      <c r="M50" s="353" t="str">
        <f>VLOOKUP(F50,$AZ$9:$BA$13,2,FALSE)</f>
        <v>-</v>
      </c>
      <c r="N50" s="343"/>
      <c r="O50" s="196" t="str">
        <f>IF(B50&lt;&gt;0,VLOOKUP(B50,BibliothèqueProjet!$A$5:$J$70,10,FALSE),"")</f>
        <v/>
      </c>
      <c r="P50" s="87" t="str">
        <f>IF(O50&lt;&gt;"",L50*O50*N50,"")</f>
        <v/>
      </c>
      <c r="Q50" s="88" t="str">
        <f>IF(P50&lt;&gt;"",P50*($E$12-$L$12),"")</f>
        <v/>
      </c>
      <c r="R50" s="15"/>
      <c r="AH50" s="28"/>
    </row>
    <row r="51" spans="2:48" s="17" customFormat="1" ht="15" x14ac:dyDescent="0.25">
      <c r="B51" s="76" t="s">
        <v>42</v>
      </c>
      <c r="C51" s="56"/>
      <c r="D51" s="77"/>
      <c r="E51" s="56"/>
      <c r="F51" s="56"/>
      <c r="G51" s="56"/>
      <c r="H51" s="78"/>
      <c r="I51" s="79"/>
      <c r="J51" s="80"/>
      <c r="K51" s="78"/>
      <c r="L51" s="79"/>
      <c r="M51" s="86"/>
      <c r="N51" s="81"/>
      <c r="O51" s="82" t="s">
        <v>9</v>
      </c>
      <c r="P51" s="268">
        <f>SUM(P47:P50)</f>
        <v>0</v>
      </c>
      <c r="Q51" s="268" t="e">
        <f>SUM(Q47:Q50)</f>
        <v>#REF!</v>
      </c>
      <c r="R51" s="15"/>
      <c r="AH51" s="28"/>
    </row>
    <row r="52" spans="2:48" s="17" customForma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AH52" s="28"/>
    </row>
    <row r="53" spans="2:48" s="17" customFormat="1" x14ac:dyDescent="0.2">
      <c r="B53" s="256" t="s">
        <v>186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15"/>
    </row>
    <row r="54" spans="2:48" s="17" customFormat="1" ht="24" x14ac:dyDescent="0.2">
      <c r="B54" s="241" t="s">
        <v>25</v>
      </c>
      <c r="C54" s="242" t="s">
        <v>14</v>
      </c>
      <c r="D54" s="497" t="s">
        <v>26</v>
      </c>
      <c r="E54" s="509"/>
      <c r="F54" s="510" t="s">
        <v>172</v>
      </c>
      <c r="G54" s="509"/>
      <c r="H54" s="511"/>
      <c r="I54" s="243" t="s">
        <v>7</v>
      </c>
      <c r="J54" s="242" t="s">
        <v>13</v>
      </c>
      <c r="K54" s="175" t="s">
        <v>198</v>
      </c>
      <c r="L54" s="242" t="s">
        <v>1</v>
      </c>
      <c r="M54" s="497" t="s">
        <v>173</v>
      </c>
      <c r="N54" s="498"/>
      <c r="O54" s="244" t="s">
        <v>181</v>
      </c>
      <c r="P54" s="245" t="s">
        <v>17</v>
      </c>
      <c r="Q54" s="246" t="s">
        <v>18</v>
      </c>
      <c r="R54" s="28"/>
      <c r="AH54" s="28"/>
    </row>
    <row r="55" spans="2:48" s="8" customFormat="1" x14ac:dyDescent="0.2">
      <c r="B55" s="189" t="s">
        <v>2</v>
      </c>
      <c r="C55" s="172"/>
      <c r="D55" s="173"/>
      <c r="E55" s="172"/>
      <c r="F55" s="172"/>
      <c r="G55" s="174"/>
      <c r="H55" s="174"/>
      <c r="I55" s="170" t="s">
        <v>3</v>
      </c>
      <c r="J55" s="170" t="s">
        <v>3</v>
      </c>
      <c r="K55" s="172" t="s">
        <v>197</v>
      </c>
      <c r="L55" s="170" t="s">
        <v>40</v>
      </c>
      <c r="M55" s="499" t="s">
        <v>7</v>
      </c>
      <c r="N55" s="499"/>
      <c r="O55" s="198" t="s">
        <v>182</v>
      </c>
      <c r="P55" s="171" t="s">
        <v>6</v>
      </c>
      <c r="Q55" s="374" t="s">
        <v>141</v>
      </c>
      <c r="R55" s="29"/>
      <c r="AH55" s="21"/>
      <c r="AP55" s="6"/>
      <c r="AQ55" s="17"/>
      <c r="AS55" s="21"/>
      <c r="AT55" s="21"/>
      <c r="AU55" s="21"/>
      <c r="AV55" s="21"/>
    </row>
    <row r="56" spans="2:48" s="6" customFormat="1" x14ac:dyDescent="0.2">
      <c r="B56" s="291" t="s">
        <v>63</v>
      </c>
      <c r="C56" s="35" t="s">
        <v>44</v>
      </c>
      <c r="D56" s="48" t="str">
        <f>IF(ISNA(VLOOKUP(B56,BibliothèqueProjet!$A$6:$J$70,2,FALSE)) = TRUE, "", VLOOKUP(B56,BibliothèqueProjet!$A$6:$J$70,2,FALSE))</f>
        <v>Toiture végétalisée</v>
      </c>
      <c r="E56" s="33"/>
      <c r="F56" s="512" t="s">
        <v>175</v>
      </c>
      <c r="G56" s="513"/>
      <c r="H56" s="514"/>
      <c r="I56" s="153">
        <v>3.89</v>
      </c>
      <c r="J56" s="375">
        <v>4.45</v>
      </c>
      <c r="K56" s="208">
        <f>(H56*I56*J56)-K61</f>
        <v>0</v>
      </c>
      <c r="L56" s="363">
        <f t="shared" ref="L56:L63" si="8">+I56*J56-K56</f>
        <v>17.310500000000001</v>
      </c>
      <c r="M56" s="351">
        <f t="shared" ref="M56:M63" si="9">VLOOKUP(F56,$AZ$9:$BA$13,2,FALSE)</f>
        <v>1</v>
      </c>
      <c r="N56" s="344">
        <v>1</v>
      </c>
      <c r="O56" s="223">
        <f>IF(B56&lt;&gt;0,VLOOKUP(B56,BibliothèqueProjet!$A$5:$J$70,10,FALSE),"")</f>
        <v>0.13</v>
      </c>
      <c r="P56" s="434">
        <f>IF(O56&lt;&gt;"",L56*O56*N56,"")</f>
        <v>2.2503650000000004</v>
      </c>
      <c r="Q56" s="435" t="e">
        <f>IF(P56&lt;&gt;"",P56*($E$12-$L$12),"")</f>
        <v>#REF!</v>
      </c>
      <c r="R56" s="32"/>
      <c r="AH56" s="28"/>
      <c r="AP56" s="17"/>
      <c r="AQ56" s="17"/>
      <c r="AR56" s="5"/>
      <c r="AS56" s="5"/>
      <c r="AT56" s="5"/>
      <c r="AU56" s="5"/>
      <c r="AV56" s="5"/>
    </row>
    <row r="57" spans="2:48" s="17" customFormat="1" x14ac:dyDescent="0.2">
      <c r="B57" s="291"/>
      <c r="C57" s="35"/>
      <c r="D57" s="48" t="str">
        <f>IF(ISNA(VLOOKUP(B57,BibliothèqueProjet!$A$6:$J$70,2,FALSE)) = TRUE, "", VLOOKUP(B57,BibliothèqueProjet!$A$6:$J$70,2,FALSE))</f>
        <v/>
      </c>
      <c r="E57" s="33"/>
      <c r="F57" s="503" t="s">
        <v>146</v>
      </c>
      <c r="G57" s="504"/>
      <c r="H57" s="505"/>
      <c r="I57" s="153"/>
      <c r="J57" s="375"/>
      <c r="K57" s="208"/>
      <c r="L57" s="364">
        <f t="shared" si="8"/>
        <v>0</v>
      </c>
      <c r="M57" s="352" t="str">
        <f t="shared" si="9"/>
        <v>-</v>
      </c>
      <c r="N57" s="430"/>
      <c r="O57" s="196" t="str">
        <f>IF(B57&lt;&gt;0,VLOOKUP(B57,BibliothèqueProjet!$A$5:$J$70,10,FALSE),"")</f>
        <v/>
      </c>
      <c r="P57" s="373" t="str">
        <f t="shared" ref="P57:P63" si="10">IF(O57&lt;&gt;"",L57*O57*N57,"")</f>
        <v/>
      </c>
      <c r="Q57" s="88" t="str">
        <f t="shared" ref="Q57:Q63" si="11">IF(P57&lt;&gt;"",P57*($E$12-$L$12),"")</f>
        <v/>
      </c>
      <c r="R57" s="15"/>
      <c r="AH57" s="10"/>
      <c r="AK57" s="1"/>
      <c r="AL57" s="7"/>
      <c r="AM57" s="16"/>
      <c r="AN57" s="5"/>
      <c r="AO57" s="5"/>
      <c r="AR57" s="18"/>
      <c r="AS57" s="18"/>
      <c r="AT57" s="18"/>
      <c r="AU57" s="18"/>
      <c r="AV57" s="18"/>
    </row>
    <row r="58" spans="2:48" s="17" customFormat="1" x14ac:dyDescent="0.2">
      <c r="B58" s="291"/>
      <c r="C58" s="35"/>
      <c r="D58" s="48" t="str">
        <f>IF(ISNA(VLOOKUP(B58,BibliothèqueProjet!$A$6:$J$70,2,FALSE)) = TRUE, "", VLOOKUP(B58,BibliothèqueProjet!$A$6:$J$70,2,FALSE))</f>
        <v/>
      </c>
      <c r="E58" s="33"/>
      <c r="F58" s="503" t="s">
        <v>146</v>
      </c>
      <c r="G58" s="504"/>
      <c r="H58" s="505"/>
      <c r="I58" s="153"/>
      <c r="J58" s="375"/>
      <c r="K58" s="208"/>
      <c r="L58" s="364">
        <f t="shared" si="8"/>
        <v>0</v>
      </c>
      <c r="M58" s="352" t="str">
        <f t="shared" si="9"/>
        <v>-</v>
      </c>
      <c r="N58" s="430"/>
      <c r="O58" s="196" t="str">
        <f>IF(B58&lt;&gt;0,VLOOKUP(B58,BibliothèqueProjet!$A$5:$J$70,10,FALSE),"")</f>
        <v/>
      </c>
      <c r="P58" s="373" t="str">
        <f t="shared" si="10"/>
        <v/>
      </c>
      <c r="Q58" s="88" t="str">
        <f t="shared" si="11"/>
        <v/>
      </c>
      <c r="R58" s="15"/>
      <c r="AH58" s="28"/>
      <c r="AK58" s="1"/>
      <c r="AL58" s="7"/>
      <c r="AM58" s="43"/>
      <c r="AN58" s="5"/>
      <c r="AO58" s="5"/>
    </row>
    <row r="59" spans="2:48" s="17" customFormat="1" x14ac:dyDescent="0.2">
      <c r="B59" s="291"/>
      <c r="C59" s="35"/>
      <c r="D59" s="48" t="str">
        <f>IF(ISNA(VLOOKUP(B59,BibliothèqueProjet!$A$6:$J$70,2,FALSE)) = TRUE, "", VLOOKUP(B59,BibliothèqueProjet!$A$6:$J$70,2,FALSE))</f>
        <v/>
      </c>
      <c r="E59" s="33"/>
      <c r="F59" s="503" t="s">
        <v>146</v>
      </c>
      <c r="G59" s="504"/>
      <c r="H59" s="505"/>
      <c r="I59" s="153"/>
      <c r="J59" s="375"/>
      <c r="K59" s="208"/>
      <c r="L59" s="364">
        <f t="shared" si="8"/>
        <v>0</v>
      </c>
      <c r="M59" s="352" t="str">
        <f t="shared" si="9"/>
        <v>-</v>
      </c>
      <c r="N59" s="430"/>
      <c r="O59" s="196" t="str">
        <f>IF(B59&lt;&gt;0,VLOOKUP(B59,BibliothèqueProjet!$A$5:$J$70,10,FALSE),"")</f>
        <v/>
      </c>
      <c r="P59" s="373" t="str">
        <f t="shared" si="10"/>
        <v/>
      </c>
      <c r="Q59" s="88" t="str">
        <f t="shared" si="11"/>
        <v/>
      </c>
      <c r="R59" s="15"/>
      <c r="AH59" s="28"/>
      <c r="AI59" s="18"/>
      <c r="AJ59" s="18"/>
      <c r="AK59" s="1"/>
      <c r="AL59" s="7"/>
      <c r="AM59" s="18"/>
      <c r="AN59" s="5"/>
      <c r="AO59" s="5"/>
    </row>
    <row r="60" spans="2:48" s="17" customFormat="1" ht="12" customHeight="1" x14ac:dyDescent="0.2">
      <c r="B60" s="291"/>
      <c r="C60" s="35"/>
      <c r="D60" s="48" t="str">
        <f>IF(ISNA(VLOOKUP(B60,BibliothèqueProjet!$A$6:$J$70,2,FALSE)) = TRUE, "", VLOOKUP(B60,BibliothèqueProjet!$A$6:$J$70,2,FALSE))</f>
        <v/>
      </c>
      <c r="E60" s="33"/>
      <c r="F60" s="503" t="s">
        <v>146</v>
      </c>
      <c r="G60" s="504"/>
      <c r="H60" s="505"/>
      <c r="I60" s="153"/>
      <c r="J60" s="375"/>
      <c r="K60" s="208"/>
      <c r="L60" s="364">
        <f t="shared" si="8"/>
        <v>0</v>
      </c>
      <c r="M60" s="352" t="str">
        <f t="shared" si="9"/>
        <v>-</v>
      </c>
      <c r="N60" s="430"/>
      <c r="O60" s="196" t="str">
        <f>IF(B60&lt;&gt;0,VLOOKUP(B60,BibliothèqueProjet!$A$5:$J$70,10,FALSE),"")</f>
        <v/>
      </c>
      <c r="P60" s="373" t="str">
        <f t="shared" si="10"/>
        <v/>
      </c>
      <c r="Q60" s="88" t="str">
        <f t="shared" si="11"/>
        <v/>
      </c>
      <c r="R60" s="15"/>
      <c r="AH60" s="28"/>
      <c r="AI60" s="16"/>
      <c r="AJ60" s="18"/>
      <c r="AO60" s="5"/>
    </row>
    <row r="61" spans="2:48" s="17" customFormat="1" ht="12" customHeight="1" x14ac:dyDescent="0.2">
      <c r="B61" s="292"/>
      <c r="C61" s="38"/>
      <c r="D61" s="48" t="str">
        <f>IF(ISNA(VLOOKUP(B61,BibliothèqueProjet!$A$6:$J$70,2,FALSE)) = TRUE, "", VLOOKUP(B61,BibliothèqueProjet!$A$6:$J$70,2,FALSE))</f>
        <v/>
      </c>
      <c r="E61" s="39"/>
      <c r="F61" s="503" t="s">
        <v>146</v>
      </c>
      <c r="G61" s="504"/>
      <c r="H61" s="505"/>
      <c r="I61" s="152"/>
      <c r="J61" s="376"/>
      <c r="K61" s="208"/>
      <c r="L61" s="364">
        <f t="shared" si="8"/>
        <v>0</v>
      </c>
      <c r="M61" s="352" t="str">
        <f t="shared" si="9"/>
        <v>-</v>
      </c>
      <c r="N61" s="345"/>
      <c r="O61" s="196" t="str">
        <f>IF(B61&lt;&gt;0,VLOOKUP(B61,BibliothèqueProjet!$A$5:$J$70,10,FALSE),"")</f>
        <v/>
      </c>
      <c r="P61" s="373" t="str">
        <f t="shared" si="10"/>
        <v/>
      </c>
      <c r="Q61" s="88" t="str">
        <f t="shared" si="11"/>
        <v/>
      </c>
      <c r="R61" s="15"/>
      <c r="AH61" s="28"/>
      <c r="AI61" s="16"/>
      <c r="AJ61" s="18"/>
      <c r="AO61" s="5"/>
    </row>
    <row r="62" spans="2:48" s="6" customFormat="1" ht="12.75" customHeight="1" x14ac:dyDescent="0.2">
      <c r="B62" s="292"/>
      <c r="C62" s="35"/>
      <c r="D62" s="48" t="str">
        <f>IF(ISNA(VLOOKUP(B62,BibliothèqueProjet!$A$6:$J$70,2,FALSE)) = TRUE, "", VLOOKUP(B62,BibliothèqueProjet!$A$6:$J$70,2,FALSE))</f>
        <v/>
      </c>
      <c r="E62" s="33"/>
      <c r="F62" s="503" t="s">
        <v>146</v>
      </c>
      <c r="G62" s="504"/>
      <c r="H62" s="505"/>
      <c r="I62" s="153"/>
      <c r="J62" s="375"/>
      <c r="K62" s="208"/>
      <c r="L62" s="364">
        <f t="shared" si="8"/>
        <v>0</v>
      </c>
      <c r="M62" s="352" t="str">
        <f t="shared" si="9"/>
        <v>-</v>
      </c>
      <c r="N62" s="345"/>
      <c r="O62" s="196" t="str">
        <f>IF(B62&lt;&gt;0,VLOOKUP(B62,BibliothèqueProjet!$A$5:$J$70,10,FALSE),"")</f>
        <v/>
      </c>
      <c r="P62" s="373" t="str">
        <f t="shared" si="10"/>
        <v/>
      </c>
      <c r="Q62" s="88" t="str">
        <f t="shared" si="11"/>
        <v/>
      </c>
      <c r="R62" s="32"/>
      <c r="AH62" s="34"/>
      <c r="AI62" s="31"/>
    </row>
    <row r="63" spans="2:48" s="17" customFormat="1" x14ac:dyDescent="0.2">
      <c r="B63" s="292"/>
      <c r="C63" s="38"/>
      <c r="D63" s="48" t="str">
        <f>IF(ISNA(VLOOKUP(B63,BibliothèqueProjet!$A$6:$J$70,2,FALSE)) = TRUE, "", VLOOKUP(B63,BibliothèqueProjet!$A$6:$J$70,2,FALSE))</f>
        <v/>
      </c>
      <c r="E63" s="33"/>
      <c r="F63" s="506" t="s">
        <v>146</v>
      </c>
      <c r="G63" s="507"/>
      <c r="H63" s="508"/>
      <c r="I63" s="153"/>
      <c r="J63" s="375"/>
      <c r="K63" s="208"/>
      <c r="L63" s="365">
        <f t="shared" si="8"/>
        <v>0</v>
      </c>
      <c r="M63" s="353" t="str">
        <f t="shared" si="9"/>
        <v>-</v>
      </c>
      <c r="N63" s="346"/>
      <c r="O63" s="440" t="str">
        <f>IF(B63&lt;&gt;0,VLOOKUP(B63,BibliothèqueProjet!$A$5:$J$70,10,FALSE),"")</f>
        <v/>
      </c>
      <c r="P63" s="438" t="str">
        <f t="shared" si="10"/>
        <v/>
      </c>
      <c r="Q63" s="439" t="str">
        <f t="shared" si="11"/>
        <v/>
      </c>
      <c r="R63" s="15"/>
      <c r="AH63" s="28"/>
    </row>
    <row r="64" spans="2:48" s="17" customFormat="1" ht="15" x14ac:dyDescent="0.25">
      <c r="B64" s="76" t="s">
        <v>42</v>
      </c>
      <c r="C64" s="56"/>
      <c r="D64" s="77"/>
      <c r="E64" s="56"/>
      <c r="F64" s="56"/>
      <c r="G64" s="56"/>
      <c r="H64" s="78"/>
      <c r="I64" s="79"/>
      <c r="J64" s="80"/>
      <c r="K64" s="78"/>
      <c r="L64" s="79"/>
      <c r="M64" s="86"/>
      <c r="N64" s="81"/>
      <c r="O64" s="82" t="s">
        <v>9</v>
      </c>
      <c r="P64" s="268">
        <f>SUM(P56:P63)</f>
        <v>2.2503650000000004</v>
      </c>
      <c r="Q64" s="268" t="e">
        <f>SUM(Q56:Q63)</f>
        <v>#REF!</v>
      </c>
      <c r="R64" s="15"/>
      <c r="AH64" s="28"/>
    </row>
    <row r="65" spans="2:48" s="17" customFormat="1" ht="15" x14ac:dyDescent="0.25">
      <c r="B65" s="162"/>
      <c r="C65" s="75"/>
      <c r="D65" s="163"/>
      <c r="E65" s="75"/>
      <c r="F65" s="75"/>
      <c r="G65" s="75"/>
      <c r="H65" s="84"/>
      <c r="I65" s="85"/>
      <c r="J65" s="164"/>
      <c r="K65" s="84"/>
      <c r="L65" s="85"/>
      <c r="M65" s="85"/>
      <c r="N65" s="85"/>
      <c r="O65" s="165"/>
      <c r="P65" s="166"/>
      <c r="Q65" s="167"/>
      <c r="R65" s="15"/>
      <c r="AH65" s="28"/>
    </row>
    <row r="66" spans="2:48" s="17" customFormat="1" x14ac:dyDescent="0.2">
      <c r="B66" s="253" t="s">
        <v>178</v>
      </c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5"/>
      <c r="R66" s="15"/>
    </row>
    <row r="67" spans="2:48" s="17" customFormat="1" ht="28.5" customHeight="1" x14ac:dyDescent="0.2">
      <c r="B67" s="241" t="s">
        <v>25</v>
      </c>
      <c r="C67" s="242" t="s">
        <v>14</v>
      </c>
      <c r="D67" s="497" t="s">
        <v>26</v>
      </c>
      <c r="E67" s="509"/>
      <c r="F67" s="510" t="s">
        <v>172</v>
      </c>
      <c r="G67" s="509"/>
      <c r="H67" s="511"/>
      <c r="I67" s="243"/>
      <c r="J67" s="242"/>
      <c r="K67" s="242"/>
      <c r="L67" s="243" t="s">
        <v>0</v>
      </c>
      <c r="M67" s="497" t="s">
        <v>173</v>
      </c>
      <c r="N67" s="498"/>
      <c r="O67" s="244" t="s">
        <v>181</v>
      </c>
      <c r="P67" s="245" t="s">
        <v>17</v>
      </c>
      <c r="Q67" s="246" t="s">
        <v>18</v>
      </c>
      <c r="R67" s="41"/>
    </row>
    <row r="68" spans="2:48" x14ac:dyDescent="0.2">
      <c r="B68" s="189" t="s">
        <v>2</v>
      </c>
      <c r="C68" s="172"/>
      <c r="D68" s="173"/>
      <c r="E68" s="172"/>
      <c r="F68" s="172"/>
      <c r="G68" s="174"/>
      <c r="H68" s="174"/>
      <c r="I68" s="170"/>
      <c r="J68" s="170"/>
      <c r="K68" s="169"/>
      <c r="L68" s="172" t="s">
        <v>3</v>
      </c>
      <c r="M68" s="499" t="s">
        <v>7</v>
      </c>
      <c r="N68" s="499"/>
      <c r="O68" s="198" t="s">
        <v>182</v>
      </c>
      <c r="P68" s="171" t="s">
        <v>6</v>
      </c>
      <c r="Q68" s="374" t="s">
        <v>141</v>
      </c>
    </row>
    <row r="69" spans="2:48" s="8" customFormat="1" x14ac:dyDescent="0.2">
      <c r="B69" s="289" t="s">
        <v>80</v>
      </c>
      <c r="C69" s="35" t="s">
        <v>44</v>
      </c>
      <c r="D69" s="48" t="str">
        <f>IF(ISNA(VLOOKUP(B69,BibliothèqueProjet!$A$6:$J$70,2,FALSE)) = TRUE, "", VLOOKUP(B69,BibliothèqueProjet!$A$6:$J$70,2,FALSE))</f>
        <v>Linéique</v>
      </c>
      <c r="E69" s="33"/>
      <c r="F69" s="500" t="s">
        <v>175</v>
      </c>
      <c r="G69" s="501"/>
      <c r="H69" s="502"/>
      <c r="I69" s="37"/>
      <c r="J69" s="46"/>
      <c r="K69" s="36"/>
      <c r="L69" s="367">
        <v>2.75</v>
      </c>
      <c r="M69" s="351">
        <f>VLOOKUP(F69,$AZ$9:$BA$13,2,FALSE)</f>
        <v>1</v>
      </c>
      <c r="N69" s="369">
        <v>1</v>
      </c>
      <c r="O69" s="433">
        <f>IF(B69&lt;&gt;0,VLOOKUP(B69,BibliothèqueProjet!$A$5:$J$70,10,FALSE),"")</f>
        <v>0.1</v>
      </c>
      <c r="P69" s="434">
        <f>IF(O69&lt;&gt;"",O69*L69*N69,"")</f>
        <v>0.27500000000000002</v>
      </c>
      <c r="Q69" s="435" t="e">
        <f>IF(P69&lt;&gt;"",P69*($E$12-$L$12),"")</f>
        <v>#REF!</v>
      </c>
      <c r="R69" s="29"/>
      <c r="AH69" s="21"/>
      <c r="AI69" s="6"/>
      <c r="AJ69" s="6"/>
      <c r="AK69" s="6"/>
      <c r="AL69" s="6"/>
      <c r="AM69" s="6"/>
      <c r="AN69" s="6"/>
      <c r="AP69" s="6"/>
      <c r="AQ69" s="17"/>
      <c r="AS69" s="21"/>
      <c r="AT69" s="21"/>
      <c r="AU69" s="21"/>
      <c r="AV69" s="21"/>
    </row>
    <row r="70" spans="2:48" s="8" customFormat="1" x14ac:dyDescent="0.2">
      <c r="B70" s="289"/>
      <c r="C70" s="35"/>
      <c r="D70" s="48" t="str">
        <f>IF(ISNA(VLOOKUP(B70,BibliothèqueProjet!$A$6:$J$70,2,FALSE)) = TRUE, "", VLOOKUP(B70,BibliothèqueProjet!$A$6:$J$70,2,FALSE))</f>
        <v/>
      </c>
      <c r="E70" s="33"/>
      <c r="F70" s="491" t="s">
        <v>146</v>
      </c>
      <c r="G70" s="492"/>
      <c r="H70" s="493"/>
      <c r="I70" s="37"/>
      <c r="J70" s="46"/>
      <c r="K70" s="36"/>
      <c r="L70" s="431"/>
      <c r="M70" s="352" t="str">
        <f t="shared" ref="M70:M75" si="12">VLOOKUP(F70,$AZ$9:$BA$13,2,FALSE)</f>
        <v>-</v>
      </c>
      <c r="N70" s="432"/>
      <c r="O70" s="436" t="str">
        <f>IF(B70&lt;&gt;0,VLOOKUP(B70,BibliothèqueProjet!$A$5:$J$70,10,FALSE),"")</f>
        <v/>
      </c>
      <c r="P70" s="373" t="str">
        <f t="shared" ref="P70:P78" si="13">IF(O70&lt;&gt;"",O70*L70*N70,"")</f>
        <v/>
      </c>
      <c r="Q70" s="88" t="str">
        <f t="shared" ref="Q70:Q78" si="14">IF(P70&lt;&gt;"",P70*($E$12-$L$12),"")</f>
        <v/>
      </c>
      <c r="R70" s="29"/>
      <c r="AH70" s="21"/>
      <c r="AI70" s="6"/>
      <c r="AJ70" s="6"/>
      <c r="AK70" s="6"/>
      <c r="AL70" s="6"/>
      <c r="AM70" s="6"/>
      <c r="AN70" s="6"/>
      <c r="AP70" s="6"/>
      <c r="AQ70" s="17"/>
      <c r="AS70" s="21"/>
      <c r="AT70" s="21"/>
      <c r="AU70" s="21"/>
      <c r="AV70" s="21"/>
    </row>
    <row r="71" spans="2:48" s="8" customFormat="1" x14ac:dyDescent="0.2">
      <c r="B71" s="289"/>
      <c r="C71" s="35"/>
      <c r="D71" s="48" t="str">
        <f>IF(ISNA(VLOOKUP(B71,BibliothèqueProjet!$A$6:$J$70,2,FALSE)) = TRUE, "", VLOOKUP(B71,BibliothèqueProjet!$A$6:$J$70,2,FALSE))</f>
        <v/>
      </c>
      <c r="E71" s="33"/>
      <c r="F71" s="491" t="s">
        <v>146</v>
      </c>
      <c r="G71" s="492"/>
      <c r="H71" s="493"/>
      <c r="I71" s="37"/>
      <c r="J71" s="46"/>
      <c r="K71" s="36"/>
      <c r="L71" s="431"/>
      <c r="M71" s="352" t="str">
        <f t="shared" si="12"/>
        <v>-</v>
      </c>
      <c r="N71" s="432"/>
      <c r="O71" s="436" t="str">
        <f>IF(B71&lt;&gt;0,VLOOKUP(B71,BibliothèqueProjet!$A$5:$J$70,10,FALSE),"")</f>
        <v/>
      </c>
      <c r="P71" s="373" t="str">
        <f t="shared" si="13"/>
        <v/>
      </c>
      <c r="Q71" s="88" t="str">
        <f t="shared" si="14"/>
        <v/>
      </c>
      <c r="R71" s="29"/>
      <c r="AH71" s="21"/>
      <c r="AI71" s="6"/>
      <c r="AJ71" s="6"/>
      <c r="AK71" s="6"/>
      <c r="AL71" s="6"/>
      <c r="AM71" s="6"/>
      <c r="AN71" s="6"/>
      <c r="AP71" s="6"/>
      <c r="AQ71" s="17"/>
      <c r="AS71" s="21"/>
      <c r="AT71" s="21"/>
      <c r="AU71" s="21"/>
      <c r="AV71" s="21"/>
    </row>
    <row r="72" spans="2:48" s="8" customFormat="1" x14ac:dyDescent="0.2">
      <c r="B72" s="289"/>
      <c r="C72" s="35"/>
      <c r="D72" s="48" t="str">
        <f>IF(ISNA(VLOOKUP(B72,BibliothèqueProjet!$A$6:$J$70,2,FALSE)) = TRUE, "", VLOOKUP(B72,BibliothèqueProjet!$A$6:$J$70,2,FALSE))</f>
        <v/>
      </c>
      <c r="E72" s="33"/>
      <c r="F72" s="491" t="s">
        <v>146</v>
      </c>
      <c r="G72" s="492"/>
      <c r="H72" s="493"/>
      <c r="I72" s="37"/>
      <c r="J72" s="46"/>
      <c r="K72" s="36"/>
      <c r="L72" s="431"/>
      <c r="M72" s="352" t="str">
        <f t="shared" si="12"/>
        <v>-</v>
      </c>
      <c r="N72" s="432"/>
      <c r="O72" s="436" t="str">
        <f>IF(B72&lt;&gt;0,VLOOKUP(B72,BibliothèqueProjet!$A$5:$J$70,10,FALSE),"")</f>
        <v/>
      </c>
      <c r="P72" s="373" t="str">
        <f t="shared" si="13"/>
        <v/>
      </c>
      <c r="Q72" s="88" t="str">
        <f t="shared" si="14"/>
        <v/>
      </c>
      <c r="R72" s="29"/>
      <c r="AH72" s="21"/>
      <c r="AI72" s="6"/>
      <c r="AJ72" s="6"/>
      <c r="AK72" s="6"/>
      <c r="AL72" s="6"/>
      <c r="AM72" s="6"/>
      <c r="AN72" s="6"/>
      <c r="AP72" s="6"/>
      <c r="AQ72" s="17"/>
      <c r="AS72" s="21"/>
      <c r="AT72" s="21"/>
      <c r="AU72" s="21"/>
      <c r="AV72" s="21"/>
    </row>
    <row r="73" spans="2:48" s="8" customFormat="1" x14ac:dyDescent="0.2">
      <c r="B73" s="289"/>
      <c r="C73" s="35"/>
      <c r="D73" s="48" t="str">
        <f>IF(ISNA(VLOOKUP(B73,BibliothèqueProjet!$A$6:$J$70,2,FALSE)) = TRUE, "", VLOOKUP(B73,BibliothèqueProjet!$A$6:$J$70,2,FALSE))</f>
        <v/>
      </c>
      <c r="E73" s="33"/>
      <c r="F73" s="491" t="s">
        <v>146</v>
      </c>
      <c r="G73" s="492"/>
      <c r="H73" s="493"/>
      <c r="I73" s="37"/>
      <c r="J73" s="46"/>
      <c r="K73" s="36"/>
      <c r="L73" s="431"/>
      <c r="M73" s="352" t="str">
        <f t="shared" si="12"/>
        <v>-</v>
      </c>
      <c r="N73" s="432"/>
      <c r="O73" s="436" t="str">
        <f>IF(B73&lt;&gt;0,VLOOKUP(B73,BibliothèqueProjet!$A$5:$J$70,10,FALSE),"")</f>
        <v/>
      </c>
      <c r="P73" s="373" t="str">
        <f t="shared" si="13"/>
        <v/>
      </c>
      <c r="Q73" s="88" t="str">
        <f t="shared" si="14"/>
        <v/>
      </c>
      <c r="R73" s="29"/>
      <c r="AH73" s="21"/>
      <c r="AI73" s="6"/>
      <c r="AJ73" s="6"/>
      <c r="AK73" s="6"/>
      <c r="AL73" s="6"/>
      <c r="AM73" s="6"/>
      <c r="AN73" s="6"/>
      <c r="AP73" s="6"/>
      <c r="AQ73" s="17"/>
      <c r="AS73" s="21"/>
      <c r="AT73" s="21"/>
      <c r="AU73" s="21"/>
      <c r="AV73" s="21"/>
    </row>
    <row r="74" spans="2:48" s="8" customFormat="1" x14ac:dyDescent="0.2">
      <c r="B74" s="289"/>
      <c r="C74" s="35"/>
      <c r="D74" s="48" t="str">
        <f>IF(ISNA(VLOOKUP(B74,BibliothèqueProjet!$A$6:$J$70,2,FALSE)) = TRUE, "", VLOOKUP(B74,BibliothèqueProjet!$A$6:$J$70,2,FALSE))</f>
        <v/>
      </c>
      <c r="E74" s="33"/>
      <c r="F74" s="491" t="s">
        <v>146</v>
      </c>
      <c r="G74" s="492"/>
      <c r="H74" s="493"/>
      <c r="I74" s="37"/>
      <c r="J74" s="46"/>
      <c r="K74" s="36"/>
      <c r="L74" s="431"/>
      <c r="M74" s="352" t="str">
        <f t="shared" si="12"/>
        <v>-</v>
      </c>
      <c r="N74" s="432"/>
      <c r="O74" s="436" t="str">
        <f>IF(B74&lt;&gt;0,VLOOKUP(B74,BibliothèqueProjet!$A$5:$J$70,10,FALSE),"")</f>
        <v/>
      </c>
      <c r="P74" s="373" t="str">
        <f t="shared" si="13"/>
        <v/>
      </c>
      <c r="Q74" s="88" t="str">
        <f t="shared" si="14"/>
        <v/>
      </c>
      <c r="R74" s="29"/>
      <c r="AH74" s="21"/>
      <c r="AI74" s="6"/>
      <c r="AJ74" s="6"/>
      <c r="AK74" s="6"/>
      <c r="AL74" s="6"/>
      <c r="AM74" s="6"/>
      <c r="AN74" s="6"/>
      <c r="AP74" s="6"/>
      <c r="AQ74" s="17"/>
      <c r="AS74" s="21"/>
      <c r="AT74" s="21"/>
      <c r="AU74" s="21"/>
      <c r="AV74" s="21"/>
    </row>
    <row r="75" spans="2:48" s="8" customFormat="1" x14ac:dyDescent="0.2">
      <c r="B75" s="289"/>
      <c r="C75" s="35"/>
      <c r="D75" s="48" t="str">
        <f>IF(ISNA(VLOOKUP(B75,BibliothèqueProjet!$A$6:$J$70,2,FALSE)) = TRUE, "", VLOOKUP(B75,BibliothèqueProjet!$A$6:$J$70,2,FALSE))</f>
        <v/>
      </c>
      <c r="E75" s="33"/>
      <c r="F75" s="491" t="s">
        <v>146</v>
      </c>
      <c r="G75" s="492"/>
      <c r="H75" s="493"/>
      <c r="I75" s="37"/>
      <c r="J75" s="46"/>
      <c r="K75" s="36"/>
      <c r="L75" s="431"/>
      <c r="M75" s="352" t="str">
        <f t="shared" si="12"/>
        <v>-</v>
      </c>
      <c r="N75" s="432"/>
      <c r="O75" s="436" t="str">
        <f>IF(B75&lt;&gt;0,VLOOKUP(B75,BibliothèqueProjet!$A$5:$J$70,10,FALSE),"")</f>
        <v/>
      </c>
      <c r="P75" s="373" t="str">
        <f t="shared" si="13"/>
        <v/>
      </c>
      <c r="Q75" s="88" t="str">
        <f t="shared" si="14"/>
        <v/>
      </c>
      <c r="R75" s="29"/>
      <c r="AH75" s="21"/>
      <c r="AI75" s="6"/>
      <c r="AJ75" s="6"/>
      <c r="AK75" s="6"/>
      <c r="AL75" s="6"/>
      <c r="AM75" s="6"/>
      <c r="AN75" s="6"/>
      <c r="AP75" s="6"/>
      <c r="AQ75" s="17"/>
      <c r="AS75" s="21"/>
      <c r="AT75" s="21"/>
      <c r="AU75" s="21"/>
      <c r="AV75" s="21"/>
    </row>
    <row r="76" spans="2:48" s="6" customFormat="1" x14ac:dyDescent="0.2">
      <c r="B76" s="290"/>
      <c r="C76" s="38"/>
      <c r="D76" s="48" t="str">
        <f>IF(ISNA(VLOOKUP(B76,BibliothèqueProjet!$A$6:$J$70,2,FALSE)) = TRUE, "", VLOOKUP(B76,BibliothèqueProjet!$A$6:$J$70,2,FALSE))</f>
        <v/>
      </c>
      <c r="E76" s="39"/>
      <c r="F76" s="491" t="s">
        <v>146</v>
      </c>
      <c r="G76" s="492"/>
      <c r="H76" s="493"/>
      <c r="I76" s="26"/>
      <c r="J76" s="47"/>
      <c r="K76" s="36"/>
      <c r="L76" s="368"/>
      <c r="M76" s="352" t="str">
        <f>VLOOKUP(F76,$AZ$9:$BA$13,2,FALSE)</f>
        <v>-</v>
      </c>
      <c r="N76" s="370"/>
      <c r="O76" s="436" t="str">
        <f>IF(B76&lt;&gt;0,VLOOKUP(B76,BibliothèqueProjet!$A$5:$J$70,10,FALSE),"")</f>
        <v/>
      </c>
      <c r="P76" s="373" t="str">
        <f t="shared" si="13"/>
        <v/>
      </c>
      <c r="Q76" s="88" t="str">
        <f t="shared" si="14"/>
        <v/>
      </c>
      <c r="R76" s="32"/>
      <c r="AH76" s="28"/>
      <c r="AI76" s="17"/>
      <c r="AJ76" s="17"/>
      <c r="AK76" s="1"/>
      <c r="AL76" s="1"/>
      <c r="AM76" s="17"/>
      <c r="AN76" s="5"/>
      <c r="AO76" s="18"/>
      <c r="AP76" s="17"/>
      <c r="AQ76" s="17"/>
      <c r="AR76" s="5"/>
      <c r="AS76" s="5"/>
      <c r="AT76" s="5"/>
      <c r="AU76" s="5"/>
      <c r="AV76" s="5"/>
    </row>
    <row r="77" spans="2:48" s="17" customFormat="1" ht="13.5" customHeight="1" x14ac:dyDescent="0.2">
      <c r="B77" s="290"/>
      <c r="C77" s="35"/>
      <c r="D77" s="48" t="str">
        <f>IF(ISNA(VLOOKUP(B77,BibliothèqueProjet!$A$6:$J$70,2,FALSE)) = TRUE, "", VLOOKUP(B77,BibliothèqueProjet!$A$6:$J$70,2,FALSE))</f>
        <v/>
      </c>
      <c r="E77" s="33"/>
      <c r="F77" s="491" t="s">
        <v>146</v>
      </c>
      <c r="G77" s="492"/>
      <c r="H77" s="493"/>
      <c r="I77" s="37"/>
      <c r="J77" s="46"/>
      <c r="K77" s="36"/>
      <c r="L77" s="368"/>
      <c r="M77" s="352" t="str">
        <f>VLOOKUP(F77,$AZ$9:$BA$13,2,FALSE)</f>
        <v>-</v>
      </c>
      <c r="N77" s="370"/>
      <c r="O77" s="436" t="str">
        <f>IF(B77&lt;&gt;0,VLOOKUP(B77,BibliothèqueProjet!$A$5:$J$70,10,FALSE),"")</f>
        <v/>
      </c>
      <c r="P77" s="373" t="str">
        <f t="shared" si="13"/>
        <v/>
      </c>
      <c r="Q77" s="88" t="str">
        <f t="shared" si="14"/>
        <v/>
      </c>
      <c r="R77" s="15"/>
      <c r="AH77" s="10"/>
      <c r="AK77" s="1"/>
      <c r="AL77" s="7"/>
      <c r="AM77" s="16"/>
      <c r="AN77" s="5"/>
      <c r="AO77" s="5"/>
      <c r="AR77" s="18"/>
      <c r="AS77" s="18"/>
      <c r="AT77" s="18"/>
      <c r="AU77" s="18"/>
      <c r="AV77" s="18"/>
    </row>
    <row r="78" spans="2:48" s="17" customFormat="1" x14ac:dyDescent="0.2">
      <c r="B78" s="290"/>
      <c r="C78" s="38"/>
      <c r="D78" s="48" t="str">
        <f>IF(ISNA(VLOOKUP(B78,BibliothèqueProjet!$A$6:$J$70,2,FALSE)) = TRUE, "", VLOOKUP(B78,BibliothèqueProjet!$A$6:$J$70,2,FALSE))</f>
        <v/>
      </c>
      <c r="E78" s="33"/>
      <c r="F78" s="494" t="s">
        <v>146</v>
      </c>
      <c r="G78" s="495"/>
      <c r="H78" s="496"/>
      <c r="I78" s="37"/>
      <c r="J78" s="46"/>
      <c r="K78" s="36"/>
      <c r="L78" s="368"/>
      <c r="M78" s="353" t="str">
        <f>VLOOKUP(F78,$AZ$9:$BA$13,2,FALSE)</f>
        <v>-</v>
      </c>
      <c r="N78" s="371" t="str">
        <f>IF(B78&lt;&gt;0,VLOOKUP(B78,BibliothèqueProjet!$A$5:$J$70,10,FALSE),"")</f>
        <v/>
      </c>
      <c r="O78" s="437" t="str">
        <f>IF(B78&lt;&gt;0,VLOOKUP(B78,BibliothèqueProjet!$A$5:$J$70,10,FALSE),"")</f>
        <v/>
      </c>
      <c r="P78" s="438" t="str">
        <f t="shared" si="13"/>
        <v/>
      </c>
      <c r="Q78" s="439" t="str">
        <f t="shared" si="14"/>
        <v/>
      </c>
      <c r="R78" s="15"/>
      <c r="AH78" s="28"/>
      <c r="AK78" s="1"/>
      <c r="AL78" s="7"/>
      <c r="AM78" s="43"/>
      <c r="AN78" s="5"/>
      <c r="AO78" s="5"/>
    </row>
    <row r="79" spans="2:48" s="17" customFormat="1" ht="15" x14ac:dyDescent="0.25">
      <c r="B79" s="76" t="s">
        <v>42</v>
      </c>
      <c r="C79" s="56"/>
      <c r="D79" s="77"/>
      <c r="E79" s="56"/>
      <c r="F79" s="56"/>
      <c r="G79" s="56"/>
      <c r="H79" s="78"/>
      <c r="I79" s="79"/>
      <c r="J79" s="80"/>
      <c r="K79" s="78"/>
      <c r="L79" s="79"/>
      <c r="M79" s="79"/>
      <c r="N79" s="81"/>
      <c r="O79" s="82" t="s">
        <v>9</v>
      </c>
      <c r="P79" s="268">
        <f>SUM(P69:P78)</f>
        <v>0.27500000000000002</v>
      </c>
      <c r="Q79" s="268" t="e">
        <f>SUM(Q69:Q78)</f>
        <v>#REF!</v>
      </c>
      <c r="R79" s="15"/>
      <c r="AH79" s="28"/>
      <c r="AI79" s="18"/>
      <c r="AJ79" s="18"/>
      <c r="AK79" s="1"/>
      <c r="AL79" s="7"/>
      <c r="AM79" s="18"/>
      <c r="AN79" s="5"/>
      <c r="AO79" s="5"/>
    </row>
    <row r="80" spans="2:48" s="17" customFormat="1" ht="12" x14ac:dyDescent="0.2">
      <c r="B80" s="162"/>
      <c r="C80" s="75"/>
      <c r="D80" s="163"/>
      <c r="E80" s="75"/>
      <c r="F80" s="75"/>
      <c r="G80" s="75"/>
      <c r="H80" s="84"/>
      <c r="I80" s="85"/>
      <c r="J80" s="164"/>
      <c r="K80" s="84"/>
      <c r="L80" s="85"/>
      <c r="M80" s="85"/>
      <c r="N80" s="85"/>
      <c r="O80" s="85"/>
      <c r="P80" s="166"/>
      <c r="Q80" s="167"/>
      <c r="R80" s="15"/>
      <c r="AH80" s="28"/>
      <c r="AI80" s="16"/>
      <c r="AJ80" s="18"/>
      <c r="AO80" s="5"/>
    </row>
    <row r="81" spans="1:48" s="17" customFormat="1" ht="12" customHeight="1" x14ac:dyDescent="0.2">
      <c r="A81" s="6"/>
      <c r="B81" s="259" t="s">
        <v>31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1"/>
      <c r="R81" s="15"/>
      <c r="AH81" s="28"/>
      <c r="AI81" s="16"/>
      <c r="AJ81" s="18"/>
      <c r="AO81" s="5"/>
    </row>
    <row r="82" spans="1:48" s="6" customFormat="1" ht="12.75" customHeight="1" x14ac:dyDescent="0.2">
      <c r="A82" s="17"/>
      <c r="B82" s="283" t="s">
        <v>142</v>
      </c>
      <c r="C82" s="284"/>
      <c r="D82" s="284"/>
      <c r="E82" s="284"/>
      <c r="F82" s="284"/>
      <c r="G82" s="284"/>
      <c r="H82" s="105"/>
      <c r="I82" s="105"/>
      <c r="J82" s="105"/>
      <c r="K82" s="284"/>
      <c r="L82" s="284"/>
      <c r="M82" s="284"/>
      <c r="N82" s="284"/>
      <c r="O82" s="482" t="s">
        <v>143</v>
      </c>
      <c r="P82" s="482"/>
      <c r="Q82" s="483"/>
      <c r="R82" s="32"/>
      <c r="AH82" s="34"/>
      <c r="AI82" s="31"/>
    </row>
    <row r="83" spans="1:48" s="17" customFormat="1" x14ac:dyDescent="0.2">
      <c r="B83" s="204" t="s">
        <v>100</v>
      </c>
      <c r="C83" s="205"/>
      <c r="D83" s="205"/>
      <c r="E83" s="206"/>
      <c r="F83" s="206"/>
      <c r="G83" s="206"/>
      <c r="H83" s="90"/>
      <c r="I83" s="90"/>
      <c r="J83" s="90"/>
      <c r="K83" s="92"/>
      <c r="L83" s="92"/>
      <c r="M83" s="92"/>
      <c r="N83" s="92"/>
      <c r="O83" s="484" t="s">
        <v>102</v>
      </c>
      <c r="P83" s="484"/>
      <c r="Q83" s="485"/>
      <c r="R83" s="15"/>
      <c r="AH83" s="28"/>
    </row>
    <row r="84" spans="1:48" s="17" customFormat="1" x14ac:dyDescent="0.2">
      <c r="B84" s="207" t="s">
        <v>92</v>
      </c>
      <c r="C84" s="205"/>
      <c r="D84" s="205"/>
      <c r="E84" s="205"/>
      <c r="F84" s="205"/>
      <c r="G84" s="205"/>
      <c r="H84" s="90"/>
      <c r="I84" s="90"/>
      <c r="J84" s="90"/>
      <c r="K84" s="92"/>
      <c r="L84" s="92"/>
      <c r="M84" s="92"/>
      <c r="N84" s="92"/>
      <c r="O84" s="484" t="s">
        <v>110</v>
      </c>
      <c r="P84" s="484"/>
      <c r="Q84" s="485"/>
      <c r="R84" s="15"/>
      <c r="AH84" s="28"/>
    </row>
    <row r="85" spans="1:48" s="17" customFormat="1" x14ac:dyDescent="0.2">
      <c r="B85" s="207" t="s">
        <v>112</v>
      </c>
      <c r="C85" s="205"/>
      <c r="D85" s="205"/>
      <c r="E85" s="205"/>
      <c r="F85" s="205"/>
      <c r="G85" s="205"/>
      <c r="H85" s="90"/>
      <c r="I85" s="90"/>
      <c r="J85" s="90"/>
      <c r="K85" s="92"/>
      <c r="L85" s="92"/>
      <c r="M85" s="92"/>
      <c r="N85" s="92"/>
      <c r="O85" s="484" t="s">
        <v>113</v>
      </c>
      <c r="P85" s="484"/>
      <c r="Q85" s="485"/>
      <c r="R85" s="15"/>
      <c r="AH85" s="28" t="s">
        <v>169</v>
      </c>
    </row>
    <row r="86" spans="1:48" s="17" customFormat="1" x14ac:dyDescent="0.2">
      <c r="B86" s="285" t="s">
        <v>103</v>
      </c>
      <c r="C86" s="286"/>
      <c r="D86" s="286"/>
      <c r="E86" s="286"/>
      <c r="F86" s="286"/>
      <c r="G86" s="286"/>
      <c r="H86" s="287"/>
      <c r="I86" s="287"/>
      <c r="J86" s="287"/>
      <c r="K86" s="288"/>
      <c r="L86" s="288"/>
      <c r="M86" s="288"/>
      <c r="N86" s="288"/>
      <c r="O86" s="486" t="s">
        <v>110</v>
      </c>
      <c r="P86" s="486"/>
      <c r="Q86" s="487"/>
      <c r="R86" s="15"/>
      <c r="AH86" s="28"/>
    </row>
    <row r="87" spans="1:48" s="17" customFormat="1" x14ac:dyDescent="0.2">
      <c r="B87" s="15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270"/>
      <c r="R87" s="15"/>
    </row>
    <row r="88" spans="1:48" s="17" customFormat="1" ht="12" x14ac:dyDescent="0.2">
      <c r="B88" s="159" t="s">
        <v>115</v>
      </c>
      <c r="C88" s="103"/>
      <c r="D88" s="103"/>
      <c r="E88" s="160"/>
      <c r="F88" s="100"/>
      <c r="G88" s="159" t="s">
        <v>116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61"/>
      <c r="R88" s="41"/>
    </row>
    <row r="89" spans="1:48" s="17" customFormat="1" ht="16.5" customHeight="1" x14ac:dyDescent="0.3">
      <c r="A89" s="8"/>
      <c r="B89" s="101"/>
      <c r="C89" s="18"/>
      <c r="D89" s="18"/>
      <c r="E89" s="18"/>
      <c r="F89" s="100"/>
      <c r="G89" s="101" t="s">
        <v>201</v>
      </c>
      <c r="H89" s="18"/>
      <c r="I89" s="18"/>
      <c r="J89" s="358">
        <v>0</v>
      </c>
      <c r="K89" s="359" t="s">
        <v>122</v>
      </c>
      <c r="L89" s="358" t="e">
        <f>+J89*E12</f>
        <v>#REF!</v>
      </c>
      <c r="M89" s="18"/>
      <c r="N89" s="18"/>
      <c r="O89" s="18"/>
      <c r="P89" s="18"/>
      <c r="Q89" s="357"/>
      <c r="R89" s="41"/>
    </row>
    <row r="90" spans="1:48" s="8" customFormat="1" x14ac:dyDescent="0.2">
      <c r="A90" s="6"/>
      <c r="B90" s="101" t="s">
        <v>34</v>
      </c>
      <c r="C90" s="18"/>
      <c r="D90" s="18"/>
      <c r="E90" s="18"/>
      <c r="F90" s="100"/>
      <c r="G90" s="232" t="s">
        <v>117</v>
      </c>
      <c r="H90" s="131"/>
      <c r="I90" s="360"/>
      <c r="J90" s="361"/>
      <c r="K90" s="232" t="s">
        <v>118</v>
      </c>
      <c r="L90" s="105"/>
      <c r="M90" s="105"/>
      <c r="N90" s="105"/>
      <c r="O90" s="105"/>
      <c r="P90" s="105"/>
      <c r="Q90" s="362"/>
      <c r="R90" s="29"/>
      <c r="AH90" s="21"/>
      <c r="AI90" s="6"/>
      <c r="AJ90" s="6"/>
      <c r="AK90" s="6"/>
      <c r="AL90" s="6"/>
      <c r="AM90" s="6"/>
      <c r="AN90" s="6"/>
      <c r="AP90" s="6"/>
      <c r="AQ90" s="17"/>
      <c r="AS90" s="21"/>
      <c r="AT90" s="21"/>
      <c r="AU90" s="21"/>
      <c r="AV90" s="21"/>
    </row>
    <row r="91" spans="1:48" s="6" customFormat="1" ht="15" x14ac:dyDescent="0.3">
      <c r="A91" s="17"/>
      <c r="B91" s="452" t="s">
        <v>119</v>
      </c>
      <c r="C91" s="106" t="s">
        <v>120</v>
      </c>
      <c r="D91" s="107" t="s">
        <v>120</v>
      </c>
      <c r="E91" s="108" t="s">
        <v>121</v>
      </c>
      <c r="F91" s="100"/>
      <c r="G91" s="109" t="s">
        <v>122</v>
      </c>
      <c r="H91" s="453" t="s">
        <v>123</v>
      </c>
      <c r="I91" s="453" t="s">
        <v>124</v>
      </c>
      <c r="J91" s="454" t="s">
        <v>125</v>
      </c>
      <c r="K91" s="110" t="s">
        <v>23</v>
      </c>
      <c r="L91" s="90"/>
      <c r="M91" s="111"/>
      <c r="N91" s="107" t="s">
        <v>126</v>
      </c>
      <c r="O91" s="453" t="s">
        <v>127</v>
      </c>
      <c r="P91" s="453" t="s">
        <v>124</v>
      </c>
      <c r="Q91" s="454" t="s">
        <v>125</v>
      </c>
      <c r="R91" s="32"/>
      <c r="AH91" s="28"/>
      <c r="AI91" s="17"/>
      <c r="AJ91" s="17"/>
      <c r="AK91" s="1"/>
      <c r="AL91" s="1"/>
      <c r="AM91" s="17"/>
      <c r="AN91" s="5"/>
      <c r="AO91" s="18"/>
      <c r="AP91" s="17"/>
      <c r="AQ91" s="17"/>
      <c r="AR91" s="5"/>
      <c r="AS91" s="5"/>
      <c r="AT91" s="5"/>
      <c r="AU91" s="5"/>
      <c r="AV91" s="5"/>
    </row>
    <row r="92" spans="1:48" s="17" customFormat="1" ht="13.5" customHeight="1" x14ac:dyDescent="0.2">
      <c r="B92" s="446" t="s">
        <v>128</v>
      </c>
      <c r="C92" s="112" t="s">
        <v>2</v>
      </c>
      <c r="D92" s="113" t="s">
        <v>2</v>
      </c>
      <c r="E92" s="44" t="s">
        <v>12</v>
      </c>
      <c r="F92" s="104"/>
      <c r="G92" s="446" t="s">
        <v>4</v>
      </c>
      <c r="H92" s="113" t="s">
        <v>2</v>
      </c>
      <c r="I92" s="447" t="s">
        <v>12</v>
      </c>
      <c r="J92" s="448" t="s">
        <v>12</v>
      </c>
      <c r="K92" s="114"/>
      <c r="L92" s="115"/>
      <c r="M92" s="116"/>
      <c r="N92" s="117" t="s">
        <v>4</v>
      </c>
      <c r="O92" s="118" t="s">
        <v>2</v>
      </c>
      <c r="P92" s="117" t="s">
        <v>12</v>
      </c>
      <c r="Q92" s="119" t="s">
        <v>12</v>
      </c>
      <c r="R92" s="15"/>
      <c r="AH92" s="10"/>
      <c r="AK92" s="1"/>
      <c r="AL92" s="7"/>
      <c r="AM92" s="16"/>
      <c r="AN92" s="5"/>
      <c r="AO92" s="5"/>
      <c r="AR92" s="18"/>
      <c r="AS92" s="18"/>
      <c r="AT92" s="18"/>
      <c r="AU92" s="18"/>
      <c r="AV92" s="18"/>
    </row>
    <row r="93" spans="1:48" s="17" customFormat="1" x14ac:dyDescent="0.2">
      <c r="B93" s="120">
        <f>IF(O83="Neuve",0,IF(AND(O82="Naturelle",O84="Villas"),VLOOKUP(O86,AP27:AQ30,2,FALSE),VLOOKUP(O86,AP27:AR30,3,FALSE)))</f>
        <v>0</v>
      </c>
      <c r="C93" s="121">
        <f>IF(B93=0,0,VLOOKUP(H6,AM5:AS12,7,FALSE))</f>
        <v>0</v>
      </c>
      <c r="D93" s="121">
        <f>IF(B93=0,0,VLOOKUP(I7,AU11:AV19,2,FALSE))</f>
        <v>0</v>
      </c>
      <c r="E93" s="45">
        <f>D93*2*B93*C93</f>
        <v>0</v>
      </c>
      <c r="F93" s="100"/>
      <c r="G93" s="449" t="e">
        <f>IF(J89=0,F12,L89)</f>
        <v>#REF!</v>
      </c>
      <c r="H93" s="450" t="e">
        <f>(E12-G93)/(E12-F12)</f>
        <v>#REF!</v>
      </c>
      <c r="I93" s="262">
        <v>0</v>
      </c>
      <c r="J93" s="451" t="e">
        <f>+I93*H93</f>
        <v>#REF!</v>
      </c>
      <c r="K93" s="122"/>
      <c r="L93" s="90"/>
      <c r="M93" s="111"/>
      <c r="N93" s="441">
        <v>0</v>
      </c>
      <c r="O93" s="40" t="e">
        <f>(E12-N93)/(E12-F12)</f>
        <v>#REF!</v>
      </c>
      <c r="P93" s="263">
        <v>0</v>
      </c>
      <c r="Q93" s="123" t="e">
        <f>+P93*O93</f>
        <v>#REF!</v>
      </c>
      <c r="R93" s="15"/>
      <c r="AH93" s="28"/>
      <c r="AK93" s="1"/>
      <c r="AL93" s="7"/>
      <c r="AM93" s="43"/>
      <c r="AN93" s="5"/>
      <c r="AO93" s="5"/>
    </row>
    <row r="94" spans="1:48" s="17" customFormat="1" x14ac:dyDescent="0.2">
      <c r="B94" s="124" t="s">
        <v>129</v>
      </c>
      <c r="C94" s="125"/>
      <c r="D94" s="124"/>
      <c r="E94" s="126"/>
      <c r="F94" s="100"/>
      <c r="G94" s="488" t="s">
        <v>130</v>
      </c>
      <c r="H94" s="489"/>
      <c r="I94" s="489"/>
      <c r="J94" s="490"/>
      <c r="K94" s="127"/>
      <c r="L94" s="128"/>
      <c r="M94" s="129"/>
      <c r="N94" s="442"/>
      <c r="O94" s="50"/>
      <c r="P94" s="264"/>
      <c r="Q94" s="130"/>
      <c r="R94" s="15"/>
      <c r="AH94" s="28"/>
      <c r="AI94" s="18"/>
      <c r="AJ94" s="18"/>
      <c r="AK94" s="1"/>
      <c r="AL94" s="7"/>
      <c r="AM94" s="18"/>
      <c r="AN94" s="5"/>
      <c r="AO94" s="5"/>
    </row>
    <row r="95" spans="1:48" s="17" customFormat="1" ht="12" customHeight="1" x14ac:dyDescent="0.3">
      <c r="B95" s="452" t="s">
        <v>131</v>
      </c>
      <c r="C95" s="133" t="s">
        <v>132</v>
      </c>
      <c r="D95" s="101"/>
      <c r="E95" s="102"/>
      <c r="F95" s="100"/>
      <c r="G95" s="473" t="s">
        <v>133</v>
      </c>
      <c r="H95" s="474"/>
      <c r="I95" s="474"/>
      <c r="J95" s="475"/>
      <c r="K95" s="444"/>
      <c r="L95" s="90"/>
      <c r="M95" s="111"/>
      <c r="N95" s="441"/>
      <c r="O95" s="40"/>
      <c r="P95" s="263"/>
      <c r="Q95" s="123"/>
      <c r="R95" s="15"/>
      <c r="AH95" s="28"/>
      <c r="AI95" s="16"/>
      <c r="AJ95" s="18"/>
      <c r="AO95" s="5"/>
    </row>
    <row r="96" spans="1:48" s="17" customFormat="1" ht="12" x14ac:dyDescent="0.2">
      <c r="A96" s="6"/>
      <c r="B96" s="446" t="s">
        <v>128</v>
      </c>
      <c r="C96" s="134" t="s">
        <v>12</v>
      </c>
      <c r="D96" s="101"/>
      <c r="E96" s="102"/>
      <c r="F96" s="100"/>
      <c r="G96" s="476" t="s">
        <v>12</v>
      </c>
      <c r="H96" s="477"/>
      <c r="I96" s="477"/>
      <c r="J96" s="478"/>
      <c r="K96" s="136"/>
      <c r="L96" s="98"/>
      <c r="M96" s="137"/>
      <c r="N96" s="443"/>
      <c r="O96" s="138"/>
      <c r="P96" s="265"/>
      <c r="Q96" s="139"/>
      <c r="R96" s="15"/>
      <c r="AH96" s="28"/>
      <c r="AI96" s="16"/>
      <c r="AJ96" s="18"/>
      <c r="AO96" s="5"/>
    </row>
    <row r="97" spans="1:35" s="6" customFormat="1" ht="15" x14ac:dyDescent="0.25">
      <c r="A97" s="17"/>
      <c r="B97" s="449">
        <v>0.3</v>
      </c>
      <c r="C97" s="140">
        <f>+B97*Q12</f>
        <v>6</v>
      </c>
      <c r="D97" s="97"/>
      <c r="E97" s="99"/>
      <c r="F97" s="100"/>
      <c r="G97" s="479" t="e">
        <f>(#REF!-#REF!)*'BR1'!Q12/ListingLocaux!K50</f>
        <v>#REF!</v>
      </c>
      <c r="H97" s="480"/>
      <c r="I97" s="480"/>
      <c r="J97" s="481"/>
      <c r="K97" s="141" t="s">
        <v>134</v>
      </c>
      <c r="L97" s="141"/>
      <c r="M97" s="141"/>
      <c r="N97" s="141"/>
      <c r="O97" s="142" t="s">
        <v>9</v>
      </c>
      <c r="P97" s="143">
        <f>+SUM(P93:P96)</f>
        <v>0</v>
      </c>
      <c r="Q97" s="143" t="e">
        <f>+SUM(Q93:Q96)</f>
        <v>#REF!</v>
      </c>
      <c r="R97" s="32"/>
      <c r="AH97" s="34"/>
      <c r="AI97" s="31"/>
    </row>
    <row r="98" spans="1:35" s="17" customFormat="1" ht="12" x14ac:dyDescent="0.2">
      <c r="B98" s="124" t="s">
        <v>135</v>
      </c>
      <c r="C98" s="126"/>
      <c r="D98" s="126"/>
      <c r="E98" s="132"/>
      <c r="F98" s="101"/>
      <c r="G98" s="18"/>
      <c r="H98" s="18"/>
      <c r="I98" s="18"/>
      <c r="J98" s="42"/>
      <c r="K98" s="232" t="s">
        <v>136</v>
      </c>
      <c r="L98" s="105"/>
      <c r="M98" s="105"/>
      <c r="N98" s="105"/>
      <c r="O98" s="105"/>
      <c r="P98" s="105"/>
      <c r="Q98" s="271"/>
      <c r="R98" s="15"/>
      <c r="AH98" s="28"/>
    </row>
    <row r="99" spans="1:35" s="17" customFormat="1" ht="15" x14ac:dyDescent="0.3">
      <c r="B99" s="452" t="s">
        <v>137</v>
      </c>
      <c r="C99" s="454" t="s">
        <v>138</v>
      </c>
      <c r="D99" s="5"/>
      <c r="E99" s="145"/>
      <c r="F99" s="135"/>
      <c r="G99" s="42"/>
      <c r="H99" s="5"/>
      <c r="I99" s="5"/>
      <c r="J99" s="18"/>
      <c r="K99" s="233"/>
      <c r="L99" s="234"/>
      <c r="M99" s="18"/>
      <c r="N99" s="235"/>
      <c r="O99" s="229" t="s">
        <v>139</v>
      </c>
      <c r="P99" s="230" t="s">
        <v>140</v>
      </c>
      <c r="Q99" s="231" t="s">
        <v>22</v>
      </c>
      <c r="R99" s="15"/>
      <c r="AH99" s="28"/>
    </row>
    <row r="100" spans="1:35" s="17" customFormat="1" x14ac:dyDescent="0.2">
      <c r="B100" s="446" t="s">
        <v>12</v>
      </c>
      <c r="C100" s="448" t="s">
        <v>12</v>
      </c>
      <c r="D100" s="30"/>
      <c r="E100" s="224"/>
      <c r="F100" s="227"/>
      <c r="G100" s="30"/>
      <c r="H100" s="30"/>
      <c r="I100" s="228"/>
      <c r="J100" s="18"/>
      <c r="K100" s="236"/>
      <c r="L100" s="234"/>
      <c r="M100" s="20"/>
      <c r="N100" s="19"/>
      <c r="O100" s="446" t="s">
        <v>19</v>
      </c>
      <c r="P100" s="447" t="s">
        <v>6</v>
      </c>
      <c r="Q100" s="448" t="s">
        <v>141</v>
      </c>
      <c r="R100" s="15"/>
      <c r="AH100" s="28" t="s">
        <v>169</v>
      </c>
    </row>
    <row r="101" spans="1:35" s="17" customFormat="1" ht="12" x14ac:dyDescent="0.2">
      <c r="B101" s="426" t="e">
        <f>0.1*Q12+I93+P97+G97</f>
        <v>#REF!</v>
      </c>
      <c r="C101" s="226" t="e">
        <f>IF(O82="Naturelle",MAX(C97,E93),0.1*Q12+J93+Q97+G97)</f>
        <v>#REF!</v>
      </c>
      <c r="D101" s="147"/>
      <c r="E101" s="225"/>
      <c r="F101" s="272"/>
      <c r="G101" s="148"/>
      <c r="H101" s="148"/>
      <c r="I101" s="148"/>
      <c r="J101" s="144"/>
      <c r="K101" s="154"/>
      <c r="L101" s="149"/>
      <c r="M101" s="149"/>
      <c r="N101" s="150"/>
      <c r="O101" s="449" t="e">
        <f>+(1220-(0.14*Altitude))/3600</f>
        <v>#REF!</v>
      </c>
      <c r="P101" s="450" t="e">
        <f>+O101*C101</f>
        <v>#REF!</v>
      </c>
      <c r="Q101" s="328" t="e">
        <f>+P101*(E12-L12)</f>
        <v>#REF!</v>
      </c>
      <c r="R101" s="15"/>
      <c r="AH101" s="28"/>
    </row>
    <row r="102" spans="1:35" s="17" customFormat="1" ht="17.25" customHeight="1" x14ac:dyDescent="0.2"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</row>
    <row r="103" spans="1:35" s="17" customFormat="1" ht="16.5" customHeight="1" x14ac:dyDescent="0.3">
      <c r="B103" s="348" t="s">
        <v>32</v>
      </c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50"/>
      <c r="P103" s="49" t="s">
        <v>168</v>
      </c>
      <c r="Q103" s="347" t="s">
        <v>15</v>
      </c>
      <c r="R103" s="41"/>
    </row>
    <row r="104" spans="1:35" s="17" customFormat="1" ht="16.5" customHeight="1" x14ac:dyDescent="0.2">
      <c r="A104" s="14"/>
      <c r="B104" s="155"/>
      <c r="C104" s="20"/>
      <c r="D104" s="20"/>
      <c r="E104" s="20"/>
      <c r="F104" s="20"/>
      <c r="G104" s="20"/>
      <c r="H104" s="20"/>
      <c r="I104" s="20"/>
      <c r="J104" s="20"/>
      <c r="L104" s="20"/>
      <c r="M104" s="20"/>
      <c r="N104" s="5"/>
      <c r="O104" s="146"/>
      <c r="P104" s="446" t="s">
        <v>6</v>
      </c>
      <c r="Q104" s="448" t="s">
        <v>141</v>
      </c>
      <c r="R104" s="41"/>
    </row>
    <row r="105" spans="1:35" x14ac:dyDescent="0.2">
      <c r="B105" s="154"/>
      <c r="C105" s="149"/>
      <c r="D105" s="98"/>
      <c r="E105" s="149"/>
      <c r="F105" s="149"/>
      <c r="G105" s="149"/>
      <c r="H105" s="149"/>
      <c r="I105" s="149"/>
      <c r="J105" s="149"/>
      <c r="K105" s="149"/>
      <c r="L105" s="149"/>
      <c r="M105" s="98"/>
      <c r="N105" s="156"/>
      <c r="O105" s="157"/>
      <c r="P105" s="266" t="e">
        <f>+P101+P79+P64+P51+P42+P27</f>
        <v>#REF!</v>
      </c>
      <c r="Q105" s="267" t="e">
        <f>+(Q101+Q79+Q64+Q51+Q42+Q27)</f>
        <v>#REF!</v>
      </c>
    </row>
    <row r="106" spans="1:35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35" x14ac:dyDescent="0.2">
      <c r="B107" s="17" t="s">
        <v>195</v>
      </c>
      <c r="C107" s="17"/>
      <c r="D107" s="17"/>
      <c r="E107" s="17"/>
    </row>
    <row r="108" spans="1:35" x14ac:dyDescent="0.2">
      <c r="B108" s="305" t="s">
        <v>38</v>
      </c>
      <c r="C108" s="306"/>
      <c r="D108" s="307"/>
      <c r="E108" s="308" t="e">
        <f>+Q27</f>
        <v>#REF!</v>
      </c>
    </row>
    <row r="109" spans="1:35" x14ac:dyDescent="0.2">
      <c r="B109" s="309" t="s">
        <v>192</v>
      </c>
      <c r="C109" s="310"/>
      <c r="D109" s="311"/>
      <c r="E109" s="312" t="e">
        <f>+Q42</f>
        <v>#REF!</v>
      </c>
    </row>
    <row r="110" spans="1:35" x14ac:dyDescent="0.2">
      <c r="B110" s="313" t="s">
        <v>56</v>
      </c>
      <c r="C110" s="314"/>
      <c r="D110" s="315"/>
      <c r="E110" s="316" t="e">
        <f>+Q51</f>
        <v>#REF!</v>
      </c>
    </row>
    <row r="111" spans="1:35" x14ac:dyDescent="0.2">
      <c r="B111" s="317" t="s">
        <v>37</v>
      </c>
      <c r="C111" s="318"/>
      <c r="D111" s="319"/>
      <c r="E111" s="320" t="e">
        <f>+Q64</f>
        <v>#REF!</v>
      </c>
    </row>
    <row r="112" spans="1:35" x14ac:dyDescent="0.2">
      <c r="B112" s="321" t="s">
        <v>193</v>
      </c>
      <c r="C112" s="322"/>
      <c r="D112" s="323"/>
      <c r="E112" s="324" t="e">
        <f>+Q79</f>
        <v>#REF!</v>
      </c>
    </row>
    <row r="113" spans="2:5" x14ac:dyDescent="0.2">
      <c r="B113" s="325" t="s">
        <v>194</v>
      </c>
      <c r="C113" s="326"/>
      <c r="D113" s="327"/>
      <c r="E113" s="329" t="e">
        <f>+Q101</f>
        <v>#REF!</v>
      </c>
    </row>
    <row r="130" spans="2:18" ht="15" x14ac:dyDescent="0.3">
      <c r="B130" s="461" t="s">
        <v>221</v>
      </c>
      <c r="C130" s="465" t="s">
        <v>23</v>
      </c>
      <c r="D130" s="462"/>
      <c r="E130" s="462"/>
      <c r="F130" s="462"/>
      <c r="G130" s="462"/>
      <c r="H130" s="462"/>
      <c r="I130" s="463"/>
      <c r="J130" s="466" t="s">
        <v>1</v>
      </c>
      <c r="K130" s="466" t="s">
        <v>265</v>
      </c>
      <c r="L130" s="466" t="s">
        <v>266</v>
      </c>
      <c r="M130" s="467" t="s">
        <v>223</v>
      </c>
      <c r="N130" s="467" t="s">
        <v>224</v>
      </c>
      <c r="O130" s="467" t="s">
        <v>225</v>
      </c>
      <c r="P130" s="468" t="s">
        <v>226</v>
      </c>
      <c r="Q130" s="468" t="s">
        <v>137</v>
      </c>
      <c r="R130" s="468" t="s">
        <v>227</v>
      </c>
    </row>
    <row r="131" spans="2:18" x14ac:dyDescent="0.2">
      <c r="B131" s="464"/>
      <c r="C131" s="464"/>
      <c r="D131" s="464"/>
      <c r="E131" s="464"/>
      <c r="F131" s="464"/>
      <c r="G131" s="464"/>
      <c r="H131" s="464"/>
      <c r="I131" s="464"/>
      <c r="J131" s="469" t="s">
        <v>40</v>
      </c>
      <c r="K131" s="469" t="s">
        <v>4</v>
      </c>
      <c r="L131" s="469" t="s">
        <v>4</v>
      </c>
      <c r="M131" s="469" t="s">
        <v>141</v>
      </c>
      <c r="N131" s="469" t="s">
        <v>141</v>
      </c>
      <c r="O131" s="469" t="s">
        <v>141</v>
      </c>
      <c r="P131" s="469" t="s">
        <v>267</v>
      </c>
      <c r="Q131" s="469" t="s">
        <v>268</v>
      </c>
      <c r="R131" s="469" t="s">
        <v>269</v>
      </c>
    </row>
    <row r="132" spans="2:18" x14ac:dyDescent="0.2">
      <c r="B132" s="464" t="str">
        <f>+G2</f>
        <v>BR1</v>
      </c>
      <c r="C132" s="464" t="str">
        <f>+L2</f>
        <v>Bureau</v>
      </c>
      <c r="D132" s="464"/>
      <c r="E132" s="464"/>
      <c r="F132" s="464"/>
      <c r="G132" s="464"/>
      <c r="H132" s="464"/>
      <c r="I132" s="464"/>
      <c r="J132" s="469">
        <v>20</v>
      </c>
      <c r="K132" s="469">
        <v>20</v>
      </c>
      <c r="L132" s="469">
        <v>10</v>
      </c>
      <c r="M132" s="470">
        <v>100</v>
      </c>
      <c r="N132" s="471">
        <v>200</v>
      </c>
      <c r="O132" s="471">
        <v>300</v>
      </c>
      <c r="P132" s="469">
        <f>+O132/J132</f>
        <v>15</v>
      </c>
      <c r="Q132" s="470">
        <v>30</v>
      </c>
      <c r="R132" s="469">
        <f>+Q132/J132</f>
        <v>1.5</v>
      </c>
    </row>
  </sheetData>
  <sheetProtection selectLockedCells="1"/>
  <protectedRanges>
    <protectedRange sqref="O47:O50 B47:G50 B21:G26 I21:O26 I47:M50 B32:G41 I32:M41 B56:G63 B69:G78 I69:O78 I56:M63 O56:O63 O32:O41" name="Plage3"/>
    <protectedRange sqref="I15" name="Plage2"/>
    <protectedRange sqref="I13:O14 H14 K12:Q12 E12:G14" name="Plage1"/>
  </protectedRanges>
  <dataConsolidate link="1"/>
  <mergeCells count="75">
    <mergeCell ref="M20:N20"/>
    <mergeCell ref="N4:Q4"/>
    <mergeCell ref="N5:Q5"/>
    <mergeCell ref="I6:Q6"/>
    <mergeCell ref="I7:Q7"/>
    <mergeCell ref="G10:J10"/>
    <mergeCell ref="G11:J11"/>
    <mergeCell ref="G12:J12"/>
    <mergeCell ref="B14:Q14"/>
    <mergeCell ref="D19:E19"/>
    <mergeCell ref="F19:H19"/>
    <mergeCell ref="M19:N19"/>
    <mergeCell ref="F33:H33"/>
    <mergeCell ref="F21:H21"/>
    <mergeCell ref="F22:H22"/>
    <mergeCell ref="F23:H23"/>
    <mergeCell ref="F24:H24"/>
    <mergeCell ref="F25:H25"/>
    <mergeCell ref="F26:H26"/>
    <mergeCell ref="D30:E30"/>
    <mergeCell ref="F30:H30"/>
    <mergeCell ref="M30:N30"/>
    <mergeCell ref="M31:N31"/>
    <mergeCell ref="F32:H32"/>
    <mergeCell ref="M45:N45"/>
    <mergeCell ref="M46:N46"/>
    <mergeCell ref="F34:H34"/>
    <mergeCell ref="F35:H35"/>
    <mergeCell ref="F36:H36"/>
    <mergeCell ref="F37:H37"/>
    <mergeCell ref="F38:H38"/>
    <mergeCell ref="F39:H39"/>
    <mergeCell ref="D54:E54"/>
    <mergeCell ref="F54:H54"/>
    <mergeCell ref="F40:H40"/>
    <mergeCell ref="F41:H41"/>
    <mergeCell ref="D45:E45"/>
    <mergeCell ref="F45:H45"/>
    <mergeCell ref="F59:H59"/>
    <mergeCell ref="F47:H47"/>
    <mergeCell ref="F48:H48"/>
    <mergeCell ref="F49:H49"/>
    <mergeCell ref="F50:H50"/>
    <mergeCell ref="M54:N54"/>
    <mergeCell ref="M55:N55"/>
    <mergeCell ref="F56:H56"/>
    <mergeCell ref="F57:H57"/>
    <mergeCell ref="F58:H58"/>
    <mergeCell ref="F60:H60"/>
    <mergeCell ref="F61:H61"/>
    <mergeCell ref="F62:H62"/>
    <mergeCell ref="F63:H63"/>
    <mergeCell ref="D67:E67"/>
    <mergeCell ref="F67:H67"/>
    <mergeCell ref="F78:H78"/>
    <mergeCell ref="M67:N67"/>
    <mergeCell ref="M68:N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G95:J95"/>
    <mergeCell ref="G96:J96"/>
    <mergeCell ref="G97:J97"/>
    <mergeCell ref="O82:Q82"/>
    <mergeCell ref="O83:Q83"/>
    <mergeCell ref="O84:Q84"/>
    <mergeCell ref="O85:Q85"/>
    <mergeCell ref="O86:Q86"/>
    <mergeCell ref="G94:J94"/>
  </mergeCells>
  <conditionalFormatting sqref="B101">
    <cfRule type="cellIs" dxfId="9" priority="1" stopIfTrue="1" operator="lessThan">
      <formula>#REF!</formula>
    </cfRule>
    <cfRule type="cellIs" dxfId="8" priority="2" stopIfTrue="1" operator="greaterThanOrEqual">
      <formula>#REF!</formula>
    </cfRule>
  </conditionalFormatting>
  <dataValidations count="15">
    <dataValidation type="list" allowBlank="1" showInputMessage="1" showErrorMessage="1" sqref="I6:Q6">
      <formula1>$AU$4:$AU$7</formula1>
    </dataValidation>
    <dataValidation type="list" allowBlank="1" showInputMessage="1" showErrorMessage="1" sqref="B56:B63">
      <formula1>Toitures</formula1>
    </dataValidation>
    <dataValidation type="list" allowBlank="1" showInputMessage="1" showErrorMessage="1" sqref="B32:B41">
      <formula1>Menuiseries</formula1>
    </dataValidation>
    <dataValidation type="list" allowBlank="1" showInputMessage="1" showErrorMessage="1" sqref="B69:B78">
      <formula1>Ponts</formula1>
    </dataValidation>
    <dataValidation type="list" allowBlank="1" showInputMessage="1" showErrorMessage="1" sqref="B47:B50">
      <formula1>planchers</formula1>
    </dataValidation>
    <dataValidation type="list" allowBlank="1" showInputMessage="1" showErrorMessage="1" sqref="B21:B26">
      <formula1>Murs</formula1>
    </dataValidation>
    <dataValidation type="list" allowBlank="1" showInputMessage="1" showErrorMessage="1" sqref="O82:Q82">
      <formula1>$AU$21:$AU$23</formula1>
    </dataValidation>
    <dataValidation type="list" allowBlank="1" showInputMessage="1" showErrorMessage="1" sqref="O85:Q85">
      <formula1>$AM$28:$AM$30</formula1>
    </dataValidation>
    <dataValidation type="list" allowBlank="1" showInputMessage="1" showErrorMessage="1" sqref="O83:Q83">
      <formula1>$AO$21:$AO$23</formula1>
    </dataValidation>
    <dataValidation type="list" allowBlank="1" showInputMessage="1" showErrorMessage="1" sqref="I7">
      <formula1>$AU$11:$AU$19</formula1>
    </dataValidation>
    <dataValidation type="list" allowBlank="1" showInputMessage="1" showErrorMessage="1" sqref="N5:Q5">
      <formula1>INDIRECT($N$4)</formula1>
    </dataValidation>
    <dataValidation type="list" allowBlank="1" showInputMessage="1" showErrorMessage="1" sqref="N4">
      <formula1>Bâtiments</formula1>
    </dataValidation>
    <dataValidation type="list" allowBlank="1" showInputMessage="1" showErrorMessage="1" sqref="F21:F26 F47:F50 F56:F63 F32:F41 F69:F78">
      <formula1>Contact</formula1>
    </dataValidation>
    <dataValidation type="list" allowBlank="1" showInputMessage="1" showErrorMessage="1" sqref="O86:Q86">
      <formula1>INDIRECT($O$84)</formula1>
    </dataValidation>
    <dataValidation type="list" allowBlank="1" showInputMessage="1" showErrorMessage="1" sqref="O84:Q84">
      <formula1>INDIRECT($O$83)</formula1>
    </dataValidation>
  </dataValidations>
  <pageMargins left="0.78740157480314965" right="0.19685039370078741" top="0.62992125984251968" bottom="0.62992125984251968" header="0.51181102362204722" footer="0.51181102362204722"/>
  <pageSetup paperSize="9" scale="78" orientation="portrait" r:id="rId1"/>
  <headerFooter alignWithMargins="0">
    <oddHeader xml:space="preserve">&amp;R
</oddHeader>
    <oddFooter>&amp;L&amp;8Formulaire de calcul SIA 384.201&amp;C&amp;8Fiche du local&amp;R&amp;8Page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 tint="0.79998168889431442"/>
    <pageSetUpPr fitToPage="1"/>
  </sheetPr>
  <dimension ref="A1:BA132"/>
  <sheetViews>
    <sheetView showGridLines="0" topLeftCell="A94" zoomScaleNormal="100" zoomScaleSheetLayoutView="100" workbookViewId="0">
      <selection activeCell="I135" sqref="H135:I135"/>
    </sheetView>
  </sheetViews>
  <sheetFormatPr baseColWidth="10" defaultRowHeight="12.75" x14ac:dyDescent="0.2"/>
  <cols>
    <col min="1" max="1" width="0.7109375" style="14" customWidth="1"/>
    <col min="2" max="3" width="6.140625" style="14" customWidth="1"/>
    <col min="4" max="5" width="9.42578125" style="14" customWidth="1"/>
    <col min="6" max="6" width="6.140625" style="14" customWidth="1"/>
    <col min="7" max="9" width="6" style="14" customWidth="1"/>
    <col min="10" max="10" width="7.140625" style="14" customWidth="1"/>
    <col min="11" max="11" width="6.140625" style="14" customWidth="1"/>
    <col min="12" max="12" width="6.5703125" style="14" customWidth="1"/>
    <col min="13" max="14" width="6.140625" style="14" customWidth="1"/>
    <col min="15" max="15" width="7.140625" style="14" customWidth="1"/>
    <col min="16" max="16" width="9.140625" style="14" bestFit="1" customWidth="1"/>
    <col min="17" max="17" width="7" style="14" bestFit="1" customWidth="1"/>
    <col min="18" max="20" width="6.140625" style="14" customWidth="1"/>
    <col min="21" max="22" width="11.28515625" style="14" bestFit="1" customWidth="1"/>
    <col min="23" max="23" width="9.5703125" style="14" customWidth="1"/>
    <col min="24" max="24" width="13.85546875" style="14" customWidth="1"/>
    <col min="25" max="26" width="8.140625" style="14" customWidth="1"/>
    <col min="27" max="34" width="11.42578125" style="14"/>
    <col min="35" max="60" width="7.7109375" style="14" customWidth="1"/>
    <col min="61" max="16384" width="11.42578125" style="14"/>
  </cols>
  <sheetData>
    <row r="1" spans="1:53" s="22" customFormat="1" ht="14.25" customHeight="1" x14ac:dyDescent="0.2">
      <c r="A1" s="51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4"/>
    </row>
    <row r="2" spans="1:53" s="22" customFormat="1" ht="24.75" customHeight="1" x14ac:dyDescent="0.2">
      <c r="A2" s="51"/>
      <c r="B2" s="180" t="s">
        <v>33</v>
      </c>
      <c r="C2" s="181"/>
      <c r="D2" s="181"/>
      <c r="E2" s="182" t="s">
        <v>196</v>
      </c>
      <c r="F2" s="182"/>
      <c r="G2" s="330" t="s">
        <v>274</v>
      </c>
      <c r="H2" s="330"/>
      <c r="I2" s="23"/>
      <c r="J2" s="182" t="s">
        <v>27</v>
      </c>
      <c r="K2" s="183"/>
      <c r="L2" s="330" t="s">
        <v>43</v>
      </c>
      <c r="M2" s="330"/>
      <c r="N2" s="330"/>
      <c r="O2" s="184"/>
      <c r="P2" s="184"/>
      <c r="Q2" s="185"/>
      <c r="R2" s="24"/>
      <c r="AM2" s="21"/>
    </row>
    <row r="3" spans="1:53" s="22" customFormat="1" ht="15" x14ac:dyDescent="0.2">
      <c r="A3" s="51"/>
      <c r="B3" s="190"/>
      <c r="C3" s="191"/>
      <c r="D3" s="191"/>
      <c r="E3" s="192"/>
      <c r="F3" s="192"/>
      <c r="H3" s="193"/>
      <c r="J3" s="192"/>
      <c r="K3" s="194"/>
      <c r="L3" s="195"/>
      <c r="M3" s="195"/>
      <c r="N3" s="195"/>
      <c r="O3" s="195"/>
      <c r="P3" s="195"/>
      <c r="Q3" s="194"/>
      <c r="R3" s="24"/>
      <c r="AM3" s="6"/>
    </row>
    <row r="4" spans="1:53" s="22" customFormat="1" ht="14.25" x14ac:dyDescent="0.2">
      <c r="A4" s="51"/>
      <c r="B4" s="276" t="s">
        <v>92</v>
      </c>
      <c r="C4" s="277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551" t="s">
        <v>94</v>
      </c>
      <c r="O4" s="551"/>
      <c r="P4" s="551"/>
      <c r="Q4" s="552"/>
      <c r="R4" s="24"/>
      <c r="AU4" s="17" t="s">
        <v>95</v>
      </c>
    </row>
    <row r="5" spans="1:53" s="22" customFormat="1" ht="14.25" x14ac:dyDescent="0.2">
      <c r="A5" s="51"/>
      <c r="B5" s="280" t="s">
        <v>177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53" t="s">
        <v>93</v>
      </c>
      <c r="O5" s="553"/>
      <c r="P5" s="553"/>
      <c r="Q5" s="554"/>
      <c r="R5" s="24"/>
      <c r="AM5" s="6" t="s">
        <v>150</v>
      </c>
      <c r="AO5" s="17"/>
      <c r="AP5" s="21"/>
      <c r="AQ5" s="17"/>
      <c r="AR5" s="17">
        <v>0</v>
      </c>
      <c r="AS5" s="17">
        <v>0</v>
      </c>
      <c r="AU5" s="17" t="s">
        <v>147</v>
      </c>
    </row>
    <row r="6" spans="1:53" s="21" customFormat="1" ht="14.25" x14ac:dyDescent="0.2">
      <c r="A6" s="52"/>
      <c r="B6" s="280" t="s">
        <v>145</v>
      </c>
      <c r="C6" s="178"/>
      <c r="D6" s="178"/>
      <c r="E6" s="186" t="e">
        <f>#REF!</f>
        <v>#REF!</v>
      </c>
      <c r="F6" s="179"/>
      <c r="G6" s="179"/>
      <c r="H6" s="282" t="e">
        <f>E6&amp;" "&amp;I6</f>
        <v>#REF!</v>
      </c>
      <c r="I6" s="555" t="s">
        <v>147</v>
      </c>
      <c r="J6" s="555"/>
      <c r="K6" s="555"/>
      <c r="L6" s="555"/>
      <c r="M6" s="555"/>
      <c r="N6" s="555"/>
      <c r="O6" s="555"/>
      <c r="P6" s="555"/>
      <c r="Q6" s="556"/>
      <c r="R6" s="25"/>
      <c r="AM6" s="21" t="s">
        <v>151</v>
      </c>
      <c r="AN6" s="22"/>
      <c r="AO6" s="17"/>
      <c r="AQ6" s="17"/>
      <c r="AR6" s="17"/>
      <c r="AS6" s="17">
        <v>0.05</v>
      </c>
      <c r="AU6" s="17" t="s">
        <v>148</v>
      </c>
    </row>
    <row r="7" spans="1:53" s="21" customFormat="1" ht="14.25" x14ac:dyDescent="0.2">
      <c r="A7" s="52"/>
      <c r="B7" s="281" t="s">
        <v>167</v>
      </c>
      <c r="C7" s="151"/>
      <c r="D7" s="151"/>
      <c r="E7" s="53"/>
      <c r="F7" s="176"/>
      <c r="G7" s="176"/>
      <c r="H7" s="176"/>
      <c r="I7" s="557" t="s">
        <v>159</v>
      </c>
      <c r="J7" s="557"/>
      <c r="K7" s="557"/>
      <c r="L7" s="557"/>
      <c r="M7" s="557"/>
      <c r="N7" s="557"/>
      <c r="O7" s="557"/>
      <c r="P7" s="557"/>
      <c r="Q7" s="558"/>
      <c r="R7" s="25"/>
      <c r="AM7" s="21" t="s">
        <v>152</v>
      </c>
      <c r="AN7" s="22"/>
      <c r="AO7" s="17"/>
      <c r="AQ7" s="17"/>
      <c r="AS7" s="21">
        <v>0</v>
      </c>
      <c r="AT7" s="17"/>
      <c r="AU7" s="17" t="s">
        <v>149</v>
      </c>
      <c r="AV7" s="17"/>
      <c r="AW7" s="17"/>
      <c r="AX7" s="17"/>
      <c r="AY7" s="17"/>
      <c r="AZ7" s="17"/>
    </row>
    <row r="8" spans="1:53" s="21" customFormat="1" ht="14.25" x14ac:dyDescent="0.2">
      <c r="A8" s="52"/>
      <c r="B8" s="273"/>
      <c r="C8" s="53"/>
      <c r="D8" s="53"/>
      <c r="E8" s="53"/>
      <c r="F8" s="274"/>
      <c r="G8" s="53"/>
      <c r="H8" s="53"/>
      <c r="I8" s="53"/>
      <c r="J8" s="53"/>
      <c r="K8" s="53"/>
      <c r="L8" s="53"/>
      <c r="M8" s="274"/>
      <c r="N8" s="53"/>
      <c r="O8" s="274"/>
      <c r="P8" s="275"/>
      <c r="Q8" s="53"/>
      <c r="R8" s="25"/>
      <c r="AM8" s="21" t="s">
        <v>153</v>
      </c>
      <c r="AN8" s="22"/>
      <c r="AO8" s="17"/>
      <c r="AP8" s="17"/>
      <c r="AQ8" s="17"/>
      <c r="AR8" s="17"/>
      <c r="AS8" s="17">
        <v>0.02</v>
      </c>
      <c r="AT8" s="17">
        <v>0</v>
      </c>
      <c r="AU8" s="17">
        <v>0</v>
      </c>
      <c r="AV8" s="17"/>
      <c r="AW8" s="17"/>
      <c r="AX8" s="17"/>
      <c r="AY8" s="17"/>
      <c r="AZ8" s="17"/>
    </row>
    <row r="9" spans="1:53" s="21" customFormat="1" ht="14.25" x14ac:dyDescent="0.2">
      <c r="A9" s="52"/>
      <c r="B9" s="55" t="s">
        <v>28</v>
      </c>
      <c r="C9" s="56"/>
      <c r="D9" s="57"/>
      <c r="E9" s="58" t="s">
        <v>29</v>
      </c>
      <c r="F9" s="56"/>
      <c r="G9" s="56"/>
      <c r="H9" s="56"/>
      <c r="I9" s="56"/>
      <c r="J9" s="56"/>
      <c r="K9" s="428"/>
      <c r="L9" s="429"/>
      <c r="M9" s="58" t="s">
        <v>30</v>
      </c>
      <c r="N9" s="56"/>
      <c r="O9" s="56"/>
      <c r="P9" s="56"/>
      <c r="Q9" s="57"/>
      <c r="AM9" s="21" t="s">
        <v>154</v>
      </c>
      <c r="AN9" s="22"/>
      <c r="AO9" s="17"/>
      <c r="AP9" s="6"/>
      <c r="AQ9" s="17"/>
      <c r="AR9" s="6"/>
      <c r="AS9" s="17">
        <v>0.03</v>
      </c>
      <c r="AV9" s="17"/>
      <c r="AW9" s="17"/>
      <c r="AX9" s="17"/>
      <c r="AY9" s="17"/>
      <c r="AZ9" s="17" t="s">
        <v>146</v>
      </c>
      <c r="BA9" s="6" t="s">
        <v>2</v>
      </c>
    </row>
    <row r="10" spans="1:53" s="21" customFormat="1" ht="15.75" x14ac:dyDescent="0.3">
      <c r="A10" s="52"/>
      <c r="B10" s="60"/>
      <c r="C10" s="61"/>
      <c r="D10" s="62"/>
      <c r="E10" s="63" t="s">
        <v>20</v>
      </c>
      <c r="F10" s="64" t="s">
        <v>16</v>
      </c>
      <c r="G10" s="559" t="s">
        <v>39</v>
      </c>
      <c r="H10" s="560"/>
      <c r="I10" s="560"/>
      <c r="J10" s="561"/>
      <c r="K10" s="334" t="s">
        <v>35</v>
      </c>
      <c r="L10" s="427" t="s">
        <v>36</v>
      </c>
      <c r="M10" s="333" t="s">
        <v>0</v>
      </c>
      <c r="N10" s="334" t="s">
        <v>7</v>
      </c>
      <c r="O10" s="334" t="s">
        <v>1</v>
      </c>
      <c r="P10" s="334" t="s">
        <v>8</v>
      </c>
      <c r="Q10" s="335" t="s">
        <v>21</v>
      </c>
      <c r="AM10" s="21" t="s">
        <v>155</v>
      </c>
      <c r="AN10" s="22"/>
      <c r="AO10" s="17"/>
      <c r="AP10" s="17"/>
      <c r="AQ10" s="17"/>
      <c r="AR10" s="17"/>
      <c r="AS10" s="17">
        <v>0</v>
      </c>
      <c r="AU10" s="6" t="s">
        <v>158</v>
      </c>
      <c r="AV10" s="17"/>
      <c r="AW10" s="17"/>
      <c r="AX10" s="17"/>
      <c r="AY10" s="6"/>
      <c r="AZ10" s="337" t="s">
        <v>175</v>
      </c>
      <c r="BA10" s="337">
        <v>1</v>
      </c>
    </row>
    <row r="11" spans="1:53" s="21" customFormat="1" ht="14.25" x14ac:dyDescent="0.2">
      <c r="A11" s="52"/>
      <c r="B11" s="65"/>
      <c r="C11" s="66"/>
      <c r="D11" s="67"/>
      <c r="E11" s="68" t="s">
        <v>4</v>
      </c>
      <c r="F11" s="69" t="s">
        <v>4</v>
      </c>
      <c r="G11" s="562" t="s">
        <v>8</v>
      </c>
      <c r="H11" s="563"/>
      <c r="I11" s="563"/>
      <c r="J11" s="564"/>
      <c r="K11" s="69" t="s">
        <v>5</v>
      </c>
      <c r="L11" s="69" t="s">
        <v>4</v>
      </c>
      <c r="M11" s="68" t="s">
        <v>3</v>
      </c>
      <c r="N11" s="69" t="s">
        <v>3</v>
      </c>
      <c r="O11" s="69" t="s">
        <v>10</v>
      </c>
      <c r="P11" s="69" t="s">
        <v>3</v>
      </c>
      <c r="Q11" s="70" t="s">
        <v>11</v>
      </c>
      <c r="AM11" s="21" t="s">
        <v>156</v>
      </c>
      <c r="AN11" s="22"/>
      <c r="AO11" s="17"/>
      <c r="AP11" s="6"/>
      <c r="AQ11" s="17"/>
      <c r="AR11" s="6"/>
      <c r="AS11" s="17">
        <v>0.01</v>
      </c>
      <c r="AU11" s="6" t="s">
        <v>146</v>
      </c>
      <c r="AY11" s="6"/>
      <c r="AZ11" s="337" t="s">
        <v>174</v>
      </c>
      <c r="BA11" s="336" t="s">
        <v>7</v>
      </c>
    </row>
    <row r="12" spans="1:53" s="17" customFormat="1" ht="15" x14ac:dyDescent="0.2">
      <c r="A12" s="54"/>
      <c r="B12" s="73"/>
      <c r="C12" s="72"/>
      <c r="D12" s="74"/>
      <c r="E12" s="449" t="e">
        <f>VLOOKUP(N5,#REF!,2,FALSE)</f>
        <v>#REF!</v>
      </c>
      <c r="F12" s="450" t="e">
        <f>#REF!</f>
        <v>#REF!</v>
      </c>
      <c r="G12" s="542" t="e">
        <f>#REF!</f>
        <v>#REF!</v>
      </c>
      <c r="H12" s="543"/>
      <c r="I12" s="543"/>
      <c r="J12" s="544"/>
      <c r="K12" s="94" t="e">
        <f>#REF!</f>
        <v>#REF!</v>
      </c>
      <c r="L12" s="450" t="e">
        <f>IF(ISNUMBER(F12),F12+K12,F12)</f>
        <v>#REF!</v>
      </c>
      <c r="M12" s="458">
        <v>8</v>
      </c>
      <c r="N12" s="459">
        <v>12</v>
      </c>
      <c r="O12" s="459">
        <f>M12*N12</f>
        <v>96</v>
      </c>
      <c r="P12" s="459"/>
      <c r="Q12" s="460">
        <f>O12*P12</f>
        <v>0</v>
      </c>
      <c r="AM12" s="21" t="s">
        <v>157</v>
      </c>
      <c r="AN12" s="22"/>
      <c r="AR12" s="22"/>
      <c r="AS12" s="17">
        <v>0.02</v>
      </c>
      <c r="AU12" s="6" t="s">
        <v>159</v>
      </c>
      <c r="AV12" s="21">
        <v>1</v>
      </c>
      <c r="AY12" s="6"/>
      <c r="AZ12" s="337" t="s">
        <v>180</v>
      </c>
      <c r="BA12" s="336" t="s">
        <v>199</v>
      </c>
    </row>
    <row r="13" spans="1:53" s="6" customFormat="1" ht="12" customHeight="1" x14ac:dyDescent="0.2">
      <c r="A13" s="54"/>
      <c r="B13" s="75"/>
      <c r="C13" s="75"/>
      <c r="D13" s="75"/>
      <c r="E13" s="234"/>
      <c r="F13" s="234"/>
      <c r="G13" s="299"/>
      <c r="I13" s="300"/>
      <c r="J13" s="234"/>
      <c r="K13" s="234"/>
      <c r="L13" s="234"/>
      <c r="M13" s="234"/>
      <c r="N13" s="234"/>
      <c r="O13" s="234"/>
      <c r="P13" s="85"/>
      <c r="Q13" s="85"/>
      <c r="AU13" s="6" t="s">
        <v>160</v>
      </c>
      <c r="AV13" s="17">
        <v>1.3</v>
      </c>
      <c r="AZ13" s="337" t="s">
        <v>176</v>
      </c>
      <c r="BA13" s="336" t="s">
        <v>7</v>
      </c>
    </row>
    <row r="14" spans="1:53" s="17" customFormat="1" ht="14.25" customHeight="1" x14ac:dyDescent="0.2">
      <c r="A14" s="59"/>
      <c r="B14" s="545" t="s">
        <v>200</v>
      </c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AM14" s="21" t="s">
        <v>146</v>
      </c>
      <c r="AP14" s="22"/>
      <c r="AQ14" s="22"/>
      <c r="AR14" s="22"/>
      <c r="AS14" s="22">
        <v>0</v>
      </c>
      <c r="AU14" s="6" t="s">
        <v>161</v>
      </c>
      <c r="AV14" s="6">
        <v>1.4</v>
      </c>
    </row>
    <row r="15" spans="1:53" s="6" customFormat="1" ht="14.25" customHeight="1" x14ac:dyDescent="0.2">
      <c r="A15" s="17"/>
      <c r="B15" s="203" t="s">
        <v>184</v>
      </c>
      <c r="C15" s="201"/>
      <c r="D15" s="201"/>
      <c r="E15" s="201"/>
      <c r="F15" s="201"/>
      <c r="G15" s="201"/>
      <c r="H15" s="201"/>
      <c r="I15" s="269"/>
      <c r="J15" s="202"/>
      <c r="K15" s="202"/>
      <c r="L15" s="202"/>
      <c r="M15" s="202"/>
      <c r="N15" s="202"/>
      <c r="O15" s="202"/>
      <c r="P15" s="202"/>
      <c r="Q15" s="303"/>
      <c r="AM15" s="21" t="s">
        <v>96</v>
      </c>
      <c r="AN15" s="21"/>
      <c r="AO15" s="21"/>
      <c r="AP15" s="21"/>
      <c r="AQ15" s="21"/>
      <c r="AR15" s="21"/>
      <c r="AS15" s="21">
        <v>1</v>
      </c>
      <c r="AU15" s="6" t="s">
        <v>162</v>
      </c>
      <c r="AV15" s="17">
        <v>1.6</v>
      </c>
    </row>
    <row r="16" spans="1:53" s="17" customFormat="1" ht="13.5" customHeight="1" x14ac:dyDescent="0.25">
      <c r="B16" s="285" t="s">
        <v>185</v>
      </c>
      <c r="C16" s="301"/>
      <c r="D16" s="301"/>
      <c r="E16" s="301"/>
      <c r="F16" s="301"/>
      <c r="G16" s="301"/>
      <c r="H16" s="302" t="s">
        <v>41</v>
      </c>
      <c r="I16" s="71">
        <f>IF(I15="",1,(E12-I15)/(E12-L12))</f>
        <v>1</v>
      </c>
      <c r="J16" s="301"/>
      <c r="K16" s="301"/>
      <c r="L16" s="301"/>
      <c r="M16" s="301"/>
      <c r="N16" s="301"/>
      <c r="O16" s="301"/>
      <c r="P16" s="301"/>
      <c r="Q16" s="304"/>
      <c r="R16" s="27"/>
      <c r="AM16" s="21" t="s">
        <v>97</v>
      </c>
      <c r="AN16" s="21"/>
      <c r="AO16" s="21"/>
      <c r="AP16" s="21"/>
      <c r="AQ16" s="21"/>
      <c r="AR16" s="21"/>
      <c r="AS16" s="21">
        <v>0.5</v>
      </c>
      <c r="AU16" s="6" t="s">
        <v>163</v>
      </c>
      <c r="AV16" s="6">
        <v>1.7</v>
      </c>
      <c r="AX16" s="22"/>
      <c r="AY16" s="22"/>
      <c r="AZ16" s="22"/>
    </row>
    <row r="17" spans="2:52" s="17" customFormat="1" ht="12" x14ac:dyDescent="0.2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15"/>
      <c r="AM17" s="21" t="s">
        <v>98</v>
      </c>
      <c r="AS17" s="17">
        <v>0.3</v>
      </c>
      <c r="AU17" s="6" t="s">
        <v>164</v>
      </c>
      <c r="AV17" s="17">
        <v>1.8</v>
      </c>
      <c r="AX17" s="21"/>
      <c r="AY17" s="21"/>
      <c r="AZ17" s="21"/>
    </row>
    <row r="18" spans="2:52" s="8" customFormat="1" x14ac:dyDescent="0.2">
      <c r="B18" s="209" t="s">
        <v>170</v>
      </c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1"/>
      <c r="R18" s="29"/>
      <c r="AM18" s="21" t="s">
        <v>99</v>
      </c>
      <c r="AN18" s="6"/>
      <c r="AO18" s="6"/>
      <c r="AP18" s="6"/>
      <c r="AQ18" s="6"/>
      <c r="AR18" s="6"/>
      <c r="AS18" s="6">
        <v>0.1</v>
      </c>
      <c r="AU18" s="6" t="s">
        <v>165</v>
      </c>
      <c r="AV18" s="17">
        <v>2</v>
      </c>
      <c r="AX18" s="21"/>
      <c r="AY18" s="21"/>
      <c r="AZ18" s="21"/>
    </row>
    <row r="19" spans="2:52" s="6" customFormat="1" ht="22.5" customHeight="1" x14ac:dyDescent="0.2">
      <c r="B19" s="188" t="s">
        <v>25</v>
      </c>
      <c r="C19" s="175" t="s">
        <v>14</v>
      </c>
      <c r="D19" s="546" t="s">
        <v>26</v>
      </c>
      <c r="E19" s="547"/>
      <c r="F19" s="548" t="s">
        <v>172</v>
      </c>
      <c r="G19" s="547"/>
      <c r="H19" s="549"/>
      <c r="I19" s="200" t="s">
        <v>7</v>
      </c>
      <c r="J19" s="175" t="s">
        <v>13</v>
      </c>
      <c r="K19" s="175" t="s">
        <v>198</v>
      </c>
      <c r="L19" s="175" t="s">
        <v>1</v>
      </c>
      <c r="M19" s="546" t="s">
        <v>173</v>
      </c>
      <c r="N19" s="550"/>
      <c r="O19" s="197" t="s">
        <v>181</v>
      </c>
      <c r="P19" s="455" t="s">
        <v>17</v>
      </c>
      <c r="Q19" s="187" t="s">
        <v>18</v>
      </c>
      <c r="R19" s="5"/>
      <c r="AU19" s="6" t="s">
        <v>166</v>
      </c>
      <c r="AV19" s="8">
        <v>2.2000000000000002</v>
      </c>
      <c r="AX19" s="17"/>
      <c r="AY19" s="17"/>
      <c r="AZ19" s="17"/>
    </row>
    <row r="20" spans="2:52" s="6" customFormat="1" ht="14.25" customHeight="1" x14ac:dyDescent="0.2">
      <c r="B20" s="189" t="s">
        <v>2</v>
      </c>
      <c r="C20" s="172"/>
      <c r="D20" s="173"/>
      <c r="E20" s="172"/>
      <c r="F20" s="172"/>
      <c r="G20" s="174"/>
      <c r="H20" s="174"/>
      <c r="I20" s="170" t="s">
        <v>3</v>
      </c>
      <c r="J20" s="170" t="s">
        <v>3</v>
      </c>
      <c r="K20" s="172" t="s">
        <v>197</v>
      </c>
      <c r="L20" s="170" t="s">
        <v>40</v>
      </c>
      <c r="M20" s="499" t="s">
        <v>7</v>
      </c>
      <c r="N20" s="499"/>
      <c r="O20" s="198" t="s">
        <v>182</v>
      </c>
      <c r="P20" s="171" t="s">
        <v>6</v>
      </c>
      <c r="Q20" s="374" t="s">
        <v>141</v>
      </c>
      <c r="R20" s="31"/>
      <c r="AM20" s="5"/>
      <c r="AN20" s="5"/>
    </row>
    <row r="21" spans="2:52" s="6" customFormat="1" ht="12.75" customHeight="1" x14ac:dyDescent="0.2">
      <c r="B21" s="297" t="s">
        <v>48</v>
      </c>
      <c r="C21" s="35" t="s">
        <v>44</v>
      </c>
      <c r="D21" s="48" t="str">
        <f>IF(ISNA(VLOOKUP(B21,BibliothèqueProjet!$A$6:$J$70,2,FALSE)) = TRUE, "", VLOOKUP(B21,BibliothèqueProjet!$A$6:$J$20,2,FALSE))</f>
        <v>Murs Extérieur</v>
      </c>
      <c r="E21" s="33"/>
      <c r="F21" s="533" t="s">
        <v>180</v>
      </c>
      <c r="G21" s="534"/>
      <c r="H21" s="535"/>
      <c r="I21" s="212">
        <v>3.89</v>
      </c>
      <c r="J21" s="213">
        <v>3.4849999999999999</v>
      </c>
      <c r="K21" s="214">
        <v>6.35</v>
      </c>
      <c r="L21" s="36">
        <f t="shared" ref="L21:L26" si="0">(I21*J21)-K21</f>
        <v>7.2066499999999998</v>
      </c>
      <c r="M21" s="36" t="str">
        <f t="shared" ref="M21:M26" si="1">VLOOKUP(F21,$AZ$9:$BA$13,2,FALSE)</f>
        <v>fij</v>
      </c>
      <c r="N21" s="332">
        <v>1</v>
      </c>
      <c r="O21" s="199">
        <f>IF(B21&lt;&gt;0,VLOOKUP(B21,BibliothèqueProjet!$A$5:$J$20,10,FALSE),"")</f>
        <v>0.15</v>
      </c>
      <c r="P21" s="372">
        <f t="shared" ref="P21:P26" si="2">IF(O21&lt;&gt;"",L21*N21*O21,"")</f>
        <v>1.0809974999999998</v>
      </c>
      <c r="Q21" s="168" t="e">
        <f t="shared" ref="Q21:Q26" si="3">IF(P21&lt;&gt;"",P21*($E$12-$L$12),"")</f>
        <v>#REF!</v>
      </c>
      <c r="R21" s="31"/>
      <c r="AM21" s="10" t="s">
        <v>95</v>
      </c>
      <c r="AN21" s="10" t="s">
        <v>95</v>
      </c>
      <c r="AO21" s="10" t="s">
        <v>95</v>
      </c>
      <c r="AP21" s="10" t="s">
        <v>95</v>
      </c>
      <c r="AQ21" s="7"/>
      <c r="AR21" s="1" t="s">
        <v>101</v>
      </c>
      <c r="AS21" s="1" t="s">
        <v>102</v>
      </c>
      <c r="AT21" s="7"/>
      <c r="AU21" s="10" t="s">
        <v>95</v>
      </c>
      <c r="AV21" s="17"/>
      <c r="AW21" s="17"/>
      <c r="AX21" s="17"/>
      <c r="AY21" s="17"/>
      <c r="AZ21" s="17"/>
    </row>
    <row r="22" spans="2:52" s="6" customFormat="1" x14ac:dyDescent="0.2">
      <c r="B22" s="298"/>
      <c r="C22" s="38"/>
      <c r="D22" s="48" t="str">
        <f>IF(ISNA(VLOOKUP(B22,BibliothèqueProjet!$A$6:$J$70,2,FALSE)) = TRUE, "", VLOOKUP(B22,BibliothèqueProjet!$A$6:$J$20,2,FALSE))</f>
        <v/>
      </c>
      <c r="E22" s="39"/>
      <c r="F22" s="536" t="s">
        <v>146</v>
      </c>
      <c r="G22" s="537"/>
      <c r="H22" s="538"/>
      <c r="I22" s="215"/>
      <c r="J22" s="216"/>
      <c r="K22" s="217"/>
      <c r="L22" s="36">
        <f t="shared" si="0"/>
        <v>0</v>
      </c>
      <c r="M22" s="36" t="str">
        <f t="shared" si="1"/>
        <v>-</v>
      </c>
      <c r="N22" s="331"/>
      <c r="O22" s="199" t="str">
        <f>IF(B22&lt;&gt;0,VLOOKUP(B22,BibliothèqueProjet!$A$5:$J$20,10,FALSE),"")</f>
        <v/>
      </c>
      <c r="P22" s="372" t="str">
        <f t="shared" si="2"/>
        <v/>
      </c>
      <c r="Q22" s="168" t="str">
        <f t="shared" si="3"/>
        <v/>
      </c>
      <c r="R22" s="31"/>
      <c r="AM22" s="1" t="s">
        <v>105</v>
      </c>
      <c r="AN22" s="1" t="s">
        <v>105</v>
      </c>
      <c r="AO22" s="1" t="s">
        <v>101</v>
      </c>
      <c r="AP22" s="8"/>
      <c r="AQ22" s="8"/>
      <c r="AR22" s="10" t="s">
        <v>95</v>
      </c>
      <c r="AS22" s="95" t="s">
        <v>110</v>
      </c>
      <c r="AT22" s="7"/>
      <c r="AU22" s="17" t="s">
        <v>143</v>
      </c>
      <c r="AV22" s="17"/>
      <c r="AW22" s="5"/>
      <c r="AX22" s="5"/>
      <c r="AY22" s="5"/>
      <c r="AZ22" s="19"/>
    </row>
    <row r="23" spans="2:52" s="6" customFormat="1" ht="12.75" customHeight="1" x14ac:dyDescent="0.2">
      <c r="B23" s="298"/>
      <c r="C23" s="35"/>
      <c r="D23" s="48" t="str">
        <f>IF(ISNA(VLOOKUP(B23,BibliothèqueProjet!$A$6:$J$70,2,FALSE)) = TRUE, "", VLOOKUP(B23,BibliothèqueProjet!$A$6:$J$20,2,FALSE))</f>
        <v/>
      </c>
      <c r="E23" s="33"/>
      <c r="F23" s="536" t="s">
        <v>146</v>
      </c>
      <c r="G23" s="537"/>
      <c r="H23" s="538"/>
      <c r="I23" s="212"/>
      <c r="J23" s="213"/>
      <c r="K23" s="214"/>
      <c r="L23" s="36">
        <f t="shared" si="0"/>
        <v>0</v>
      </c>
      <c r="M23" s="36" t="str">
        <f t="shared" si="1"/>
        <v>-</v>
      </c>
      <c r="N23" s="331"/>
      <c r="O23" s="199" t="str">
        <f>IF(B23&lt;&gt;0,VLOOKUP(B23,BibliothèqueProjet!$A$5:$J$20,10,FALSE),"")</f>
        <v/>
      </c>
      <c r="P23" s="372" t="str">
        <f t="shared" si="2"/>
        <v/>
      </c>
      <c r="Q23" s="168" t="str">
        <f t="shared" si="3"/>
        <v/>
      </c>
      <c r="R23" s="31"/>
      <c r="AM23" s="1" t="s">
        <v>107</v>
      </c>
      <c r="AN23" s="1" t="s">
        <v>107</v>
      </c>
      <c r="AO23" s="1" t="s">
        <v>102</v>
      </c>
      <c r="AP23" s="1"/>
      <c r="AQ23" s="7"/>
      <c r="AR23" s="1" t="s">
        <v>104</v>
      </c>
      <c r="AS23" s="7"/>
      <c r="AT23" s="7"/>
      <c r="AU23" s="17" t="s">
        <v>144</v>
      </c>
      <c r="AV23" s="17"/>
      <c r="AW23" s="5"/>
      <c r="AX23" s="5"/>
      <c r="AY23" s="5"/>
      <c r="AZ23" s="19"/>
    </row>
    <row r="24" spans="2:52" s="6" customFormat="1" ht="12" customHeight="1" x14ac:dyDescent="0.2">
      <c r="B24" s="298"/>
      <c r="C24" s="35"/>
      <c r="D24" s="48" t="str">
        <f>IF(ISNA(VLOOKUP(B24,BibliothèqueProjet!$A$6:$J$70,2,FALSE)) = TRUE, "", VLOOKUP(B24,BibliothèqueProjet!$A$6:$J$20,2,FALSE))</f>
        <v/>
      </c>
      <c r="E24" s="33"/>
      <c r="F24" s="536" t="s">
        <v>146</v>
      </c>
      <c r="G24" s="537"/>
      <c r="H24" s="538"/>
      <c r="I24" s="212"/>
      <c r="J24" s="213"/>
      <c r="K24" s="214"/>
      <c r="L24" s="36">
        <f t="shared" si="0"/>
        <v>0</v>
      </c>
      <c r="M24" s="36" t="str">
        <f t="shared" si="1"/>
        <v>-</v>
      </c>
      <c r="N24" s="331"/>
      <c r="O24" s="199" t="str">
        <f>IF(B24&lt;&gt;0,VLOOKUP(B24,BibliothèqueProjet!$A$5:$J$20,10,FALSE),"")</f>
        <v/>
      </c>
      <c r="P24" s="372" t="str">
        <f t="shared" si="2"/>
        <v/>
      </c>
      <c r="Q24" s="168" t="str">
        <f t="shared" si="3"/>
        <v/>
      </c>
      <c r="R24" s="31"/>
      <c r="AM24" s="1" t="s">
        <v>106</v>
      </c>
      <c r="AN24" s="1" t="s">
        <v>106</v>
      </c>
      <c r="AO24" s="17"/>
      <c r="AP24" s="1"/>
      <c r="AQ24" s="7"/>
      <c r="AR24" s="17" t="s">
        <v>109</v>
      </c>
      <c r="AS24" s="7"/>
      <c r="AT24" s="7"/>
      <c r="AU24" s="17"/>
      <c r="AV24" s="17"/>
      <c r="AW24" s="5"/>
      <c r="AX24" s="5"/>
      <c r="AY24" s="5"/>
      <c r="AZ24" s="19"/>
    </row>
    <row r="25" spans="2:52" s="6" customFormat="1" ht="12" customHeight="1" x14ac:dyDescent="0.2">
      <c r="B25" s="298"/>
      <c r="C25" s="35"/>
      <c r="D25" s="48" t="str">
        <f>IF(ISNA(VLOOKUP(B25,BibliothèqueProjet!$A$6:$J$70,2,FALSE)) = TRUE, "", VLOOKUP(B25,BibliothèqueProjet!$A$6:$J$20,2,FALSE))</f>
        <v/>
      </c>
      <c r="E25" s="33"/>
      <c r="F25" s="536" t="s">
        <v>146</v>
      </c>
      <c r="G25" s="537"/>
      <c r="H25" s="538"/>
      <c r="I25" s="212"/>
      <c r="J25" s="213"/>
      <c r="K25" s="214"/>
      <c r="L25" s="36">
        <f t="shared" si="0"/>
        <v>0</v>
      </c>
      <c r="M25" s="36" t="str">
        <f t="shared" si="1"/>
        <v>-</v>
      </c>
      <c r="N25" s="331"/>
      <c r="O25" s="199" t="str">
        <f>IF(B25&lt;&gt;0,VLOOKUP(B25,BibliothèqueProjet!$A$5:$J$20,10,FALSE),"")</f>
        <v/>
      </c>
      <c r="P25" s="372" t="str">
        <f t="shared" si="2"/>
        <v/>
      </c>
      <c r="Q25" s="168" t="str">
        <f t="shared" si="3"/>
        <v/>
      </c>
      <c r="R25" s="31"/>
      <c r="AM25" s="28"/>
      <c r="AN25" s="17"/>
      <c r="AO25" s="17"/>
      <c r="AP25" s="1"/>
      <c r="AQ25" s="1"/>
      <c r="AR25" s="1"/>
      <c r="AS25" s="1"/>
      <c r="AT25" s="7"/>
      <c r="AU25" s="17"/>
      <c r="AV25" s="17"/>
      <c r="AW25" s="5"/>
      <c r="AX25" s="5"/>
      <c r="AY25" s="5"/>
      <c r="AZ25" s="5"/>
    </row>
    <row r="26" spans="2:52" s="6" customFormat="1" ht="12" customHeight="1" x14ac:dyDescent="0.2">
      <c r="B26" s="298"/>
      <c r="C26" s="38"/>
      <c r="D26" s="48" t="str">
        <f>IF(ISNA(VLOOKUP(B26,BibliothèqueProjet!$A$6:$J$70,2,FALSE)) = TRUE, "", VLOOKUP(B26,BibliothèqueProjet!$A$6:$J$20,2,FALSE))</f>
        <v/>
      </c>
      <c r="E26" s="33"/>
      <c r="F26" s="539" t="s">
        <v>146</v>
      </c>
      <c r="G26" s="540"/>
      <c r="H26" s="541"/>
      <c r="I26" s="212"/>
      <c r="J26" s="213"/>
      <c r="K26" s="214"/>
      <c r="L26" s="36">
        <f t="shared" si="0"/>
        <v>0</v>
      </c>
      <c r="M26" s="36" t="str">
        <f t="shared" si="1"/>
        <v>-</v>
      </c>
      <c r="N26" s="331"/>
      <c r="O26" s="199" t="str">
        <f>IF(B26&lt;&gt;0,VLOOKUP(B26,BibliothèqueProjet!$A$5:$J$20,10,FALSE),"")</f>
        <v/>
      </c>
      <c r="P26" s="372" t="str">
        <f t="shared" si="2"/>
        <v/>
      </c>
      <c r="Q26" s="168" t="str">
        <f t="shared" si="3"/>
        <v/>
      </c>
      <c r="AM26" s="28"/>
      <c r="AN26" s="17"/>
      <c r="AO26" s="17"/>
      <c r="AP26" s="1"/>
      <c r="AQ26" s="1"/>
      <c r="AR26" s="1"/>
      <c r="AS26" s="1"/>
      <c r="AT26" s="7"/>
      <c r="AU26" s="17"/>
      <c r="AV26" s="17"/>
      <c r="AW26" s="5"/>
      <c r="AX26" s="5"/>
      <c r="AY26" s="5"/>
      <c r="AZ26" s="5"/>
    </row>
    <row r="27" spans="2:52" s="6" customFormat="1" ht="15" x14ac:dyDescent="0.25">
      <c r="B27" s="76" t="s">
        <v>42</v>
      </c>
      <c r="C27" s="56"/>
      <c r="D27" s="77"/>
      <c r="E27" s="56"/>
      <c r="F27" s="56"/>
      <c r="G27" s="56"/>
      <c r="H27" s="78"/>
      <c r="I27" s="79"/>
      <c r="J27" s="80"/>
      <c r="K27" s="78"/>
      <c r="L27" s="79"/>
      <c r="M27" s="79"/>
      <c r="N27" s="81"/>
      <c r="O27" s="82" t="s">
        <v>9</v>
      </c>
      <c r="P27" s="268">
        <f>SUM(P21:P26)</f>
        <v>1.0809974999999998</v>
      </c>
      <c r="Q27" s="268" t="e">
        <f>SUM(Q21:Q26)</f>
        <v>#REF!</v>
      </c>
      <c r="R27" s="32"/>
      <c r="AM27" s="28"/>
      <c r="AN27" s="17"/>
      <c r="AO27" s="17"/>
      <c r="AP27" s="1"/>
      <c r="AQ27" s="1" t="s">
        <v>104</v>
      </c>
      <c r="AR27" s="17" t="s">
        <v>109</v>
      </c>
      <c r="AS27" s="5"/>
      <c r="AT27" s="18" t="s">
        <v>108</v>
      </c>
      <c r="AU27" s="17"/>
      <c r="AV27" s="17"/>
      <c r="AW27" s="5"/>
      <c r="AX27" s="5"/>
      <c r="AY27" s="5"/>
      <c r="AZ27" s="5"/>
    </row>
    <row r="28" spans="2:52" s="17" customForma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AM28" s="10" t="s">
        <v>95</v>
      </c>
      <c r="AP28" s="1" t="s">
        <v>105</v>
      </c>
      <c r="AQ28" s="7">
        <v>4</v>
      </c>
      <c r="AR28" s="16">
        <v>2</v>
      </c>
      <c r="AS28" s="5"/>
      <c r="AT28" s="5">
        <v>0.1</v>
      </c>
      <c r="AW28" s="18"/>
      <c r="AX28" s="18"/>
      <c r="AY28" s="18"/>
      <c r="AZ28" s="18"/>
    </row>
    <row r="29" spans="2:52" s="17" customFormat="1" x14ac:dyDescent="0.2">
      <c r="B29" s="247" t="s">
        <v>187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9"/>
      <c r="R29" s="15"/>
      <c r="AM29" s="28" t="s">
        <v>113</v>
      </c>
      <c r="AP29" s="1" t="s">
        <v>107</v>
      </c>
      <c r="AQ29" s="7">
        <v>7</v>
      </c>
      <c r="AR29" s="43">
        <v>4</v>
      </c>
      <c r="AS29" s="5"/>
      <c r="AT29" s="5"/>
    </row>
    <row r="30" spans="2:52" s="17" customFormat="1" ht="22.5" customHeight="1" x14ac:dyDescent="0.2">
      <c r="B30" s="241" t="s">
        <v>25</v>
      </c>
      <c r="C30" s="242" t="s">
        <v>14</v>
      </c>
      <c r="D30" s="497" t="s">
        <v>26</v>
      </c>
      <c r="E30" s="509"/>
      <c r="F30" s="510" t="s">
        <v>172</v>
      </c>
      <c r="G30" s="509"/>
      <c r="H30" s="511"/>
      <c r="I30" s="243" t="s">
        <v>7</v>
      </c>
      <c r="J30" s="242" t="s">
        <v>13</v>
      </c>
      <c r="K30" s="242" t="s">
        <v>183</v>
      </c>
      <c r="L30" s="242" t="s">
        <v>1</v>
      </c>
      <c r="M30" s="497" t="s">
        <v>173</v>
      </c>
      <c r="N30" s="498"/>
      <c r="O30" s="244" t="s">
        <v>181</v>
      </c>
      <c r="P30" s="245" t="s">
        <v>17</v>
      </c>
      <c r="Q30" s="246" t="s">
        <v>18</v>
      </c>
      <c r="R30" s="15"/>
      <c r="AM30" s="28" t="s">
        <v>114</v>
      </c>
      <c r="AN30" s="18"/>
      <c r="AO30" s="18"/>
      <c r="AP30" s="1" t="s">
        <v>106</v>
      </c>
      <c r="AQ30" s="7">
        <v>10</v>
      </c>
      <c r="AR30" s="18">
        <v>5</v>
      </c>
      <c r="AS30" s="5"/>
      <c r="AT30" s="5"/>
    </row>
    <row r="31" spans="2:52" s="17" customFormat="1" ht="12" customHeight="1" x14ac:dyDescent="0.2">
      <c r="B31" s="189" t="s">
        <v>2</v>
      </c>
      <c r="C31" s="172"/>
      <c r="D31" s="173"/>
      <c r="E31" s="172"/>
      <c r="F31" s="172"/>
      <c r="G31" s="174"/>
      <c r="H31" s="174"/>
      <c r="I31" s="170" t="s">
        <v>3</v>
      </c>
      <c r="J31" s="170" t="s">
        <v>3</v>
      </c>
      <c r="K31" s="169" t="s">
        <v>2</v>
      </c>
      <c r="L31" s="170" t="s">
        <v>40</v>
      </c>
      <c r="M31" s="499" t="s">
        <v>7</v>
      </c>
      <c r="N31" s="499"/>
      <c r="O31" s="198" t="s">
        <v>182</v>
      </c>
      <c r="P31" s="171" t="s">
        <v>6</v>
      </c>
      <c r="Q31" s="374" t="s">
        <v>141</v>
      </c>
      <c r="R31" s="15"/>
      <c r="AM31" s="28"/>
      <c r="AN31" s="16"/>
      <c r="AO31" s="18"/>
      <c r="AT31" s="5"/>
    </row>
    <row r="32" spans="2:52" s="17" customFormat="1" ht="12" customHeight="1" x14ac:dyDescent="0.2">
      <c r="B32" s="295" t="s">
        <v>62</v>
      </c>
      <c r="C32" s="35" t="s">
        <v>44</v>
      </c>
      <c r="D32" s="48" t="str">
        <f>IF(ISNA(VLOOKUP(B32,BibliothèqueProjet!$A$43:$J$62,2,FALSE)) = TRUE, "", VLOOKUP(B32,BibliothèqueProjet!$A$43:$J$62,2,FALSE))</f>
        <v>Double vitrage 4/16/4</v>
      </c>
      <c r="E32" s="33"/>
      <c r="F32" s="530" t="s">
        <v>146</v>
      </c>
      <c r="G32" s="531"/>
      <c r="H32" s="532"/>
      <c r="I32" s="238">
        <v>2.75</v>
      </c>
      <c r="J32" s="377">
        <v>2.31</v>
      </c>
      <c r="K32" s="239">
        <v>1</v>
      </c>
      <c r="L32" s="354">
        <f>+I32*J32*K32</f>
        <v>6.3525</v>
      </c>
      <c r="M32" s="351" t="str">
        <f>VLOOKUP(F32,$AZ$9:$BA$13,2,FALSE)</f>
        <v>-</v>
      </c>
      <c r="N32" s="338">
        <v>1</v>
      </c>
      <c r="O32" s="354">
        <f>IF(B32&lt;&gt;0,VLOOKUP(B32,BibliothèqueProjet!$A$5:$J$70,10,FALSE),"")</f>
        <v>0.91</v>
      </c>
      <c r="P32" s="434">
        <f>IF(O32&lt;&gt;"",K32*L32*O32*N32,"")</f>
        <v>5.7807750000000002</v>
      </c>
      <c r="Q32" s="435" t="e">
        <f>IF(P32&lt;&gt;"",P32*($E$12-$L$12),"")</f>
        <v>#REF!</v>
      </c>
      <c r="R32" s="15"/>
      <c r="AM32" s="28"/>
      <c r="AN32" s="16"/>
      <c r="AO32" s="18"/>
      <c r="AT32" s="5"/>
    </row>
    <row r="33" spans="1:52" s="17" customFormat="1" ht="12" customHeight="1" x14ac:dyDescent="0.2">
      <c r="B33" s="295"/>
      <c r="C33" s="35"/>
      <c r="D33" s="48" t="str">
        <f>IF(ISNA(VLOOKUP(B33,BibliothèqueProjet!$A$43:$J$62,2,FALSE)) = TRUE, "", VLOOKUP(B33,BibliothèqueProjet!$A$43:$J$62,2,FALSE))</f>
        <v/>
      </c>
      <c r="E33" s="33"/>
      <c r="F33" s="524" t="s">
        <v>146</v>
      </c>
      <c r="G33" s="525"/>
      <c r="H33" s="526"/>
      <c r="I33" s="238"/>
      <c r="J33" s="377"/>
      <c r="K33" s="239"/>
      <c r="L33" s="355">
        <f t="shared" ref="L33:L38" si="4">+I33*J33*K33</f>
        <v>0</v>
      </c>
      <c r="M33" s="352" t="str">
        <f t="shared" ref="M33:M38" si="5">VLOOKUP(F33,$AZ$9:$BA$13,2,FALSE)</f>
        <v>-</v>
      </c>
      <c r="N33" s="339"/>
      <c r="O33" s="355" t="str">
        <f>IF(B33&lt;&gt;0,VLOOKUP(B33,BibliothèqueProjet!$A$5:$J$70,10,FALSE),"")</f>
        <v/>
      </c>
      <c r="P33" s="373" t="str">
        <f>IF(O33&lt;&gt;"",K33*L33*O33*N33,"")</f>
        <v/>
      </c>
      <c r="Q33" s="88" t="str">
        <f t="shared" ref="Q33:Q41" si="6">IF(P33&lt;&gt;"",P33*($E$12-$L$12),"")</f>
        <v/>
      </c>
      <c r="R33" s="15"/>
      <c r="AM33" s="28"/>
      <c r="AN33" s="16"/>
      <c r="AO33" s="18"/>
      <c r="AT33" s="5"/>
    </row>
    <row r="34" spans="1:52" s="6" customFormat="1" ht="12.75" customHeight="1" x14ac:dyDescent="0.2">
      <c r="B34" s="295"/>
      <c r="C34" s="35"/>
      <c r="D34" s="48" t="str">
        <f>IF(ISNA(VLOOKUP(B34,BibliothèqueProjet!$A$43:$J$62,2,FALSE)) = TRUE, "", VLOOKUP(B34,BibliothèqueProjet!$A$43:$J$62,2,FALSE))</f>
        <v/>
      </c>
      <c r="E34" s="33"/>
      <c r="F34" s="524" t="s">
        <v>146</v>
      </c>
      <c r="G34" s="525"/>
      <c r="H34" s="526"/>
      <c r="I34" s="238"/>
      <c r="J34" s="377"/>
      <c r="K34" s="239"/>
      <c r="L34" s="355">
        <f t="shared" si="4"/>
        <v>0</v>
      </c>
      <c r="M34" s="352" t="str">
        <f t="shared" si="5"/>
        <v>-</v>
      </c>
      <c r="N34" s="339"/>
      <c r="O34" s="355" t="str">
        <f>IF(B34&lt;&gt;0,VLOOKUP(B34,BibliothèqueProjet!$A$5:$J$70,10,FALSE),"")</f>
        <v/>
      </c>
      <c r="P34" s="373" t="str">
        <f t="shared" ref="P34:P41" si="7">IF(O34&lt;&gt;"",K34*L34*O34*N34,"")</f>
        <v/>
      </c>
      <c r="Q34" s="88" t="str">
        <f t="shared" si="6"/>
        <v/>
      </c>
      <c r="R34" s="32"/>
      <c r="AM34" s="34"/>
      <c r="AN34" s="31"/>
    </row>
    <row r="35" spans="1:52" s="17" customFormat="1" x14ac:dyDescent="0.2">
      <c r="B35" s="295"/>
      <c r="C35" s="35"/>
      <c r="D35" s="48" t="str">
        <f>IF(ISNA(VLOOKUP(B35,BibliothèqueProjet!$A$43:$J$62,2,FALSE)) = TRUE, "", VLOOKUP(B35,BibliothèqueProjet!$A$43:$J$62,2,FALSE))</f>
        <v/>
      </c>
      <c r="E35" s="33"/>
      <c r="F35" s="524" t="s">
        <v>146</v>
      </c>
      <c r="G35" s="525"/>
      <c r="H35" s="526"/>
      <c r="I35" s="238"/>
      <c r="J35" s="377"/>
      <c r="K35" s="239"/>
      <c r="L35" s="355">
        <f t="shared" si="4"/>
        <v>0</v>
      </c>
      <c r="M35" s="352" t="str">
        <f t="shared" si="5"/>
        <v>-</v>
      </c>
      <c r="N35" s="339"/>
      <c r="O35" s="355" t="str">
        <f>IF(B35&lt;&gt;0,VLOOKUP(B35,BibliothèqueProjet!$A$5:$J$70,10,FALSE),"")</f>
        <v/>
      </c>
      <c r="P35" s="373" t="str">
        <f t="shared" si="7"/>
        <v/>
      </c>
      <c r="Q35" s="88" t="str">
        <f t="shared" si="6"/>
        <v/>
      </c>
      <c r="R35" s="15"/>
      <c r="AM35" s="28"/>
    </row>
    <row r="36" spans="1:52" s="17" customFormat="1" x14ac:dyDescent="0.2">
      <c r="B36" s="295"/>
      <c r="C36" s="35"/>
      <c r="D36" s="48" t="str">
        <f>IF(ISNA(VLOOKUP(B36,BibliothèqueProjet!$A$43:$J$62,2,FALSE)) = TRUE, "", VLOOKUP(B36,BibliothèqueProjet!$A$43:$J$62,2,FALSE))</f>
        <v/>
      </c>
      <c r="E36" s="33"/>
      <c r="F36" s="524" t="s">
        <v>146</v>
      </c>
      <c r="G36" s="525"/>
      <c r="H36" s="526"/>
      <c r="I36" s="238"/>
      <c r="J36" s="377"/>
      <c r="K36" s="239"/>
      <c r="L36" s="355">
        <f t="shared" si="4"/>
        <v>0</v>
      </c>
      <c r="M36" s="352" t="str">
        <f t="shared" si="5"/>
        <v>-</v>
      </c>
      <c r="N36" s="339"/>
      <c r="O36" s="355" t="str">
        <f>IF(B36&lt;&gt;0,VLOOKUP(B36,BibliothèqueProjet!$A$5:$J$70,10,FALSE),"")</f>
        <v/>
      </c>
      <c r="P36" s="373" t="str">
        <f t="shared" si="7"/>
        <v/>
      </c>
      <c r="Q36" s="88" t="str">
        <f t="shared" si="6"/>
        <v/>
      </c>
      <c r="R36" s="15"/>
      <c r="AM36" s="28"/>
    </row>
    <row r="37" spans="1:52" s="17" customFormat="1" x14ac:dyDescent="0.2">
      <c r="B37" s="295"/>
      <c r="C37" s="35"/>
      <c r="D37" s="48" t="str">
        <f>IF(ISNA(VLOOKUP(B37,BibliothèqueProjet!$A$43:$J$62,2,FALSE)) = TRUE, "", VLOOKUP(B37,BibliothèqueProjet!$A$43:$J$62,2,FALSE))</f>
        <v/>
      </c>
      <c r="E37" s="33"/>
      <c r="F37" s="524" t="s">
        <v>146</v>
      </c>
      <c r="G37" s="525"/>
      <c r="H37" s="526"/>
      <c r="I37" s="238"/>
      <c r="J37" s="377"/>
      <c r="K37" s="239"/>
      <c r="L37" s="355">
        <f t="shared" si="4"/>
        <v>0</v>
      </c>
      <c r="M37" s="352" t="str">
        <f t="shared" si="5"/>
        <v>-</v>
      </c>
      <c r="N37" s="339"/>
      <c r="O37" s="355" t="str">
        <f>IF(B37&lt;&gt;0,VLOOKUP(B37,BibliothèqueProjet!$A$5:$J$70,10,FALSE),"")</f>
        <v/>
      </c>
      <c r="P37" s="373" t="str">
        <f t="shared" si="7"/>
        <v/>
      </c>
      <c r="Q37" s="88" t="str">
        <f t="shared" si="6"/>
        <v/>
      </c>
      <c r="R37" s="15"/>
      <c r="AM37" s="28"/>
    </row>
    <row r="38" spans="1:52" s="17" customFormat="1" x14ac:dyDescent="0.2">
      <c r="B38" s="295"/>
      <c r="C38" s="35"/>
      <c r="D38" s="48" t="str">
        <f>IF(ISNA(VLOOKUP(B38,BibliothèqueProjet!$A$43:$J$62,2,FALSE)) = TRUE, "", VLOOKUP(B38,BibliothèqueProjet!$A$43:$J$62,2,FALSE))</f>
        <v/>
      </c>
      <c r="E38" s="33"/>
      <c r="F38" s="524" t="s">
        <v>146</v>
      </c>
      <c r="G38" s="525"/>
      <c r="H38" s="526"/>
      <c r="I38" s="238"/>
      <c r="J38" s="377"/>
      <c r="K38" s="239"/>
      <c r="L38" s="355">
        <f t="shared" si="4"/>
        <v>0</v>
      </c>
      <c r="M38" s="352" t="str">
        <f t="shared" si="5"/>
        <v>-</v>
      </c>
      <c r="N38" s="339"/>
      <c r="O38" s="355" t="str">
        <f>IF(B38&lt;&gt;0,VLOOKUP(B38,BibliothèqueProjet!$A$5:$J$70,10,FALSE),"")</f>
        <v/>
      </c>
      <c r="P38" s="373" t="str">
        <f t="shared" si="7"/>
        <v/>
      </c>
      <c r="Q38" s="88" t="str">
        <f t="shared" si="6"/>
        <v/>
      </c>
      <c r="R38" s="15"/>
      <c r="AM38" s="28"/>
    </row>
    <row r="39" spans="1:52" s="17" customFormat="1" x14ac:dyDescent="0.2">
      <c r="B39" s="296"/>
      <c r="C39" s="38"/>
      <c r="D39" s="48" t="str">
        <f>IF(ISNA(VLOOKUP(B39,BibliothèqueProjet!$A$6:$J$70,2,FALSE)) = TRUE, "", VLOOKUP(B39,BibliothèqueProjet!$A$6:$J$70,2,FALSE))</f>
        <v/>
      </c>
      <c r="E39" s="39"/>
      <c r="F39" s="524" t="s">
        <v>146</v>
      </c>
      <c r="G39" s="525"/>
      <c r="H39" s="526"/>
      <c r="I39" s="240"/>
      <c r="J39" s="378"/>
      <c r="K39" s="239"/>
      <c r="L39" s="355">
        <f>+I39*J39*K39</f>
        <v>0</v>
      </c>
      <c r="M39" s="352" t="str">
        <f>VLOOKUP(F39,$AZ$9:$BA$13,2,FALSE)</f>
        <v>-</v>
      </c>
      <c r="N39" s="339"/>
      <c r="O39" s="355" t="str">
        <f>IF(B39&lt;&gt;0,VLOOKUP(B39,BibliothèqueProjet!$A$5:$J$70,10,FALSE),"")</f>
        <v/>
      </c>
      <c r="P39" s="373" t="str">
        <f t="shared" si="7"/>
        <v/>
      </c>
      <c r="Q39" s="88" t="str">
        <f t="shared" si="6"/>
        <v/>
      </c>
      <c r="R39" s="15"/>
    </row>
    <row r="40" spans="1:52" s="17" customFormat="1" x14ac:dyDescent="0.2">
      <c r="B40" s="296"/>
      <c r="C40" s="35"/>
      <c r="D40" s="48" t="str">
        <f>IF(ISNA(VLOOKUP(B40,BibliothèqueProjet!$A$6:$J$70,2,FALSE)) = TRUE, "", VLOOKUP(B40,BibliothèqueProjet!$A$6:$J$70,2,FALSE))</f>
        <v/>
      </c>
      <c r="E40" s="33"/>
      <c r="F40" s="524" t="s">
        <v>146</v>
      </c>
      <c r="G40" s="525"/>
      <c r="H40" s="526"/>
      <c r="I40" s="238"/>
      <c r="J40" s="377"/>
      <c r="K40" s="239"/>
      <c r="L40" s="355">
        <f>+I40*J40*K40</f>
        <v>0</v>
      </c>
      <c r="M40" s="352" t="str">
        <f>VLOOKUP(F40,$AZ$9:$BA$13,2,FALSE)</f>
        <v>-</v>
      </c>
      <c r="N40" s="339"/>
      <c r="O40" s="355" t="str">
        <f>IF(B40&lt;&gt;0,VLOOKUP(B40,BibliothèqueProjet!$A$5:$J$70,10,FALSE),"")</f>
        <v/>
      </c>
      <c r="P40" s="373" t="str">
        <f t="shared" si="7"/>
        <v/>
      </c>
      <c r="Q40" s="88" t="str">
        <f t="shared" si="6"/>
        <v/>
      </c>
      <c r="R40" s="41"/>
    </row>
    <row r="41" spans="1:52" s="17" customFormat="1" x14ac:dyDescent="0.2">
      <c r="B41" s="296"/>
      <c r="C41" s="38"/>
      <c r="D41" s="48" t="str">
        <f>IF(ISNA(VLOOKUP(B41,BibliothèqueProjet!$A$6:$J$70,2,FALSE)) = TRUE, "", VLOOKUP(B41,BibliothèqueProjet!$A$6:$J$70,2,FALSE))</f>
        <v/>
      </c>
      <c r="E41" s="33"/>
      <c r="F41" s="527" t="s">
        <v>146</v>
      </c>
      <c r="G41" s="528"/>
      <c r="H41" s="529"/>
      <c r="I41" s="238"/>
      <c r="J41" s="377"/>
      <c r="K41" s="239"/>
      <c r="L41" s="356">
        <f>+I41*J41*K41</f>
        <v>0</v>
      </c>
      <c r="M41" s="353" t="str">
        <f>VLOOKUP(F41,$AZ$9:$BA$13,2,FALSE)</f>
        <v>-</v>
      </c>
      <c r="N41" s="340"/>
      <c r="O41" s="356" t="str">
        <f>IF(B41&lt;&gt;0,VLOOKUP(B41,BibliothèqueProjet!$A$5:$J$70,10,FALSE),"")</f>
        <v/>
      </c>
      <c r="P41" s="438" t="str">
        <f t="shared" si="7"/>
        <v/>
      </c>
      <c r="Q41" s="439" t="str">
        <f t="shared" si="6"/>
        <v/>
      </c>
      <c r="R41" s="28"/>
      <c r="AO41" s="17" t="s">
        <v>146</v>
      </c>
    </row>
    <row r="42" spans="1:52" s="17" customFormat="1" ht="15" x14ac:dyDescent="0.25">
      <c r="B42" s="76" t="s">
        <v>42</v>
      </c>
      <c r="C42" s="56"/>
      <c r="D42" s="77"/>
      <c r="E42" s="56"/>
      <c r="F42" s="56"/>
      <c r="G42" s="56"/>
      <c r="H42" s="78"/>
      <c r="I42" s="79"/>
      <c r="J42" s="80"/>
      <c r="K42" s="78"/>
      <c r="L42" s="79"/>
      <c r="M42" s="79"/>
      <c r="N42" s="81"/>
      <c r="O42" s="82" t="s">
        <v>9</v>
      </c>
      <c r="P42" s="268">
        <f>SUM(P32:P41)</f>
        <v>5.7807750000000002</v>
      </c>
      <c r="Q42" s="268" t="e">
        <f>SUM(Q32:Q41)</f>
        <v>#REF!</v>
      </c>
      <c r="R42" s="28"/>
      <c r="AO42" s="17" t="s">
        <v>175</v>
      </c>
    </row>
    <row r="43" spans="1:52" s="17" customFormat="1" ht="12" x14ac:dyDescent="0.2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28"/>
      <c r="AO43" s="17" t="s">
        <v>174</v>
      </c>
    </row>
    <row r="44" spans="1:52" s="8" customFormat="1" x14ac:dyDescent="0.2">
      <c r="A44" s="17"/>
      <c r="B44" s="250" t="s">
        <v>171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2"/>
      <c r="R44" s="29"/>
      <c r="AM44" s="21"/>
      <c r="AN44" s="6"/>
      <c r="AO44" s="17" t="s">
        <v>179</v>
      </c>
      <c r="AP44" s="6"/>
      <c r="AQ44" s="6"/>
      <c r="AR44" s="6"/>
      <c r="AS44" s="6"/>
      <c r="AU44" s="6"/>
      <c r="AV44" s="17"/>
      <c r="AX44" s="21"/>
      <c r="AY44" s="21"/>
      <c r="AZ44" s="21"/>
    </row>
    <row r="45" spans="1:52" s="17" customFormat="1" ht="24" x14ac:dyDescent="0.2">
      <c r="B45" s="241" t="s">
        <v>25</v>
      </c>
      <c r="C45" s="242" t="s">
        <v>14</v>
      </c>
      <c r="D45" s="497" t="s">
        <v>26</v>
      </c>
      <c r="E45" s="509"/>
      <c r="F45" s="510" t="s">
        <v>172</v>
      </c>
      <c r="G45" s="509"/>
      <c r="H45" s="511"/>
      <c r="I45" s="243" t="s">
        <v>7</v>
      </c>
      <c r="J45" s="242" t="s">
        <v>13</v>
      </c>
      <c r="K45" s="175" t="s">
        <v>198</v>
      </c>
      <c r="L45" s="242" t="s">
        <v>1</v>
      </c>
      <c r="M45" s="497" t="s">
        <v>173</v>
      </c>
      <c r="N45" s="498"/>
      <c r="O45" s="244" t="s">
        <v>181</v>
      </c>
      <c r="P45" s="245" t="s">
        <v>17</v>
      </c>
      <c r="Q45" s="246" t="s">
        <v>18</v>
      </c>
      <c r="R45" s="15"/>
      <c r="AM45" s="10"/>
      <c r="AO45" s="17" t="s">
        <v>176</v>
      </c>
      <c r="AP45" s="1"/>
      <c r="AQ45" s="7"/>
      <c r="AR45" s="16"/>
      <c r="AS45" s="5"/>
      <c r="AT45" s="5"/>
      <c r="AW45" s="18"/>
      <c r="AX45" s="18"/>
      <c r="AY45" s="18"/>
      <c r="AZ45" s="18"/>
    </row>
    <row r="46" spans="1:52" s="6" customFormat="1" ht="12.75" customHeight="1" x14ac:dyDescent="0.2">
      <c r="A46" s="17"/>
      <c r="B46" s="189" t="s">
        <v>2</v>
      </c>
      <c r="C46" s="172"/>
      <c r="D46" s="173"/>
      <c r="E46" s="172"/>
      <c r="F46" s="172"/>
      <c r="G46" s="174"/>
      <c r="H46" s="174"/>
      <c r="I46" s="170" t="s">
        <v>3</v>
      </c>
      <c r="J46" s="170" t="s">
        <v>3</v>
      </c>
      <c r="K46" s="172" t="s">
        <v>197</v>
      </c>
      <c r="L46" s="170" t="s">
        <v>40</v>
      </c>
      <c r="M46" s="499" t="s">
        <v>7</v>
      </c>
      <c r="N46" s="499"/>
      <c r="O46" s="198" t="s">
        <v>182</v>
      </c>
      <c r="P46" s="171" t="s">
        <v>6</v>
      </c>
      <c r="Q46" s="374" t="s">
        <v>141</v>
      </c>
      <c r="R46" s="32"/>
      <c r="AM46" s="34"/>
      <c r="AN46" s="31"/>
    </row>
    <row r="47" spans="1:52" s="17" customFormat="1" x14ac:dyDescent="0.2">
      <c r="B47" s="293" t="s">
        <v>69</v>
      </c>
      <c r="C47" s="35" t="s">
        <v>44</v>
      </c>
      <c r="D47" s="48" t="str">
        <f>IF(ISNA(VLOOKUP(B47,BibliothèqueProjet!$A$6:$J$70,2,FALSE)) = TRUE, "", VLOOKUP(B47,BibliothèqueProjet!$A$6:$J$70,2,FALSE))</f>
        <v>Planchers bas</v>
      </c>
      <c r="E47" s="33"/>
      <c r="F47" s="515" t="s">
        <v>176</v>
      </c>
      <c r="G47" s="516"/>
      <c r="H47" s="517"/>
      <c r="I47" s="218"/>
      <c r="J47" s="219"/>
      <c r="K47" s="220"/>
      <c r="L47" s="366">
        <f>(I47*J47)-K47</f>
        <v>0</v>
      </c>
      <c r="M47" s="351" t="str">
        <f>VLOOKUP(F47,$AZ$9:$BA$13,2,FALSE)</f>
        <v>b</v>
      </c>
      <c r="N47" s="341"/>
      <c r="O47" s="223">
        <f>IF(B47&lt;&gt;0,VLOOKUP(B47,BibliothèqueProjet!$A$5:$J$70,10,FALSE),"")</f>
        <v>0.3</v>
      </c>
      <c r="P47" s="87">
        <f>IF(O47&lt;&gt;"",L47*O47*N47,"")</f>
        <v>0</v>
      </c>
      <c r="Q47" s="88" t="e">
        <f>IF(P47&lt;&gt;"",P47*($E$12-$L$12),"")</f>
        <v>#REF!</v>
      </c>
      <c r="R47" s="15"/>
      <c r="AH47" s="28"/>
    </row>
    <row r="48" spans="1:52" s="17" customFormat="1" x14ac:dyDescent="0.2">
      <c r="B48" s="294"/>
      <c r="C48" s="38"/>
      <c r="D48" s="48" t="str">
        <f>IF(ISNA(VLOOKUP(B48,BibliothèqueProjet!$A$6:$J$70,2,FALSE)) = TRUE, "", VLOOKUP(B48,BibliothèqueProjet!$A$6:$J$70,2,FALSE))</f>
        <v/>
      </c>
      <c r="E48" s="39"/>
      <c r="F48" s="518" t="s">
        <v>146</v>
      </c>
      <c r="G48" s="519"/>
      <c r="H48" s="520"/>
      <c r="I48" s="221"/>
      <c r="J48" s="222"/>
      <c r="K48" s="220"/>
      <c r="L48" s="366">
        <f>(I48*J48)-K48</f>
        <v>0</v>
      </c>
      <c r="M48" s="352" t="str">
        <f>VLOOKUP(F48,$AZ$9:$BA$13,2,FALSE)</f>
        <v>-</v>
      </c>
      <c r="N48" s="342"/>
      <c r="O48" s="196" t="str">
        <f>IF(B48&lt;&gt;0,VLOOKUP(B48,BibliothèqueProjet!$A$5:$J$70,10,FALSE),"")</f>
        <v/>
      </c>
      <c r="P48" s="87" t="str">
        <f>IF(O48&lt;&gt;"",L48*O48*N48,"")</f>
        <v/>
      </c>
      <c r="Q48" s="88" t="str">
        <f>IF(P48&lt;&gt;"",P48*($E$12-$L$12),"")</f>
        <v/>
      </c>
      <c r="R48" s="15"/>
      <c r="AH48" s="28"/>
    </row>
    <row r="49" spans="2:48" s="17" customFormat="1" x14ac:dyDescent="0.2">
      <c r="B49" s="294"/>
      <c r="C49" s="35"/>
      <c r="D49" s="48" t="str">
        <f>IF(ISNA(VLOOKUP(B49,BibliothèqueProjet!$A$6:$J$70,2,FALSE)) = TRUE, "", VLOOKUP(B49,BibliothèqueProjet!$A$6:$J$70,2,FALSE))</f>
        <v/>
      </c>
      <c r="E49" s="33"/>
      <c r="F49" s="518" t="s">
        <v>146</v>
      </c>
      <c r="G49" s="519"/>
      <c r="H49" s="520"/>
      <c r="I49" s="218"/>
      <c r="J49" s="219"/>
      <c r="K49" s="220"/>
      <c r="L49" s="366">
        <f>(I49*J49)-K49</f>
        <v>0</v>
      </c>
      <c r="M49" s="352" t="str">
        <f>VLOOKUP(F49,$AZ$9:$BA$13,2,FALSE)</f>
        <v>-</v>
      </c>
      <c r="N49" s="342"/>
      <c r="O49" s="196" t="str">
        <f>IF(B49&lt;&gt;0,VLOOKUP(B49,BibliothèqueProjet!$A$5:$J$70,10,FALSE),"")</f>
        <v/>
      </c>
      <c r="P49" s="87" t="str">
        <f>IF(O49&lt;&gt;"",L49*O49*N49,"")</f>
        <v/>
      </c>
      <c r="Q49" s="88" t="str">
        <f>IF(P49&lt;&gt;"",P49*($E$12-$L$12),"")</f>
        <v/>
      </c>
      <c r="R49" s="15"/>
      <c r="AH49" s="28"/>
    </row>
    <row r="50" spans="2:48" s="17" customFormat="1" ht="12" customHeight="1" x14ac:dyDescent="0.2">
      <c r="B50" s="294"/>
      <c r="C50" s="38"/>
      <c r="D50" s="48" t="str">
        <f>IF(ISNA(VLOOKUP(B50,BibliothèqueProjet!$A$6:$J$70,2,FALSE)) = TRUE, "", VLOOKUP(B50,BibliothèqueProjet!$A$6:$J$70,2,FALSE))</f>
        <v/>
      </c>
      <c r="E50" s="33"/>
      <c r="F50" s="521" t="s">
        <v>146</v>
      </c>
      <c r="G50" s="522"/>
      <c r="H50" s="523"/>
      <c r="I50" s="218"/>
      <c r="J50" s="219"/>
      <c r="K50" s="220"/>
      <c r="L50" s="366">
        <f>(I50*J50)-K50</f>
        <v>0</v>
      </c>
      <c r="M50" s="353" t="str">
        <f>VLOOKUP(F50,$AZ$9:$BA$13,2,FALSE)</f>
        <v>-</v>
      </c>
      <c r="N50" s="343"/>
      <c r="O50" s="196" t="str">
        <f>IF(B50&lt;&gt;0,VLOOKUP(B50,BibliothèqueProjet!$A$5:$J$70,10,FALSE),"")</f>
        <v/>
      </c>
      <c r="P50" s="87" t="str">
        <f>IF(O50&lt;&gt;"",L50*O50*N50,"")</f>
        <v/>
      </c>
      <c r="Q50" s="88" t="str">
        <f>IF(P50&lt;&gt;"",P50*($E$12-$L$12),"")</f>
        <v/>
      </c>
      <c r="R50" s="15"/>
      <c r="AH50" s="28"/>
    </row>
    <row r="51" spans="2:48" s="17" customFormat="1" ht="15" x14ac:dyDescent="0.25">
      <c r="B51" s="76" t="s">
        <v>42</v>
      </c>
      <c r="C51" s="56"/>
      <c r="D51" s="77"/>
      <c r="E51" s="56"/>
      <c r="F51" s="56"/>
      <c r="G51" s="56"/>
      <c r="H51" s="78"/>
      <c r="I51" s="79"/>
      <c r="J51" s="80"/>
      <c r="K51" s="78"/>
      <c r="L51" s="79"/>
      <c r="M51" s="86"/>
      <c r="N51" s="81"/>
      <c r="O51" s="82" t="s">
        <v>9</v>
      </c>
      <c r="P51" s="268">
        <f>SUM(P47:P50)</f>
        <v>0</v>
      </c>
      <c r="Q51" s="268" t="e">
        <f>SUM(Q47:Q50)</f>
        <v>#REF!</v>
      </c>
      <c r="R51" s="15"/>
      <c r="AH51" s="28"/>
    </row>
    <row r="52" spans="2:48" s="17" customForma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AH52" s="28"/>
    </row>
    <row r="53" spans="2:48" s="17" customFormat="1" x14ac:dyDescent="0.2">
      <c r="B53" s="256" t="s">
        <v>186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15"/>
    </row>
    <row r="54" spans="2:48" s="17" customFormat="1" ht="24" x14ac:dyDescent="0.2">
      <c r="B54" s="241" t="s">
        <v>25</v>
      </c>
      <c r="C54" s="242" t="s">
        <v>14</v>
      </c>
      <c r="D54" s="497" t="s">
        <v>26</v>
      </c>
      <c r="E54" s="509"/>
      <c r="F54" s="510" t="s">
        <v>172</v>
      </c>
      <c r="G54" s="509"/>
      <c r="H54" s="511"/>
      <c r="I54" s="243" t="s">
        <v>7</v>
      </c>
      <c r="J54" s="242" t="s">
        <v>13</v>
      </c>
      <c r="K54" s="175" t="s">
        <v>198</v>
      </c>
      <c r="L54" s="242" t="s">
        <v>1</v>
      </c>
      <c r="M54" s="497" t="s">
        <v>173</v>
      </c>
      <c r="N54" s="498"/>
      <c r="O54" s="244" t="s">
        <v>181</v>
      </c>
      <c r="P54" s="245" t="s">
        <v>17</v>
      </c>
      <c r="Q54" s="246" t="s">
        <v>18</v>
      </c>
      <c r="R54" s="28"/>
      <c r="AH54" s="28"/>
    </row>
    <row r="55" spans="2:48" s="8" customFormat="1" x14ac:dyDescent="0.2">
      <c r="B55" s="189" t="s">
        <v>2</v>
      </c>
      <c r="C55" s="172"/>
      <c r="D55" s="173"/>
      <c r="E55" s="172"/>
      <c r="F55" s="172"/>
      <c r="G55" s="174"/>
      <c r="H55" s="174"/>
      <c r="I55" s="170" t="s">
        <v>3</v>
      </c>
      <c r="J55" s="170" t="s">
        <v>3</v>
      </c>
      <c r="K55" s="172" t="s">
        <v>197</v>
      </c>
      <c r="L55" s="170" t="s">
        <v>40</v>
      </c>
      <c r="M55" s="499" t="s">
        <v>7</v>
      </c>
      <c r="N55" s="499"/>
      <c r="O55" s="198" t="s">
        <v>182</v>
      </c>
      <c r="P55" s="171" t="s">
        <v>6</v>
      </c>
      <c r="Q55" s="374" t="s">
        <v>141</v>
      </c>
      <c r="R55" s="29"/>
      <c r="AH55" s="21"/>
      <c r="AP55" s="6"/>
      <c r="AQ55" s="17"/>
      <c r="AS55" s="21"/>
      <c r="AT55" s="21"/>
      <c r="AU55" s="21"/>
      <c r="AV55" s="21"/>
    </row>
    <row r="56" spans="2:48" s="6" customFormat="1" x14ac:dyDescent="0.2">
      <c r="B56" s="291" t="s">
        <v>63</v>
      </c>
      <c r="C56" s="35" t="s">
        <v>44</v>
      </c>
      <c r="D56" s="48" t="str">
        <f>IF(ISNA(VLOOKUP(B56,BibliothèqueProjet!$A$6:$J$70,2,FALSE)) = TRUE, "", VLOOKUP(B56,BibliothèqueProjet!$A$6:$J$70,2,FALSE))</f>
        <v>Toiture végétalisée</v>
      </c>
      <c r="E56" s="33"/>
      <c r="F56" s="512" t="s">
        <v>175</v>
      </c>
      <c r="G56" s="513"/>
      <c r="H56" s="514"/>
      <c r="I56" s="153">
        <v>3.89</v>
      </c>
      <c r="J56" s="375">
        <v>4.45</v>
      </c>
      <c r="K56" s="208">
        <f>(H56*I56*J56)-K61</f>
        <v>0</v>
      </c>
      <c r="L56" s="363">
        <f t="shared" ref="L56:L63" si="8">+I56*J56-K56</f>
        <v>17.310500000000001</v>
      </c>
      <c r="M56" s="351">
        <f t="shared" ref="M56:M63" si="9">VLOOKUP(F56,$AZ$9:$BA$13,2,FALSE)</f>
        <v>1</v>
      </c>
      <c r="N56" s="344">
        <v>1</v>
      </c>
      <c r="O56" s="223">
        <f>IF(B56&lt;&gt;0,VLOOKUP(B56,BibliothèqueProjet!$A$5:$J$70,10,FALSE),"")</f>
        <v>0.13</v>
      </c>
      <c r="P56" s="434">
        <f>IF(O56&lt;&gt;"",L56*O56*N56,"")</f>
        <v>2.2503650000000004</v>
      </c>
      <c r="Q56" s="435" t="e">
        <f>IF(P56&lt;&gt;"",P56*($E$12-$L$12),"")</f>
        <v>#REF!</v>
      </c>
      <c r="R56" s="32"/>
      <c r="AH56" s="28"/>
      <c r="AP56" s="17"/>
      <c r="AQ56" s="17"/>
      <c r="AR56" s="5"/>
      <c r="AS56" s="5"/>
      <c r="AT56" s="5"/>
      <c r="AU56" s="5"/>
      <c r="AV56" s="5"/>
    </row>
    <row r="57" spans="2:48" s="17" customFormat="1" x14ac:dyDescent="0.2">
      <c r="B57" s="291"/>
      <c r="C57" s="35"/>
      <c r="D57" s="48" t="str">
        <f>IF(ISNA(VLOOKUP(B57,BibliothèqueProjet!$A$6:$J$70,2,FALSE)) = TRUE, "", VLOOKUP(B57,BibliothèqueProjet!$A$6:$J$70,2,FALSE))</f>
        <v/>
      </c>
      <c r="E57" s="33"/>
      <c r="F57" s="503" t="s">
        <v>146</v>
      </c>
      <c r="G57" s="504"/>
      <c r="H57" s="505"/>
      <c r="I57" s="153"/>
      <c r="J57" s="375"/>
      <c r="K57" s="208"/>
      <c r="L57" s="364">
        <f t="shared" si="8"/>
        <v>0</v>
      </c>
      <c r="M57" s="352" t="str">
        <f t="shared" si="9"/>
        <v>-</v>
      </c>
      <c r="N57" s="430"/>
      <c r="O57" s="196" t="str">
        <f>IF(B57&lt;&gt;0,VLOOKUP(B57,BibliothèqueProjet!$A$5:$J$70,10,FALSE),"")</f>
        <v/>
      </c>
      <c r="P57" s="373" t="str">
        <f t="shared" ref="P57:P63" si="10">IF(O57&lt;&gt;"",L57*O57*N57,"")</f>
        <v/>
      </c>
      <c r="Q57" s="88" t="str">
        <f t="shared" ref="Q57:Q63" si="11">IF(P57&lt;&gt;"",P57*($E$12-$L$12),"")</f>
        <v/>
      </c>
      <c r="R57" s="15"/>
      <c r="AH57" s="10"/>
      <c r="AK57" s="1"/>
      <c r="AL57" s="7"/>
      <c r="AM57" s="16"/>
      <c r="AN57" s="5"/>
      <c r="AO57" s="5"/>
      <c r="AR57" s="18"/>
      <c r="AS57" s="18"/>
      <c r="AT57" s="18"/>
      <c r="AU57" s="18"/>
      <c r="AV57" s="18"/>
    </row>
    <row r="58" spans="2:48" s="17" customFormat="1" x14ac:dyDescent="0.2">
      <c r="B58" s="291"/>
      <c r="C58" s="35"/>
      <c r="D58" s="48" t="str">
        <f>IF(ISNA(VLOOKUP(B58,BibliothèqueProjet!$A$6:$J$70,2,FALSE)) = TRUE, "", VLOOKUP(B58,BibliothèqueProjet!$A$6:$J$70,2,FALSE))</f>
        <v/>
      </c>
      <c r="E58" s="33"/>
      <c r="F58" s="503" t="s">
        <v>146</v>
      </c>
      <c r="G58" s="504"/>
      <c r="H58" s="505"/>
      <c r="I58" s="153"/>
      <c r="J58" s="375"/>
      <c r="K58" s="208"/>
      <c r="L58" s="364">
        <f t="shared" si="8"/>
        <v>0</v>
      </c>
      <c r="M58" s="352" t="str">
        <f t="shared" si="9"/>
        <v>-</v>
      </c>
      <c r="N58" s="430"/>
      <c r="O58" s="196" t="str">
        <f>IF(B58&lt;&gt;0,VLOOKUP(B58,BibliothèqueProjet!$A$5:$J$70,10,FALSE),"")</f>
        <v/>
      </c>
      <c r="P58" s="373" t="str">
        <f t="shared" si="10"/>
        <v/>
      </c>
      <c r="Q58" s="88" t="str">
        <f t="shared" si="11"/>
        <v/>
      </c>
      <c r="R58" s="15"/>
      <c r="AH58" s="28"/>
      <c r="AK58" s="1"/>
      <c r="AL58" s="7"/>
      <c r="AM58" s="43"/>
      <c r="AN58" s="5"/>
      <c r="AO58" s="5"/>
    </row>
    <row r="59" spans="2:48" s="17" customFormat="1" x14ac:dyDescent="0.2">
      <c r="B59" s="291"/>
      <c r="C59" s="35"/>
      <c r="D59" s="48" t="str">
        <f>IF(ISNA(VLOOKUP(B59,BibliothèqueProjet!$A$6:$J$70,2,FALSE)) = TRUE, "", VLOOKUP(B59,BibliothèqueProjet!$A$6:$J$70,2,FALSE))</f>
        <v/>
      </c>
      <c r="E59" s="33"/>
      <c r="F59" s="503" t="s">
        <v>146</v>
      </c>
      <c r="G59" s="504"/>
      <c r="H59" s="505"/>
      <c r="I59" s="153"/>
      <c r="J59" s="375"/>
      <c r="K59" s="208"/>
      <c r="L59" s="364">
        <f t="shared" si="8"/>
        <v>0</v>
      </c>
      <c r="M59" s="352" t="str">
        <f t="shared" si="9"/>
        <v>-</v>
      </c>
      <c r="N59" s="430"/>
      <c r="O59" s="196" t="str">
        <f>IF(B59&lt;&gt;0,VLOOKUP(B59,BibliothèqueProjet!$A$5:$J$70,10,FALSE),"")</f>
        <v/>
      </c>
      <c r="P59" s="373" t="str">
        <f t="shared" si="10"/>
        <v/>
      </c>
      <c r="Q59" s="88" t="str">
        <f t="shared" si="11"/>
        <v/>
      </c>
      <c r="R59" s="15"/>
      <c r="AH59" s="28"/>
      <c r="AI59" s="18"/>
      <c r="AJ59" s="18"/>
      <c r="AK59" s="1"/>
      <c r="AL59" s="7"/>
      <c r="AM59" s="18"/>
      <c r="AN59" s="5"/>
      <c r="AO59" s="5"/>
    </row>
    <row r="60" spans="2:48" s="17" customFormat="1" ht="12" customHeight="1" x14ac:dyDescent="0.2">
      <c r="B60" s="291"/>
      <c r="C60" s="35"/>
      <c r="D60" s="48" t="str">
        <f>IF(ISNA(VLOOKUP(B60,BibliothèqueProjet!$A$6:$J$70,2,FALSE)) = TRUE, "", VLOOKUP(B60,BibliothèqueProjet!$A$6:$J$70,2,FALSE))</f>
        <v/>
      </c>
      <c r="E60" s="33"/>
      <c r="F60" s="503" t="s">
        <v>146</v>
      </c>
      <c r="G60" s="504"/>
      <c r="H60" s="505"/>
      <c r="I60" s="153"/>
      <c r="J60" s="375"/>
      <c r="K60" s="208"/>
      <c r="L60" s="364">
        <f t="shared" si="8"/>
        <v>0</v>
      </c>
      <c r="M60" s="352" t="str">
        <f t="shared" si="9"/>
        <v>-</v>
      </c>
      <c r="N60" s="430"/>
      <c r="O60" s="196" t="str">
        <f>IF(B60&lt;&gt;0,VLOOKUP(B60,BibliothèqueProjet!$A$5:$J$70,10,FALSE),"")</f>
        <v/>
      </c>
      <c r="P60" s="373" t="str">
        <f t="shared" si="10"/>
        <v/>
      </c>
      <c r="Q60" s="88" t="str">
        <f t="shared" si="11"/>
        <v/>
      </c>
      <c r="R60" s="15"/>
      <c r="AH60" s="28"/>
      <c r="AI60" s="16"/>
      <c r="AJ60" s="18"/>
      <c r="AO60" s="5"/>
    </row>
    <row r="61" spans="2:48" s="17" customFormat="1" ht="12" customHeight="1" x14ac:dyDescent="0.2">
      <c r="B61" s="292"/>
      <c r="C61" s="38"/>
      <c r="D61" s="48" t="str">
        <f>IF(ISNA(VLOOKUP(B61,BibliothèqueProjet!$A$6:$J$70,2,FALSE)) = TRUE, "", VLOOKUP(B61,BibliothèqueProjet!$A$6:$J$70,2,FALSE))</f>
        <v/>
      </c>
      <c r="E61" s="39"/>
      <c r="F61" s="503" t="s">
        <v>146</v>
      </c>
      <c r="G61" s="504"/>
      <c r="H61" s="505"/>
      <c r="I61" s="152"/>
      <c r="J61" s="376"/>
      <c r="K61" s="208"/>
      <c r="L61" s="364">
        <f t="shared" si="8"/>
        <v>0</v>
      </c>
      <c r="M61" s="352" t="str">
        <f t="shared" si="9"/>
        <v>-</v>
      </c>
      <c r="N61" s="345"/>
      <c r="O61" s="196" t="str">
        <f>IF(B61&lt;&gt;0,VLOOKUP(B61,BibliothèqueProjet!$A$5:$J$70,10,FALSE),"")</f>
        <v/>
      </c>
      <c r="P61" s="373" t="str">
        <f t="shared" si="10"/>
        <v/>
      </c>
      <c r="Q61" s="88" t="str">
        <f t="shared" si="11"/>
        <v/>
      </c>
      <c r="R61" s="15"/>
      <c r="AH61" s="28"/>
      <c r="AI61" s="16"/>
      <c r="AJ61" s="18"/>
      <c r="AO61" s="5"/>
    </row>
    <row r="62" spans="2:48" s="6" customFormat="1" ht="12.75" customHeight="1" x14ac:dyDescent="0.2">
      <c r="B62" s="292"/>
      <c r="C62" s="35"/>
      <c r="D62" s="48" t="str">
        <f>IF(ISNA(VLOOKUP(B62,BibliothèqueProjet!$A$6:$J$70,2,FALSE)) = TRUE, "", VLOOKUP(B62,BibliothèqueProjet!$A$6:$J$70,2,FALSE))</f>
        <v/>
      </c>
      <c r="E62" s="33"/>
      <c r="F62" s="503" t="s">
        <v>146</v>
      </c>
      <c r="G62" s="504"/>
      <c r="H62" s="505"/>
      <c r="I62" s="153"/>
      <c r="J62" s="375"/>
      <c r="K62" s="208"/>
      <c r="L62" s="364">
        <f t="shared" si="8"/>
        <v>0</v>
      </c>
      <c r="M62" s="352" t="str">
        <f t="shared" si="9"/>
        <v>-</v>
      </c>
      <c r="N62" s="345"/>
      <c r="O62" s="196" t="str">
        <f>IF(B62&lt;&gt;0,VLOOKUP(B62,BibliothèqueProjet!$A$5:$J$70,10,FALSE),"")</f>
        <v/>
      </c>
      <c r="P62" s="373" t="str">
        <f t="shared" si="10"/>
        <v/>
      </c>
      <c r="Q62" s="88" t="str">
        <f t="shared" si="11"/>
        <v/>
      </c>
      <c r="R62" s="32"/>
      <c r="AH62" s="34"/>
      <c r="AI62" s="31"/>
    </row>
    <row r="63" spans="2:48" s="17" customFormat="1" x14ac:dyDescent="0.2">
      <c r="B63" s="292"/>
      <c r="C63" s="38"/>
      <c r="D63" s="48" t="str">
        <f>IF(ISNA(VLOOKUP(B63,BibliothèqueProjet!$A$6:$J$70,2,FALSE)) = TRUE, "", VLOOKUP(B63,BibliothèqueProjet!$A$6:$J$70,2,FALSE))</f>
        <v/>
      </c>
      <c r="E63" s="33"/>
      <c r="F63" s="506" t="s">
        <v>146</v>
      </c>
      <c r="G63" s="507"/>
      <c r="H63" s="508"/>
      <c r="I63" s="153"/>
      <c r="J63" s="375"/>
      <c r="K63" s="208"/>
      <c r="L63" s="365">
        <f t="shared" si="8"/>
        <v>0</v>
      </c>
      <c r="M63" s="353" t="str">
        <f t="shared" si="9"/>
        <v>-</v>
      </c>
      <c r="N63" s="346"/>
      <c r="O63" s="440" t="str">
        <f>IF(B63&lt;&gt;0,VLOOKUP(B63,BibliothèqueProjet!$A$5:$J$70,10,FALSE),"")</f>
        <v/>
      </c>
      <c r="P63" s="438" t="str">
        <f t="shared" si="10"/>
        <v/>
      </c>
      <c r="Q63" s="439" t="str">
        <f t="shared" si="11"/>
        <v/>
      </c>
      <c r="R63" s="15"/>
      <c r="AH63" s="28"/>
    </row>
    <row r="64" spans="2:48" s="17" customFormat="1" ht="15" x14ac:dyDescent="0.25">
      <c r="B64" s="76" t="s">
        <v>42</v>
      </c>
      <c r="C64" s="56"/>
      <c r="D64" s="77"/>
      <c r="E64" s="56"/>
      <c r="F64" s="56"/>
      <c r="G64" s="56"/>
      <c r="H64" s="78"/>
      <c r="I64" s="79"/>
      <c r="J64" s="80"/>
      <c r="K64" s="78"/>
      <c r="L64" s="79"/>
      <c r="M64" s="86"/>
      <c r="N64" s="81"/>
      <c r="O64" s="82" t="s">
        <v>9</v>
      </c>
      <c r="P64" s="268">
        <f>SUM(P56:P63)</f>
        <v>2.2503650000000004</v>
      </c>
      <c r="Q64" s="268" t="e">
        <f>SUM(Q56:Q63)</f>
        <v>#REF!</v>
      </c>
      <c r="R64" s="15"/>
      <c r="AH64" s="28"/>
    </row>
    <row r="65" spans="2:48" s="17" customFormat="1" ht="15" x14ac:dyDescent="0.25">
      <c r="B65" s="162"/>
      <c r="C65" s="75"/>
      <c r="D65" s="163"/>
      <c r="E65" s="75"/>
      <c r="F65" s="75"/>
      <c r="G65" s="75"/>
      <c r="H65" s="84"/>
      <c r="I65" s="85"/>
      <c r="J65" s="164"/>
      <c r="K65" s="84"/>
      <c r="L65" s="85"/>
      <c r="M65" s="85"/>
      <c r="N65" s="85"/>
      <c r="O65" s="165"/>
      <c r="P65" s="166"/>
      <c r="Q65" s="167"/>
      <c r="R65" s="15"/>
      <c r="AH65" s="28"/>
    </row>
    <row r="66" spans="2:48" s="17" customFormat="1" x14ac:dyDescent="0.2">
      <c r="B66" s="253" t="s">
        <v>178</v>
      </c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5"/>
      <c r="R66" s="15"/>
    </row>
    <row r="67" spans="2:48" s="17" customFormat="1" ht="28.5" customHeight="1" x14ac:dyDescent="0.2">
      <c r="B67" s="241" t="s">
        <v>25</v>
      </c>
      <c r="C67" s="242" t="s">
        <v>14</v>
      </c>
      <c r="D67" s="497" t="s">
        <v>26</v>
      </c>
      <c r="E67" s="509"/>
      <c r="F67" s="510" t="s">
        <v>172</v>
      </c>
      <c r="G67" s="509"/>
      <c r="H67" s="511"/>
      <c r="I67" s="243"/>
      <c r="J67" s="242"/>
      <c r="K67" s="242"/>
      <c r="L67" s="243" t="s">
        <v>0</v>
      </c>
      <c r="M67" s="497" t="s">
        <v>173</v>
      </c>
      <c r="N67" s="498"/>
      <c r="O67" s="244" t="s">
        <v>181</v>
      </c>
      <c r="P67" s="245" t="s">
        <v>17</v>
      </c>
      <c r="Q67" s="246" t="s">
        <v>18</v>
      </c>
      <c r="R67" s="41"/>
    </row>
    <row r="68" spans="2:48" x14ac:dyDescent="0.2">
      <c r="B68" s="189" t="s">
        <v>2</v>
      </c>
      <c r="C68" s="172"/>
      <c r="D68" s="173"/>
      <c r="E68" s="172"/>
      <c r="F68" s="172"/>
      <c r="G68" s="174"/>
      <c r="H68" s="174"/>
      <c r="I68" s="170"/>
      <c r="J68" s="170"/>
      <c r="K68" s="169"/>
      <c r="L68" s="172" t="s">
        <v>3</v>
      </c>
      <c r="M68" s="499" t="s">
        <v>7</v>
      </c>
      <c r="N68" s="499"/>
      <c r="O68" s="198" t="s">
        <v>182</v>
      </c>
      <c r="P68" s="171" t="s">
        <v>6</v>
      </c>
      <c r="Q68" s="374" t="s">
        <v>141</v>
      </c>
    </row>
    <row r="69" spans="2:48" s="8" customFormat="1" x14ac:dyDescent="0.2">
      <c r="B69" s="289" t="s">
        <v>80</v>
      </c>
      <c r="C69" s="35" t="s">
        <v>44</v>
      </c>
      <c r="D69" s="48" t="str">
        <f>IF(ISNA(VLOOKUP(B69,BibliothèqueProjet!$A$6:$J$70,2,FALSE)) = TRUE, "", VLOOKUP(B69,BibliothèqueProjet!$A$6:$J$70,2,FALSE))</f>
        <v>Linéique</v>
      </c>
      <c r="E69" s="33"/>
      <c r="F69" s="500" t="s">
        <v>175</v>
      </c>
      <c r="G69" s="501"/>
      <c r="H69" s="502"/>
      <c r="I69" s="37"/>
      <c r="J69" s="46"/>
      <c r="K69" s="36"/>
      <c r="L69" s="367">
        <v>2.75</v>
      </c>
      <c r="M69" s="351">
        <f>VLOOKUP(F69,$AZ$9:$BA$13,2,FALSE)</f>
        <v>1</v>
      </c>
      <c r="N69" s="369">
        <v>1</v>
      </c>
      <c r="O69" s="433">
        <f>IF(B69&lt;&gt;0,VLOOKUP(B69,BibliothèqueProjet!$A$5:$J$70,10,FALSE),"")</f>
        <v>0.1</v>
      </c>
      <c r="P69" s="434">
        <f>IF(O69&lt;&gt;"",O69*L69*N69,"")</f>
        <v>0.27500000000000002</v>
      </c>
      <c r="Q69" s="435" t="e">
        <f>IF(P69&lt;&gt;"",P69*($E$12-$L$12),"")</f>
        <v>#REF!</v>
      </c>
      <c r="R69" s="29"/>
      <c r="AH69" s="21"/>
      <c r="AI69" s="6"/>
      <c r="AJ69" s="6"/>
      <c r="AK69" s="6"/>
      <c r="AL69" s="6"/>
      <c r="AM69" s="6"/>
      <c r="AN69" s="6"/>
      <c r="AP69" s="6"/>
      <c r="AQ69" s="17"/>
      <c r="AS69" s="21"/>
      <c r="AT69" s="21"/>
      <c r="AU69" s="21"/>
      <c r="AV69" s="21"/>
    </row>
    <row r="70" spans="2:48" s="8" customFormat="1" x14ac:dyDescent="0.2">
      <c r="B70" s="289"/>
      <c r="C70" s="35"/>
      <c r="D70" s="48" t="str">
        <f>IF(ISNA(VLOOKUP(B70,BibliothèqueProjet!$A$6:$J$70,2,FALSE)) = TRUE, "", VLOOKUP(B70,BibliothèqueProjet!$A$6:$J$70,2,FALSE))</f>
        <v/>
      </c>
      <c r="E70" s="33"/>
      <c r="F70" s="491" t="s">
        <v>146</v>
      </c>
      <c r="G70" s="492"/>
      <c r="H70" s="493"/>
      <c r="I70" s="37"/>
      <c r="J70" s="46"/>
      <c r="K70" s="36"/>
      <c r="L70" s="431"/>
      <c r="M70" s="352" t="str">
        <f t="shared" ref="M70:M75" si="12">VLOOKUP(F70,$AZ$9:$BA$13,2,FALSE)</f>
        <v>-</v>
      </c>
      <c r="N70" s="432"/>
      <c r="O70" s="436" t="str">
        <f>IF(B70&lt;&gt;0,VLOOKUP(B70,BibliothèqueProjet!$A$5:$J$70,10,FALSE),"")</f>
        <v/>
      </c>
      <c r="P70" s="373" t="str">
        <f t="shared" ref="P70:P78" si="13">IF(O70&lt;&gt;"",O70*L70*N70,"")</f>
        <v/>
      </c>
      <c r="Q70" s="88" t="str">
        <f t="shared" ref="Q70:Q78" si="14">IF(P70&lt;&gt;"",P70*($E$12-$L$12),"")</f>
        <v/>
      </c>
      <c r="R70" s="29"/>
      <c r="AH70" s="21"/>
      <c r="AI70" s="6"/>
      <c r="AJ70" s="6"/>
      <c r="AK70" s="6"/>
      <c r="AL70" s="6"/>
      <c r="AM70" s="6"/>
      <c r="AN70" s="6"/>
      <c r="AP70" s="6"/>
      <c r="AQ70" s="17"/>
      <c r="AS70" s="21"/>
      <c r="AT70" s="21"/>
      <c r="AU70" s="21"/>
      <c r="AV70" s="21"/>
    </row>
    <row r="71" spans="2:48" s="8" customFormat="1" x14ac:dyDescent="0.2">
      <c r="B71" s="289"/>
      <c r="C71" s="35"/>
      <c r="D71" s="48" t="str">
        <f>IF(ISNA(VLOOKUP(B71,BibliothèqueProjet!$A$6:$J$70,2,FALSE)) = TRUE, "", VLOOKUP(B71,BibliothèqueProjet!$A$6:$J$70,2,FALSE))</f>
        <v/>
      </c>
      <c r="E71" s="33"/>
      <c r="F71" s="491" t="s">
        <v>146</v>
      </c>
      <c r="G71" s="492"/>
      <c r="H71" s="493"/>
      <c r="I71" s="37"/>
      <c r="J71" s="46"/>
      <c r="K71" s="36"/>
      <c r="L71" s="431"/>
      <c r="M71" s="352" t="str">
        <f t="shared" si="12"/>
        <v>-</v>
      </c>
      <c r="N71" s="432"/>
      <c r="O71" s="436" t="str">
        <f>IF(B71&lt;&gt;0,VLOOKUP(B71,BibliothèqueProjet!$A$5:$J$70,10,FALSE),"")</f>
        <v/>
      </c>
      <c r="P71" s="373" t="str">
        <f t="shared" si="13"/>
        <v/>
      </c>
      <c r="Q71" s="88" t="str">
        <f t="shared" si="14"/>
        <v/>
      </c>
      <c r="R71" s="29"/>
      <c r="AH71" s="21"/>
      <c r="AI71" s="6"/>
      <c r="AJ71" s="6"/>
      <c r="AK71" s="6"/>
      <c r="AL71" s="6"/>
      <c r="AM71" s="6"/>
      <c r="AN71" s="6"/>
      <c r="AP71" s="6"/>
      <c r="AQ71" s="17"/>
      <c r="AS71" s="21"/>
      <c r="AT71" s="21"/>
      <c r="AU71" s="21"/>
      <c r="AV71" s="21"/>
    </row>
    <row r="72" spans="2:48" s="8" customFormat="1" x14ac:dyDescent="0.2">
      <c r="B72" s="289"/>
      <c r="C72" s="35"/>
      <c r="D72" s="48" t="str">
        <f>IF(ISNA(VLOOKUP(B72,BibliothèqueProjet!$A$6:$J$70,2,FALSE)) = TRUE, "", VLOOKUP(B72,BibliothèqueProjet!$A$6:$J$70,2,FALSE))</f>
        <v/>
      </c>
      <c r="E72" s="33"/>
      <c r="F72" s="491" t="s">
        <v>146</v>
      </c>
      <c r="G72" s="492"/>
      <c r="H72" s="493"/>
      <c r="I72" s="37"/>
      <c r="J72" s="46"/>
      <c r="K72" s="36"/>
      <c r="L72" s="431"/>
      <c r="M72" s="352" t="str">
        <f t="shared" si="12"/>
        <v>-</v>
      </c>
      <c r="N72" s="432"/>
      <c r="O72" s="436" t="str">
        <f>IF(B72&lt;&gt;0,VLOOKUP(B72,BibliothèqueProjet!$A$5:$J$70,10,FALSE),"")</f>
        <v/>
      </c>
      <c r="P72" s="373" t="str">
        <f t="shared" si="13"/>
        <v/>
      </c>
      <c r="Q72" s="88" t="str">
        <f t="shared" si="14"/>
        <v/>
      </c>
      <c r="R72" s="29"/>
      <c r="AH72" s="21"/>
      <c r="AI72" s="6"/>
      <c r="AJ72" s="6"/>
      <c r="AK72" s="6"/>
      <c r="AL72" s="6"/>
      <c r="AM72" s="6"/>
      <c r="AN72" s="6"/>
      <c r="AP72" s="6"/>
      <c r="AQ72" s="17"/>
      <c r="AS72" s="21"/>
      <c r="AT72" s="21"/>
      <c r="AU72" s="21"/>
      <c r="AV72" s="21"/>
    </row>
    <row r="73" spans="2:48" s="8" customFormat="1" x14ac:dyDescent="0.2">
      <c r="B73" s="289"/>
      <c r="C73" s="35"/>
      <c r="D73" s="48" t="str">
        <f>IF(ISNA(VLOOKUP(B73,BibliothèqueProjet!$A$6:$J$70,2,FALSE)) = TRUE, "", VLOOKUP(B73,BibliothèqueProjet!$A$6:$J$70,2,FALSE))</f>
        <v/>
      </c>
      <c r="E73" s="33"/>
      <c r="F73" s="491" t="s">
        <v>146</v>
      </c>
      <c r="G73" s="492"/>
      <c r="H73" s="493"/>
      <c r="I73" s="37"/>
      <c r="J73" s="46"/>
      <c r="K73" s="36"/>
      <c r="L73" s="431"/>
      <c r="M73" s="352" t="str">
        <f t="shared" si="12"/>
        <v>-</v>
      </c>
      <c r="N73" s="432"/>
      <c r="O73" s="436" t="str">
        <f>IF(B73&lt;&gt;0,VLOOKUP(B73,BibliothèqueProjet!$A$5:$J$70,10,FALSE),"")</f>
        <v/>
      </c>
      <c r="P73" s="373" t="str">
        <f t="shared" si="13"/>
        <v/>
      </c>
      <c r="Q73" s="88" t="str">
        <f t="shared" si="14"/>
        <v/>
      </c>
      <c r="R73" s="29"/>
      <c r="AH73" s="21"/>
      <c r="AI73" s="6"/>
      <c r="AJ73" s="6"/>
      <c r="AK73" s="6"/>
      <c r="AL73" s="6"/>
      <c r="AM73" s="6"/>
      <c r="AN73" s="6"/>
      <c r="AP73" s="6"/>
      <c r="AQ73" s="17"/>
      <c r="AS73" s="21"/>
      <c r="AT73" s="21"/>
      <c r="AU73" s="21"/>
      <c r="AV73" s="21"/>
    </row>
    <row r="74" spans="2:48" s="8" customFormat="1" x14ac:dyDescent="0.2">
      <c r="B74" s="289"/>
      <c r="C74" s="35"/>
      <c r="D74" s="48" t="str">
        <f>IF(ISNA(VLOOKUP(B74,BibliothèqueProjet!$A$6:$J$70,2,FALSE)) = TRUE, "", VLOOKUP(B74,BibliothèqueProjet!$A$6:$J$70,2,FALSE))</f>
        <v/>
      </c>
      <c r="E74" s="33"/>
      <c r="F74" s="491" t="s">
        <v>146</v>
      </c>
      <c r="G74" s="492"/>
      <c r="H74" s="493"/>
      <c r="I74" s="37"/>
      <c r="J74" s="46"/>
      <c r="K74" s="36"/>
      <c r="L74" s="431"/>
      <c r="M74" s="352" t="str">
        <f t="shared" si="12"/>
        <v>-</v>
      </c>
      <c r="N74" s="432"/>
      <c r="O74" s="436" t="str">
        <f>IF(B74&lt;&gt;0,VLOOKUP(B74,BibliothèqueProjet!$A$5:$J$70,10,FALSE),"")</f>
        <v/>
      </c>
      <c r="P74" s="373" t="str">
        <f t="shared" si="13"/>
        <v/>
      </c>
      <c r="Q74" s="88" t="str">
        <f t="shared" si="14"/>
        <v/>
      </c>
      <c r="R74" s="29"/>
      <c r="AH74" s="21"/>
      <c r="AI74" s="6"/>
      <c r="AJ74" s="6"/>
      <c r="AK74" s="6"/>
      <c r="AL74" s="6"/>
      <c r="AM74" s="6"/>
      <c r="AN74" s="6"/>
      <c r="AP74" s="6"/>
      <c r="AQ74" s="17"/>
      <c r="AS74" s="21"/>
      <c r="AT74" s="21"/>
      <c r="AU74" s="21"/>
      <c r="AV74" s="21"/>
    </row>
    <row r="75" spans="2:48" s="8" customFormat="1" x14ac:dyDescent="0.2">
      <c r="B75" s="289"/>
      <c r="C75" s="35"/>
      <c r="D75" s="48" t="str">
        <f>IF(ISNA(VLOOKUP(B75,BibliothèqueProjet!$A$6:$J$70,2,FALSE)) = TRUE, "", VLOOKUP(B75,BibliothèqueProjet!$A$6:$J$70,2,FALSE))</f>
        <v/>
      </c>
      <c r="E75" s="33"/>
      <c r="F75" s="491" t="s">
        <v>146</v>
      </c>
      <c r="G75" s="492"/>
      <c r="H75" s="493"/>
      <c r="I75" s="37"/>
      <c r="J75" s="46"/>
      <c r="K75" s="36"/>
      <c r="L75" s="431"/>
      <c r="M75" s="352" t="str">
        <f t="shared" si="12"/>
        <v>-</v>
      </c>
      <c r="N75" s="432"/>
      <c r="O75" s="436" t="str">
        <f>IF(B75&lt;&gt;0,VLOOKUP(B75,BibliothèqueProjet!$A$5:$J$70,10,FALSE),"")</f>
        <v/>
      </c>
      <c r="P75" s="373" t="str">
        <f t="shared" si="13"/>
        <v/>
      </c>
      <c r="Q75" s="88" t="str">
        <f t="shared" si="14"/>
        <v/>
      </c>
      <c r="R75" s="29"/>
      <c r="AH75" s="21"/>
      <c r="AI75" s="6"/>
      <c r="AJ75" s="6"/>
      <c r="AK75" s="6"/>
      <c r="AL75" s="6"/>
      <c r="AM75" s="6"/>
      <c r="AN75" s="6"/>
      <c r="AP75" s="6"/>
      <c r="AQ75" s="17"/>
      <c r="AS75" s="21"/>
      <c r="AT75" s="21"/>
      <c r="AU75" s="21"/>
      <c r="AV75" s="21"/>
    </row>
    <row r="76" spans="2:48" s="6" customFormat="1" x14ac:dyDescent="0.2">
      <c r="B76" s="290"/>
      <c r="C76" s="38"/>
      <c r="D76" s="48" t="str">
        <f>IF(ISNA(VLOOKUP(B76,BibliothèqueProjet!$A$6:$J$70,2,FALSE)) = TRUE, "", VLOOKUP(B76,BibliothèqueProjet!$A$6:$J$70,2,FALSE))</f>
        <v/>
      </c>
      <c r="E76" s="39"/>
      <c r="F76" s="491" t="s">
        <v>146</v>
      </c>
      <c r="G76" s="492"/>
      <c r="H76" s="493"/>
      <c r="I76" s="26"/>
      <c r="J76" s="47"/>
      <c r="K76" s="36"/>
      <c r="L76" s="368"/>
      <c r="M76" s="352" t="str">
        <f>VLOOKUP(F76,$AZ$9:$BA$13,2,FALSE)</f>
        <v>-</v>
      </c>
      <c r="N76" s="370"/>
      <c r="O76" s="436" t="str">
        <f>IF(B76&lt;&gt;0,VLOOKUP(B76,BibliothèqueProjet!$A$5:$J$70,10,FALSE),"")</f>
        <v/>
      </c>
      <c r="P76" s="373" t="str">
        <f t="shared" si="13"/>
        <v/>
      </c>
      <c r="Q76" s="88" t="str">
        <f t="shared" si="14"/>
        <v/>
      </c>
      <c r="R76" s="32"/>
      <c r="AH76" s="28"/>
      <c r="AI76" s="17"/>
      <c r="AJ76" s="17"/>
      <c r="AK76" s="1"/>
      <c r="AL76" s="1"/>
      <c r="AM76" s="17"/>
      <c r="AN76" s="5"/>
      <c r="AO76" s="18"/>
      <c r="AP76" s="17"/>
      <c r="AQ76" s="17"/>
      <c r="AR76" s="5"/>
      <c r="AS76" s="5"/>
      <c r="AT76" s="5"/>
      <c r="AU76" s="5"/>
      <c r="AV76" s="5"/>
    </row>
    <row r="77" spans="2:48" s="17" customFormat="1" ht="13.5" customHeight="1" x14ac:dyDescent="0.2">
      <c r="B77" s="290"/>
      <c r="C77" s="35"/>
      <c r="D77" s="48" t="str">
        <f>IF(ISNA(VLOOKUP(B77,BibliothèqueProjet!$A$6:$J$70,2,FALSE)) = TRUE, "", VLOOKUP(B77,BibliothèqueProjet!$A$6:$J$70,2,FALSE))</f>
        <v/>
      </c>
      <c r="E77" s="33"/>
      <c r="F77" s="491" t="s">
        <v>146</v>
      </c>
      <c r="G77" s="492"/>
      <c r="H77" s="493"/>
      <c r="I77" s="37"/>
      <c r="J77" s="46"/>
      <c r="K77" s="36"/>
      <c r="L77" s="368"/>
      <c r="M77" s="352" t="str">
        <f>VLOOKUP(F77,$AZ$9:$BA$13,2,FALSE)</f>
        <v>-</v>
      </c>
      <c r="N77" s="370"/>
      <c r="O77" s="436" t="str">
        <f>IF(B77&lt;&gt;0,VLOOKUP(B77,BibliothèqueProjet!$A$5:$J$70,10,FALSE),"")</f>
        <v/>
      </c>
      <c r="P77" s="373" t="str">
        <f t="shared" si="13"/>
        <v/>
      </c>
      <c r="Q77" s="88" t="str">
        <f t="shared" si="14"/>
        <v/>
      </c>
      <c r="R77" s="15"/>
      <c r="AH77" s="10"/>
      <c r="AK77" s="1"/>
      <c r="AL77" s="7"/>
      <c r="AM77" s="16"/>
      <c r="AN77" s="5"/>
      <c r="AO77" s="5"/>
      <c r="AR77" s="18"/>
      <c r="AS77" s="18"/>
      <c r="AT77" s="18"/>
      <c r="AU77" s="18"/>
      <c r="AV77" s="18"/>
    </row>
    <row r="78" spans="2:48" s="17" customFormat="1" x14ac:dyDescent="0.2">
      <c r="B78" s="290"/>
      <c r="C78" s="38"/>
      <c r="D78" s="48" t="str">
        <f>IF(ISNA(VLOOKUP(B78,BibliothèqueProjet!$A$6:$J$70,2,FALSE)) = TRUE, "", VLOOKUP(B78,BibliothèqueProjet!$A$6:$J$70,2,FALSE))</f>
        <v/>
      </c>
      <c r="E78" s="33"/>
      <c r="F78" s="494" t="s">
        <v>146</v>
      </c>
      <c r="G78" s="495"/>
      <c r="H78" s="496"/>
      <c r="I78" s="37"/>
      <c r="J78" s="46"/>
      <c r="K78" s="36"/>
      <c r="L78" s="368"/>
      <c r="M78" s="353" t="str">
        <f>VLOOKUP(F78,$AZ$9:$BA$13,2,FALSE)</f>
        <v>-</v>
      </c>
      <c r="N78" s="371" t="str">
        <f>IF(B78&lt;&gt;0,VLOOKUP(B78,BibliothèqueProjet!$A$5:$J$70,10,FALSE),"")</f>
        <v/>
      </c>
      <c r="O78" s="437" t="str">
        <f>IF(B78&lt;&gt;0,VLOOKUP(B78,BibliothèqueProjet!$A$5:$J$70,10,FALSE),"")</f>
        <v/>
      </c>
      <c r="P78" s="438" t="str">
        <f t="shared" si="13"/>
        <v/>
      </c>
      <c r="Q78" s="439" t="str">
        <f t="shared" si="14"/>
        <v/>
      </c>
      <c r="R78" s="15"/>
      <c r="AH78" s="28"/>
      <c r="AK78" s="1"/>
      <c r="AL78" s="7"/>
      <c r="AM78" s="43"/>
      <c r="AN78" s="5"/>
      <c r="AO78" s="5"/>
    </row>
    <row r="79" spans="2:48" s="17" customFormat="1" ht="15" x14ac:dyDescent="0.25">
      <c r="B79" s="76" t="s">
        <v>42</v>
      </c>
      <c r="C79" s="56"/>
      <c r="D79" s="77"/>
      <c r="E79" s="56"/>
      <c r="F79" s="56"/>
      <c r="G79" s="56"/>
      <c r="H79" s="78"/>
      <c r="I79" s="79"/>
      <c r="J79" s="80"/>
      <c r="K79" s="78"/>
      <c r="L79" s="79"/>
      <c r="M79" s="79"/>
      <c r="N79" s="81"/>
      <c r="O79" s="82" t="s">
        <v>9</v>
      </c>
      <c r="P79" s="268">
        <f>SUM(P69:P78)</f>
        <v>0.27500000000000002</v>
      </c>
      <c r="Q79" s="268" t="e">
        <f>SUM(Q69:Q78)</f>
        <v>#REF!</v>
      </c>
      <c r="R79" s="15"/>
      <c r="AH79" s="28"/>
      <c r="AI79" s="18"/>
      <c r="AJ79" s="18"/>
      <c r="AK79" s="1"/>
      <c r="AL79" s="7"/>
      <c r="AM79" s="18"/>
      <c r="AN79" s="5"/>
      <c r="AO79" s="5"/>
    </row>
    <row r="80" spans="2:48" s="17" customFormat="1" ht="12" x14ac:dyDescent="0.2">
      <c r="B80" s="162"/>
      <c r="C80" s="75"/>
      <c r="D80" s="163"/>
      <c r="E80" s="75"/>
      <c r="F80" s="75"/>
      <c r="G80" s="75"/>
      <c r="H80" s="84"/>
      <c r="I80" s="85"/>
      <c r="J80" s="164"/>
      <c r="K80" s="84"/>
      <c r="L80" s="85"/>
      <c r="M80" s="85"/>
      <c r="N80" s="85"/>
      <c r="O80" s="85"/>
      <c r="P80" s="166"/>
      <c r="Q80" s="167"/>
      <c r="R80" s="15"/>
      <c r="AH80" s="28"/>
      <c r="AI80" s="16"/>
      <c r="AJ80" s="18"/>
      <c r="AO80" s="5"/>
    </row>
    <row r="81" spans="1:48" s="17" customFormat="1" ht="12" customHeight="1" x14ac:dyDescent="0.2">
      <c r="A81" s="6"/>
      <c r="B81" s="259" t="s">
        <v>31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1"/>
      <c r="R81" s="15"/>
      <c r="AH81" s="28"/>
      <c r="AI81" s="16"/>
      <c r="AJ81" s="18"/>
      <c r="AO81" s="5"/>
    </row>
    <row r="82" spans="1:48" s="6" customFormat="1" ht="12.75" customHeight="1" x14ac:dyDescent="0.2">
      <c r="A82" s="17"/>
      <c r="B82" s="283" t="s">
        <v>142</v>
      </c>
      <c r="C82" s="284"/>
      <c r="D82" s="284"/>
      <c r="E82" s="284"/>
      <c r="F82" s="284"/>
      <c r="G82" s="284"/>
      <c r="H82" s="105"/>
      <c r="I82" s="105"/>
      <c r="J82" s="105"/>
      <c r="K82" s="284"/>
      <c r="L82" s="284"/>
      <c r="M82" s="284"/>
      <c r="N82" s="284"/>
      <c r="O82" s="482" t="s">
        <v>143</v>
      </c>
      <c r="P82" s="482"/>
      <c r="Q82" s="483"/>
      <c r="R82" s="32"/>
      <c r="AH82" s="34"/>
      <c r="AI82" s="31"/>
    </row>
    <row r="83" spans="1:48" s="17" customFormat="1" x14ac:dyDescent="0.2">
      <c r="B83" s="204" t="s">
        <v>100</v>
      </c>
      <c r="C83" s="205"/>
      <c r="D83" s="205"/>
      <c r="E83" s="206"/>
      <c r="F83" s="206"/>
      <c r="G83" s="206"/>
      <c r="H83" s="90"/>
      <c r="I83" s="90"/>
      <c r="J83" s="90"/>
      <c r="K83" s="92"/>
      <c r="L83" s="92"/>
      <c r="M83" s="92"/>
      <c r="N83" s="92"/>
      <c r="O83" s="484" t="s">
        <v>102</v>
      </c>
      <c r="P83" s="484"/>
      <c r="Q83" s="485"/>
      <c r="R83" s="15"/>
      <c r="AH83" s="28"/>
    </row>
    <row r="84" spans="1:48" s="17" customFormat="1" x14ac:dyDescent="0.2">
      <c r="B84" s="207" t="s">
        <v>92</v>
      </c>
      <c r="C84" s="205"/>
      <c r="D84" s="205"/>
      <c r="E84" s="205"/>
      <c r="F84" s="205"/>
      <c r="G84" s="205"/>
      <c r="H84" s="90"/>
      <c r="I84" s="90"/>
      <c r="J84" s="90"/>
      <c r="K84" s="92"/>
      <c r="L84" s="92"/>
      <c r="M84" s="92"/>
      <c r="N84" s="92"/>
      <c r="O84" s="484" t="s">
        <v>110</v>
      </c>
      <c r="P84" s="484"/>
      <c r="Q84" s="485"/>
      <c r="R84" s="15"/>
      <c r="AH84" s="28"/>
    </row>
    <row r="85" spans="1:48" s="17" customFormat="1" x14ac:dyDescent="0.2">
      <c r="B85" s="207" t="s">
        <v>112</v>
      </c>
      <c r="C85" s="205"/>
      <c r="D85" s="205"/>
      <c r="E85" s="205"/>
      <c r="F85" s="205"/>
      <c r="G85" s="205"/>
      <c r="H85" s="90"/>
      <c r="I85" s="90"/>
      <c r="J85" s="90"/>
      <c r="K85" s="92"/>
      <c r="L85" s="92"/>
      <c r="M85" s="92"/>
      <c r="N85" s="92"/>
      <c r="O85" s="484" t="s">
        <v>113</v>
      </c>
      <c r="P85" s="484"/>
      <c r="Q85" s="485"/>
      <c r="R85" s="15"/>
      <c r="AH85" s="28" t="s">
        <v>169</v>
      </c>
    </row>
    <row r="86" spans="1:48" s="17" customFormat="1" x14ac:dyDescent="0.2">
      <c r="B86" s="285" t="s">
        <v>103</v>
      </c>
      <c r="C86" s="286"/>
      <c r="D86" s="286"/>
      <c r="E86" s="286"/>
      <c r="F86" s="286"/>
      <c r="G86" s="286"/>
      <c r="H86" s="287"/>
      <c r="I86" s="287"/>
      <c r="J86" s="287"/>
      <c r="K86" s="288"/>
      <c r="L86" s="288"/>
      <c r="M86" s="288"/>
      <c r="N86" s="288"/>
      <c r="O86" s="486" t="s">
        <v>110</v>
      </c>
      <c r="P86" s="486"/>
      <c r="Q86" s="487"/>
      <c r="R86" s="15"/>
      <c r="AH86" s="28"/>
    </row>
    <row r="87" spans="1:48" s="17" customFormat="1" x14ac:dyDescent="0.2">
      <c r="B87" s="15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270"/>
      <c r="R87" s="15"/>
    </row>
    <row r="88" spans="1:48" s="17" customFormat="1" ht="12" x14ac:dyDescent="0.2">
      <c r="B88" s="159" t="s">
        <v>115</v>
      </c>
      <c r="C88" s="103"/>
      <c r="D88" s="103"/>
      <c r="E88" s="160"/>
      <c r="F88" s="100"/>
      <c r="G88" s="159" t="s">
        <v>116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61"/>
      <c r="R88" s="41"/>
    </row>
    <row r="89" spans="1:48" s="17" customFormat="1" ht="16.5" customHeight="1" x14ac:dyDescent="0.3">
      <c r="A89" s="8"/>
      <c r="B89" s="101"/>
      <c r="C89" s="18"/>
      <c r="D89" s="18"/>
      <c r="E89" s="18"/>
      <c r="F89" s="100"/>
      <c r="G89" s="101" t="s">
        <v>201</v>
      </c>
      <c r="H89" s="18"/>
      <c r="I89" s="18"/>
      <c r="J89" s="358">
        <v>0</v>
      </c>
      <c r="K89" s="359" t="s">
        <v>122</v>
      </c>
      <c r="L89" s="358" t="e">
        <f>+J89*E12</f>
        <v>#REF!</v>
      </c>
      <c r="M89" s="18"/>
      <c r="N89" s="18"/>
      <c r="O89" s="18"/>
      <c r="P89" s="18"/>
      <c r="Q89" s="357"/>
      <c r="R89" s="41"/>
    </row>
    <row r="90" spans="1:48" s="8" customFormat="1" x14ac:dyDescent="0.2">
      <c r="A90" s="6"/>
      <c r="B90" s="101" t="s">
        <v>34</v>
      </c>
      <c r="C90" s="18"/>
      <c r="D90" s="18"/>
      <c r="E90" s="18"/>
      <c r="F90" s="100"/>
      <c r="G90" s="232" t="s">
        <v>117</v>
      </c>
      <c r="H90" s="131"/>
      <c r="I90" s="360"/>
      <c r="J90" s="361"/>
      <c r="K90" s="232" t="s">
        <v>118</v>
      </c>
      <c r="L90" s="105"/>
      <c r="M90" s="105"/>
      <c r="N90" s="105"/>
      <c r="O90" s="105"/>
      <c r="P90" s="105"/>
      <c r="Q90" s="362"/>
      <c r="R90" s="29"/>
      <c r="AH90" s="21"/>
      <c r="AI90" s="6"/>
      <c r="AJ90" s="6"/>
      <c r="AK90" s="6"/>
      <c r="AL90" s="6"/>
      <c r="AM90" s="6"/>
      <c r="AN90" s="6"/>
      <c r="AP90" s="6"/>
      <c r="AQ90" s="17"/>
      <c r="AS90" s="21"/>
      <c r="AT90" s="21"/>
      <c r="AU90" s="21"/>
      <c r="AV90" s="21"/>
    </row>
    <row r="91" spans="1:48" s="6" customFormat="1" ht="15" x14ac:dyDescent="0.3">
      <c r="A91" s="17"/>
      <c r="B91" s="452" t="s">
        <v>119</v>
      </c>
      <c r="C91" s="106" t="s">
        <v>120</v>
      </c>
      <c r="D91" s="107" t="s">
        <v>120</v>
      </c>
      <c r="E91" s="108" t="s">
        <v>121</v>
      </c>
      <c r="F91" s="100"/>
      <c r="G91" s="109" t="s">
        <v>122</v>
      </c>
      <c r="H91" s="453" t="s">
        <v>123</v>
      </c>
      <c r="I91" s="453" t="s">
        <v>124</v>
      </c>
      <c r="J91" s="454" t="s">
        <v>125</v>
      </c>
      <c r="K91" s="110" t="s">
        <v>23</v>
      </c>
      <c r="L91" s="90"/>
      <c r="M91" s="111"/>
      <c r="N91" s="107" t="s">
        <v>126</v>
      </c>
      <c r="O91" s="453" t="s">
        <v>127</v>
      </c>
      <c r="P91" s="453" t="s">
        <v>124</v>
      </c>
      <c r="Q91" s="454" t="s">
        <v>125</v>
      </c>
      <c r="R91" s="32"/>
      <c r="AH91" s="28"/>
      <c r="AI91" s="17"/>
      <c r="AJ91" s="17"/>
      <c r="AK91" s="1"/>
      <c r="AL91" s="1"/>
      <c r="AM91" s="17"/>
      <c r="AN91" s="5"/>
      <c r="AO91" s="18"/>
      <c r="AP91" s="17"/>
      <c r="AQ91" s="17"/>
      <c r="AR91" s="5"/>
      <c r="AS91" s="5"/>
      <c r="AT91" s="5"/>
      <c r="AU91" s="5"/>
      <c r="AV91" s="5"/>
    </row>
    <row r="92" spans="1:48" s="17" customFormat="1" ht="13.5" customHeight="1" x14ac:dyDescent="0.2">
      <c r="B92" s="446" t="s">
        <v>128</v>
      </c>
      <c r="C92" s="112" t="s">
        <v>2</v>
      </c>
      <c r="D92" s="113" t="s">
        <v>2</v>
      </c>
      <c r="E92" s="44" t="s">
        <v>12</v>
      </c>
      <c r="F92" s="104"/>
      <c r="G92" s="446" t="s">
        <v>4</v>
      </c>
      <c r="H92" s="113" t="s">
        <v>2</v>
      </c>
      <c r="I92" s="447" t="s">
        <v>12</v>
      </c>
      <c r="J92" s="448" t="s">
        <v>12</v>
      </c>
      <c r="K92" s="114"/>
      <c r="L92" s="115"/>
      <c r="M92" s="116"/>
      <c r="N92" s="117" t="s">
        <v>4</v>
      </c>
      <c r="O92" s="118" t="s">
        <v>2</v>
      </c>
      <c r="P92" s="117" t="s">
        <v>12</v>
      </c>
      <c r="Q92" s="119" t="s">
        <v>12</v>
      </c>
      <c r="R92" s="15"/>
      <c r="AH92" s="10"/>
      <c r="AK92" s="1"/>
      <c r="AL92" s="7"/>
      <c r="AM92" s="16"/>
      <c r="AN92" s="5"/>
      <c r="AO92" s="5"/>
      <c r="AR92" s="18"/>
      <c r="AS92" s="18"/>
      <c r="AT92" s="18"/>
      <c r="AU92" s="18"/>
      <c r="AV92" s="18"/>
    </row>
    <row r="93" spans="1:48" s="17" customFormat="1" x14ac:dyDescent="0.2">
      <c r="B93" s="120">
        <f>IF(O83="Neuve",0,IF(AND(O82="Naturelle",O84="Villas"),VLOOKUP(O86,AP27:AQ30,2,FALSE),VLOOKUP(O86,AP27:AR30,3,FALSE)))</f>
        <v>0</v>
      </c>
      <c r="C93" s="121">
        <f>IF(B93=0,0,VLOOKUP(H6,AM5:AS12,7,FALSE))</f>
        <v>0</v>
      </c>
      <c r="D93" s="121">
        <f>IF(B93=0,0,VLOOKUP(I7,AU11:AV19,2,FALSE))</f>
        <v>0</v>
      </c>
      <c r="E93" s="45">
        <f>D93*2*B93*C93</f>
        <v>0</v>
      </c>
      <c r="F93" s="100"/>
      <c r="G93" s="449" t="e">
        <f>IF(J89=0,F12,L89)</f>
        <v>#REF!</v>
      </c>
      <c r="H93" s="450" t="e">
        <f>(E12-G93)/(E12-F12)</f>
        <v>#REF!</v>
      </c>
      <c r="I93" s="262">
        <v>0</v>
      </c>
      <c r="J93" s="451" t="e">
        <f>+I93*H93</f>
        <v>#REF!</v>
      </c>
      <c r="K93" s="122"/>
      <c r="L93" s="90"/>
      <c r="M93" s="111"/>
      <c r="N93" s="441">
        <v>0</v>
      </c>
      <c r="O93" s="40" t="e">
        <f>(E12-N93)/(E12-F12)</f>
        <v>#REF!</v>
      </c>
      <c r="P93" s="263">
        <v>0</v>
      </c>
      <c r="Q93" s="123" t="e">
        <f>+P93*O93</f>
        <v>#REF!</v>
      </c>
      <c r="R93" s="15"/>
      <c r="AH93" s="28"/>
      <c r="AK93" s="1"/>
      <c r="AL93" s="7"/>
      <c r="AM93" s="43"/>
      <c r="AN93" s="5"/>
      <c r="AO93" s="5"/>
    </row>
    <row r="94" spans="1:48" s="17" customFormat="1" x14ac:dyDescent="0.2">
      <c r="B94" s="124" t="s">
        <v>129</v>
      </c>
      <c r="C94" s="125"/>
      <c r="D94" s="124"/>
      <c r="E94" s="126"/>
      <c r="F94" s="100"/>
      <c r="G94" s="488" t="s">
        <v>130</v>
      </c>
      <c r="H94" s="489"/>
      <c r="I94" s="489"/>
      <c r="J94" s="490"/>
      <c r="K94" s="127"/>
      <c r="L94" s="128"/>
      <c r="M94" s="129"/>
      <c r="N94" s="442"/>
      <c r="O94" s="50"/>
      <c r="P94" s="264"/>
      <c r="Q94" s="130"/>
      <c r="R94" s="15"/>
      <c r="AH94" s="28"/>
      <c r="AI94" s="18"/>
      <c r="AJ94" s="18"/>
      <c r="AK94" s="1"/>
      <c r="AL94" s="7"/>
      <c r="AM94" s="18"/>
      <c r="AN94" s="5"/>
      <c r="AO94" s="5"/>
    </row>
    <row r="95" spans="1:48" s="17" customFormat="1" ht="12" customHeight="1" x14ac:dyDescent="0.3">
      <c r="B95" s="452" t="s">
        <v>131</v>
      </c>
      <c r="C95" s="133" t="s">
        <v>132</v>
      </c>
      <c r="D95" s="101"/>
      <c r="E95" s="102"/>
      <c r="F95" s="100"/>
      <c r="G95" s="473" t="s">
        <v>133</v>
      </c>
      <c r="H95" s="474"/>
      <c r="I95" s="474"/>
      <c r="J95" s="475"/>
      <c r="K95" s="444"/>
      <c r="L95" s="90"/>
      <c r="M95" s="111"/>
      <c r="N95" s="441"/>
      <c r="O95" s="40"/>
      <c r="P95" s="263"/>
      <c r="Q95" s="123"/>
      <c r="R95" s="15"/>
      <c r="AH95" s="28"/>
      <c r="AI95" s="16"/>
      <c r="AJ95" s="18"/>
      <c r="AO95" s="5"/>
    </row>
    <row r="96" spans="1:48" s="17" customFormat="1" ht="12" x14ac:dyDescent="0.2">
      <c r="A96" s="6"/>
      <c r="B96" s="446" t="s">
        <v>128</v>
      </c>
      <c r="C96" s="134" t="s">
        <v>12</v>
      </c>
      <c r="D96" s="101"/>
      <c r="E96" s="102"/>
      <c r="F96" s="100"/>
      <c r="G96" s="476" t="s">
        <v>12</v>
      </c>
      <c r="H96" s="477"/>
      <c r="I96" s="477"/>
      <c r="J96" s="478"/>
      <c r="K96" s="136"/>
      <c r="L96" s="98"/>
      <c r="M96" s="137"/>
      <c r="N96" s="443"/>
      <c r="O96" s="138"/>
      <c r="P96" s="265"/>
      <c r="Q96" s="139"/>
      <c r="R96" s="15"/>
      <c r="AH96" s="28"/>
      <c r="AI96" s="16"/>
      <c r="AJ96" s="18"/>
      <c r="AO96" s="5"/>
    </row>
    <row r="97" spans="1:35" s="6" customFormat="1" ht="15" x14ac:dyDescent="0.25">
      <c r="A97" s="17"/>
      <c r="B97" s="449">
        <v>0.3</v>
      </c>
      <c r="C97" s="140">
        <f>+B97*Q12</f>
        <v>0</v>
      </c>
      <c r="D97" s="97"/>
      <c r="E97" s="99"/>
      <c r="F97" s="100"/>
      <c r="G97" s="479" t="e">
        <f>(#REF!-#REF!)*'Cui1'!Q12/ListingLocaux!K50</f>
        <v>#REF!</v>
      </c>
      <c r="H97" s="480"/>
      <c r="I97" s="480"/>
      <c r="J97" s="481"/>
      <c r="K97" s="141" t="s">
        <v>134</v>
      </c>
      <c r="L97" s="141"/>
      <c r="M97" s="141"/>
      <c r="N97" s="141"/>
      <c r="O97" s="142" t="s">
        <v>9</v>
      </c>
      <c r="P97" s="143">
        <f>+SUM(P93:P96)</f>
        <v>0</v>
      </c>
      <c r="Q97" s="143" t="e">
        <f>+SUM(Q93:Q96)</f>
        <v>#REF!</v>
      </c>
      <c r="R97" s="32"/>
      <c r="AH97" s="34"/>
      <c r="AI97" s="31"/>
    </row>
    <row r="98" spans="1:35" s="17" customFormat="1" ht="12" x14ac:dyDescent="0.2">
      <c r="B98" s="124" t="s">
        <v>135</v>
      </c>
      <c r="C98" s="126"/>
      <c r="D98" s="126"/>
      <c r="E98" s="132"/>
      <c r="F98" s="101"/>
      <c r="G98" s="18"/>
      <c r="H98" s="18"/>
      <c r="I98" s="18"/>
      <c r="J98" s="42"/>
      <c r="K98" s="232" t="s">
        <v>136</v>
      </c>
      <c r="L98" s="105"/>
      <c r="M98" s="105"/>
      <c r="N98" s="105"/>
      <c r="O98" s="105"/>
      <c r="P98" s="105"/>
      <c r="Q98" s="271"/>
      <c r="R98" s="15"/>
      <c r="AH98" s="28"/>
    </row>
    <row r="99" spans="1:35" s="17" customFormat="1" ht="15" x14ac:dyDescent="0.3">
      <c r="B99" s="452" t="s">
        <v>137</v>
      </c>
      <c r="C99" s="454" t="s">
        <v>138</v>
      </c>
      <c r="D99" s="5"/>
      <c r="E99" s="145"/>
      <c r="F99" s="135"/>
      <c r="G99" s="42"/>
      <c r="H99" s="5"/>
      <c r="I99" s="5"/>
      <c r="J99" s="18"/>
      <c r="K99" s="233"/>
      <c r="L99" s="234"/>
      <c r="M99" s="18"/>
      <c r="N99" s="235"/>
      <c r="O99" s="229" t="s">
        <v>139</v>
      </c>
      <c r="P99" s="230" t="s">
        <v>140</v>
      </c>
      <c r="Q99" s="231" t="s">
        <v>22</v>
      </c>
      <c r="R99" s="15"/>
      <c r="AH99" s="28"/>
    </row>
    <row r="100" spans="1:35" s="17" customFormat="1" x14ac:dyDescent="0.2">
      <c r="B100" s="446" t="s">
        <v>12</v>
      </c>
      <c r="C100" s="448" t="s">
        <v>12</v>
      </c>
      <c r="D100" s="30"/>
      <c r="E100" s="224"/>
      <c r="F100" s="227"/>
      <c r="G100" s="30"/>
      <c r="H100" s="30"/>
      <c r="I100" s="228"/>
      <c r="J100" s="18"/>
      <c r="K100" s="236"/>
      <c r="L100" s="234"/>
      <c r="M100" s="20"/>
      <c r="N100" s="19"/>
      <c r="O100" s="446" t="s">
        <v>19</v>
      </c>
      <c r="P100" s="447" t="s">
        <v>6</v>
      </c>
      <c r="Q100" s="448" t="s">
        <v>141</v>
      </c>
      <c r="R100" s="15"/>
      <c r="AH100" s="28" t="s">
        <v>169</v>
      </c>
    </row>
    <row r="101" spans="1:35" s="17" customFormat="1" ht="12" x14ac:dyDescent="0.2">
      <c r="B101" s="426" t="e">
        <f>0.1*Q12+I93+P97+G97</f>
        <v>#REF!</v>
      </c>
      <c r="C101" s="226" t="e">
        <f>IF(O82="Naturelle",MAX(C97,E93),0.1*Q12+J93+Q97+G97)</f>
        <v>#REF!</v>
      </c>
      <c r="D101" s="147"/>
      <c r="E101" s="225"/>
      <c r="F101" s="272"/>
      <c r="G101" s="148"/>
      <c r="H101" s="148"/>
      <c r="I101" s="148"/>
      <c r="J101" s="144"/>
      <c r="K101" s="154"/>
      <c r="L101" s="149"/>
      <c r="M101" s="149"/>
      <c r="N101" s="150"/>
      <c r="O101" s="449" t="e">
        <f>+(1220-(0.14*Altitude))/3600</f>
        <v>#REF!</v>
      </c>
      <c r="P101" s="450" t="e">
        <f>+O101*C101</f>
        <v>#REF!</v>
      </c>
      <c r="Q101" s="328" t="e">
        <f>+P101*(E12-L12)</f>
        <v>#REF!</v>
      </c>
      <c r="R101" s="15"/>
      <c r="AH101" s="28"/>
    </row>
    <row r="102" spans="1:35" s="17" customFormat="1" ht="17.25" customHeight="1" x14ac:dyDescent="0.2"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</row>
    <row r="103" spans="1:35" s="17" customFormat="1" ht="16.5" customHeight="1" x14ac:dyDescent="0.3">
      <c r="B103" s="348" t="s">
        <v>32</v>
      </c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50"/>
      <c r="P103" s="49" t="s">
        <v>168</v>
      </c>
      <c r="Q103" s="347" t="s">
        <v>15</v>
      </c>
      <c r="R103" s="41"/>
    </row>
    <row r="104" spans="1:35" s="17" customFormat="1" ht="16.5" customHeight="1" x14ac:dyDescent="0.2">
      <c r="A104" s="14"/>
      <c r="B104" s="155"/>
      <c r="C104" s="20"/>
      <c r="D104" s="20"/>
      <c r="E104" s="20"/>
      <c r="F104" s="20"/>
      <c r="G104" s="20"/>
      <c r="H104" s="20"/>
      <c r="I104" s="20"/>
      <c r="J104" s="20"/>
      <c r="L104" s="20"/>
      <c r="M104" s="20"/>
      <c r="N104" s="5"/>
      <c r="O104" s="146"/>
      <c r="P104" s="446" t="s">
        <v>6</v>
      </c>
      <c r="Q104" s="448" t="s">
        <v>141</v>
      </c>
      <c r="R104" s="41"/>
    </row>
    <row r="105" spans="1:35" x14ac:dyDescent="0.2">
      <c r="B105" s="154"/>
      <c r="C105" s="149"/>
      <c r="D105" s="98"/>
      <c r="E105" s="149"/>
      <c r="F105" s="149"/>
      <c r="G105" s="149"/>
      <c r="H105" s="149"/>
      <c r="I105" s="149"/>
      <c r="J105" s="149"/>
      <c r="K105" s="149"/>
      <c r="L105" s="149"/>
      <c r="M105" s="98"/>
      <c r="N105" s="156"/>
      <c r="O105" s="157"/>
      <c r="P105" s="266" t="e">
        <f>+P101+P79+P64+P51+P42+P27</f>
        <v>#REF!</v>
      </c>
      <c r="Q105" s="267" t="e">
        <f>+(Q101+Q79+Q64+Q51+Q42+Q27)</f>
        <v>#REF!</v>
      </c>
    </row>
    <row r="106" spans="1:35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35" x14ac:dyDescent="0.2">
      <c r="B107" s="17" t="s">
        <v>195</v>
      </c>
      <c r="C107" s="17"/>
      <c r="D107" s="17"/>
      <c r="E107" s="17"/>
    </row>
    <row r="108" spans="1:35" x14ac:dyDescent="0.2">
      <c r="B108" s="305" t="s">
        <v>38</v>
      </c>
      <c r="C108" s="306"/>
      <c r="D108" s="307"/>
      <c r="E108" s="308" t="e">
        <f>+Q27</f>
        <v>#REF!</v>
      </c>
    </row>
    <row r="109" spans="1:35" x14ac:dyDescent="0.2">
      <c r="B109" s="309" t="s">
        <v>192</v>
      </c>
      <c r="C109" s="310"/>
      <c r="D109" s="311"/>
      <c r="E109" s="312" t="e">
        <f>+Q42</f>
        <v>#REF!</v>
      </c>
    </row>
    <row r="110" spans="1:35" x14ac:dyDescent="0.2">
      <c r="B110" s="313" t="s">
        <v>56</v>
      </c>
      <c r="C110" s="314"/>
      <c r="D110" s="315"/>
      <c r="E110" s="316" t="e">
        <f>+Q51</f>
        <v>#REF!</v>
      </c>
    </row>
    <row r="111" spans="1:35" x14ac:dyDescent="0.2">
      <c r="B111" s="317" t="s">
        <v>37</v>
      </c>
      <c r="C111" s="318"/>
      <c r="D111" s="319"/>
      <c r="E111" s="320" t="e">
        <f>+Q64</f>
        <v>#REF!</v>
      </c>
    </row>
    <row r="112" spans="1:35" x14ac:dyDescent="0.2">
      <c r="B112" s="321" t="s">
        <v>193</v>
      </c>
      <c r="C112" s="322"/>
      <c r="D112" s="323"/>
      <c r="E112" s="324" t="e">
        <f>+Q79</f>
        <v>#REF!</v>
      </c>
    </row>
    <row r="113" spans="2:5" x14ac:dyDescent="0.2">
      <c r="B113" s="325" t="s">
        <v>194</v>
      </c>
      <c r="C113" s="326"/>
      <c r="D113" s="327"/>
      <c r="E113" s="329" t="e">
        <f>+Q101</f>
        <v>#REF!</v>
      </c>
    </row>
    <row r="130" spans="2:18" ht="15" x14ac:dyDescent="0.3">
      <c r="B130" s="461" t="s">
        <v>221</v>
      </c>
      <c r="C130" s="465" t="s">
        <v>23</v>
      </c>
      <c r="D130" s="462"/>
      <c r="E130" s="462"/>
      <c r="F130" s="462"/>
      <c r="G130" s="462"/>
      <c r="H130" s="462"/>
      <c r="I130" s="463"/>
      <c r="J130" s="466" t="s">
        <v>1</v>
      </c>
      <c r="K130" s="466" t="s">
        <v>265</v>
      </c>
      <c r="L130" s="466" t="s">
        <v>266</v>
      </c>
      <c r="M130" s="467" t="s">
        <v>223</v>
      </c>
      <c r="N130" s="467" t="s">
        <v>224</v>
      </c>
      <c r="O130" s="467" t="s">
        <v>225</v>
      </c>
      <c r="P130" s="468" t="s">
        <v>226</v>
      </c>
      <c r="Q130" s="468" t="s">
        <v>137</v>
      </c>
      <c r="R130" s="468" t="s">
        <v>227</v>
      </c>
    </row>
    <row r="131" spans="2:18" x14ac:dyDescent="0.2">
      <c r="B131" s="464"/>
      <c r="C131" s="464"/>
      <c r="D131" s="464"/>
      <c r="E131" s="464"/>
      <c r="F131" s="464"/>
      <c r="G131" s="464"/>
      <c r="H131" s="464"/>
      <c r="I131" s="464"/>
      <c r="J131" s="469" t="s">
        <v>40</v>
      </c>
      <c r="K131" s="469" t="s">
        <v>4</v>
      </c>
      <c r="L131" s="469" t="s">
        <v>4</v>
      </c>
      <c r="M131" s="469" t="s">
        <v>141</v>
      </c>
      <c r="N131" s="469" t="s">
        <v>141</v>
      </c>
      <c r="O131" s="469" t="s">
        <v>141</v>
      </c>
      <c r="P131" s="469" t="s">
        <v>267</v>
      </c>
      <c r="Q131" s="469" t="s">
        <v>268</v>
      </c>
      <c r="R131" s="469" t="s">
        <v>269</v>
      </c>
    </row>
    <row r="132" spans="2:18" x14ac:dyDescent="0.2">
      <c r="B132" s="464" t="str">
        <f>+G2</f>
        <v>Cui1</v>
      </c>
      <c r="C132" s="464" t="str">
        <f>+L2</f>
        <v>Cuisine</v>
      </c>
      <c r="D132" s="464"/>
      <c r="E132" s="464"/>
      <c r="F132" s="464"/>
      <c r="G132" s="464"/>
      <c r="H132" s="464"/>
      <c r="I132" s="464"/>
      <c r="J132" s="469">
        <v>20</v>
      </c>
      <c r="K132" s="469">
        <v>20</v>
      </c>
      <c r="L132" s="469">
        <v>10</v>
      </c>
      <c r="M132" s="470">
        <v>100</v>
      </c>
      <c r="N132" s="471">
        <v>200</v>
      </c>
      <c r="O132" s="471">
        <v>300</v>
      </c>
      <c r="P132" s="469">
        <f>+O132/J132</f>
        <v>15</v>
      </c>
      <c r="Q132" s="470">
        <v>30</v>
      </c>
      <c r="R132" s="469">
        <f>+Q132/J132</f>
        <v>1.5</v>
      </c>
    </row>
  </sheetData>
  <sheetProtection selectLockedCells="1"/>
  <protectedRanges>
    <protectedRange sqref="O47:O50 B47:G50 B21:G26 I21:O26 I47:M50 B32:G41 I32:M41 B56:G63 B69:G78 I69:O78 I56:M63 O56:O63 O32:O41" name="Plage3"/>
    <protectedRange sqref="I15" name="Plage2"/>
    <protectedRange sqref="I13:O14 H14 K12:Q12 E12:G14" name="Plage1"/>
  </protectedRanges>
  <dataConsolidate link="1"/>
  <mergeCells count="75">
    <mergeCell ref="M20:N20"/>
    <mergeCell ref="N4:Q4"/>
    <mergeCell ref="N5:Q5"/>
    <mergeCell ref="I6:Q6"/>
    <mergeCell ref="I7:Q7"/>
    <mergeCell ref="G10:J10"/>
    <mergeCell ref="G11:J11"/>
    <mergeCell ref="G12:J12"/>
    <mergeCell ref="B14:Q14"/>
    <mergeCell ref="D19:E19"/>
    <mergeCell ref="F19:H19"/>
    <mergeCell ref="M19:N19"/>
    <mergeCell ref="F33:H33"/>
    <mergeCell ref="F21:H21"/>
    <mergeCell ref="F22:H22"/>
    <mergeCell ref="F23:H23"/>
    <mergeCell ref="F24:H24"/>
    <mergeCell ref="F25:H25"/>
    <mergeCell ref="F26:H26"/>
    <mergeCell ref="D30:E30"/>
    <mergeCell ref="F30:H30"/>
    <mergeCell ref="M30:N30"/>
    <mergeCell ref="M31:N31"/>
    <mergeCell ref="F32:H32"/>
    <mergeCell ref="M45:N45"/>
    <mergeCell ref="M46:N46"/>
    <mergeCell ref="F34:H34"/>
    <mergeCell ref="F35:H35"/>
    <mergeCell ref="F36:H36"/>
    <mergeCell ref="F37:H37"/>
    <mergeCell ref="F38:H38"/>
    <mergeCell ref="F39:H39"/>
    <mergeCell ref="D54:E54"/>
    <mergeCell ref="F54:H54"/>
    <mergeCell ref="F40:H40"/>
    <mergeCell ref="F41:H41"/>
    <mergeCell ref="D45:E45"/>
    <mergeCell ref="F45:H45"/>
    <mergeCell ref="F59:H59"/>
    <mergeCell ref="F47:H47"/>
    <mergeCell ref="F48:H48"/>
    <mergeCell ref="F49:H49"/>
    <mergeCell ref="F50:H50"/>
    <mergeCell ref="M54:N54"/>
    <mergeCell ref="M55:N55"/>
    <mergeCell ref="F56:H56"/>
    <mergeCell ref="F57:H57"/>
    <mergeCell ref="F58:H58"/>
    <mergeCell ref="F60:H60"/>
    <mergeCell ref="F61:H61"/>
    <mergeCell ref="F62:H62"/>
    <mergeCell ref="F63:H63"/>
    <mergeCell ref="D67:E67"/>
    <mergeCell ref="F67:H67"/>
    <mergeCell ref="F78:H78"/>
    <mergeCell ref="M67:N67"/>
    <mergeCell ref="M68:N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G95:J95"/>
    <mergeCell ref="G96:J96"/>
    <mergeCell ref="G97:J97"/>
    <mergeCell ref="O82:Q82"/>
    <mergeCell ref="O83:Q83"/>
    <mergeCell ref="O84:Q84"/>
    <mergeCell ref="O85:Q85"/>
    <mergeCell ref="O86:Q86"/>
    <mergeCell ref="G94:J94"/>
  </mergeCells>
  <conditionalFormatting sqref="B101">
    <cfRule type="cellIs" dxfId="7" priority="1" stopIfTrue="1" operator="lessThan">
      <formula>#REF!</formula>
    </cfRule>
    <cfRule type="cellIs" dxfId="6" priority="2" stopIfTrue="1" operator="greaterThanOrEqual">
      <formula>#REF!</formula>
    </cfRule>
  </conditionalFormatting>
  <dataValidations count="15">
    <dataValidation type="list" allowBlank="1" showInputMessage="1" showErrorMessage="1" sqref="I6:Q6">
      <formula1>$AU$4:$AU$7</formula1>
    </dataValidation>
    <dataValidation type="list" allowBlank="1" showInputMessage="1" showErrorMessage="1" sqref="B56:B63">
      <formula1>Toitures</formula1>
    </dataValidation>
    <dataValidation type="list" allowBlank="1" showInputMessage="1" showErrorMessage="1" sqref="B32:B41">
      <formula1>Menuiseries</formula1>
    </dataValidation>
    <dataValidation type="list" allowBlank="1" showInputMessage="1" showErrorMessage="1" sqref="B69:B78">
      <formula1>Ponts</formula1>
    </dataValidation>
    <dataValidation type="list" allowBlank="1" showInputMessage="1" showErrorMessage="1" sqref="B47:B50">
      <formula1>planchers</formula1>
    </dataValidation>
    <dataValidation type="list" allowBlank="1" showInputMessage="1" showErrorMessage="1" sqref="B21:B26">
      <formula1>Murs</formula1>
    </dataValidation>
    <dataValidation type="list" allowBlank="1" showInputMessage="1" showErrorMessage="1" sqref="O82:Q82">
      <formula1>$AU$21:$AU$23</formula1>
    </dataValidation>
    <dataValidation type="list" allowBlank="1" showInputMessage="1" showErrorMessage="1" sqref="O85:Q85">
      <formula1>$AM$28:$AM$30</formula1>
    </dataValidation>
    <dataValidation type="list" allowBlank="1" showInputMessage="1" showErrorMessage="1" sqref="O83:Q83">
      <formula1>$AO$21:$AO$23</formula1>
    </dataValidation>
    <dataValidation type="list" allowBlank="1" showInputMessage="1" showErrorMessage="1" sqref="I7">
      <formula1>$AU$11:$AU$19</formula1>
    </dataValidation>
    <dataValidation type="list" allowBlank="1" showInputMessage="1" showErrorMessage="1" sqref="N5:Q5">
      <formula1>INDIRECT($N$4)</formula1>
    </dataValidation>
    <dataValidation type="list" allowBlank="1" showInputMessage="1" showErrorMessage="1" sqref="N4">
      <formula1>Bâtiments</formula1>
    </dataValidation>
    <dataValidation type="list" allowBlank="1" showInputMessage="1" showErrorMessage="1" sqref="F21:F26 F47:F50 F56:F63 F32:F41 F69:F78">
      <formula1>Contact</formula1>
    </dataValidation>
    <dataValidation type="list" allowBlank="1" showInputMessage="1" showErrorMessage="1" sqref="O86:Q86">
      <formula1>INDIRECT($O$84)</formula1>
    </dataValidation>
    <dataValidation type="list" allowBlank="1" showInputMessage="1" showErrorMessage="1" sqref="O84:Q84">
      <formula1>INDIRECT($O$83)</formula1>
    </dataValidation>
  </dataValidations>
  <pageMargins left="0.78740157480314965" right="0.19685039370078741" top="0.62992125984251968" bottom="0.62992125984251968" header="0.51181102362204722" footer="0.51181102362204722"/>
  <pageSetup paperSize="9" scale="78" orientation="portrait" r:id="rId1"/>
  <headerFooter alignWithMargins="0">
    <oddHeader xml:space="preserve">&amp;R
</oddHeader>
    <oddFooter>&amp;L&amp;8Formulaire de calcul SIA 384.201&amp;C&amp;8Fiche du local&amp;R&amp;8Page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 tint="0.79998168889431442"/>
    <pageSetUpPr fitToPage="1"/>
  </sheetPr>
  <dimension ref="A1:BA132"/>
  <sheetViews>
    <sheetView showGridLines="0" topLeftCell="A100" zoomScaleNormal="100" zoomScaleSheetLayoutView="100" workbookViewId="0">
      <selection activeCell="F137" sqref="F137"/>
    </sheetView>
  </sheetViews>
  <sheetFormatPr baseColWidth="10" defaultRowHeight="12.75" x14ac:dyDescent="0.2"/>
  <cols>
    <col min="1" max="1" width="0.7109375" style="14" customWidth="1"/>
    <col min="2" max="3" width="6.140625" style="14" customWidth="1"/>
    <col min="4" max="5" width="9.42578125" style="14" customWidth="1"/>
    <col min="6" max="6" width="6.140625" style="14" customWidth="1"/>
    <col min="7" max="9" width="6" style="14" customWidth="1"/>
    <col min="10" max="10" width="7.140625" style="14" customWidth="1"/>
    <col min="11" max="11" width="6.140625" style="14" customWidth="1"/>
    <col min="12" max="12" width="6.5703125" style="14" customWidth="1"/>
    <col min="13" max="14" width="6.140625" style="14" customWidth="1"/>
    <col min="15" max="15" width="7.140625" style="14" customWidth="1"/>
    <col min="16" max="16" width="9.140625" style="14" bestFit="1" customWidth="1"/>
    <col min="17" max="17" width="7" style="14" bestFit="1" customWidth="1"/>
    <col min="18" max="20" width="6.140625" style="14" customWidth="1"/>
    <col min="21" max="22" width="11.28515625" style="14" bestFit="1" customWidth="1"/>
    <col min="23" max="23" width="9.5703125" style="14" customWidth="1"/>
    <col min="24" max="24" width="13.85546875" style="14" customWidth="1"/>
    <col min="25" max="26" width="8.140625" style="14" customWidth="1"/>
    <col min="27" max="34" width="11.42578125" style="14"/>
    <col min="35" max="60" width="7.7109375" style="14" customWidth="1"/>
    <col min="61" max="16384" width="11.42578125" style="14"/>
  </cols>
  <sheetData>
    <row r="1" spans="1:53" s="22" customFormat="1" ht="14.25" customHeight="1" x14ac:dyDescent="0.2">
      <c r="A1" s="51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4"/>
    </row>
    <row r="2" spans="1:53" s="22" customFormat="1" ht="24.75" customHeight="1" x14ac:dyDescent="0.2">
      <c r="A2" s="51"/>
      <c r="B2" s="180" t="s">
        <v>33</v>
      </c>
      <c r="C2" s="181"/>
      <c r="D2" s="181"/>
      <c r="E2" s="182" t="s">
        <v>196</v>
      </c>
      <c r="F2" s="182"/>
      <c r="G2" s="330" t="s">
        <v>275</v>
      </c>
      <c r="H2" s="330"/>
      <c r="I2" s="23"/>
      <c r="J2" s="182" t="s">
        <v>27</v>
      </c>
      <c r="K2" s="183"/>
      <c r="L2" s="330" t="s">
        <v>272</v>
      </c>
      <c r="M2" s="330"/>
      <c r="N2" s="330"/>
      <c r="O2" s="184"/>
      <c r="P2" s="184"/>
      <c r="Q2" s="185"/>
      <c r="R2" s="24"/>
      <c r="AM2" s="21"/>
    </row>
    <row r="3" spans="1:53" s="22" customFormat="1" ht="15" x14ac:dyDescent="0.2">
      <c r="A3" s="51"/>
      <c r="B3" s="190"/>
      <c r="C3" s="191"/>
      <c r="D3" s="191"/>
      <c r="E3" s="192"/>
      <c r="F3" s="192"/>
      <c r="H3" s="193"/>
      <c r="J3" s="192"/>
      <c r="K3" s="194"/>
      <c r="L3" s="195"/>
      <c r="M3" s="195"/>
      <c r="N3" s="195"/>
      <c r="O3" s="195"/>
      <c r="P3" s="195"/>
      <c r="Q3" s="194"/>
      <c r="R3" s="24"/>
      <c r="AM3" s="6"/>
    </row>
    <row r="4" spans="1:53" s="22" customFormat="1" ht="14.25" x14ac:dyDescent="0.2">
      <c r="A4" s="51"/>
      <c r="B4" s="276" t="s">
        <v>92</v>
      </c>
      <c r="C4" s="277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551" t="s">
        <v>94</v>
      </c>
      <c r="O4" s="551"/>
      <c r="P4" s="551"/>
      <c r="Q4" s="552"/>
      <c r="R4" s="24"/>
      <c r="AU4" s="17" t="s">
        <v>95</v>
      </c>
    </row>
    <row r="5" spans="1:53" s="22" customFormat="1" ht="14.25" x14ac:dyDescent="0.2">
      <c r="A5" s="51"/>
      <c r="B5" s="280" t="s">
        <v>177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53" t="s">
        <v>93</v>
      </c>
      <c r="O5" s="553"/>
      <c r="P5" s="553"/>
      <c r="Q5" s="554"/>
      <c r="R5" s="24"/>
      <c r="AM5" s="6" t="s">
        <v>150</v>
      </c>
      <c r="AO5" s="17"/>
      <c r="AP5" s="21"/>
      <c r="AQ5" s="17"/>
      <c r="AR5" s="17">
        <v>0</v>
      </c>
      <c r="AS5" s="17">
        <v>0</v>
      </c>
      <c r="AU5" s="17" t="s">
        <v>147</v>
      </c>
    </row>
    <row r="6" spans="1:53" s="21" customFormat="1" ht="14.25" x14ac:dyDescent="0.2">
      <c r="A6" s="52"/>
      <c r="B6" s="280" t="s">
        <v>145</v>
      </c>
      <c r="C6" s="178"/>
      <c r="D6" s="178"/>
      <c r="E6" s="186" t="e">
        <f>#REF!</f>
        <v>#REF!</v>
      </c>
      <c r="F6" s="179"/>
      <c r="G6" s="179"/>
      <c r="H6" s="282" t="e">
        <f>E6&amp;" "&amp;I6</f>
        <v>#REF!</v>
      </c>
      <c r="I6" s="555" t="s">
        <v>147</v>
      </c>
      <c r="J6" s="555"/>
      <c r="K6" s="555"/>
      <c r="L6" s="555"/>
      <c r="M6" s="555"/>
      <c r="N6" s="555"/>
      <c r="O6" s="555"/>
      <c r="P6" s="555"/>
      <c r="Q6" s="556"/>
      <c r="R6" s="25"/>
      <c r="AM6" s="21" t="s">
        <v>151</v>
      </c>
      <c r="AN6" s="22"/>
      <c r="AO6" s="17"/>
      <c r="AQ6" s="17"/>
      <c r="AR6" s="17"/>
      <c r="AS6" s="17">
        <v>0.05</v>
      </c>
      <c r="AU6" s="17" t="s">
        <v>148</v>
      </c>
    </row>
    <row r="7" spans="1:53" s="21" customFormat="1" ht="14.25" x14ac:dyDescent="0.2">
      <c r="A7" s="52"/>
      <c r="B7" s="281" t="s">
        <v>167</v>
      </c>
      <c r="C7" s="151"/>
      <c r="D7" s="151"/>
      <c r="E7" s="53"/>
      <c r="F7" s="176"/>
      <c r="G7" s="176"/>
      <c r="H7" s="176"/>
      <c r="I7" s="557" t="s">
        <v>159</v>
      </c>
      <c r="J7" s="557"/>
      <c r="K7" s="557"/>
      <c r="L7" s="557"/>
      <c r="M7" s="557"/>
      <c r="N7" s="557"/>
      <c r="O7" s="557"/>
      <c r="P7" s="557"/>
      <c r="Q7" s="558"/>
      <c r="R7" s="25"/>
      <c r="AM7" s="21" t="s">
        <v>152</v>
      </c>
      <c r="AN7" s="22"/>
      <c r="AO7" s="17"/>
      <c r="AQ7" s="17"/>
      <c r="AS7" s="21">
        <v>0</v>
      </c>
      <c r="AT7" s="17"/>
      <c r="AU7" s="17" t="s">
        <v>149</v>
      </c>
      <c r="AV7" s="17"/>
      <c r="AW7" s="17"/>
      <c r="AX7" s="17"/>
      <c r="AY7" s="17"/>
      <c r="AZ7" s="17"/>
    </row>
    <row r="8" spans="1:53" s="21" customFormat="1" ht="14.25" x14ac:dyDescent="0.2">
      <c r="A8" s="52"/>
      <c r="B8" s="273"/>
      <c r="C8" s="53"/>
      <c r="D8" s="53"/>
      <c r="E8" s="53"/>
      <c r="F8" s="274"/>
      <c r="G8" s="53"/>
      <c r="H8" s="53"/>
      <c r="I8" s="53"/>
      <c r="J8" s="53"/>
      <c r="K8" s="53"/>
      <c r="L8" s="53"/>
      <c r="M8" s="274"/>
      <c r="N8" s="53"/>
      <c r="O8" s="274"/>
      <c r="P8" s="275"/>
      <c r="Q8" s="53"/>
      <c r="R8" s="25"/>
      <c r="AM8" s="21" t="s">
        <v>153</v>
      </c>
      <c r="AN8" s="22"/>
      <c r="AO8" s="17"/>
      <c r="AP8" s="17"/>
      <c r="AQ8" s="17"/>
      <c r="AR8" s="17"/>
      <c r="AS8" s="17">
        <v>0.02</v>
      </c>
      <c r="AT8" s="17">
        <v>0</v>
      </c>
      <c r="AU8" s="17">
        <v>0</v>
      </c>
      <c r="AV8" s="17"/>
      <c r="AW8" s="17"/>
      <c r="AX8" s="17"/>
      <c r="AY8" s="17"/>
      <c r="AZ8" s="17"/>
    </row>
    <row r="9" spans="1:53" s="21" customFormat="1" ht="14.25" x14ac:dyDescent="0.2">
      <c r="A9" s="52"/>
      <c r="B9" s="55" t="s">
        <v>28</v>
      </c>
      <c r="C9" s="56"/>
      <c r="D9" s="57"/>
      <c r="E9" s="58" t="s">
        <v>29</v>
      </c>
      <c r="F9" s="56"/>
      <c r="G9" s="56"/>
      <c r="H9" s="56"/>
      <c r="I9" s="56"/>
      <c r="J9" s="56"/>
      <c r="K9" s="428"/>
      <c r="L9" s="429"/>
      <c r="M9" s="58" t="s">
        <v>30</v>
      </c>
      <c r="N9" s="56"/>
      <c r="O9" s="56"/>
      <c r="P9" s="56"/>
      <c r="Q9" s="57"/>
      <c r="AM9" s="21" t="s">
        <v>154</v>
      </c>
      <c r="AN9" s="22"/>
      <c r="AO9" s="17"/>
      <c r="AP9" s="6"/>
      <c r="AQ9" s="17"/>
      <c r="AR9" s="6"/>
      <c r="AS9" s="17">
        <v>0.03</v>
      </c>
      <c r="AV9" s="17"/>
      <c r="AW9" s="17"/>
      <c r="AX9" s="17"/>
      <c r="AY9" s="17"/>
      <c r="AZ9" s="17" t="s">
        <v>146</v>
      </c>
      <c r="BA9" s="6" t="s">
        <v>2</v>
      </c>
    </row>
    <row r="10" spans="1:53" s="21" customFormat="1" ht="15.75" x14ac:dyDescent="0.3">
      <c r="A10" s="52"/>
      <c r="B10" s="60"/>
      <c r="C10" s="61"/>
      <c r="D10" s="62"/>
      <c r="E10" s="63" t="s">
        <v>20</v>
      </c>
      <c r="F10" s="64" t="s">
        <v>16</v>
      </c>
      <c r="G10" s="559" t="s">
        <v>39</v>
      </c>
      <c r="H10" s="560"/>
      <c r="I10" s="560"/>
      <c r="J10" s="561"/>
      <c r="K10" s="334" t="s">
        <v>35</v>
      </c>
      <c r="L10" s="427" t="s">
        <v>36</v>
      </c>
      <c r="M10" s="333" t="s">
        <v>0</v>
      </c>
      <c r="N10" s="334" t="s">
        <v>7</v>
      </c>
      <c r="O10" s="334" t="s">
        <v>1</v>
      </c>
      <c r="P10" s="334" t="s">
        <v>8</v>
      </c>
      <c r="Q10" s="335" t="s">
        <v>21</v>
      </c>
      <c r="AM10" s="21" t="s">
        <v>155</v>
      </c>
      <c r="AN10" s="22"/>
      <c r="AO10" s="17"/>
      <c r="AP10" s="17"/>
      <c r="AQ10" s="17"/>
      <c r="AR10" s="17"/>
      <c r="AS10" s="17">
        <v>0</v>
      </c>
      <c r="AU10" s="6" t="s">
        <v>158</v>
      </c>
      <c r="AV10" s="17"/>
      <c r="AW10" s="17"/>
      <c r="AX10" s="17"/>
      <c r="AY10" s="6"/>
      <c r="AZ10" s="337" t="s">
        <v>175</v>
      </c>
      <c r="BA10" s="337">
        <v>1</v>
      </c>
    </row>
    <row r="11" spans="1:53" s="21" customFormat="1" ht="14.25" x14ac:dyDescent="0.2">
      <c r="A11" s="52"/>
      <c r="B11" s="65"/>
      <c r="C11" s="66"/>
      <c r="D11" s="67"/>
      <c r="E11" s="68" t="s">
        <v>4</v>
      </c>
      <c r="F11" s="69" t="s">
        <v>4</v>
      </c>
      <c r="G11" s="562" t="s">
        <v>8</v>
      </c>
      <c r="H11" s="563"/>
      <c r="I11" s="563"/>
      <c r="J11" s="564"/>
      <c r="K11" s="69" t="s">
        <v>5</v>
      </c>
      <c r="L11" s="69" t="s">
        <v>4</v>
      </c>
      <c r="M11" s="68" t="s">
        <v>3</v>
      </c>
      <c r="N11" s="69" t="s">
        <v>3</v>
      </c>
      <c r="O11" s="69" t="s">
        <v>10</v>
      </c>
      <c r="P11" s="69" t="s">
        <v>3</v>
      </c>
      <c r="Q11" s="70" t="s">
        <v>11</v>
      </c>
      <c r="AM11" s="21" t="s">
        <v>156</v>
      </c>
      <c r="AN11" s="22"/>
      <c r="AO11" s="17"/>
      <c r="AP11" s="6"/>
      <c r="AQ11" s="17"/>
      <c r="AR11" s="6"/>
      <c r="AS11" s="17">
        <v>0.01</v>
      </c>
      <c r="AU11" s="6" t="s">
        <v>146</v>
      </c>
      <c r="AY11" s="6"/>
      <c r="AZ11" s="337" t="s">
        <v>174</v>
      </c>
      <c r="BA11" s="336" t="s">
        <v>7</v>
      </c>
    </row>
    <row r="12" spans="1:53" s="17" customFormat="1" ht="15" x14ac:dyDescent="0.2">
      <c r="A12" s="54"/>
      <c r="B12" s="73"/>
      <c r="C12" s="72"/>
      <c r="D12" s="74"/>
      <c r="E12" s="449" t="e">
        <f>VLOOKUP(N5,#REF!,2,FALSE)</f>
        <v>#REF!</v>
      </c>
      <c r="F12" s="450" t="e">
        <f>#REF!</f>
        <v>#REF!</v>
      </c>
      <c r="G12" s="542" t="e">
        <f>#REF!</f>
        <v>#REF!</v>
      </c>
      <c r="H12" s="543"/>
      <c r="I12" s="543"/>
      <c r="J12" s="544"/>
      <c r="K12" s="94" t="e">
        <f>#REF!</f>
        <v>#REF!</v>
      </c>
      <c r="L12" s="450" t="e">
        <f>IF(ISNUMBER(F12),F12+K12,F12)</f>
        <v>#REF!</v>
      </c>
      <c r="M12" s="458">
        <v>1</v>
      </c>
      <c r="N12" s="459">
        <v>6</v>
      </c>
      <c r="O12" s="459">
        <f>M12*N12</f>
        <v>6</v>
      </c>
      <c r="P12" s="459"/>
      <c r="Q12" s="460">
        <f>O12*P12</f>
        <v>0</v>
      </c>
      <c r="AM12" s="21" t="s">
        <v>157</v>
      </c>
      <c r="AN12" s="22"/>
      <c r="AR12" s="22"/>
      <c r="AS12" s="17">
        <v>0.02</v>
      </c>
      <c r="AU12" s="6" t="s">
        <v>159</v>
      </c>
      <c r="AV12" s="21">
        <v>1</v>
      </c>
      <c r="AY12" s="6"/>
      <c r="AZ12" s="337" t="s">
        <v>180</v>
      </c>
      <c r="BA12" s="336" t="s">
        <v>199</v>
      </c>
    </row>
    <row r="13" spans="1:53" s="6" customFormat="1" ht="12" customHeight="1" x14ac:dyDescent="0.2">
      <c r="A13" s="54"/>
      <c r="B13" s="75"/>
      <c r="C13" s="75"/>
      <c r="D13" s="75"/>
      <c r="E13" s="234"/>
      <c r="F13" s="234"/>
      <c r="G13" s="299"/>
      <c r="I13" s="300"/>
      <c r="J13" s="234"/>
      <c r="K13" s="234"/>
      <c r="L13" s="234"/>
      <c r="M13" s="234"/>
      <c r="N13" s="234"/>
      <c r="O13" s="234"/>
      <c r="P13" s="85"/>
      <c r="Q13" s="85"/>
      <c r="AU13" s="6" t="s">
        <v>160</v>
      </c>
      <c r="AV13" s="17">
        <v>1.3</v>
      </c>
      <c r="AZ13" s="337" t="s">
        <v>176</v>
      </c>
      <c r="BA13" s="336" t="s">
        <v>7</v>
      </c>
    </row>
    <row r="14" spans="1:53" s="17" customFormat="1" ht="14.25" customHeight="1" x14ac:dyDescent="0.2">
      <c r="A14" s="59"/>
      <c r="B14" s="545" t="s">
        <v>200</v>
      </c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AM14" s="21" t="s">
        <v>146</v>
      </c>
      <c r="AP14" s="22"/>
      <c r="AQ14" s="22"/>
      <c r="AR14" s="22"/>
      <c r="AS14" s="22">
        <v>0</v>
      </c>
      <c r="AU14" s="6" t="s">
        <v>161</v>
      </c>
      <c r="AV14" s="6">
        <v>1.4</v>
      </c>
    </row>
    <row r="15" spans="1:53" s="6" customFormat="1" ht="14.25" customHeight="1" x14ac:dyDescent="0.2">
      <c r="A15" s="17"/>
      <c r="B15" s="203" t="s">
        <v>184</v>
      </c>
      <c r="C15" s="201"/>
      <c r="D15" s="201"/>
      <c r="E15" s="201"/>
      <c r="F15" s="201"/>
      <c r="G15" s="201"/>
      <c r="H15" s="201"/>
      <c r="I15" s="269"/>
      <c r="J15" s="202"/>
      <c r="K15" s="202"/>
      <c r="L15" s="202"/>
      <c r="M15" s="202"/>
      <c r="N15" s="202"/>
      <c r="O15" s="202"/>
      <c r="P15" s="202"/>
      <c r="Q15" s="303"/>
      <c r="AM15" s="21" t="s">
        <v>96</v>
      </c>
      <c r="AN15" s="21"/>
      <c r="AO15" s="21"/>
      <c r="AP15" s="21"/>
      <c r="AQ15" s="21"/>
      <c r="AR15" s="21"/>
      <c r="AS15" s="21">
        <v>1</v>
      </c>
      <c r="AU15" s="6" t="s">
        <v>162</v>
      </c>
      <c r="AV15" s="17">
        <v>1.6</v>
      </c>
    </row>
    <row r="16" spans="1:53" s="17" customFormat="1" ht="13.5" customHeight="1" x14ac:dyDescent="0.25">
      <c r="B16" s="285" t="s">
        <v>185</v>
      </c>
      <c r="C16" s="301"/>
      <c r="D16" s="301"/>
      <c r="E16" s="301"/>
      <c r="F16" s="301"/>
      <c r="G16" s="301"/>
      <c r="H16" s="302" t="s">
        <v>41</v>
      </c>
      <c r="I16" s="71">
        <f>IF(I15="",1,(E12-I15)/(E12-L12))</f>
        <v>1</v>
      </c>
      <c r="J16" s="301"/>
      <c r="K16" s="301"/>
      <c r="L16" s="301"/>
      <c r="M16" s="301"/>
      <c r="N16" s="301"/>
      <c r="O16" s="301"/>
      <c r="P16" s="301"/>
      <c r="Q16" s="304"/>
      <c r="R16" s="27"/>
      <c r="AM16" s="21" t="s">
        <v>97</v>
      </c>
      <c r="AN16" s="21"/>
      <c r="AO16" s="21"/>
      <c r="AP16" s="21"/>
      <c r="AQ16" s="21"/>
      <c r="AR16" s="21"/>
      <c r="AS16" s="21">
        <v>0.5</v>
      </c>
      <c r="AU16" s="6" t="s">
        <v>163</v>
      </c>
      <c r="AV16" s="6">
        <v>1.7</v>
      </c>
      <c r="AX16" s="22"/>
      <c r="AY16" s="22"/>
      <c r="AZ16" s="22"/>
    </row>
    <row r="17" spans="2:52" s="17" customFormat="1" ht="12" x14ac:dyDescent="0.2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15"/>
      <c r="AM17" s="21" t="s">
        <v>98</v>
      </c>
      <c r="AS17" s="17">
        <v>0.3</v>
      </c>
      <c r="AU17" s="6" t="s">
        <v>164</v>
      </c>
      <c r="AV17" s="17">
        <v>1.8</v>
      </c>
      <c r="AX17" s="21"/>
      <c r="AY17" s="21"/>
      <c r="AZ17" s="21"/>
    </row>
    <row r="18" spans="2:52" s="8" customFormat="1" x14ac:dyDescent="0.2">
      <c r="B18" s="209" t="s">
        <v>170</v>
      </c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1"/>
      <c r="R18" s="29"/>
      <c r="AM18" s="21" t="s">
        <v>99</v>
      </c>
      <c r="AN18" s="6"/>
      <c r="AO18" s="6"/>
      <c r="AP18" s="6"/>
      <c r="AQ18" s="6"/>
      <c r="AR18" s="6"/>
      <c r="AS18" s="6">
        <v>0.1</v>
      </c>
      <c r="AU18" s="6" t="s">
        <v>165</v>
      </c>
      <c r="AV18" s="17">
        <v>2</v>
      </c>
      <c r="AX18" s="21"/>
      <c r="AY18" s="21"/>
      <c r="AZ18" s="21"/>
    </row>
    <row r="19" spans="2:52" s="6" customFormat="1" ht="22.5" customHeight="1" x14ac:dyDescent="0.2">
      <c r="B19" s="188" t="s">
        <v>25</v>
      </c>
      <c r="C19" s="175" t="s">
        <v>14</v>
      </c>
      <c r="D19" s="546" t="s">
        <v>26</v>
      </c>
      <c r="E19" s="547"/>
      <c r="F19" s="548" t="s">
        <v>172</v>
      </c>
      <c r="G19" s="547"/>
      <c r="H19" s="549"/>
      <c r="I19" s="200" t="s">
        <v>7</v>
      </c>
      <c r="J19" s="175" t="s">
        <v>13</v>
      </c>
      <c r="K19" s="175" t="s">
        <v>198</v>
      </c>
      <c r="L19" s="175" t="s">
        <v>1</v>
      </c>
      <c r="M19" s="546" t="s">
        <v>173</v>
      </c>
      <c r="N19" s="550"/>
      <c r="O19" s="197" t="s">
        <v>181</v>
      </c>
      <c r="P19" s="455" t="s">
        <v>17</v>
      </c>
      <c r="Q19" s="187" t="s">
        <v>18</v>
      </c>
      <c r="R19" s="5"/>
      <c r="AU19" s="6" t="s">
        <v>166</v>
      </c>
      <c r="AV19" s="8">
        <v>2.2000000000000002</v>
      </c>
      <c r="AX19" s="17"/>
      <c r="AY19" s="17"/>
      <c r="AZ19" s="17"/>
    </row>
    <row r="20" spans="2:52" s="6" customFormat="1" ht="14.25" customHeight="1" x14ac:dyDescent="0.2">
      <c r="B20" s="189" t="s">
        <v>2</v>
      </c>
      <c r="C20" s="172"/>
      <c r="D20" s="173"/>
      <c r="E20" s="172"/>
      <c r="F20" s="172"/>
      <c r="G20" s="174"/>
      <c r="H20" s="174"/>
      <c r="I20" s="170" t="s">
        <v>3</v>
      </c>
      <c r="J20" s="170" t="s">
        <v>3</v>
      </c>
      <c r="K20" s="172" t="s">
        <v>197</v>
      </c>
      <c r="L20" s="170" t="s">
        <v>40</v>
      </c>
      <c r="M20" s="499" t="s">
        <v>7</v>
      </c>
      <c r="N20" s="499"/>
      <c r="O20" s="198" t="s">
        <v>182</v>
      </c>
      <c r="P20" s="171" t="s">
        <v>6</v>
      </c>
      <c r="Q20" s="374" t="s">
        <v>141</v>
      </c>
      <c r="R20" s="31"/>
      <c r="AM20" s="5"/>
      <c r="AN20" s="5"/>
    </row>
    <row r="21" spans="2:52" s="6" customFormat="1" ht="12.75" customHeight="1" x14ac:dyDescent="0.2">
      <c r="B21" s="297" t="s">
        <v>48</v>
      </c>
      <c r="C21" s="35" t="s">
        <v>44</v>
      </c>
      <c r="D21" s="48" t="str">
        <f>IF(ISNA(VLOOKUP(B21,BibliothèqueProjet!$A$6:$J$70,2,FALSE)) = TRUE, "", VLOOKUP(B21,BibliothèqueProjet!$A$6:$J$20,2,FALSE))</f>
        <v>Murs Extérieur</v>
      </c>
      <c r="E21" s="33"/>
      <c r="F21" s="533" t="s">
        <v>180</v>
      </c>
      <c r="G21" s="534"/>
      <c r="H21" s="535"/>
      <c r="I21" s="212">
        <v>3.89</v>
      </c>
      <c r="J21" s="213">
        <v>3.4849999999999999</v>
      </c>
      <c r="K21" s="214">
        <v>6.35</v>
      </c>
      <c r="L21" s="36">
        <f t="shared" ref="L21:L26" si="0">(I21*J21)-K21</f>
        <v>7.2066499999999998</v>
      </c>
      <c r="M21" s="36" t="str">
        <f t="shared" ref="M21:M26" si="1">VLOOKUP(F21,$AZ$9:$BA$13,2,FALSE)</f>
        <v>fij</v>
      </c>
      <c r="N21" s="332">
        <v>1</v>
      </c>
      <c r="O21" s="199">
        <f>IF(B21&lt;&gt;0,VLOOKUP(B21,BibliothèqueProjet!$A$5:$J$20,10,FALSE),"")</f>
        <v>0.15</v>
      </c>
      <c r="P21" s="372">
        <f t="shared" ref="P21:P26" si="2">IF(O21&lt;&gt;"",L21*N21*O21,"")</f>
        <v>1.0809974999999998</v>
      </c>
      <c r="Q21" s="168" t="e">
        <f t="shared" ref="Q21:Q26" si="3">IF(P21&lt;&gt;"",P21*($E$12-$L$12),"")</f>
        <v>#REF!</v>
      </c>
      <c r="R21" s="31"/>
      <c r="AM21" s="10" t="s">
        <v>95</v>
      </c>
      <c r="AN21" s="10" t="s">
        <v>95</v>
      </c>
      <c r="AO21" s="10" t="s">
        <v>95</v>
      </c>
      <c r="AP21" s="10" t="s">
        <v>95</v>
      </c>
      <c r="AQ21" s="7"/>
      <c r="AR21" s="1" t="s">
        <v>101</v>
      </c>
      <c r="AS21" s="1" t="s">
        <v>102</v>
      </c>
      <c r="AT21" s="7"/>
      <c r="AU21" s="10" t="s">
        <v>95</v>
      </c>
      <c r="AV21" s="17"/>
      <c r="AW21" s="17"/>
      <c r="AX21" s="17"/>
      <c r="AY21" s="17"/>
      <c r="AZ21" s="17"/>
    </row>
    <row r="22" spans="2:52" s="6" customFormat="1" x14ac:dyDescent="0.2">
      <c r="B22" s="298"/>
      <c r="C22" s="38"/>
      <c r="D22" s="48" t="str">
        <f>IF(ISNA(VLOOKUP(B22,BibliothèqueProjet!$A$6:$J$70,2,FALSE)) = TRUE, "", VLOOKUP(B22,BibliothèqueProjet!$A$6:$J$20,2,FALSE))</f>
        <v/>
      </c>
      <c r="E22" s="39"/>
      <c r="F22" s="536" t="s">
        <v>146</v>
      </c>
      <c r="G22" s="537"/>
      <c r="H22" s="538"/>
      <c r="I22" s="215"/>
      <c r="J22" s="216"/>
      <c r="K22" s="217"/>
      <c r="L22" s="36">
        <f t="shared" si="0"/>
        <v>0</v>
      </c>
      <c r="M22" s="36" t="str">
        <f t="shared" si="1"/>
        <v>-</v>
      </c>
      <c r="N22" s="331"/>
      <c r="O22" s="199" t="str">
        <f>IF(B22&lt;&gt;0,VLOOKUP(B22,BibliothèqueProjet!$A$5:$J$20,10,FALSE),"")</f>
        <v/>
      </c>
      <c r="P22" s="372" t="str">
        <f t="shared" si="2"/>
        <v/>
      </c>
      <c r="Q22" s="168" t="str">
        <f t="shared" si="3"/>
        <v/>
      </c>
      <c r="R22" s="31"/>
      <c r="AM22" s="1" t="s">
        <v>105</v>
      </c>
      <c r="AN22" s="1" t="s">
        <v>105</v>
      </c>
      <c r="AO22" s="1" t="s">
        <v>101</v>
      </c>
      <c r="AP22" s="8"/>
      <c r="AQ22" s="8"/>
      <c r="AR22" s="10" t="s">
        <v>95</v>
      </c>
      <c r="AS22" s="95" t="s">
        <v>110</v>
      </c>
      <c r="AT22" s="7"/>
      <c r="AU22" s="17" t="s">
        <v>143</v>
      </c>
      <c r="AV22" s="17"/>
      <c r="AW22" s="5"/>
      <c r="AX22" s="5"/>
      <c r="AY22" s="5"/>
      <c r="AZ22" s="19"/>
    </row>
    <row r="23" spans="2:52" s="6" customFormat="1" ht="12.75" customHeight="1" x14ac:dyDescent="0.2">
      <c r="B23" s="298"/>
      <c r="C23" s="35"/>
      <c r="D23" s="48" t="str">
        <f>IF(ISNA(VLOOKUP(B23,BibliothèqueProjet!$A$6:$J$70,2,FALSE)) = TRUE, "", VLOOKUP(B23,BibliothèqueProjet!$A$6:$J$20,2,FALSE))</f>
        <v/>
      </c>
      <c r="E23" s="33"/>
      <c r="F23" s="536" t="s">
        <v>146</v>
      </c>
      <c r="G23" s="537"/>
      <c r="H23" s="538"/>
      <c r="I23" s="212"/>
      <c r="J23" s="213"/>
      <c r="K23" s="214"/>
      <c r="L23" s="36">
        <f t="shared" si="0"/>
        <v>0</v>
      </c>
      <c r="M23" s="36" t="str">
        <f t="shared" si="1"/>
        <v>-</v>
      </c>
      <c r="N23" s="331"/>
      <c r="O23" s="199" t="str">
        <f>IF(B23&lt;&gt;0,VLOOKUP(B23,BibliothèqueProjet!$A$5:$J$20,10,FALSE),"")</f>
        <v/>
      </c>
      <c r="P23" s="372" t="str">
        <f t="shared" si="2"/>
        <v/>
      </c>
      <c r="Q23" s="168" t="str">
        <f t="shared" si="3"/>
        <v/>
      </c>
      <c r="R23" s="31"/>
      <c r="AM23" s="1" t="s">
        <v>107</v>
      </c>
      <c r="AN23" s="1" t="s">
        <v>107</v>
      </c>
      <c r="AO23" s="1" t="s">
        <v>102</v>
      </c>
      <c r="AP23" s="1"/>
      <c r="AQ23" s="7"/>
      <c r="AR23" s="1" t="s">
        <v>104</v>
      </c>
      <c r="AS23" s="7"/>
      <c r="AT23" s="7"/>
      <c r="AU23" s="17" t="s">
        <v>144</v>
      </c>
      <c r="AV23" s="17"/>
      <c r="AW23" s="5"/>
      <c r="AX23" s="5"/>
      <c r="AY23" s="5"/>
      <c r="AZ23" s="19"/>
    </row>
    <row r="24" spans="2:52" s="6" customFormat="1" ht="12" customHeight="1" x14ac:dyDescent="0.2">
      <c r="B24" s="298"/>
      <c r="C24" s="35"/>
      <c r="D24" s="48" t="str">
        <f>IF(ISNA(VLOOKUP(B24,BibliothèqueProjet!$A$6:$J$70,2,FALSE)) = TRUE, "", VLOOKUP(B24,BibliothèqueProjet!$A$6:$J$20,2,FALSE))</f>
        <v/>
      </c>
      <c r="E24" s="33"/>
      <c r="F24" s="536" t="s">
        <v>146</v>
      </c>
      <c r="G24" s="537"/>
      <c r="H24" s="538"/>
      <c r="I24" s="212"/>
      <c r="J24" s="213"/>
      <c r="K24" s="214"/>
      <c r="L24" s="36">
        <f t="shared" si="0"/>
        <v>0</v>
      </c>
      <c r="M24" s="36" t="str">
        <f t="shared" si="1"/>
        <v>-</v>
      </c>
      <c r="N24" s="331"/>
      <c r="O24" s="199" t="str">
        <f>IF(B24&lt;&gt;0,VLOOKUP(B24,BibliothèqueProjet!$A$5:$J$20,10,FALSE),"")</f>
        <v/>
      </c>
      <c r="P24" s="372" t="str">
        <f t="shared" si="2"/>
        <v/>
      </c>
      <c r="Q24" s="168" t="str">
        <f t="shared" si="3"/>
        <v/>
      </c>
      <c r="R24" s="31"/>
      <c r="AM24" s="1" t="s">
        <v>106</v>
      </c>
      <c r="AN24" s="1" t="s">
        <v>106</v>
      </c>
      <c r="AO24" s="17"/>
      <c r="AP24" s="1"/>
      <c r="AQ24" s="7"/>
      <c r="AR24" s="17" t="s">
        <v>109</v>
      </c>
      <c r="AS24" s="7"/>
      <c r="AT24" s="7"/>
      <c r="AU24" s="17"/>
      <c r="AV24" s="17"/>
      <c r="AW24" s="5"/>
      <c r="AX24" s="5"/>
      <c r="AY24" s="5"/>
      <c r="AZ24" s="19"/>
    </row>
    <row r="25" spans="2:52" s="6" customFormat="1" ht="12" customHeight="1" x14ac:dyDescent="0.2">
      <c r="B25" s="298"/>
      <c r="C25" s="35"/>
      <c r="D25" s="48" t="str">
        <f>IF(ISNA(VLOOKUP(B25,BibliothèqueProjet!$A$6:$J$70,2,FALSE)) = TRUE, "", VLOOKUP(B25,BibliothèqueProjet!$A$6:$J$20,2,FALSE))</f>
        <v/>
      </c>
      <c r="E25" s="33"/>
      <c r="F25" s="536" t="s">
        <v>146</v>
      </c>
      <c r="G25" s="537"/>
      <c r="H25" s="538"/>
      <c r="I25" s="212"/>
      <c r="J25" s="213"/>
      <c r="K25" s="214"/>
      <c r="L25" s="36">
        <f t="shared" si="0"/>
        <v>0</v>
      </c>
      <c r="M25" s="36" t="str">
        <f t="shared" si="1"/>
        <v>-</v>
      </c>
      <c r="N25" s="331"/>
      <c r="O25" s="199" t="str">
        <f>IF(B25&lt;&gt;0,VLOOKUP(B25,BibliothèqueProjet!$A$5:$J$20,10,FALSE),"")</f>
        <v/>
      </c>
      <c r="P25" s="372" t="str">
        <f t="shared" si="2"/>
        <v/>
      </c>
      <c r="Q25" s="168" t="str">
        <f t="shared" si="3"/>
        <v/>
      </c>
      <c r="R25" s="31"/>
      <c r="AM25" s="28"/>
      <c r="AN25" s="17"/>
      <c r="AO25" s="17"/>
      <c r="AP25" s="1"/>
      <c r="AQ25" s="1"/>
      <c r="AR25" s="1"/>
      <c r="AS25" s="1"/>
      <c r="AT25" s="7"/>
      <c r="AU25" s="17"/>
      <c r="AV25" s="17"/>
      <c r="AW25" s="5"/>
      <c r="AX25" s="5"/>
      <c r="AY25" s="5"/>
      <c r="AZ25" s="5"/>
    </row>
    <row r="26" spans="2:52" s="6" customFormat="1" ht="12" customHeight="1" x14ac:dyDescent="0.2">
      <c r="B26" s="298"/>
      <c r="C26" s="38"/>
      <c r="D26" s="48" t="str">
        <f>IF(ISNA(VLOOKUP(B26,BibliothèqueProjet!$A$6:$J$70,2,FALSE)) = TRUE, "", VLOOKUP(B26,BibliothèqueProjet!$A$6:$J$20,2,FALSE))</f>
        <v/>
      </c>
      <c r="E26" s="33"/>
      <c r="F26" s="539" t="s">
        <v>146</v>
      </c>
      <c r="G26" s="540"/>
      <c r="H26" s="541"/>
      <c r="I26" s="212"/>
      <c r="J26" s="213"/>
      <c r="K26" s="214"/>
      <c r="L26" s="36">
        <f t="shared" si="0"/>
        <v>0</v>
      </c>
      <c r="M26" s="36" t="str">
        <f t="shared" si="1"/>
        <v>-</v>
      </c>
      <c r="N26" s="331"/>
      <c r="O26" s="199" t="str">
        <f>IF(B26&lt;&gt;0,VLOOKUP(B26,BibliothèqueProjet!$A$5:$J$20,10,FALSE),"")</f>
        <v/>
      </c>
      <c r="P26" s="372" t="str">
        <f t="shared" si="2"/>
        <v/>
      </c>
      <c r="Q26" s="168" t="str">
        <f t="shared" si="3"/>
        <v/>
      </c>
      <c r="AM26" s="28"/>
      <c r="AN26" s="17"/>
      <c r="AO26" s="17"/>
      <c r="AP26" s="1"/>
      <c r="AQ26" s="1"/>
      <c r="AR26" s="1"/>
      <c r="AS26" s="1"/>
      <c r="AT26" s="7"/>
      <c r="AU26" s="17"/>
      <c r="AV26" s="17"/>
      <c r="AW26" s="5"/>
      <c r="AX26" s="5"/>
      <c r="AY26" s="5"/>
      <c r="AZ26" s="5"/>
    </row>
    <row r="27" spans="2:52" s="6" customFormat="1" ht="15" x14ac:dyDescent="0.25">
      <c r="B27" s="76" t="s">
        <v>42</v>
      </c>
      <c r="C27" s="56"/>
      <c r="D27" s="77"/>
      <c r="E27" s="56"/>
      <c r="F27" s="56"/>
      <c r="G27" s="56"/>
      <c r="H27" s="78"/>
      <c r="I27" s="79"/>
      <c r="J27" s="80"/>
      <c r="K27" s="78"/>
      <c r="L27" s="79"/>
      <c r="M27" s="79"/>
      <c r="N27" s="81"/>
      <c r="O27" s="82" t="s">
        <v>9</v>
      </c>
      <c r="P27" s="268">
        <f>SUM(P21:P26)</f>
        <v>1.0809974999999998</v>
      </c>
      <c r="Q27" s="268" t="e">
        <f>SUM(Q21:Q26)</f>
        <v>#REF!</v>
      </c>
      <c r="R27" s="32"/>
      <c r="AM27" s="28"/>
      <c r="AN27" s="17"/>
      <c r="AO27" s="17"/>
      <c r="AP27" s="1"/>
      <c r="AQ27" s="1" t="s">
        <v>104</v>
      </c>
      <c r="AR27" s="17" t="s">
        <v>109</v>
      </c>
      <c r="AS27" s="5"/>
      <c r="AT27" s="18" t="s">
        <v>108</v>
      </c>
      <c r="AU27" s="17"/>
      <c r="AV27" s="17"/>
      <c r="AW27" s="5"/>
      <c r="AX27" s="5"/>
      <c r="AY27" s="5"/>
      <c r="AZ27" s="5"/>
    </row>
    <row r="28" spans="2:52" s="17" customForma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AM28" s="10" t="s">
        <v>95</v>
      </c>
      <c r="AP28" s="1" t="s">
        <v>105</v>
      </c>
      <c r="AQ28" s="7">
        <v>4</v>
      </c>
      <c r="AR28" s="16">
        <v>2</v>
      </c>
      <c r="AS28" s="5"/>
      <c r="AT28" s="5">
        <v>0.1</v>
      </c>
      <c r="AW28" s="18"/>
      <c r="AX28" s="18"/>
      <c r="AY28" s="18"/>
      <c r="AZ28" s="18"/>
    </row>
    <row r="29" spans="2:52" s="17" customFormat="1" x14ac:dyDescent="0.2">
      <c r="B29" s="247" t="s">
        <v>187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9"/>
      <c r="R29" s="15"/>
      <c r="AM29" s="28" t="s">
        <v>113</v>
      </c>
      <c r="AP29" s="1" t="s">
        <v>107</v>
      </c>
      <c r="AQ29" s="7">
        <v>7</v>
      </c>
      <c r="AR29" s="43">
        <v>4</v>
      </c>
      <c r="AS29" s="5"/>
      <c r="AT29" s="5"/>
    </row>
    <row r="30" spans="2:52" s="17" customFormat="1" ht="22.5" customHeight="1" x14ac:dyDescent="0.2">
      <c r="B30" s="241" t="s">
        <v>25</v>
      </c>
      <c r="C30" s="242" t="s">
        <v>14</v>
      </c>
      <c r="D30" s="497" t="s">
        <v>26</v>
      </c>
      <c r="E30" s="509"/>
      <c r="F30" s="510" t="s">
        <v>172</v>
      </c>
      <c r="G30" s="509"/>
      <c r="H30" s="511"/>
      <c r="I30" s="243" t="s">
        <v>7</v>
      </c>
      <c r="J30" s="242" t="s">
        <v>13</v>
      </c>
      <c r="K30" s="242" t="s">
        <v>183</v>
      </c>
      <c r="L30" s="242" t="s">
        <v>1</v>
      </c>
      <c r="M30" s="497" t="s">
        <v>173</v>
      </c>
      <c r="N30" s="498"/>
      <c r="O30" s="244" t="s">
        <v>181</v>
      </c>
      <c r="P30" s="245" t="s">
        <v>17</v>
      </c>
      <c r="Q30" s="246" t="s">
        <v>18</v>
      </c>
      <c r="R30" s="15"/>
      <c r="AM30" s="28" t="s">
        <v>114</v>
      </c>
      <c r="AN30" s="18"/>
      <c r="AO30" s="18"/>
      <c r="AP30" s="1" t="s">
        <v>106</v>
      </c>
      <c r="AQ30" s="7">
        <v>10</v>
      </c>
      <c r="AR30" s="18">
        <v>5</v>
      </c>
      <c r="AS30" s="5"/>
      <c r="AT30" s="5"/>
    </row>
    <row r="31" spans="2:52" s="17" customFormat="1" ht="12" customHeight="1" x14ac:dyDescent="0.2">
      <c r="B31" s="189" t="s">
        <v>2</v>
      </c>
      <c r="C31" s="172"/>
      <c r="D31" s="173"/>
      <c r="E31" s="172"/>
      <c r="F31" s="172"/>
      <c r="G31" s="174"/>
      <c r="H31" s="174"/>
      <c r="I31" s="170" t="s">
        <v>3</v>
      </c>
      <c r="J31" s="170" t="s">
        <v>3</v>
      </c>
      <c r="K31" s="169" t="s">
        <v>2</v>
      </c>
      <c r="L31" s="170" t="s">
        <v>40</v>
      </c>
      <c r="M31" s="499" t="s">
        <v>7</v>
      </c>
      <c r="N31" s="499"/>
      <c r="O31" s="198" t="s">
        <v>182</v>
      </c>
      <c r="P31" s="171" t="s">
        <v>6</v>
      </c>
      <c r="Q31" s="374" t="s">
        <v>141</v>
      </c>
      <c r="R31" s="15"/>
      <c r="AM31" s="28"/>
      <c r="AN31" s="16"/>
      <c r="AO31" s="18"/>
      <c r="AT31" s="5"/>
    </row>
    <row r="32" spans="2:52" s="17" customFormat="1" ht="12" customHeight="1" x14ac:dyDescent="0.2">
      <c r="B32" s="295" t="s">
        <v>62</v>
      </c>
      <c r="C32" s="35" t="s">
        <v>44</v>
      </c>
      <c r="D32" s="48" t="str">
        <f>IF(ISNA(VLOOKUP(B32,BibliothèqueProjet!$A$43:$J$62,2,FALSE)) = TRUE, "", VLOOKUP(B32,BibliothèqueProjet!$A$43:$J$62,2,FALSE))</f>
        <v>Double vitrage 4/16/4</v>
      </c>
      <c r="E32" s="33"/>
      <c r="F32" s="530" t="s">
        <v>146</v>
      </c>
      <c r="G32" s="531"/>
      <c r="H32" s="532"/>
      <c r="I32" s="238">
        <v>2.75</v>
      </c>
      <c r="J32" s="377">
        <v>2.31</v>
      </c>
      <c r="K32" s="239">
        <v>1</v>
      </c>
      <c r="L32" s="354">
        <f>+I32*J32*K32</f>
        <v>6.3525</v>
      </c>
      <c r="M32" s="351" t="str">
        <f>VLOOKUP(F32,$AZ$9:$BA$13,2,FALSE)</f>
        <v>-</v>
      </c>
      <c r="N32" s="338">
        <v>1</v>
      </c>
      <c r="O32" s="354">
        <f>IF(B32&lt;&gt;0,VLOOKUP(B32,BibliothèqueProjet!$A$5:$J$70,10,FALSE),"")</f>
        <v>0.91</v>
      </c>
      <c r="P32" s="434">
        <f>IF(O32&lt;&gt;"",K32*L32*O32*N32,"")</f>
        <v>5.7807750000000002</v>
      </c>
      <c r="Q32" s="435" t="e">
        <f>IF(P32&lt;&gt;"",P32*($E$12-$L$12),"")</f>
        <v>#REF!</v>
      </c>
      <c r="R32" s="15"/>
      <c r="AM32" s="28"/>
      <c r="AN32" s="16"/>
      <c r="AO32" s="18"/>
      <c r="AT32" s="5"/>
    </row>
    <row r="33" spans="1:52" s="17" customFormat="1" ht="12" customHeight="1" x14ac:dyDescent="0.2">
      <c r="B33" s="295"/>
      <c r="C33" s="35"/>
      <c r="D33" s="48" t="str">
        <f>IF(ISNA(VLOOKUP(B33,BibliothèqueProjet!$A$43:$J$62,2,FALSE)) = TRUE, "", VLOOKUP(B33,BibliothèqueProjet!$A$43:$J$62,2,FALSE))</f>
        <v/>
      </c>
      <c r="E33" s="33"/>
      <c r="F33" s="524" t="s">
        <v>146</v>
      </c>
      <c r="G33" s="525"/>
      <c r="H33" s="526"/>
      <c r="I33" s="238"/>
      <c r="J33" s="377"/>
      <c r="K33" s="239"/>
      <c r="L33" s="355">
        <f t="shared" ref="L33:L38" si="4">+I33*J33*K33</f>
        <v>0</v>
      </c>
      <c r="M33" s="352" t="str">
        <f t="shared" ref="M33:M38" si="5">VLOOKUP(F33,$AZ$9:$BA$13,2,FALSE)</f>
        <v>-</v>
      </c>
      <c r="N33" s="339"/>
      <c r="O33" s="355" t="str">
        <f>IF(B33&lt;&gt;0,VLOOKUP(B33,BibliothèqueProjet!$A$5:$J$70,10,FALSE),"")</f>
        <v/>
      </c>
      <c r="P33" s="373" t="str">
        <f>IF(O33&lt;&gt;"",K33*L33*O33*N33,"")</f>
        <v/>
      </c>
      <c r="Q33" s="88" t="str">
        <f t="shared" ref="Q33:Q41" si="6">IF(P33&lt;&gt;"",P33*($E$12-$L$12),"")</f>
        <v/>
      </c>
      <c r="R33" s="15"/>
      <c r="AM33" s="28"/>
      <c r="AN33" s="16"/>
      <c r="AO33" s="18"/>
      <c r="AT33" s="5"/>
    </row>
    <row r="34" spans="1:52" s="6" customFormat="1" ht="12.75" customHeight="1" x14ac:dyDescent="0.2">
      <c r="B34" s="295"/>
      <c r="C34" s="35"/>
      <c r="D34" s="48" t="str">
        <f>IF(ISNA(VLOOKUP(B34,BibliothèqueProjet!$A$43:$J$62,2,FALSE)) = TRUE, "", VLOOKUP(B34,BibliothèqueProjet!$A$43:$J$62,2,FALSE))</f>
        <v/>
      </c>
      <c r="E34" s="33"/>
      <c r="F34" s="524" t="s">
        <v>146</v>
      </c>
      <c r="G34" s="525"/>
      <c r="H34" s="526"/>
      <c r="I34" s="238"/>
      <c r="J34" s="377"/>
      <c r="K34" s="239"/>
      <c r="L34" s="355">
        <f t="shared" si="4"/>
        <v>0</v>
      </c>
      <c r="M34" s="352" t="str">
        <f t="shared" si="5"/>
        <v>-</v>
      </c>
      <c r="N34" s="339"/>
      <c r="O34" s="355" t="str">
        <f>IF(B34&lt;&gt;0,VLOOKUP(B34,BibliothèqueProjet!$A$5:$J$70,10,FALSE),"")</f>
        <v/>
      </c>
      <c r="P34" s="373" t="str">
        <f t="shared" ref="P34:P41" si="7">IF(O34&lt;&gt;"",K34*L34*O34*N34,"")</f>
        <v/>
      </c>
      <c r="Q34" s="88" t="str">
        <f t="shared" si="6"/>
        <v/>
      </c>
      <c r="R34" s="32"/>
      <c r="AM34" s="34"/>
      <c r="AN34" s="31"/>
    </row>
    <row r="35" spans="1:52" s="17" customFormat="1" x14ac:dyDescent="0.2">
      <c r="B35" s="295"/>
      <c r="C35" s="35"/>
      <c r="D35" s="48" t="str">
        <f>IF(ISNA(VLOOKUP(B35,BibliothèqueProjet!$A$43:$J$62,2,FALSE)) = TRUE, "", VLOOKUP(B35,BibliothèqueProjet!$A$43:$J$62,2,FALSE))</f>
        <v/>
      </c>
      <c r="E35" s="33"/>
      <c r="F35" s="524" t="s">
        <v>146</v>
      </c>
      <c r="G35" s="525"/>
      <c r="H35" s="526"/>
      <c r="I35" s="238"/>
      <c r="J35" s="377"/>
      <c r="K35" s="239"/>
      <c r="L35" s="355">
        <f t="shared" si="4"/>
        <v>0</v>
      </c>
      <c r="M35" s="352" t="str">
        <f t="shared" si="5"/>
        <v>-</v>
      </c>
      <c r="N35" s="339"/>
      <c r="O35" s="355" t="str">
        <f>IF(B35&lt;&gt;0,VLOOKUP(B35,BibliothèqueProjet!$A$5:$J$70,10,FALSE),"")</f>
        <v/>
      </c>
      <c r="P35" s="373" t="str">
        <f t="shared" si="7"/>
        <v/>
      </c>
      <c r="Q35" s="88" t="str">
        <f t="shared" si="6"/>
        <v/>
      </c>
      <c r="R35" s="15"/>
      <c r="AM35" s="28"/>
    </row>
    <row r="36" spans="1:52" s="17" customFormat="1" x14ac:dyDescent="0.2">
      <c r="B36" s="295"/>
      <c r="C36" s="35"/>
      <c r="D36" s="48" t="str">
        <f>IF(ISNA(VLOOKUP(B36,BibliothèqueProjet!$A$43:$J$62,2,FALSE)) = TRUE, "", VLOOKUP(B36,BibliothèqueProjet!$A$43:$J$62,2,FALSE))</f>
        <v/>
      </c>
      <c r="E36" s="33"/>
      <c r="F36" s="524" t="s">
        <v>146</v>
      </c>
      <c r="G36" s="525"/>
      <c r="H36" s="526"/>
      <c r="I36" s="238"/>
      <c r="J36" s="377"/>
      <c r="K36" s="239"/>
      <c r="L36" s="355">
        <f t="shared" si="4"/>
        <v>0</v>
      </c>
      <c r="M36" s="352" t="str">
        <f t="shared" si="5"/>
        <v>-</v>
      </c>
      <c r="N36" s="339"/>
      <c r="O36" s="355" t="str">
        <f>IF(B36&lt;&gt;0,VLOOKUP(B36,BibliothèqueProjet!$A$5:$J$70,10,FALSE),"")</f>
        <v/>
      </c>
      <c r="P36" s="373" t="str">
        <f t="shared" si="7"/>
        <v/>
      </c>
      <c r="Q36" s="88" t="str">
        <f t="shared" si="6"/>
        <v/>
      </c>
      <c r="R36" s="15"/>
      <c r="AM36" s="28"/>
    </row>
    <row r="37" spans="1:52" s="17" customFormat="1" x14ac:dyDescent="0.2">
      <c r="B37" s="295"/>
      <c r="C37" s="35"/>
      <c r="D37" s="48" t="str">
        <f>IF(ISNA(VLOOKUP(B37,BibliothèqueProjet!$A$43:$J$62,2,FALSE)) = TRUE, "", VLOOKUP(B37,BibliothèqueProjet!$A$43:$J$62,2,FALSE))</f>
        <v/>
      </c>
      <c r="E37" s="33"/>
      <c r="F37" s="524" t="s">
        <v>146</v>
      </c>
      <c r="G37" s="525"/>
      <c r="H37" s="526"/>
      <c r="I37" s="238"/>
      <c r="J37" s="377"/>
      <c r="K37" s="239"/>
      <c r="L37" s="355">
        <f t="shared" si="4"/>
        <v>0</v>
      </c>
      <c r="M37" s="352" t="str">
        <f t="shared" si="5"/>
        <v>-</v>
      </c>
      <c r="N37" s="339"/>
      <c r="O37" s="355" t="str">
        <f>IF(B37&lt;&gt;0,VLOOKUP(B37,BibliothèqueProjet!$A$5:$J$70,10,FALSE),"")</f>
        <v/>
      </c>
      <c r="P37" s="373" t="str">
        <f t="shared" si="7"/>
        <v/>
      </c>
      <c r="Q37" s="88" t="str">
        <f t="shared" si="6"/>
        <v/>
      </c>
      <c r="R37" s="15"/>
      <c r="AM37" s="28"/>
    </row>
    <row r="38" spans="1:52" s="17" customFormat="1" x14ac:dyDescent="0.2">
      <c r="B38" s="295"/>
      <c r="C38" s="35"/>
      <c r="D38" s="48" t="str">
        <f>IF(ISNA(VLOOKUP(B38,BibliothèqueProjet!$A$43:$J$62,2,FALSE)) = TRUE, "", VLOOKUP(B38,BibliothèqueProjet!$A$43:$J$62,2,FALSE))</f>
        <v/>
      </c>
      <c r="E38" s="33"/>
      <c r="F38" s="524" t="s">
        <v>146</v>
      </c>
      <c r="G38" s="525"/>
      <c r="H38" s="526"/>
      <c r="I38" s="238"/>
      <c r="J38" s="377"/>
      <c r="K38" s="239"/>
      <c r="L38" s="355">
        <f t="shared" si="4"/>
        <v>0</v>
      </c>
      <c r="M38" s="352" t="str">
        <f t="shared" si="5"/>
        <v>-</v>
      </c>
      <c r="N38" s="339"/>
      <c r="O38" s="355" t="str">
        <f>IF(B38&lt;&gt;0,VLOOKUP(B38,BibliothèqueProjet!$A$5:$J$70,10,FALSE),"")</f>
        <v/>
      </c>
      <c r="P38" s="373" t="str">
        <f t="shared" si="7"/>
        <v/>
      </c>
      <c r="Q38" s="88" t="str">
        <f t="shared" si="6"/>
        <v/>
      </c>
      <c r="R38" s="15"/>
      <c r="AM38" s="28"/>
    </row>
    <row r="39" spans="1:52" s="17" customFormat="1" x14ac:dyDescent="0.2">
      <c r="B39" s="296"/>
      <c r="C39" s="38"/>
      <c r="D39" s="48" t="str">
        <f>IF(ISNA(VLOOKUP(B39,BibliothèqueProjet!$A$6:$J$70,2,FALSE)) = TRUE, "", VLOOKUP(B39,BibliothèqueProjet!$A$6:$J$70,2,FALSE))</f>
        <v/>
      </c>
      <c r="E39" s="39"/>
      <c r="F39" s="524" t="s">
        <v>146</v>
      </c>
      <c r="G39" s="525"/>
      <c r="H39" s="526"/>
      <c r="I39" s="240"/>
      <c r="J39" s="378"/>
      <c r="K39" s="239"/>
      <c r="L39" s="355">
        <f>+I39*J39*K39</f>
        <v>0</v>
      </c>
      <c r="M39" s="352" t="str">
        <f>VLOOKUP(F39,$AZ$9:$BA$13,2,FALSE)</f>
        <v>-</v>
      </c>
      <c r="N39" s="339"/>
      <c r="O39" s="355" t="str">
        <f>IF(B39&lt;&gt;0,VLOOKUP(B39,BibliothèqueProjet!$A$5:$J$70,10,FALSE),"")</f>
        <v/>
      </c>
      <c r="P39" s="373" t="str">
        <f t="shared" si="7"/>
        <v/>
      </c>
      <c r="Q39" s="88" t="str">
        <f t="shared" si="6"/>
        <v/>
      </c>
      <c r="R39" s="15"/>
    </row>
    <row r="40" spans="1:52" s="17" customFormat="1" x14ac:dyDescent="0.2">
      <c r="B40" s="296"/>
      <c r="C40" s="35"/>
      <c r="D40" s="48" t="str">
        <f>IF(ISNA(VLOOKUP(B40,BibliothèqueProjet!$A$6:$J$70,2,FALSE)) = TRUE, "", VLOOKUP(B40,BibliothèqueProjet!$A$6:$J$70,2,FALSE))</f>
        <v/>
      </c>
      <c r="E40" s="33"/>
      <c r="F40" s="524" t="s">
        <v>146</v>
      </c>
      <c r="G40" s="525"/>
      <c r="H40" s="526"/>
      <c r="I40" s="238"/>
      <c r="J40" s="377"/>
      <c r="K40" s="239"/>
      <c r="L40" s="355">
        <f>+I40*J40*K40</f>
        <v>0</v>
      </c>
      <c r="M40" s="352" t="str">
        <f>VLOOKUP(F40,$AZ$9:$BA$13,2,FALSE)</f>
        <v>-</v>
      </c>
      <c r="N40" s="339"/>
      <c r="O40" s="355" t="str">
        <f>IF(B40&lt;&gt;0,VLOOKUP(B40,BibliothèqueProjet!$A$5:$J$70,10,FALSE),"")</f>
        <v/>
      </c>
      <c r="P40" s="373" t="str">
        <f t="shared" si="7"/>
        <v/>
      </c>
      <c r="Q40" s="88" t="str">
        <f t="shared" si="6"/>
        <v/>
      </c>
      <c r="R40" s="41"/>
    </row>
    <row r="41" spans="1:52" s="17" customFormat="1" x14ac:dyDescent="0.2">
      <c r="B41" s="296"/>
      <c r="C41" s="38"/>
      <c r="D41" s="48" t="str">
        <f>IF(ISNA(VLOOKUP(B41,BibliothèqueProjet!$A$6:$J$70,2,FALSE)) = TRUE, "", VLOOKUP(B41,BibliothèqueProjet!$A$6:$J$70,2,FALSE))</f>
        <v/>
      </c>
      <c r="E41" s="33"/>
      <c r="F41" s="527" t="s">
        <v>146</v>
      </c>
      <c r="G41" s="528"/>
      <c r="H41" s="529"/>
      <c r="I41" s="238"/>
      <c r="J41" s="377"/>
      <c r="K41" s="239"/>
      <c r="L41" s="356">
        <f>+I41*J41*K41</f>
        <v>0</v>
      </c>
      <c r="M41" s="353" t="str">
        <f>VLOOKUP(F41,$AZ$9:$BA$13,2,FALSE)</f>
        <v>-</v>
      </c>
      <c r="N41" s="340"/>
      <c r="O41" s="356" t="str">
        <f>IF(B41&lt;&gt;0,VLOOKUP(B41,BibliothèqueProjet!$A$5:$J$70,10,FALSE),"")</f>
        <v/>
      </c>
      <c r="P41" s="438" t="str">
        <f t="shared" si="7"/>
        <v/>
      </c>
      <c r="Q41" s="439" t="str">
        <f t="shared" si="6"/>
        <v/>
      </c>
      <c r="R41" s="28"/>
      <c r="AO41" s="17" t="s">
        <v>146</v>
      </c>
    </row>
    <row r="42" spans="1:52" s="17" customFormat="1" ht="15" x14ac:dyDescent="0.25">
      <c r="B42" s="76" t="s">
        <v>42</v>
      </c>
      <c r="C42" s="56"/>
      <c r="D42" s="77"/>
      <c r="E42" s="56"/>
      <c r="F42" s="56"/>
      <c r="G42" s="56"/>
      <c r="H42" s="78"/>
      <c r="I42" s="79"/>
      <c r="J42" s="80"/>
      <c r="K42" s="78"/>
      <c r="L42" s="79"/>
      <c r="M42" s="79"/>
      <c r="N42" s="81"/>
      <c r="O42" s="82" t="s">
        <v>9</v>
      </c>
      <c r="P42" s="268">
        <f>SUM(P32:P41)</f>
        <v>5.7807750000000002</v>
      </c>
      <c r="Q42" s="268" t="e">
        <f>SUM(Q32:Q41)</f>
        <v>#REF!</v>
      </c>
      <c r="R42" s="28"/>
      <c r="AO42" s="17" t="s">
        <v>175</v>
      </c>
    </row>
    <row r="43" spans="1:52" s="17" customFormat="1" ht="12" x14ac:dyDescent="0.2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28"/>
      <c r="AO43" s="17" t="s">
        <v>174</v>
      </c>
    </row>
    <row r="44" spans="1:52" s="8" customFormat="1" x14ac:dyDescent="0.2">
      <c r="A44" s="17"/>
      <c r="B44" s="250" t="s">
        <v>171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2"/>
      <c r="R44" s="29"/>
      <c r="AM44" s="21"/>
      <c r="AN44" s="6"/>
      <c r="AO44" s="17" t="s">
        <v>179</v>
      </c>
      <c r="AP44" s="6"/>
      <c r="AQ44" s="6"/>
      <c r="AR44" s="6"/>
      <c r="AS44" s="6"/>
      <c r="AU44" s="6"/>
      <c r="AV44" s="17"/>
      <c r="AX44" s="21"/>
      <c r="AY44" s="21"/>
      <c r="AZ44" s="21"/>
    </row>
    <row r="45" spans="1:52" s="17" customFormat="1" ht="24" x14ac:dyDescent="0.2">
      <c r="B45" s="241" t="s">
        <v>25</v>
      </c>
      <c r="C45" s="242" t="s">
        <v>14</v>
      </c>
      <c r="D45" s="497" t="s">
        <v>26</v>
      </c>
      <c r="E45" s="509"/>
      <c r="F45" s="510" t="s">
        <v>172</v>
      </c>
      <c r="G45" s="509"/>
      <c r="H45" s="511"/>
      <c r="I45" s="243" t="s">
        <v>7</v>
      </c>
      <c r="J45" s="242" t="s">
        <v>13</v>
      </c>
      <c r="K45" s="175" t="s">
        <v>198</v>
      </c>
      <c r="L45" s="242" t="s">
        <v>1</v>
      </c>
      <c r="M45" s="497" t="s">
        <v>173</v>
      </c>
      <c r="N45" s="498"/>
      <c r="O45" s="244" t="s">
        <v>181</v>
      </c>
      <c r="P45" s="245" t="s">
        <v>17</v>
      </c>
      <c r="Q45" s="246" t="s">
        <v>18</v>
      </c>
      <c r="R45" s="15"/>
      <c r="AM45" s="10"/>
      <c r="AO45" s="17" t="s">
        <v>176</v>
      </c>
      <c r="AP45" s="1"/>
      <c r="AQ45" s="7"/>
      <c r="AR45" s="16"/>
      <c r="AS45" s="5"/>
      <c r="AT45" s="5"/>
      <c r="AW45" s="18"/>
      <c r="AX45" s="18"/>
      <c r="AY45" s="18"/>
      <c r="AZ45" s="18"/>
    </row>
    <row r="46" spans="1:52" s="6" customFormat="1" ht="12.75" customHeight="1" x14ac:dyDescent="0.2">
      <c r="A46" s="17"/>
      <c r="B46" s="189" t="s">
        <v>2</v>
      </c>
      <c r="C46" s="172"/>
      <c r="D46" s="173"/>
      <c r="E46" s="172"/>
      <c r="F46" s="172"/>
      <c r="G46" s="174"/>
      <c r="H46" s="174"/>
      <c r="I46" s="170" t="s">
        <v>3</v>
      </c>
      <c r="J46" s="170" t="s">
        <v>3</v>
      </c>
      <c r="K46" s="172" t="s">
        <v>197</v>
      </c>
      <c r="L46" s="170" t="s">
        <v>40</v>
      </c>
      <c r="M46" s="499" t="s">
        <v>7</v>
      </c>
      <c r="N46" s="499"/>
      <c r="O46" s="198" t="s">
        <v>182</v>
      </c>
      <c r="P46" s="171" t="s">
        <v>6</v>
      </c>
      <c r="Q46" s="374" t="s">
        <v>141</v>
      </c>
      <c r="R46" s="32"/>
      <c r="AM46" s="34"/>
      <c r="AN46" s="31"/>
    </row>
    <row r="47" spans="1:52" s="17" customFormat="1" x14ac:dyDescent="0.2">
      <c r="B47" s="293" t="s">
        <v>69</v>
      </c>
      <c r="C47" s="35" t="s">
        <v>44</v>
      </c>
      <c r="D47" s="48" t="str">
        <f>IF(ISNA(VLOOKUP(B47,BibliothèqueProjet!$A$6:$J$70,2,FALSE)) = TRUE, "", VLOOKUP(B47,BibliothèqueProjet!$A$6:$J$70,2,FALSE))</f>
        <v>Planchers bas</v>
      </c>
      <c r="E47" s="33"/>
      <c r="F47" s="515" t="s">
        <v>176</v>
      </c>
      <c r="G47" s="516"/>
      <c r="H47" s="517"/>
      <c r="I47" s="218"/>
      <c r="J47" s="219"/>
      <c r="K47" s="220"/>
      <c r="L47" s="366">
        <f>(I47*J47)-K47</f>
        <v>0</v>
      </c>
      <c r="M47" s="351" t="str">
        <f>VLOOKUP(F47,$AZ$9:$BA$13,2,FALSE)</f>
        <v>b</v>
      </c>
      <c r="N47" s="341"/>
      <c r="O47" s="223">
        <f>IF(B47&lt;&gt;0,VLOOKUP(B47,BibliothèqueProjet!$A$5:$J$70,10,FALSE),"")</f>
        <v>0.3</v>
      </c>
      <c r="P47" s="87">
        <f>IF(O47&lt;&gt;"",L47*O47*N47,"")</f>
        <v>0</v>
      </c>
      <c r="Q47" s="88" t="e">
        <f>IF(P47&lt;&gt;"",P47*($E$12-$L$12),"")</f>
        <v>#REF!</v>
      </c>
      <c r="R47" s="15"/>
      <c r="AH47" s="28"/>
    </row>
    <row r="48" spans="1:52" s="17" customFormat="1" x14ac:dyDescent="0.2">
      <c r="B48" s="294"/>
      <c r="C48" s="38"/>
      <c r="D48" s="48" t="str">
        <f>IF(ISNA(VLOOKUP(B48,BibliothèqueProjet!$A$6:$J$70,2,FALSE)) = TRUE, "", VLOOKUP(B48,BibliothèqueProjet!$A$6:$J$70,2,FALSE))</f>
        <v/>
      </c>
      <c r="E48" s="39"/>
      <c r="F48" s="518" t="s">
        <v>146</v>
      </c>
      <c r="G48" s="519"/>
      <c r="H48" s="520"/>
      <c r="I48" s="221"/>
      <c r="J48" s="222"/>
      <c r="K48" s="220"/>
      <c r="L48" s="366">
        <f>(I48*J48)-K48</f>
        <v>0</v>
      </c>
      <c r="M48" s="352" t="str">
        <f>VLOOKUP(F48,$AZ$9:$BA$13,2,FALSE)</f>
        <v>-</v>
      </c>
      <c r="N48" s="342"/>
      <c r="O48" s="196" t="str">
        <f>IF(B48&lt;&gt;0,VLOOKUP(B48,BibliothèqueProjet!$A$5:$J$70,10,FALSE),"")</f>
        <v/>
      </c>
      <c r="P48" s="87" t="str">
        <f>IF(O48&lt;&gt;"",L48*O48*N48,"")</f>
        <v/>
      </c>
      <c r="Q48" s="88" t="str">
        <f>IF(P48&lt;&gt;"",P48*($E$12-$L$12),"")</f>
        <v/>
      </c>
      <c r="R48" s="15"/>
      <c r="AH48" s="28"/>
    </row>
    <row r="49" spans="2:48" s="17" customFormat="1" x14ac:dyDescent="0.2">
      <c r="B49" s="294"/>
      <c r="C49" s="35"/>
      <c r="D49" s="48" t="str">
        <f>IF(ISNA(VLOOKUP(B49,BibliothèqueProjet!$A$6:$J$70,2,FALSE)) = TRUE, "", VLOOKUP(B49,BibliothèqueProjet!$A$6:$J$70,2,FALSE))</f>
        <v/>
      </c>
      <c r="E49" s="33"/>
      <c r="F49" s="518" t="s">
        <v>146</v>
      </c>
      <c r="G49" s="519"/>
      <c r="H49" s="520"/>
      <c r="I49" s="218"/>
      <c r="J49" s="219"/>
      <c r="K49" s="220"/>
      <c r="L49" s="366">
        <f>(I49*J49)-K49</f>
        <v>0</v>
      </c>
      <c r="M49" s="352" t="str">
        <f>VLOOKUP(F49,$AZ$9:$BA$13,2,FALSE)</f>
        <v>-</v>
      </c>
      <c r="N49" s="342"/>
      <c r="O49" s="196" t="str">
        <f>IF(B49&lt;&gt;0,VLOOKUP(B49,BibliothèqueProjet!$A$5:$J$70,10,FALSE),"")</f>
        <v/>
      </c>
      <c r="P49" s="87" t="str">
        <f>IF(O49&lt;&gt;"",L49*O49*N49,"")</f>
        <v/>
      </c>
      <c r="Q49" s="88" t="str">
        <f>IF(P49&lt;&gt;"",P49*($E$12-$L$12),"")</f>
        <v/>
      </c>
      <c r="R49" s="15"/>
      <c r="AH49" s="28"/>
    </row>
    <row r="50" spans="2:48" s="17" customFormat="1" ht="12" customHeight="1" x14ac:dyDescent="0.2">
      <c r="B50" s="294"/>
      <c r="C50" s="38"/>
      <c r="D50" s="48" t="str">
        <f>IF(ISNA(VLOOKUP(B50,BibliothèqueProjet!$A$6:$J$70,2,FALSE)) = TRUE, "", VLOOKUP(B50,BibliothèqueProjet!$A$6:$J$70,2,FALSE))</f>
        <v/>
      </c>
      <c r="E50" s="33"/>
      <c r="F50" s="521" t="s">
        <v>146</v>
      </c>
      <c r="G50" s="522"/>
      <c r="H50" s="523"/>
      <c r="I50" s="218"/>
      <c r="J50" s="219"/>
      <c r="K50" s="220"/>
      <c r="L50" s="366">
        <f>(I50*J50)-K50</f>
        <v>0</v>
      </c>
      <c r="M50" s="353" t="str">
        <f>VLOOKUP(F50,$AZ$9:$BA$13,2,FALSE)</f>
        <v>-</v>
      </c>
      <c r="N50" s="343"/>
      <c r="O50" s="196" t="str">
        <f>IF(B50&lt;&gt;0,VLOOKUP(B50,BibliothèqueProjet!$A$5:$J$70,10,FALSE),"")</f>
        <v/>
      </c>
      <c r="P50" s="87" t="str">
        <f>IF(O50&lt;&gt;"",L50*O50*N50,"")</f>
        <v/>
      </c>
      <c r="Q50" s="88" t="str">
        <f>IF(P50&lt;&gt;"",P50*($E$12-$L$12),"")</f>
        <v/>
      </c>
      <c r="R50" s="15"/>
      <c r="AH50" s="28"/>
    </row>
    <row r="51" spans="2:48" s="17" customFormat="1" ht="15" x14ac:dyDescent="0.25">
      <c r="B51" s="76" t="s">
        <v>42</v>
      </c>
      <c r="C51" s="56"/>
      <c r="D51" s="77"/>
      <c r="E51" s="56"/>
      <c r="F51" s="56"/>
      <c r="G51" s="56"/>
      <c r="H51" s="78"/>
      <c r="I51" s="79"/>
      <c r="J51" s="80"/>
      <c r="K51" s="78"/>
      <c r="L51" s="79"/>
      <c r="M51" s="86"/>
      <c r="N51" s="81"/>
      <c r="O51" s="82" t="s">
        <v>9</v>
      </c>
      <c r="P51" s="268">
        <f>SUM(P47:P50)</f>
        <v>0</v>
      </c>
      <c r="Q51" s="268" t="e">
        <f>SUM(Q47:Q50)</f>
        <v>#REF!</v>
      </c>
      <c r="R51" s="15"/>
      <c r="AH51" s="28"/>
    </row>
    <row r="52" spans="2:48" s="17" customForma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AH52" s="28"/>
    </row>
    <row r="53" spans="2:48" s="17" customFormat="1" x14ac:dyDescent="0.2">
      <c r="B53" s="256" t="s">
        <v>186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15"/>
    </row>
    <row r="54" spans="2:48" s="17" customFormat="1" ht="24" x14ac:dyDescent="0.2">
      <c r="B54" s="241" t="s">
        <v>25</v>
      </c>
      <c r="C54" s="242" t="s">
        <v>14</v>
      </c>
      <c r="D54" s="497" t="s">
        <v>26</v>
      </c>
      <c r="E54" s="509"/>
      <c r="F54" s="510" t="s">
        <v>172</v>
      </c>
      <c r="G54" s="509"/>
      <c r="H54" s="511"/>
      <c r="I54" s="243" t="s">
        <v>7</v>
      </c>
      <c r="J54" s="242" t="s">
        <v>13</v>
      </c>
      <c r="K54" s="175" t="s">
        <v>198</v>
      </c>
      <c r="L54" s="242" t="s">
        <v>1</v>
      </c>
      <c r="M54" s="497" t="s">
        <v>173</v>
      </c>
      <c r="N54" s="498"/>
      <c r="O54" s="244" t="s">
        <v>181</v>
      </c>
      <c r="P54" s="245" t="s">
        <v>17</v>
      </c>
      <c r="Q54" s="246" t="s">
        <v>18</v>
      </c>
      <c r="R54" s="28"/>
      <c r="AH54" s="28"/>
    </row>
    <row r="55" spans="2:48" s="8" customFormat="1" x14ac:dyDescent="0.2">
      <c r="B55" s="189" t="s">
        <v>2</v>
      </c>
      <c r="C55" s="172"/>
      <c r="D55" s="173"/>
      <c r="E55" s="172"/>
      <c r="F55" s="172"/>
      <c r="G55" s="174"/>
      <c r="H55" s="174"/>
      <c r="I55" s="170" t="s">
        <v>3</v>
      </c>
      <c r="J55" s="170" t="s">
        <v>3</v>
      </c>
      <c r="K55" s="172" t="s">
        <v>197</v>
      </c>
      <c r="L55" s="170" t="s">
        <v>40</v>
      </c>
      <c r="M55" s="499" t="s">
        <v>7</v>
      </c>
      <c r="N55" s="499"/>
      <c r="O55" s="198" t="s">
        <v>182</v>
      </c>
      <c r="P55" s="171" t="s">
        <v>6</v>
      </c>
      <c r="Q55" s="374" t="s">
        <v>141</v>
      </c>
      <c r="R55" s="29"/>
      <c r="AH55" s="21"/>
      <c r="AP55" s="6"/>
      <c r="AQ55" s="17"/>
      <c r="AS55" s="21"/>
      <c r="AT55" s="21"/>
      <c r="AU55" s="21"/>
      <c r="AV55" s="21"/>
    </row>
    <row r="56" spans="2:48" s="6" customFormat="1" x14ac:dyDescent="0.2">
      <c r="B56" s="291" t="s">
        <v>63</v>
      </c>
      <c r="C56" s="35" t="s">
        <v>44</v>
      </c>
      <c r="D56" s="48" t="str">
        <f>IF(ISNA(VLOOKUP(B56,BibliothèqueProjet!$A$6:$J$70,2,FALSE)) = TRUE, "", VLOOKUP(B56,BibliothèqueProjet!$A$6:$J$70,2,FALSE))</f>
        <v>Toiture végétalisée</v>
      </c>
      <c r="E56" s="33"/>
      <c r="F56" s="512" t="s">
        <v>175</v>
      </c>
      <c r="G56" s="513"/>
      <c r="H56" s="514"/>
      <c r="I56" s="153">
        <v>3.89</v>
      </c>
      <c r="J56" s="375">
        <v>4.45</v>
      </c>
      <c r="K56" s="208">
        <f>(H56*I56*J56)-K61</f>
        <v>0</v>
      </c>
      <c r="L56" s="363">
        <f t="shared" ref="L56:L63" si="8">+I56*J56-K56</f>
        <v>17.310500000000001</v>
      </c>
      <c r="M56" s="351">
        <f t="shared" ref="M56:M63" si="9">VLOOKUP(F56,$AZ$9:$BA$13,2,FALSE)</f>
        <v>1</v>
      </c>
      <c r="N56" s="344">
        <v>1</v>
      </c>
      <c r="O56" s="223">
        <f>IF(B56&lt;&gt;0,VLOOKUP(B56,BibliothèqueProjet!$A$5:$J$70,10,FALSE),"")</f>
        <v>0.13</v>
      </c>
      <c r="P56" s="434">
        <f>IF(O56&lt;&gt;"",L56*O56*N56,"")</f>
        <v>2.2503650000000004</v>
      </c>
      <c r="Q56" s="435" t="e">
        <f>IF(P56&lt;&gt;"",P56*($E$12-$L$12),"")</f>
        <v>#REF!</v>
      </c>
      <c r="R56" s="32"/>
      <c r="AH56" s="28"/>
      <c r="AP56" s="17"/>
      <c r="AQ56" s="17"/>
      <c r="AR56" s="5"/>
      <c r="AS56" s="5"/>
      <c r="AT56" s="5"/>
      <c r="AU56" s="5"/>
      <c r="AV56" s="5"/>
    </row>
    <row r="57" spans="2:48" s="17" customFormat="1" x14ac:dyDescent="0.2">
      <c r="B57" s="291"/>
      <c r="C57" s="35"/>
      <c r="D57" s="48" t="str">
        <f>IF(ISNA(VLOOKUP(B57,BibliothèqueProjet!$A$6:$J$70,2,FALSE)) = TRUE, "", VLOOKUP(B57,BibliothèqueProjet!$A$6:$J$70,2,FALSE))</f>
        <v/>
      </c>
      <c r="E57" s="33"/>
      <c r="F57" s="503" t="s">
        <v>146</v>
      </c>
      <c r="G57" s="504"/>
      <c r="H57" s="505"/>
      <c r="I57" s="153"/>
      <c r="J57" s="375"/>
      <c r="K57" s="208"/>
      <c r="L57" s="364">
        <f t="shared" si="8"/>
        <v>0</v>
      </c>
      <c r="M57" s="352" t="str">
        <f t="shared" si="9"/>
        <v>-</v>
      </c>
      <c r="N57" s="430"/>
      <c r="O57" s="196" t="str">
        <f>IF(B57&lt;&gt;0,VLOOKUP(B57,BibliothèqueProjet!$A$5:$J$70,10,FALSE),"")</f>
        <v/>
      </c>
      <c r="P57" s="373" t="str">
        <f t="shared" ref="P57:P63" si="10">IF(O57&lt;&gt;"",L57*O57*N57,"")</f>
        <v/>
      </c>
      <c r="Q57" s="88" t="str">
        <f t="shared" ref="Q57:Q63" si="11">IF(P57&lt;&gt;"",P57*($E$12-$L$12),"")</f>
        <v/>
      </c>
      <c r="R57" s="15"/>
      <c r="AH57" s="10"/>
      <c r="AK57" s="1"/>
      <c r="AL57" s="7"/>
      <c r="AM57" s="16"/>
      <c r="AN57" s="5"/>
      <c r="AO57" s="5"/>
      <c r="AR57" s="18"/>
      <c r="AS57" s="18"/>
      <c r="AT57" s="18"/>
      <c r="AU57" s="18"/>
      <c r="AV57" s="18"/>
    </row>
    <row r="58" spans="2:48" s="17" customFormat="1" x14ac:dyDescent="0.2">
      <c r="B58" s="291"/>
      <c r="C58" s="35"/>
      <c r="D58" s="48" t="str">
        <f>IF(ISNA(VLOOKUP(B58,BibliothèqueProjet!$A$6:$J$70,2,FALSE)) = TRUE, "", VLOOKUP(B58,BibliothèqueProjet!$A$6:$J$70,2,FALSE))</f>
        <v/>
      </c>
      <c r="E58" s="33"/>
      <c r="F58" s="503" t="s">
        <v>146</v>
      </c>
      <c r="G58" s="504"/>
      <c r="H58" s="505"/>
      <c r="I58" s="153"/>
      <c r="J58" s="375"/>
      <c r="K58" s="208"/>
      <c r="L58" s="364">
        <f t="shared" si="8"/>
        <v>0</v>
      </c>
      <c r="M58" s="352" t="str">
        <f t="shared" si="9"/>
        <v>-</v>
      </c>
      <c r="N58" s="430"/>
      <c r="O58" s="196" t="str">
        <f>IF(B58&lt;&gt;0,VLOOKUP(B58,BibliothèqueProjet!$A$5:$J$70,10,FALSE),"")</f>
        <v/>
      </c>
      <c r="P58" s="373" t="str">
        <f t="shared" si="10"/>
        <v/>
      </c>
      <c r="Q58" s="88" t="str">
        <f t="shared" si="11"/>
        <v/>
      </c>
      <c r="R58" s="15"/>
      <c r="AH58" s="28"/>
      <c r="AK58" s="1"/>
      <c r="AL58" s="7"/>
      <c r="AM58" s="43"/>
      <c r="AN58" s="5"/>
      <c r="AO58" s="5"/>
    </row>
    <row r="59" spans="2:48" s="17" customFormat="1" x14ac:dyDescent="0.2">
      <c r="B59" s="291"/>
      <c r="C59" s="35"/>
      <c r="D59" s="48" t="str">
        <f>IF(ISNA(VLOOKUP(B59,BibliothèqueProjet!$A$6:$J$70,2,FALSE)) = TRUE, "", VLOOKUP(B59,BibliothèqueProjet!$A$6:$J$70,2,FALSE))</f>
        <v/>
      </c>
      <c r="E59" s="33"/>
      <c r="F59" s="503" t="s">
        <v>146</v>
      </c>
      <c r="G59" s="504"/>
      <c r="H59" s="505"/>
      <c r="I59" s="153"/>
      <c r="J59" s="375"/>
      <c r="K59" s="208"/>
      <c r="L59" s="364">
        <f t="shared" si="8"/>
        <v>0</v>
      </c>
      <c r="M59" s="352" t="str">
        <f t="shared" si="9"/>
        <v>-</v>
      </c>
      <c r="N59" s="430"/>
      <c r="O59" s="196" t="str">
        <f>IF(B59&lt;&gt;0,VLOOKUP(B59,BibliothèqueProjet!$A$5:$J$70,10,FALSE),"")</f>
        <v/>
      </c>
      <c r="P59" s="373" t="str">
        <f t="shared" si="10"/>
        <v/>
      </c>
      <c r="Q59" s="88" t="str">
        <f t="shared" si="11"/>
        <v/>
      </c>
      <c r="R59" s="15"/>
      <c r="AH59" s="28"/>
      <c r="AI59" s="18"/>
      <c r="AJ59" s="18"/>
      <c r="AK59" s="1"/>
      <c r="AL59" s="7"/>
      <c r="AM59" s="18"/>
      <c r="AN59" s="5"/>
      <c r="AO59" s="5"/>
    </row>
    <row r="60" spans="2:48" s="17" customFormat="1" ht="12" customHeight="1" x14ac:dyDescent="0.2">
      <c r="B60" s="291"/>
      <c r="C60" s="35"/>
      <c r="D60" s="48" t="str">
        <f>IF(ISNA(VLOOKUP(B60,BibliothèqueProjet!$A$6:$J$70,2,FALSE)) = TRUE, "", VLOOKUP(B60,BibliothèqueProjet!$A$6:$J$70,2,FALSE))</f>
        <v/>
      </c>
      <c r="E60" s="33"/>
      <c r="F60" s="503" t="s">
        <v>146</v>
      </c>
      <c r="G60" s="504"/>
      <c r="H60" s="505"/>
      <c r="I60" s="153"/>
      <c r="J60" s="375"/>
      <c r="K60" s="208"/>
      <c r="L60" s="364">
        <f t="shared" si="8"/>
        <v>0</v>
      </c>
      <c r="M60" s="352" t="str">
        <f t="shared" si="9"/>
        <v>-</v>
      </c>
      <c r="N60" s="430"/>
      <c r="O60" s="196" t="str">
        <f>IF(B60&lt;&gt;0,VLOOKUP(B60,BibliothèqueProjet!$A$5:$J$70,10,FALSE),"")</f>
        <v/>
      </c>
      <c r="P60" s="373" t="str">
        <f t="shared" si="10"/>
        <v/>
      </c>
      <c r="Q60" s="88" t="str">
        <f t="shared" si="11"/>
        <v/>
      </c>
      <c r="R60" s="15"/>
      <c r="AH60" s="28"/>
      <c r="AI60" s="16"/>
      <c r="AJ60" s="18"/>
      <c r="AO60" s="5"/>
    </row>
    <row r="61" spans="2:48" s="17" customFormat="1" ht="12" customHeight="1" x14ac:dyDescent="0.2">
      <c r="B61" s="292"/>
      <c r="C61" s="38"/>
      <c r="D61" s="48" t="str">
        <f>IF(ISNA(VLOOKUP(B61,BibliothèqueProjet!$A$6:$J$70,2,FALSE)) = TRUE, "", VLOOKUP(B61,BibliothèqueProjet!$A$6:$J$70,2,FALSE))</f>
        <v/>
      </c>
      <c r="E61" s="39"/>
      <c r="F61" s="503" t="s">
        <v>146</v>
      </c>
      <c r="G61" s="504"/>
      <c r="H61" s="505"/>
      <c r="I61" s="152"/>
      <c r="J61" s="376"/>
      <c r="K61" s="208"/>
      <c r="L61" s="364">
        <f t="shared" si="8"/>
        <v>0</v>
      </c>
      <c r="M61" s="352" t="str">
        <f t="shared" si="9"/>
        <v>-</v>
      </c>
      <c r="N61" s="345"/>
      <c r="O61" s="196" t="str">
        <f>IF(B61&lt;&gt;0,VLOOKUP(B61,BibliothèqueProjet!$A$5:$J$70,10,FALSE),"")</f>
        <v/>
      </c>
      <c r="P61" s="373" t="str">
        <f t="shared" si="10"/>
        <v/>
      </c>
      <c r="Q61" s="88" t="str">
        <f t="shared" si="11"/>
        <v/>
      </c>
      <c r="R61" s="15"/>
      <c r="AH61" s="28"/>
      <c r="AI61" s="16"/>
      <c r="AJ61" s="18"/>
      <c r="AO61" s="5"/>
    </row>
    <row r="62" spans="2:48" s="6" customFormat="1" ht="12.75" customHeight="1" x14ac:dyDescent="0.2">
      <c r="B62" s="292"/>
      <c r="C62" s="35"/>
      <c r="D62" s="48" t="str">
        <f>IF(ISNA(VLOOKUP(B62,BibliothèqueProjet!$A$6:$J$70,2,FALSE)) = TRUE, "", VLOOKUP(B62,BibliothèqueProjet!$A$6:$J$70,2,FALSE))</f>
        <v/>
      </c>
      <c r="E62" s="33"/>
      <c r="F62" s="503" t="s">
        <v>146</v>
      </c>
      <c r="G62" s="504"/>
      <c r="H62" s="505"/>
      <c r="I62" s="153"/>
      <c r="J62" s="375"/>
      <c r="K62" s="208"/>
      <c r="L62" s="364">
        <f t="shared" si="8"/>
        <v>0</v>
      </c>
      <c r="M62" s="352" t="str">
        <f t="shared" si="9"/>
        <v>-</v>
      </c>
      <c r="N62" s="345"/>
      <c r="O62" s="196" t="str">
        <f>IF(B62&lt;&gt;0,VLOOKUP(B62,BibliothèqueProjet!$A$5:$J$70,10,FALSE),"")</f>
        <v/>
      </c>
      <c r="P62" s="373" t="str">
        <f t="shared" si="10"/>
        <v/>
      </c>
      <c r="Q62" s="88" t="str">
        <f t="shared" si="11"/>
        <v/>
      </c>
      <c r="R62" s="32"/>
      <c r="AH62" s="34"/>
      <c r="AI62" s="31"/>
    </row>
    <row r="63" spans="2:48" s="17" customFormat="1" x14ac:dyDescent="0.2">
      <c r="B63" s="292"/>
      <c r="C63" s="38"/>
      <c r="D63" s="48" t="str">
        <f>IF(ISNA(VLOOKUP(B63,BibliothèqueProjet!$A$6:$J$70,2,FALSE)) = TRUE, "", VLOOKUP(B63,BibliothèqueProjet!$A$6:$J$70,2,FALSE))</f>
        <v/>
      </c>
      <c r="E63" s="33"/>
      <c r="F63" s="506" t="s">
        <v>146</v>
      </c>
      <c r="G63" s="507"/>
      <c r="H63" s="508"/>
      <c r="I63" s="153"/>
      <c r="J63" s="375"/>
      <c r="K63" s="208"/>
      <c r="L63" s="365">
        <f t="shared" si="8"/>
        <v>0</v>
      </c>
      <c r="M63" s="353" t="str">
        <f t="shared" si="9"/>
        <v>-</v>
      </c>
      <c r="N63" s="346"/>
      <c r="O63" s="440" t="str">
        <f>IF(B63&lt;&gt;0,VLOOKUP(B63,BibliothèqueProjet!$A$5:$J$70,10,FALSE),"")</f>
        <v/>
      </c>
      <c r="P63" s="438" t="str">
        <f t="shared" si="10"/>
        <v/>
      </c>
      <c r="Q63" s="439" t="str">
        <f t="shared" si="11"/>
        <v/>
      </c>
      <c r="R63" s="15"/>
      <c r="AH63" s="28"/>
    </row>
    <row r="64" spans="2:48" s="17" customFormat="1" ht="15" x14ac:dyDescent="0.25">
      <c r="B64" s="76" t="s">
        <v>42</v>
      </c>
      <c r="C64" s="56"/>
      <c r="D64" s="77"/>
      <c r="E64" s="56"/>
      <c r="F64" s="56"/>
      <c r="G64" s="56"/>
      <c r="H64" s="78"/>
      <c r="I64" s="79"/>
      <c r="J64" s="80"/>
      <c r="K64" s="78"/>
      <c r="L64" s="79"/>
      <c r="M64" s="86"/>
      <c r="N64" s="81"/>
      <c r="O64" s="82" t="s">
        <v>9</v>
      </c>
      <c r="P64" s="268">
        <f>SUM(P56:P63)</f>
        <v>2.2503650000000004</v>
      </c>
      <c r="Q64" s="268" t="e">
        <f>SUM(Q56:Q63)</f>
        <v>#REF!</v>
      </c>
      <c r="R64" s="15"/>
      <c r="AH64" s="28"/>
    </row>
    <row r="65" spans="2:48" s="17" customFormat="1" ht="15" x14ac:dyDescent="0.25">
      <c r="B65" s="162"/>
      <c r="C65" s="75"/>
      <c r="D65" s="163"/>
      <c r="E65" s="75"/>
      <c r="F65" s="75"/>
      <c r="G65" s="75"/>
      <c r="H65" s="84"/>
      <c r="I65" s="85"/>
      <c r="J65" s="164"/>
      <c r="K65" s="84"/>
      <c r="L65" s="85"/>
      <c r="M65" s="85"/>
      <c r="N65" s="85"/>
      <c r="O65" s="165"/>
      <c r="P65" s="166"/>
      <c r="Q65" s="167"/>
      <c r="R65" s="15"/>
      <c r="AH65" s="28"/>
    </row>
    <row r="66" spans="2:48" s="17" customFormat="1" x14ac:dyDescent="0.2">
      <c r="B66" s="253" t="s">
        <v>178</v>
      </c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5"/>
      <c r="R66" s="15"/>
    </row>
    <row r="67" spans="2:48" s="17" customFormat="1" ht="28.5" customHeight="1" x14ac:dyDescent="0.2">
      <c r="B67" s="241" t="s">
        <v>25</v>
      </c>
      <c r="C67" s="242" t="s">
        <v>14</v>
      </c>
      <c r="D67" s="497" t="s">
        <v>26</v>
      </c>
      <c r="E67" s="509"/>
      <c r="F67" s="510" t="s">
        <v>172</v>
      </c>
      <c r="G67" s="509"/>
      <c r="H67" s="511"/>
      <c r="I67" s="243"/>
      <c r="J67" s="242"/>
      <c r="K67" s="242"/>
      <c r="L67" s="243" t="s">
        <v>0</v>
      </c>
      <c r="M67" s="497" t="s">
        <v>173</v>
      </c>
      <c r="N67" s="498"/>
      <c r="O67" s="244" t="s">
        <v>181</v>
      </c>
      <c r="P67" s="245" t="s">
        <v>17</v>
      </c>
      <c r="Q67" s="246" t="s">
        <v>18</v>
      </c>
      <c r="R67" s="41"/>
    </row>
    <row r="68" spans="2:48" x14ac:dyDescent="0.2">
      <c r="B68" s="189" t="s">
        <v>2</v>
      </c>
      <c r="C68" s="172"/>
      <c r="D68" s="173"/>
      <c r="E68" s="172"/>
      <c r="F68" s="172"/>
      <c r="G68" s="174"/>
      <c r="H68" s="174"/>
      <c r="I68" s="170"/>
      <c r="J68" s="170"/>
      <c r="K68" s="169"/>
      <c r="L68" s="172" t="s">
        <v>3</v>
      </c>
      <c r="M68" s="499" t="s">
        <v>7</v>
      </c>
      <c r="N68" s="499"/>
      <c r="O68" s="198" t="s">
        <v>182</v>
      </c>
      <c r="P68" s="171" t="s">
        <v>6</v>
      </c>
      <c r="Q68" s="374" t="s">
        <v>141</v>
      </c>
    </row>
    <row r="69" spans="2:48" s="8" customFormat="1" x14ac:dyDescent="0.2">
      <c r="B69" s="289" t="s">
        <v>80</v>
      </c>
      <c r="C69" s="35" t="s">
        <v>44</v>
      </c>
      <c r="D69" s="48" t="str">
        <f>IF(ISNA(VLOOKUP(B69,BibliothèqueProjet!$A$6:$J$70,2,FALSE)) = TRUE, "", VLOOKUP(B69,BibliothèqueProjet!$A$6:$J$70,2,FALSE))</f>
        <v>Linéique</v>
      </c>
      <c r="E69" s="33"/>
      <c r="F69" s="500" t="s">
        <v>175</v>
      </c>
      <c r="G69" s="501"/>
      <c r="H69" s="502"/>
      <c r="I69" s="37"/>
      <c r="J69" s="46"/>
      <c r="K69" s="36"/>
      <c r="L69" s="367">
        <v>2.75</v>
      </c>
      <c r="M69" s="351">
        <f>VLOOKUP(F69,$AZ$9:$BA$13,2,FALSE)</f>
        <v>1</v>
      </c>
      <c r="N69" s="369">
        <v>1</v>
      </c>
      <c r="O69" s="433">
        <f>IF(B69&lt;&gt;0,VLOOKUP(B69,BibliothèqueProjet!$A$5:$J$70,10,FALSE),"")</f>
        <v>0.1</v>
      </c>
      <c r="P69" s="434">
        <f>IF(O69&lt;&gt;"",O69*L69*N69,"")</f>
        <v>0.27500000000000002</v>
      </c>
      <c r="Q69" s="435" t="e">
        <f>IF(P69&lt;&gt;"",P69*($E$12-$L$12),"")</f>
        <v>#REF!</v>
      </c>
      <c r="R69" s="29"/>
      <c r="AH69" s="21"/>
      <c r="AI69" s="6"/>
      <c r="AJ69" s="6"/>
      <c r="AK69" s="6"/>
      <c r="AL69" s="6"/>
      <c r="AM69" s="6"/>
      <c r="AN69" s="6"/>
      <c r="AP69" s="6"/>
      <c r="AQ69" s="17"/>
      <c r="AS69" s="21"/>
      <c r="AT69" s="21"/>
      <c r="AU69" s="21"/>
      <c r="AV69" s="21"/>
    </row>
    <row r="70" spans="2:48" s="8" customFormat="1" x14ac:dyDescent="0.2">
      <c r="B70" s="289"/>
      <c r="C70" s="35"/>
      <c r="D70" s="48" t="str">
        <f>IF(ISNA(VLOOKUP(B70,BibliothèqueProjet!$A$6:$J$70,2,FALSE)) = TRUE, "", VLOOKUP(B70,BibliothèqueProjet!$A$6:$J$70,2,FALSE))</f>
        <v/>
      </c>
      <c r="E70" s="33"/>
      <c r="F70" s="491" t="s">
        <v>146</v>
      </c>
      <c r="G70" s="492"/>
      <c r="H70" s="493"/>
      <c r="I70" s="37"/>
      <c r="J70" s="46"/>
      <c r="K70" s="36"/>
      <c r="L70" s="431"/>
      <c r="M70" s="352" t="str">
        <f t="shared" ref="M70:M75" si="12">VLOOKUP(F70,$AZ$9:$BA$13,2,FALSE)</f>
        <v>-</v>
      </c>
      <c r="N70" s="432"/>
      <c r="O70" s="436" t="str">
        <f>IF(B70&lt;&gt;0,VLOOKUP(B70,BibliothèqueProjet!$A$5:$J$70,10,FALSE),"")</f>
        <v/>
      </c>
      <c r="P70" s="373" t="str">
        <f t="shared" ref="P70:P78" si="13">IF(O70&lt;&gt;"",O70*L70*N70,"")</f>
        <v/>
      </c>
      <c r="Q70" s="88" t="str">
        <f t="shared" ref="Q70:Q78" si="14">IF(P70&lt;&gt;"",P70*($E$12-$L$12),"")</f>
        <v/>
      </c>
      <c r="R70" s="29"/>
      <c r="AH70" s="21"/>
      <c r="AI70" s="6"/>
      <c r="AJ70" s="6"/>
      <c r="AK70" s="6"/>
      <c r="AL70" s="6"/>
      <c r="AM70" s="6"/>
      <c r="AN70" s="6"/>
      <c r="AP70" s="6"/>
      <c r="AQ70" s="17"/>
      <c r="AS70" s="21"/>
      <c r="AT70" s="21"/>
      <c r="AU70" s="21"/>
      <c r="AV70" s="21"/>
    </row>
    <row r="71" spans="2:48" s="8" customFormat="1" x14ac:dyDescent="0.2">
      <c r="B71" s="289"/>
      <c r="C71" s="35"/>
      <c r="D71" s="48" t="str">
        <f>IF(ISNA(VLOOKUP(B71,BibliothèqueProjet!$A$6:$J$70,2,FALSE)) = TRUE, "", VLOOKUP(B71,BibliothèqueProjet!$A$6:$J$70,2,FALSE))</f>
        <v/>
      </c>
      <c r="E71" s="33"/>
      <c r="F71" s="491" t="s">
        <v>146</v>
      </c>
      <c r="G71" s="492"/>
      <c r="H71" s="493"/>
      <c r="I71" s="37"/>
      <c r="J71" s="46"/>
      <c r="K71" s="36"/>
      <c r="L71" s="431"/>
      <c r="M71" s="352" t="str">
        <f t="shared" si="12"/>
        <v>-</v>
      </c>
      <c r="N71" s="432"/>
      <c r="O71" s="436" t="str">
        <f>IF(B71&lt;&gt;0,VLOOKUP(B71,BibliothèqueProjet!$A$5:$J$70,10,FALSE),"")</f>
        <v/>
      </c>
      <c r="P71" s="373" t="str">
        <f t="shared" si="13"/>
        <v/>
      </c>
      <c r="Q71" s="88" t="str">
        <f t="shared" si="14"/>
        <v/>
      </c>
      <c r="R71" s="29"/>
      <c r="AH71" s="21"/>
      <c r="AI71" s="6"/>
      <c r="AJ71" s="6"/>
      <c r="AK71" s="6"/>
      <c r="AL71" s="6"/>
      <c r="AM71" s="6"/>
      <c r="AN71" s="6"/>
      <c r="AP71" s="6"/>
      <c r="AQ71" s="17"/>
      <c r="AS71" s="21"/>
      <c r="AT71" s="21"/>
      <c r="AU71" s="21"/>
      <c r="AV71" s="21"/>
    </row>
    <row r="72" spans="2:48" s="8" customFormat="1" x14ac:dyDescent="0.2">
      <c r="B72" s="289"/>
      <c r="C72" s="35"/>
      <c r="D72" s="48" t="str">
        <f>IF(ISNA(VLOOKUP(B72,BibliothèqueProjet!$A$6:$J$70,2,FALSE)) = TRUE, "", VLOOKUP(B72,BibliothèqueProjet!$A$6:$J$70,2,FALSE))</f>
        <v/>
      </c>
      <c r="E72" s="33"/>
      <c r="F72" s="491" t="s">
        <v>146</v>
      </c>
      <c r="G72" s="492"/>
      <c r="H72" s="493"/>
      <c r="I72" s="37"/>
      <c r="J72" s="46"/>
      <c r="K72" s="36"/>
      <c r="L72" s="431"/>
      <c r="M72" s="352" t="str">
        <f t="shared" si="12"/>
        <v>-</v>
      </c>
      <c r="N72" s="432"/>
      <c r="O72" s="436" t="str">
        <f>IF(B72&lt;&gt;0,VLOOKUP(B72,BibliothèqueProjet!$A$5:$J$70,10,FALSE),"")</f>
        <v/>
      </c>
      <c r="P72" s="373" t="str">
        <f t="shared" si="13"/>
        <v/>
      </c>
      <c r="Q72" s="88" t="str">
        <f t="shared" si="14"/>
        <v/>
      </c>
      <c r="R72" s="29"/>
      <c r="AH72" s="21"/>
      <c r="AI72" s="6"/>
      <c r="AJ72" s="6"/>
      <c r="AK72" s="6"/>
      <c r="AL72" s="6"/>
      <c r="AM72" s="6"/>
      <c r="AN72" s="6"/>
      <c r="AP72" s="6"/>
      <c r="AQ72" s="17"/>
      <c r="AS72" s="21"/>
      <c r="AT72" s="21"/>
      <c r="AU72" s="21"/>
      <c r="AV72" s="21"/>
    </row>
    <row r="73" spans="2:48" s="8" customFormat="1" x14ac:dyDescent="0.2">
      <c r="B73" s="289"/>
      <c r="C73" s="35"/>
      <c r="D73" s="48" t="str">
        <f>IF(ISNA(VLOOKUP(B73,BibliothèqueProjet!$A$6:$J$70,2,FALSE)) = TRUE, "", VLOOKUP(B73,BibliothèqueProjet!$A$6:$J$70,2,FALSE))</f>
        <v/>
      </c>
      <c r="E73" s="33"/>
      <c r="F73" s="491" t="s">
        <v>146</v>
      </c>
      <c r="G73" s="492"/>
      <c r="H73" s="493"/>
      <c r="I73" s="37"/>
      <c r="J73" s="46"/>
      <c r="K73" s="36"/>
      <c r="L73" s="431"/>
      <c r="M73" s="352" t="str">
        <f t="shared" si="12"/>
        <v>-</v>
      </c>
      <c r="N73" s="432"/>
      <c r="O73" s="436" t="str">
        <f>IF(B73&lt;&gt;0,VLOOKUP(B73,BibliothèqueProjet!$A$5:$J$70,10,FALSE),"")</f>
        <v/>
      </c>
      <c r="P73" s="373" t="str">
        <f t="shared" si="13"/>
        <v/>
      </c>
      <c r="Q73" s="88" t="str">
        <f t="shared" si="14"/>
        <v/>
      </c>
      <c r="R73" s="29"/>
      <c r="AH73" s="21"/>
      <c r="AI73" s="6"/>
      <c r="AJ73" s="6"/>
      <c r="AK73" s="6"/>
      <c r="AL73" s="6"/>
      <c r="AM73" s="6"/>
      <c r="AN73" s="6"/>
      <c r="AP73" s="6"/>
      <c r="AQ73" s="17"/>
      <c r="AS73" s="21"/>
      <c r="AT73" s="21"/>
      <c r="AU73" s="21"/>
      <c r="AV73" s="21"/>
    </row>
    <row r="74" spans="2:48" s="8" customFormat="1" x14ac:dyDescent="0.2">
      <c r="B74" s="289"/>
      <c r="C74" s="35"/>
      <c r="D74" s="48" t="str">
        <f>IF(ISNA(VLOOKUP(B74,BibliothèqueProjet!$A$6:$J$70,2,FALSE)) = TRUE, "", VLOOKUP(B74,BibliothèqueProjet!$A$6:$J$70,2,FALSE))</f>
        <v/>
      </c>
      <c r="E74" s="33"/>
      <c r="F74" s="491" t="s">
        <v>146</v>
      </c>
      <c r="G74" s="492"/>
      <c r="H74" s="493"/>
      <c r="I74" s="37"/>
      <c r="J74" s="46"/>
      <c r="K74" s="36"/>
      <c r="L74" s="431"/>
      <c r="M74" s="352" t="str">
        <f t="shared" si="12"/>
        <v>-</v>
      </c>
      <c r="N74" s="432"/>
      <c r="O74" s="436" t="str">
        <f>IF(B74&lt;&gt;0,VLOOKUP(B74,BibliothèqueProjet!$A$5:$J$70,10,FALSE),"")</f>
        <v/>
      </c>
      <c r="P74" s="373" t="str">
        <f t="shared" si="13"/>
        <v/>
      </c>
      <c r="Q74" s="88" t="str">
        <f t="shared" si="14"/>
        <v/>
      </c>
      <c r="R74" s="29"/>
      <c r="AH74" s="21"/>
      <c r="AI74" s="6"/>
      <c r="AJ74" s="6"/>
      <c r="AK74" s="6"/>
      <c r="AL74" s="6"/>
      <c r="AM74" s="6"/>
      <c r="AN74" s="6"/>
      <c r="AP74" s="6"/>
      <c r="AQ74" s="17"/>
      <c r="AS74" s="21"/>
      <c r="AT74" s="21"/>
      <c r="AU74" s="21"/>
      <c r="AV74" s="21"/>
    </row>
    <row r="75" spans="2:48" s="8" customFormat="1" x14ac:dyDescent="0.2">
      <c r="B75" s="289"/>
      <c r="C75" s="35"/>
      <c r="D75" s="48" t="str">
        <f>IF(ISNA(VLOOKUP(B75,BibliothèqueProjet!$A$6:$J$70,2,FALSE)) = TRUE, "", VLOOKUP(B75,BibliothèqueProjet!$A$6:$J$70,2,FALSE))</f>
        <v/>
      </c>
      <c r="E75" s="33"/>
      <c r="F75" s="491" t="s">
        <v>146</v>
      </c>
      <c r="G75" s="492"/>
      <c r="H75" s="493"/>
      <c r="I75" s="37"/>
      <c r="J75" s="46"/>
      <c r="K75" s="36"/>
      <c r="L75" s="431"/>
      <c r="M75" s="352" t="str">
        <f t="shared" si="12"/>
        <v>-</v>
      </c>
      <c r="N75" s="432"/>
      <c r="O75" s="436" t="str">
        <f>IF(B75&lt;&gt;0,VLOOKUP(B75,BibliothèqueProjet!$A$5:$J$70,10,FALSE),"")</f>
        <v/>
      </c>
      <c r="P75" s="373" t="str">
        <f t="shared" si="13"/>
        <v/>
      </c>
      <c r="Q75" s="88" t="str">
        <f t="shared" si="14"/>
        <v/>
      </c>
      <c r="R75" s="29"/>
      <c r="AH75" s="21"/>
      <c r="AI75" s="6"/>
      <c r="AJ75" s="6"/>
      <c r="AK75" s="6"/>
      <c r="AL75" s="6"/>
      <c r="AM75" s="6"/>
      <c r="AN75" s="6"/>
      <c r="AP75" s="6"/>
      <c r="AQ75" s="17"/>
      <c r="AS75" s="21"/>
      <c r="AT75" s="21"/>
      <c r="AU75" s="21"/>
      <c r="AV75" s="21"/>
    </row>
    <row r="76" spans="2:48" s="6" customFormat="1" x14ac:dyDescent="0.2">
      <c r="B76" s="290"/>
      <c r="C76" s="38"/>
      <c r="D76" s="48" t="str">
        <f>IF(ISNA(VLOOKUP(B76,BibliothèqueProjet!$A$6:$J$70,2,FALSE)) = TRUE, "", VLOOKUP(B76,BibliothèqueProjet!$A$6:$J$70,2,FALSE))</f>
        <v/>
      </c>
      <c r="E76" s="39"/>
      <c r="F76" s="491" t="s">
        <v>146</v>
      </c>
      <c r="G76" s="492"/>
      <c r="H76" s="493"/>
      <c r="I76" s="26"/>
      <c r="J76" s="47"/>
      <c r="K76" s="36"/>
      <c r="L76" s="368"/>
      <c r="M76" s="352" t="str">
        <f>VLOOKUP(F76,$AZ$9:$BA$13,2,FALSE)</f>
        <v>-</v>
      </c>
      <c r="N76" s="370"/>
      <c r="O76" s="436" t="str">
        <f>IF(B76&lt;&gt;0,VLOOKUP(B76,BibliothèqueProjet!$A$5:$J$70,10,FALSE),"")</f>
        <v/>
      </c>
      <c r="P76" s="373" t="str">
        <f t="shared" si="13"/>
        <v/>
      </c>
      <c r="Q76" s="88" t="str">
        <f t="shared" si="14"/>
        <v/>
      </c>
      <c r="R76" s="32"/>
      <c r="AH76" s="28"/>
      <c r="AI76" s="17"/>
      <c r="AJ76" s="17"/>
      <c r="AK76" s="1"/>
      <c r="AL76" s="1"/>
      <c r="AM76" s="17"/>
      <c r="AN76" s="5"/>
      <c r="AO76" s="18"/>
      <c r="AP76" s="17"/>
      <c r="AQ76" s="17"/>
      <c r="AR76" s="5"/>
      <c r="AS76" s="5"/>
      <c r="AT76" s="5"/>
      <c r="AU76" s="5"/>
      <c r="AV76" s="5"/>
    </row>
    <row r="77" spans="2:48" s="17" customFormat="1" ht="13.5" customHeight="1" x14ac:dyDescent="0.2">
      <c r="B77" s="290"/>
      <c r="C77" s="35"/>
      <c r="D77" s="48" t="str">
        <f>IF(ISNA(VLOOKUP(B77,BibliothèqueProjet!$A$6:$J$70,2,FALSE)) = TRUE, "", VLOOKUP(B77,BibliothèqueProjet!$A$6:$J$70,2,FALSE))</f>
        <v/>
      </c>
      <c r="E77" s="33"/>
      <c r="F77" s="491" t="s">
        <v>146</v>
      </c>
      <c r="G77" s="492"/>
      <c r="H77" s="493"/>
      <c r="I77" s="37"/>
      <c r="J77" s="46"/>
      <c r="K77" s="36"/>
      <c r="L77" s="368"/>
      <c r="M77" s="352" t="str">
        <f>VLOOKUP(F77,$AZ$9:$BA$13,2,FALSE)</f>
        <v>-</v>
      </c>
      <c r="N77" s="370"/>
      <c r="O77" s="436" t="str">
        <f>IF(B77&lt;&gt;0,VLOOKUP(B77,BibliothèqueProjet!$A$5:$J$70,10,FALSE),"")</f>
        <v/>
      </c>
      <c r="P77" s="373" t="str">
        <f t="shared" si="13"/>
        <v/>
      </c>
      <c r="Q77" s="88" t="str">
        <f t="shared" si="14"/>
        <v/>
      </c>
      <c r="R77" s="15"/>
      <c r="AH77" s="10"/>
      <c r="AK77" s="1"/>
      <c r="AL77" s="7"/>
      <c r="AM77" s="16"/>
      <c r="AN77" s="5"/>
      <c r="AO77" s="5"/>
      <c r="AR77" s="18"/>
      <c r="AS77" s="18"/>
      <c r="AT77" s="18"/>
      <c r="AU77" s="18"/>
      <c r="AV77" s="18"/>
    </row>
    <row r="78" spans="2:48" s="17" customFormat="1" x14ac:dyDescent="0.2">
      <c r="B78" s="290"/>
      <c r="C78" s="38"/>
      <c r="D78" s="48" t="str">
        <f>IF(ISNA(VLOOKUP(B78,BibliothèqueProjet!$A$6:$J$70,2,FALSE)) = TRUE, "", VLOOKUP(B78,BibliothèqueProjet!$A$6:$J$70,2,FALSE))</f>
        <v/>
      </c>
      <c r="E78" s="33"/>
      <c r="F78" s="494" t="s">
        <v>146</v>
      </c>
      <c r="G78" s="495"/>
      <c r="H78" s="496"/>
      <c r="I78" s="37"/>
      <c r="J78" s="46"/>
      <c r="K78" s="36"/>
      <c r="L78" s="368"/>
      <c r="M78" s="353" t="str">
        <f>VLOOKUP(F78,$AZ$9:$BA$13,2,FALSE)</f>
        <v>-</v>
      </c>
      <c r="N78" s="371" t="str">
        <f>IF(B78&lt;&gt;0,VLOOKUP(B78,BibliothèqueProjet!$A$5:$J$70,10,FALSE),"")</f>
        <v/>
      </c>
      <c r="O78" s="437" t="str">
        <f>IF(B78&lt;&gt;0,VLOOKUP(B78,BibliothèqueProjet!$A$5:$J$70,10,FALSE),"")</f>
        <v/>
      </c>
      <c r="P78" s="438" t="str">
        <f t="shared" si="13"/>
        <v/>
      </c>
      <c r="Q78" s="439" t="str">
        <f t="shared" si="14"/>
        <v/>
      </c>
      <c r="R78" s="15"/>
      <c r="AH78" s="28"/>
      <c r="AK78" s="1"/>
      <c r="AL78" s="7"/>
      <c r="AM78" s="43"/>
      <c r="AN78" s="5"/>
      <c r="AO78" s="5"/>
    </row>
    <row r="79" spans="2:48" s="17" customFormat="1" ht="15" x14ac:dyDescent="0.25">
      <c r="B79" s="76" t="s">
        <v>42</v>
      </c>
      <c r="C79" s="56"/>
      <c r="D79" s="77"/>
      <c r="E79" s="56"/>
      <c r="F79" s="56"/>
      <c r="G79" s="56"/>
      <c r="H79" s="78"/>
      <c r="I79" s="79"/>
      <c r="J79" s="80"/>
      <c r="K79" s="78"/>
      <c r="L79" s="79"/>
      <c r="M79" s="79"/>
      <c r="N79" s="81"/>
      <c r="O79" s="82" t="s">
        <v>9</v>
      </c>
      <c r="P79" s="268">
        <f>SUM(P69:P78)</f>
        <v>0.27500000000000002</v>
      </c>
      <c r="Q79" s="268" t="e">
        <f>SUM(Q69:Q78)</f>
        <v>#REF!</v>
      </c>
      <c r="R79" s="15"/>
      <c r="AH79" s="28"/>
      <c r="AI79" s="18"/>
      <c r="AJ79" s="18"/>
      <c r="AK79" s="1"/>
      <c r="AL79" s="7"/>
      <c r="AM79" s="18"/>
      <c r="AN79" s="5"/>
      <c r="AO79" s="5"/>
    </row>
    <row r="80" spans="2:48" s="17" customFormat="1" ht="12" x14ac:dyDescent="0.2">
      <c r="B80" s="162"/>
      <c r="C80" s="75"/>
      <c r="D80" s="163"/>
      <c r="E80" s="75"/>
      <c r="F80" s="75"/>
      <c r="G80" s="75"/>
      <c r="H80" s="84"/>
      <c r="I80" s="85"/>
      <c r="J80" s="164"/>
      <c r="K80" s="84"/>
      <c r="L80" s="85"/>
      <c r="M80" s="85"/>
      <c r="N80" s="85"/>
      <c r="O80" s="85"/>
      <c r="P80" s="166"/>
      <c r="Q80" s="167"/>
      <c r="R80" s="15"/>
      <c r="AH80" s="28"/>
      <c r="AI80" s="16"/>
      <c r="AJ80" s="18"/>
      <c r="AO80" s="5"/>
    </row>
    <row r="81" spans="1:48" s="17" customFormat="1" ht="12" customHeight="1" x14ac:dyDescent="0.2">
      <c r="A81" s="6"/>
      <c r="B81" s="259" t="s">
        <v>31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1"/>
      <c r="R81" s="15"/>
      <c r="AH81" s="28"/>
      <c r="AI81" s="16"/>
      <c r="AJ81" s="18"/>
      <c r="AO81" s="5"/>
    </row>
    <row r="82" spans="1:48" s="6" customFormat="1" ht="12.75" customHeight="1" x14ac:dyDescent="0.2">
      <c r="A82" s="17"/>
      <c r="B82" s="283" t="s">
        <v>142</v>
      </c>
      <c r="C82" s="284"/>
      <c r="D82" s="284"/>
      <c r="E82" s="284"/>
      <c r="F82" s="284"/>
      <c r="G82" s="284"/>
      <c r="H82" s="105"/>
      <c r="I82" s="105"/>
      <c r="J82" s="105"/>
      <c r="K82" s="284"/>
      <c r="L82" s="284"/>
      <c r="M82" s="284"/>
      <c r="N82" s="284"/>
      <c r="O82" s="482" t="s">
        <v>143</v>
      </c>
      <c r="P82" s="482"/>
      <c r="Q82" s="483"/>
      <c r="R82" s="32"/>
      <c r="AH82" s="34"/>
      <c r="AI82" s="31"/>
    </row>
    <row r="83" spans="1:48" s="17" customFormat="1" x14ac:dyDescent="0.2">
      <c r="B83" s="204" t="s">
        <v>100</v>
      </c>
      <c r="C83" s="205"/>
      <c r="D83" s="205"/>
      <c r="E83" s="206"/>
      <c r="F83" s="206"/>
      <c r="G83" s="206"/>
      <c r="H83" s="90"/>
      <c r="I83" s="90"/>
      <c r="J83" s="90"/>
      <c r="K83" s="92"/>
      <c r="L83" s="92"/>
      <c r="M83" s="92"/>
      <c r="N83" s="92"/>
      <c r="O83" s="484" t="s">
        <v>102</v>
      </c>
      <c r="P83" s="484"/>
      <c r="Q83" s="485"/>
      <c r="R83" s="15"/>
      <c r="AH83" s="28"/>
    </row>
    <row r="84" spans="1:48" s="17" customFormat="1" x14ac:dyDescent="0.2">
      <c r="B84" s="207" t="s">
        <v>92</v>
      </c>
      <c r="C84" s="205"/>
      <c r="D84" s="205"/>
      <c r="E84" s="205"/>
      <c r="F84" s="205"/>
      <c r="G84" s="205"/>
      <c r="H84" s="90"/>
      <c r="I84" s="90"/>
      <c r="J84" s="90"/>
      <c r="K84" s="92"/>
      <c r="L84" s="92"/>
      <c r="M84" s="92"/>
      <c r="N84" s="92"/>
      <c r="O84" s="484" t="s">
        <v>110</v>
      </c>
      <c r="P84" s="484"/>
      <c r="Q84" s="485"/>
      <c r="R84" s="15"/>
      <c r="AH84" s="28"/>
    </row>
    <row r="85" spans="1:48" s="17" customFormat="1" x14ac:dyDescent="0.2">
      <c r="B85" s="207" t="s">
        <v>112</v>
      </c>
      <c r="C85" s="205"/>
      <c r="D85" s="205"/>
      <c r="E85" s="205"/>
      <c r="F85" s="205"/>
      <c r="G85" s="205"/>
      <c r="H85" s="90"/>
      <c r="I85" s="90"/>
      <c r="J85" s="90"/>
      <c r="K85" s="92"/>
      <c r="L85" s="92"/>
      <c r="M85" s="92"/>
      <c r="N85" s="92"/>
      <c r="O85" s="484" t="s">
        <v>113</v>
      </c>
      <c r="P85" s="484"/>
      <c r="Q85" s="485"/>
      <c r="R85" s="15"/>
      <c r="AH85" s="28" t="s">
        <v>169</v>
      </c>
    </row>
    <row r="86" spans="1:48" s="17" customFormat="1" x14ac:dyDescent="0.2">
      <c r="B86" s="285" t="s">
        <v>103</v>
      </c>
      <c r="C86" s="286"/>
      <c r="D86" s="286"/>
      <c r="E86" s="286"/>
      <c r="F86" s="286"/>
      <c r="G86" s="286"/>
      <c r="H86" s="287"/>
      <c r="I86" s="287"/>
      <c r="J86" s="287"/>
      <c r="K86" s="288"/>
      <c r="L86" s="288"/>
      <c r="M86" s="288"/>
      <c r="N86" s="288"/>
      <c r="O86" s="486" t="s">
        <v>110</v>
      </c>
      <c r="P86" s="486"/>
      <c r="Q86" s="487"/>
      <c r="R86" s="15"/>
      <c r="AH86" s="28"/>
    </row>
    <row r="87" spans="1:48" s="17" customFormat="1" x14ac:dyDescent="0.2">
      <c r="B87" s="15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270"/>
      <c r="R87" s="15"/>
    </row>
    <row r="88" spans="1:48" s="17" customFormat="1" ht="12" x14ac:dyDescent="0.2">
      <c r="B88" s="159" t="s">
        <v>115</v>
      </c>
      <c r="C88" s="103"/>
      <c r="D88" s="103"/>
      <c r="E88" s="160"/>
      <c r="F88" s="100"/>
      <c r="G88" s="159" t="s">
        <v>116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61"/>
      <c r="R88" s="41"/>
    </row>
    <row r="89" spans="1:48" s="17" customFormat="1" ht="16.5" customHeight="1" x14ac:dyDescent="0.3">
      <c r="A89" s="8"/>
      <c r="B89" s="101"/>
      <c r="C89" s="18"/>
      <c r="D89" s="18"/>
      <c r="E89" s="18"/>
      <c r="F89" s="100"/>
      <c r="G89" s="101" t="s">
        <v>201</v>
      </c>
      <c r="H89" s="18"/>
      <c r="I89" s="18"/>
      <c r="J89" s="358">
        <v>0</v>
      </c>
      <c r="K89" s="359" t="s">
        <v>122</v>
      </c>
      <c r="L89" s="358" t="e">
        <f>+J89*E12</f>
        <v>#REF!</v>
      </c>
      <c r="M89" s="18"/>
      <c r="N89" s="18"/>
      <c r="O89" s="18"/>
      <c r="P89" s="18"/>
      <c r="Q89" s="357"/>
      <c r="R89" s="41"/>
    </row>
    <row r="90" spans="1:48" s="8" customFormat="1" x14ac:dyDescent="0.2">
      <c r="A90" s="6"/>
      <c r="B90" s="101" t="s">
        <v>34</v>
      </c>
      <c r="C90" s="18"/>
      <c r="D90" s="18"/>
      <c r="E90" s="18"/>
      <c r="F90" s="100"/>
      <c r="G90" s="232" t="s">
        <v>117</v>
      </c>
      <c r="H90" s="131"/>
      <c r="I90" s="360"/>
      <c r="J90" s="361"/>
      <c r="K90" s="232" t="s">
        <v>118</v>
      </c>
      <c r="L90" s="105"/>
      <c r="M90" s="105"/>
      <c r="N90" s="105"/>
      <c r="O90" s="105"/>
      <c r="P90" s="105"/>
      <c r="Q90" s="362"/>
      <c r="R90" s="29"/>
      <c r="AH90" s="21"/>
      <c r="AI90" s="6"/>
      <c r="AJ90" s="6"/>
      <c r="AK90" s="6"/>
      <c r="AL90" s="6"/>
      <c r="AM90" s="6"/>
      <c r="AN90" s="6"/>
      <c r="AP90" s="6"/>
      <c r="AQ90" s="17"/>
      <c r="AS90" s="21"/>
      <c r="AT90" s="21"/>
      <c r="AU90" s="21"/>
      <c r="AV90" s="21"/>
    </row>
    <row r="91" spans="1:48" s="6" customFormat="1" ht="15" x14ac:dyDescent="0.3">
      <c r="A91" s="17"/>
      <c r="B91" s="452" t="s">
        <v>119</v>
      </c>
      <c r="C91" s="106" t="s">
        <v>120</v>
      </c>
      <c r="D91" s="107" t="s">
        <v>120</v>
      </c>
      <c r="E91" s="108" t="s">
        <v>121</v>
      </c>
      <c r="F91" s="100"/>
      <c r="G91" s="109" t="s">
        <v>122</v>
      </c>
      <c r="H91" s="453" t="s">
        <v>123</v>
      </c>
      <c r="I91" s="453" t="s">
        <v>124</v>
      </c>
      <c r="J91" s="454" t="s">
        <v>125</v>
      </c>
      <c r="K91" s="110" t="s">
        <v>23</v>
      </c>
      <c r="L91" s="90"/>
      <c r="M91" s="111"/>
      <c r="N91" s="107" t="s">
        <v>126</v>
      </c>
      <c r="O91" s="453" t="s">
        <v>127</v>
      </c>
      <c r="P91" s="453" t="s">
        <v>124</v>
      </c>
      <c r="Q91" s="454" t="s">
        <v>125</v>
      </c>
      <c r="R91" s="32"/>
      <c r="AH91" s="28"/>
      <c r="AI91" s="17"/>
      <c r="AJ91" s="17"/>
      <c r="AK91" s="1"/>
      <c r="AL91" s="1"/>
      <c r="AM91" s="17"/>
      <c r="AN91" s="5"/>
      <c r="AO91" s="18"/>
      <c r="AP91" s="17"/>
      <c r="AQ91" s="17"/>
      <c r="AR91" s="5"/>
      <c r="AS91" s="5"/>
      <c r="AT91" s="5"/>
      <c r="AU91" s="5"/>
      <c r="AV91" s="5"/>
    </row>
    <row r="92" spans="1:48" s="17" customFormat="1" ht="13.5" customHeight="1" x14ac:dyDescent="0.2">
      <c r="B92" s="446" t="s">
        <v>128</v>
      </c>
      <c r="C92" s="112" t="s">
        <v>2</v>
      </c>
      <c r="D92" s="113" t="s">
        <v>2</v>
      </c>
      <c r="E92" s="44" t="s">
        <v>12</v>
      </c>
      <c r="F92" s="104"/>
      <c r="G92" s="446" t="s">
        <v>4</v>
      </c>
      <c r="H92" s="113" t="s">
        <v>2</v>
      </c>
      <c r="I92" s="447" t="s">
        <v>12</v>
      </c>
      <c r="J92" s="448" t="s">
        <v>12</v>
      </c>
      <c r="K92" s="114"/>
      <c r="L92" s="115"/>
      <c r="M92" s="116"/>
      <c r="N92" s="117" t="s">
        <v>4</v>
      </c>
      <c r="O92" s="118" t="s">
        <v>2</v>
      </c>
      <c r="P92" s="117" t="s">
        <v>12</v>
      </c>
      <c r="Q92" s="119" t="s">
        <v>12</v>
      </c>
      <c r="R92" s="15"/>
      <c r="AH92" s="10"/>
      <c r="AK92" s="1"/>
      <c r="AL92" s="7"/>
      <c r="AM92" s="16"/>
      <c r="AN92" s="5"/>
      <c r="AO92" s="5"/>
      <c r="AR92" s="18"/>
      <c r="AS92" s="18"/>
      <c r="AT92" s="18"/>
      <c r="AU92" s="18"/>
      <c r="AV92" s="18"/>
    </row>
    <row r="93" spans="1:48" s="17" customFormat="1" x14ac:dyDescent="0.2">
      <c r="B93" s="120">
        <f>IF(O83="Neuve",0,IF(AND(O82="Naturelle",O84="Villas"),VLOOKUP(O86,AP27:AQ30,2,FALSE),VLOOKUP(O86,AP27:AR30,3,FALSE)))</f>
        <v>0</v>
      </c>
      <c r="C93" s="121">
        <f>IF(B93=0,0,VLOOKUP(H6,AM5:AS12,7,FALSE))</f>
        <v>0</v>
      </c>
      <c r="D93" s="121">
        <f>IF(B93=0,0,VLOOKUP(I7,AU11:AV19,2,FALSE))</f>
        <v>0</v>
      </c>
      <c r="E93" s="45">
        <f>D93*2*B93*C93</f>
        <v>0</v>
      </c>
      <c r="F93" s="100"/>
      <c r="G93" s="449" t="e">
        <f>IF(J89=0,F12,L89)</f>
        <v>#REF!</v>
      </c>
      <c r="H93" s="450" t="e">
        <f>(E12-G93)/(E12-F12)</f>
        <v>#REF!</v>
      </c>
      <c r="I93" s="262">
        <v>0</v>
      </c>
      <c r="J93" s="451" t="e">
        <f>+I93*H93</f>
        <v>#REF!</v>
      </c>
      <c r="K93" s="122"/>
      <c r="L93" s="90"/>
      <c r="M93" s="111"/>
      <c r="N93" s="441">
        <v>0</v>
      </c>
      <c r="O93" s="40" t="e">
        <f>(E12-N93)/(E12-F12)</f>
        <v>#REF!</v>
      </c>
      <c r="P93" s="263">
        <v>0</v>
      </c>
      <c r="Q93" s="123" t="e">
        <f>+P93*O93</f>
        <v>#REF!</v>
      </c>
      <c r="R93" s="15"/>
      <c r="AH93" s="28"/>
      <c r="AK93" s="1"/>
      <c r="AL93" s="7"/>
      <c r="AM93" s="43"/>
      <c r="AN93" s="5"/>
      <c r="AO93" s="5"/>
    </row>
    <row r="94" spans="1:48" s="17" customFormat="1" x14ac:dyDescent="0.2">
      <c r="B94" s="124" t="s">
        <v>129</v>
      </c>
      <c r="C94" s="125"/>
      <c r="D94" s="124"/>
      <c r="E94" s="126"/>
      <c r="F94" s="100"/>
      <c r="G94" s="488" t="s">
        <v>130</v>
      </c>
      <c r="H94" s="489"/>
      <c r="I94" s="489"/>
      <c r="J94" s="490"/>
      <c r="K94" s="127"/>
      <c r="L94" s="128"/>
      <c r="M94" s="129"/>
      <c r="N94" s="442"/>
      <c r="O94" s="50"/>
      <c r="P94" s="264"/>
      <c r="Q94" s="130"/>
      <c r="R94" s="15"/>
      <c r="AH94" s="28"/>
      <c r="AI94" s="18"/>
      <c r="AJ94" s="18"/>
      <c r="AK94" s="1"/>
      <c r="AL94" s="7"/>
      <c r="AM94" s="18"/>
      <c r="AN94" s="5"/>
      <c r="AO94" s="5"/>
    </row>
    <row r="95" spans="1:48" s="17" customFormat="1" ht="12" customHeight="1" x14ac:dyDescent="0.3">
      <c r="B95" s="452" t="s">
        <v>131</v>
      </c>
      <c r="C95" s="133" t="s">
        <v>132</v>
      </c>
      <c r="D95" s="101"/>
      <c r="E95" s="102"/>
      <c r="F95" s="100"/>
      <c r="G95" s="473" t="s">
        <v>133</v>
      </c>
      <c r="H95" s="474"/>
      <c r="I95" s="474"/>
      <c r="J95" s="475"/>
      <c r="K95" s="444"/>
      <c r="L95" s="90"/>
      <c r="M95" s="111"/>
      <c r="N95" s="441"/>
      <c r="O95" s="40"/>
      <c r="P95" s="263"/>
      <c r="Q95" s="123"/>
      <c r="R95" s="15"/>
      <c r="AH95" s="28"/>
      <c r="AI95" s="16"/>
      <c r="AJ95" s="18"/>
      <c r="AO95" s="5"/>
    </row>
    <row r="96" spans="1:48" s="17" customFormat="1" ht="12" x14ac:dyDescent="0.2">
      <c r="A96" s="6"/>
      <c r="B96" s="446" t="s">
        <v>128</v>
      </c>
      <c r="C96" s="134" t="s">
        <v>12</v>
      </c>
      <c r="D96" s="101"/>
      <c r="E96" s="102"/>
      <c r="F96" s="100"/>
      <c r="G96" s="476" t="s">
        <v>12</v>
      </c>
      <c r="H96" s="477"/>
      <c r="I96" s="477"/>
      <c r="J96" s="478"/>
      <c r="K96" s="136"/>
      <c r="L96" s="98"/>
      <c r="M96" s="137"/>
      <c r="N96" s="443"/>
      <c r="O96" s="138"/>
      <c r="P96" s="265"/>
      <c r="Q96" s="139"/>
      <c r="R96" s="15"/>
      <c r="AH96" s="28"/>
      <c r="AI96" s="16"/>
      <c r="AJ96" s="18"/>
      <c r="AO96" s="5"/>
    </row>
    <row r="97" spans="1:35" s="6" customFormat="1" ht="15" x14ac:dyDescent="0.25">
      <c r="A97" s="17"/>
      <c r="B97" s="449">
        <v>0.3</v>
      </c>
      <c r="C97" s="140">
        <f>+B97*Q12</f>
        <v>0</v>
      </c>
      <c r="D97" s="97"/>
      <c r="E97" s="99"/>
      <c r="F97" s="100"/>
      <c r="G97" s="479" t="e">
        <f>(#REF!-#REF!)*'CH1'!Q12/ListingLocaux!K50</f>
        <v>#REF!</v>
      </c>
      <c r="H97" s="480"/>
      <c r="I97" s="480"/>
      <c r="J97" s="481"/>
      <c r="K97" s="141" t="s">
        <v>134</v>
      </c>
      <c r="L97" s="141"/>
      <c r="M97" s="141"/>
      <c r="N97" s="141"/>
      <c r="O97" s="142" t="s">
        <v>9</v>
      </c>
      <c r="P97" s="143">
        <f>+SUM(P93:P96)</f>
        <v>0</v>
      </c>
      <c r="Q97" s="143" t="e">
        <f>+SUM(Q93:Q96)</f>
        <v>#REF!</v>
      </c>
      <c r="R97" s="32"/>
      <c r="AH97" s="34"/>
      <c r="AI97" s="31"/>
    </row>
    <row r="98" spans="1:35" s="17" customFormat="1" ht="12" x14ac:dyDescent="0.2">
      <c r="B98" s="124" t="s">
        <v>135</v>
      </c>
      <c r="C98" s="126"/>
      <c r="D98" s="126"/>
      <c r="E98" s="132"/>
      <c r="F98" s="101"/>
      <c r="G98" s="18"/>
      <c r="H98" s="18"/>
      <c r="I98" s="18"/>
      <c r="J98" s="42"/>
      <c r="K98" s="232" t="s">
        <v>136</v>
      </c>
      <c r="L98" s="105"/>
      <c r="M98" s="105"/>
      <c r="N98" s="105"/>
      <c r="O98" s="105"/>
      <c r="P98" s="105"/>
      <c r="Q98" s="271"/>
      <c r="R98" s="15"/>
      <c r="AH98" s="28"/>
    </row>
    <row r="99" spans="1:35" s="17" customFormat="1" ht="15" x14ac:dyDescent="0.3">
      <c r="B99" s="452" t="s">
        <v>137</v>
      </c>
      <c r="C99" s="454" t="s">
        <v>138</v>
      </c>
      <c r="D99" s="5"/>
      <c r="E99" s="145"/>
      <c r="F99" s="135"/>
      <c r="G99" s="42"/>
      <c r="H99" s="5"/>
      <c r="I99" s="5"/>
      <c r="J99" s="18"/>
      <c r="K99" s="233"/>
      <c r="L99" s="234"/>
      <c r="M99" s="18"/>
      <c r="N99" s="235"/>
      <c r="O99" s="229" t="s">
        <v>139</v>
      </c>
      <c r="P99" s="230" t="s">
        <v>140</v>
      </c>
      <c r="Q99" s="231" t="s">
        <v>22</v>
      </c>
      <c r="R99" s="15"/>
      <c r="AH99" s="28"/>
    </row>
    <row r="100" spans="1:35" s="17" customFormat="1" x14ac:dyDescent="0.2">
      <c r="B100" s="446" t="s">
        <v>12</v>
      </c>
      <c r="C100" s="448" t="s">
        <v>12</v>
      </c>
      <c r="D100" s="30"/>
      <c r="E100" s="224"/>
      <c r="F100" s="227"/>
      <c r="G100" s="30"/>
      <c r="H100" s="30"/>
      <c r="I100" s="228"/>
      <c r="J100" s="18"/>
      <c r="K100" s="236"/>
      <c r="L100" s="234"/>
      <c r="M100" s="20"/>
      <c r="N100" s="19"/>
      <c r="O100" s="446" t="s">
        <v>19</v>
      </c>
      <c r="P100" s="447" t="s">
        <v>6</v>
      </c>
      <c r="Q100" s="448" t="s">
        <v>141</v>
      </c>
      <c r="R100" s="15"/>
      <c r="AH100" s="28" t="s">
        <v>169</v>
      </c>
    </row>
    <row r="101" spans="1:35" s="17" customFormat="1" ht="12" x14ac:dyDescent="0.2">
      <c r="B101" s="426" t="e">
        <f>0.1*Q12+I93+P97+G97</f>
        <v>#REF!</v>
      </c>
      <c r="C101" s="226" t="e">
        <f>IF(O82="Naturelle",MAX(C97,E93),0.1*Q12+J93+Q97+G97)</f>
        <v>#REF!</v>
      </c>
      <c r="D101" s="147"/>
      <c r="E101" s="225"/>
      <c r="F101" s="272"/>
      <c r="G101" s="148"/>
      <c r="H101" s="148"/>
      <c r="I101" s="148"/>
      <c r="J101" s="144"/>
      <c r="K101" s="154"/>
      <c r="L101" s="149"/>
      <c r="M101" s="149"/>
      <c r="N101" s="150"/>
      <c r="O101" s="449" t="e">
        <f>+(1220-(0.14*Altitude))/3600</f>
        <v>#REF!</v>
      </c>
      <c r="P101" s="450" t="e">
        <f>+O101*C101</f>
        <v>#REF!</v>
      </c>
      <c r="Q101" s="328" t="e">
        <f>+P101*(E12-L12)</f>
        <v>#REF!</v>
      </c>
      <c r="R101" s="15"/>
      <c r="AH101" s="28"/>
    </row>
    <row r="102" spans="1:35" s="17" customFormat="1" ht="17.25" customHeight="1" x14ac:dyDescent="0.2"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</row>
    <row r="103" spans="1:35" s="17" customFormat="1" ht="16.5" customHeight="1" x14ac:dyDescent="0.3">
      <c r="B103" s="348" t="s">
        <v>32</v>
      </c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50"/>
      <c r="P103" s="49" t="s">
        <v>168</v>
      </c>
      <c r="Q103" s="347" t="s">
        <v>15</v>
      </c>
      <c r="R103" s="41"/>
    </row>
    <row r="104" spans="1:35" s="17" customFormat="1" ht="16.5" customHeight="1" x14ac:dyDescent="0.2">
      <c r="A104" s="14"/>
      <c r="B104" s="155"/>
      <c r="C104" s="20"/>
      <c r="D104" s="20"/>
      <c r="E104" s="20"/>
      <c r="F104" s="20"/>
      <c r="G104" s="20"/>
      <c r="H104" s="20"/>
      <c r="I104" s="20"/>
      <c r="J104" s="20"/>
      <c r="L104" s="20"/>
      <c r="M104" s="20"/>
      <c r="N104" s="5"/>
      <c r="O104" s="146"/>
      <c r="P104" s="446" t="s">
        <v>6</v>
      </c>
      <c r="Q104" s="448" t="s">
        <v>141</v>
      </c>
      <c r="R104" s="41"/>
    </row>
    <row r="105" spans="1:35" x14ac:dyDescent="0.2">
      <c r="B105" s="154"/>
      <c r="C105" s="149"/>
      <c r="D105" s="98"/>
      <c r="E105" s="149"/>
      <c r="F105" s="149"/>
      <c r="G105" s="149"/>
      <c r="H105" s="149"/>
      <c r="I105" s="149"/>
      <c r="J105" s="149"/>
      <c r="K105" s="149"/>
      <c r="L105" s="149"/>
      <c r="M105" s="98"/>
      <c r="N105" s="156"/>
      <c r="O105" s="157"/>
      <c r="P105" s="266" t="e">
        <f>+P101+P79+P64+P51+P42+P27</f>
        <v>#REF!</v>
      </c>
      <c r="Q105" s="267" t="e">
        <f>+(Q101+Q79+Q64+Q51+Q42+Q27)</f>
        <v>#REF!</v>
      </c>
    </row>
    <row r="106" spans="1:35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35" x14ac:dyDescent="0.2">
      <c r="B107" s="17" t="s">
        <v>195</v>
      </c>
      <c r="C107" s="17"/>
      <c r="D107" s="17"/>
      <c r="E107" s="17"/>
    </row>
    <row r="108" spans="1:35" x14ac:dyDescent="0.2">
      <c r="B108" s="305" t="s">
        <v>38</v>
      </c>
      <c r="C108" s="306"/>
      <c r="D108" s="307"/>
      <c r="E108" s="308" t="e">
        <f>+Q27</f>
        <v>#REF!</v>
      </c>
    </row>
    <row r="109" spans="1:35" x14ac:dyDescent="0.2">
      <c r="B109" s="309" t="s">
        <v>192</v>
      </c>
      <c r="C109" s="310"/>
      <c r="D109" s="311"/>
      <c r="E109" s="312" t="e">
        <f>+Q42</f>
        <v>#REF!</v>
      </c>
    </row>
    <row r="110" spans="1:35" x14ac:dyDescent="0.2">
      <c r="B110" s="313" t="s">
        <v>56</v>
      </c>
      <c r="C110" s="314"/>
      <c r="D110" s="315"/>
      <c r="E110" s="316" t="e">
        <f>+Q51</f>
        <v>#REF!</v>
      </c>
    </row>
    <row r="111" spans="1:35" x14ac:dyDescent="0.2">
      <c r="B111" s="317" t="s">
        <v>37</v>
      </c>
      <c r="C111" s="318"/>
      <c r="D111" s="319"/>
      <c r="E111" s="320" t="e">
        <f>+Q64</f>
        <v>#REF!</v>
      </c>
    </row>
    <row r="112" spans="1:35" x14ac:dyDescent="0.2">
      <c r="B112" s="321" t="s">
        <v>193</v>
      </c>
      <c r="C112" s="322"/>
      <c r="D112" s="323"/>
      <c r="E112" s="324" t="e">
        <f>+Q79</f>
        <v>#REF!</v>
      </c>
    </row>
    <row r="113" spans="2:5" x14ac:dyDescent="0.2">
      <c r="B113" s="325" t="s">
        <v>194</v>
      </c>
      <c r="C113" s="326"/>
      <c r="D113" s="327"/>
      <c r="E113" s="329" t="e">
        <f>+Q101</f>
        <v>#REF!</v>
      </c>
    </row>
    <row r="130" spans="2:18" ht="15" x14ac:dyDescent="0.3">
      <c r="B130" s="461" t="s">
        <v>221</v>
      </c>
      <c r="C130" s="465" t="s">
        <v>23</v>
      </c>
      <c r="D130" s="462"/>
      <c r="E130" s="462"/>
      <c r="F130" s="462"/>
      <c r="G130" s="462"/>
      <c r="H130" s="462"/>
      <c r="I130" s="463"/>
      <c r="J130" s="466" t="s">
        <v>1</v>
      </c>
      <c r="K130" s="466" t="s">
        <v>265</v>
      </c>
      <c r="L130" s="466" t="s">
        <v>266</v>
      </c>
      <c r="M130" s="467" t="s">
        <v>223</v>
      </c>
      <c r="N130" s="467" t="s">
        <v>224</v>
      </c>
      <c r="O130" s="467" t="s">
        <v>225</v>
      </c>
      <c r="P130" s="468" t="s">
        <v>226</v>
      </c>
      <c r="Q130" s="468" t="s">
        <v>137</v>
      </c>
      <c r="R130" s="468" t="s">
        <v>227</v>
      </c>
    </row>
    <row r="131" spans="2:18" x14ac:dyDescent="0.2">
      <c r="B131" s="464"/>
      <c r="C131" s="464"/>
      <c r="D131" s="464"/>
      <c r="E131" s="464"/>
      <c r="F131" s="464"/>
      <c r="G131" s="464"/>
      <c r="H131" s="464"/>
      <c r="I131" s="464"/>
      <c r="J131" s="469" t="s">
        <v>40</v>
      </c>
      <c r="K131" s="469" t="s">
        <v>4</v>
      </c>
      <c r="L131" s="469" t="s">
        <v>4</v>
      </c>
      <c r="M131" s="469" t="s">
        <v>141</v>
      </c>
      <c r="N131" s="469" t="s">
        <v>141</v>
      </c>
      <c r="O131" s="469" t="s">
        <v>141</v>
      </c>
      <c r="P131" s="469" t="s">
        <v>267</v>
      </c>
      <c r="Q131" s="469" t="s">
        <v>268</v>
      </c>
      <c r="R131" s="469" t="s">
        <v>269</v>
      </c>
    </row>
    <row r="132" spans="2:18" x14ac:dyDescent="0.2">
      <c r="B132" s="464" t="str">
        <f>+G2</f>
        <v>CH1</v>
      </c>
      <c r="C132" s="464" t="str">
        <f>+L2</f>
        <v>Chambre 1</v>
      </c>
      <c r="D132" s="464"/>
      <c r="E132" s="464"/>
      <c r="F132" s="464"/>
      <c r="G132" s="464"/>
      <c r="H132" s="464"/>
      <c r="I132" s="464"/>
      <c r="J132" s="469">
        <v>20</v>
      </c>
      <c r="K132" s="469">
        <v>20</v>
      </c>
      <c r="L132" s="469">
        <v>10</v>
      </c>
      <c r="M132" s="470">
        <v>100</v>
      </c>
      <c r="N132" s="471">
        <v>200</v>
      </c>
      <c r="O132" s="471">
        <v>300</v>
      </c>
      <c r="P132" s="469">
        <f>+O132/J132</f>
        <v>15</v>
      </c>
      <c r="Q132" s="470">
        <v>30</v>
      </c>
      <c r="R132" s="469">
        <f>+Q132/J132</f>
        <v>1.5</v>
      </c>
    </row>
  </sheetData>
  <sheetProtection selectLockedCells="1"/>
  <protectedRanges>
    <protectedRange sqref="O47:O50 B47:G50 B21:G26 I21:O26 I47:M50 B32:G41 I32:M41 B56:G63 B69:G78 I69:O78 I56:M63 O56:O63 O32:O41" name="Plage3"/>
    <protectedRange sqref="I15" name="Plage2"/>
    <protectedRange sqref="I13:O14 H14 K12:Q12 E12:G14" name="Plage1"/>
  </protectedRanges>
  <dataConsolidate link="1"/>
  <mergeCells count="75">
    <mergeCell ref="M20:N20"/>
    <mergeCell ref="N4:Q4"/>
    <mergeCell ref="N5:Q5"/>
    <mergeCell ref="I6:Q6"/>
    <mergeCell ref="I7:Q7"/>
    <mergeCell ref="G10:J10"/>
    <mergeCell ref="G11:J11"/>
    <mergeCell ref="G12:J12"/>
    <mergeCell ref="B14:Q14"/>
    <mergeCell ref="D19:E19"/>
    <mergeCell ref="F19:H19"/>
    <mergeCell ref="M19:N19"/>
    <mergeCell ref="F33:H33"/>
    <mergeCell ref="F21:H21"/>
    <mergeCell ref="F22:H22"/>
    <mergeCell ref="F23:H23"/>
    <mergeCell ref="F24:H24"/>
    <mergeCell ref="F25:H25"/>
    <mergeCell ref="F26:H26"/>
    <mergeCell ref="D30:E30"/>
    <mergeCell ref="F30:H30"/>
    <mergeCell ref="M30:N30"/>
    <mergeCell ref="M31:N31"/>
    <mergeCell ref="F32:H32"/>
    <mergeCell ref="M45:N45"/>
    <mergeCell ref="M46:N46"/>
    <mergeCell ref="F34:H34"/>
    <mergeCell ref="F35:H35"/>
    <mergeCell ref="F36:H36"/>
    <mergeCell ref="F37:H37"/>
    <mergeCell ref="F38:H38"/>
    <mergeCell ref="F39:H39"/>
    <mergeCell ref="D54:E54"/>
    <mergeCell ref="F54:H54"/>
    <mergeCell ref="F40:H40"/>
    <mergeCell ref="F41:H41"/>
    <mergeCell ref="D45:E45"/>
    <mergeCell ref="F45:H45"/>
    <mergeCell ref="F59:H59"/>
    <mergeCell ref="F47:H47"/>
    <mergeCell ref="F48:H48"/>
    <mergeCell ref="F49:H49"/>
    <mergeCell ref="F50:H50"/>
    <mergeCell ref="M54:N54"/>
    <mergeCell ref="M55:N55"/>
    <mergeCell ref="F56:H56"/>
    <mergeCell ref="F57:H57"/>
    <mergeCell ref="F58:H58"/>
    <mergeCell ref="F60:H60"/>
    <mergeCell ref="F61:H61"/>
    <mergeCell ref="F62:H62"/>
    <mergeCell ref="F63:H63"/>
    <mergeCell ref="D67:E67"/>
    <mergeCell ref="F67:H67"/>
    <mergeCell ref="F78:H78"/>
    <mergeCell ref="M67:N67"/>
    <mergeCell ref="M68:N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G95:J95"/>
    <mergeCell ref="G96:J96"/>
    <mergeCell ref="G97:J97"/>
    <mergeCell ref="O82:Q82"/>
    <mergeCell ref="O83:Q83"/>
    <mergeCell ref="O84:Q84"/>
    <mergeCell ref="O85:Q85"/>
    <mergeCell ref="O86:Q86"/>
    <mergeCell ref="G94:J94"/>
  </mergeCells>
  <conditionalFormatting sqref="B101">
    <cfRule type="cellIs" dxfId="5" priority="1" stopIfTrue="1" operator="lessThan">
      <formula>#REF!</formula>
    </cfRule>
    <cfRule type="cellIs" dxfId="4" priority="2" stopIfTrue="1" operator="greaterThanOrEqual">
      <formula>#REF!</formula>
    </cfRule>
  </conditionalFormatting>
  <dataValidations count="15">
    <dataValidation type="list" allowBlank="1" showInputMessage="1" showErrorMessage="1" sqref="I6:Q6">
      <formula1>$AU$4:$AU$7</formula1>
    </dataValidation>
    <dataValidation type="list" allowBlank="1" showInputMessage="1" showErrorMessage="1" sqref="B56:B63">
      <formula1>Toitures</formula1>
    </dataValidation>
    <dataValidation type="list" allowBlank="1" showInputMessage="1" showErrorMessage="1" sqref="B32:B41">
      <formula1>Menuiseries</formula1>
    </dataValidation>
    <dataValidation type="list" allowBlank="1" showInputMessage="1" showErrorMessage="1" sqref="B69:B78">
      <formula1>Ponts</formula1>
    </dataValidation>
    <dataValidation type="list" allowBlank="1" showInputMessage="1" showErrorMessage="1" sqref="B47:B50">
      <formula1>planchers</formula1>
    </dataValidation>
    <dataValidation type="list" allowBlank="1" showInputMessage="1" showErrorMessage="1" sqref="B21:B26">
      <formula1>Murs</formula1>
    </dataValidation>
    <dataValidation type="list" allowBlank="1" showInputMessage="1" showErrorMessage="1" sqref="O82:Q82">
      <formula1>$AU$21:$AU$23</formula1>
    </dataValidation>
    <dataValidation type="list" allowBlank="1" showInputMessage="1" showErrorMessage="1" sqref="O85:Q85">
      <formula1>$AM$28:$AM$30</formula1>
    </dataValidation>
    <dataValidation type="list" allowBlank="1" showInputMessage="1" showErrorMessage="1" sqref="O83:Q83">
      <formula1>$AO$21:$AO$23</formula1>
    </dataValidation>
    <dataValidation type="list" allowBlank="1" showInputMessage="1" showErrorMessage="1" sqref="I7">
      <formula1>$AU$11:$AU$19</formula1>
    </dataValidation>
    <dataValidation type="list" allowBlank="1" showInputMessage="1" showErrorMessage="1" sqref="N5:Q5">
      <formula1>INDIRECT($N$4)</formula1>
    </dataValidation>
    <dataValidation type="list" allowBlank="1" showInputMessage="1" showErrorMessage="1" sqref="N4">
      <formula1>Bâtiments</formula1>
    </dataValidation>
    <dataValidation type="list" allowBlank="1" showInputMessage="1" showErrorMessage="1" sqref="F21:F26 F47:F50 F56:F63 F32:F41 F69:F78">
      <formula1>Contact</formula1>
    </dataValidation>
    <dataValidation type="list" allowBlank="1" showInputMessage="1" showErrorMessage="1" sqref="O86:Q86">
      <formula1>INDIRECT($O$84)</formula1>
    </dataValidation>
    <dataValidation type="list" allowBlank="1" showInputMessage="1" showErrorMessage="1" sqref="O84:Q84">
      <formula1>INDIRECT($O$83)</formula1>
    </dataValidation>
  </dataValidations>
  <pageMargins left="0.78740157480314965" right="0.19685039370078741" top="0.62992125984251968" bottom="0.62992125984251968" header="0.51181102362204722" footer="0.51181102362204722"/>
  <pageSetup paperSize="9" scale="78" orientation="portrait" r:id="rId1"/>
  <headerFooter alignWithMargins="0">
    <oddHeader xml:space="preserve">&amp;R
</oddHeader>
    <oddFooter>&amp;L&amp;8Formulaire de calcul SIA 384.201&amp;C&amp;8Fiche du local&amp;R&amp;8Page &amp;P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 tint="0.79998168889431442"/>
    <pageSetUpPr fitToPage="1"/>
  </sheetPr>
  <dimension ref="A1:BA132"/>
  <sheetViews>
    <sheetView showGridLines="0" topLeftCell="A100" zoomScaleNormal="100" zoomScaleSheetLayoutView="100" workbookViewId="0">
      <selection activeCell="I141" sqref="I141"/>
    </sheetView>
  </sheetViews>
  <sheetFormatPr baseColWidth="10" defaultRowHeight="12.75" x14ac:dyDescent="0.2"/>
  <cols>
    <col min="1" max="1" width="0.7109375" style="14" customWidth="1"/>
    <col min="2" max="3" width="6.140625" style="14" customWidth="1"/>
    <col min="4" max="5" width="9.42578125" style="14" customWidth="1"/>
    <col min="6" max="6" width="6.140625" style="14" customWidth="1"/>
    <col min="7" max="9" width="6" style="14" customWidth="1"/>
    <col min="10" max="10" width="7.140625" style="14" customWidth="1"/>
    <col min="11" max="11" width="6.140625" style="14" customWidth="1"/>
    <col min="12" max="12" width="6.5703125" style="14" customWidth="1"/>
    <col min="13" max="14" width="6.140625" style="14" customWidth="1"/>
    <col min="15" max="15" width="7.140625" style="14" customWidth="1"/>
    <col min="16" max="16" width="9.140625" style="14" bestFit="1" customWidth="1"/>
    <col min="17" max="17" width="7" style="14" bestFit="1" customWidth="1"/>
    <col min="18" max="20" width="6.140625" style="14" customWidth="1"/>
    <col min="21" max="22" width="11.28515625" style="14" bestFit="1" customWidth="1"/>
    <col min="23" max="23" width="9.5703125" style="14" customWidth="1"/>
    <col min="24" max="24" width="13.85546875" style="14" customWidth="1"/>
    <col min="25" max="26" width="8.140625" style="14" customWidth="1"/>
    <col min="27" max="34" width="11.42578125" style="14"/>
    <col min="35" max="60" width="7.7109375" style="14" customWidth="1"/>
    <col min="61" max="16384" width="11.42578125" style="14"/>
  </cols>
  <sheetData>
    <row r="1" spans="1:53" s="22" customFormat="1" ht="14.25" customHeight="1" x14ac:dyDescent="0.2">
      <c r="A1" s="51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4"/>
    </row>
    <row r="2" spans="1:53" s="22" customFormat="1" ht="24.75" customHeight="1" x14ac:dyDescent="0.2">
      <c r="A2" s="51"/>
      <c r="B2" s="180" t="s">
        <v>33</v>
      </c>
      <c r="C2" s="181"/>
      <c r="D2" s="181"/>
      <c r="E2" s="182" t="s">
        <v>196</v>
      </c>
      <c r="F2" s="182"/>
      <c r="G2" s="330" t="s">
        <v>276</v>
      </c>
      <c r="H2" s="330"/>
      <c r="I2" s="23"/>
      <c r="J2" s="182" t="s">
        <v>27</v>
      </c>
      <c r="K2" s="183"/>
      <c r="L2" s="330" t="s">
        <v>270</v>
      </c>
      <c r="M2" s="330"/>
      <c r="N2" s="330"/>
      <c r="O2" s="184"/>
      <c r="P2" s="184"/>
      <c r="Q2" s="185"/>
      <c r="R2" s="24"/>
      <c r="AM2" s="21"/>
    </row>
    <row r="3" spans="1:53" s="22" customFormat="1" ht="15" x14ac:dyDescent="0.2">
      <c r="A3" s="51"/>
      <c r="B3" s="190"/>
      <c r="C3" s="191"/>
      <c r="D3" s="191"/>
      <c r="E3" s="192"/>
      <c r="F3" s="192"/>
      <c r="H3" s="193"/>
      <c r="J3" s="192"/>
      <c r="K3" s="194"/>
      <c r="L3" s="195"/>
      <c r="M3" s="195"/>
      <c r="N3" s="195"/>
      <c r="O3" s="195"/>
      <c r="P3" s="195"/>
      <c r="Q3" s="194"/>
      <c r="R3" s="24"/>
      <c r="AM3" s="6"/>
    </row>
    <row r="4" spans="1:53" s="22" customFormat="1" ht="14.25" x14ac:dyDescent="0.2">
      <c r="A4" s="51"/>
      <c r="B4" s="276" t="s">
        <v>92</v>
      </c>
      <c r="C4" s="277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551" t="s">
        <v>94</v>
      </c>
      <c r="O4" s="551"/>
      <c r="P4" s="551"/>
      <c r="Q4" s="552"/>
      <c r="R4" s="24"/>
      <c r="AU4" s="17" t="s">
        <v>95</v>
      </c>
    </row>
    <row r="5" spans="1:53" s="22" customFormat="1" ht="14.25" x14ac:dyDescent="0.2">
      <c r="A5" s="51"/>
      <c r="B5" s="280" t="s">
        <v>177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53" t="s">
        <v>93</v>
      </c>
      <c r="O5" s="553"/>
      <c r="P5" s="553"/>
      <c r="Q5" s="554"/>
      <c r="R5" s="24"/>
      <c r="AM5" s="6" t="s">
        <v>150</v>
      </c>
      <c r="AO5" s="17"/>
      <c r="AP5" s="21"/>
      <c r="AQ5" s="17"/>
      <c r="AR5" s="17">
        <v>0</v>
      </c>
      <c r="AS5" s="17">
        <v>0</v>
      </c>
      <c r="AU5" s="17" t="s">
        <v>147</v>
      </c>
    </row>
    <row r="6" spans="1:53" s="21" customFormat="1" ht="14.25" x14ac:dyDescent="0.2">
      <c r="A6" s="52"/>
      <c r="B6" s="280" t="s">
        <v>145</v>
      </c>
      <c r="C6" s="178"/>
      <c r="D6" s="178"/>
      <c r="E6" s="186" t="e">
        <f>#REF!</f>
        <v>#REF!</v>
      </c>
      <c r="F6" s="179"/>
      <c r="G6" s="179"/>
      <c r="H6" s="282" t="e">
        <f>E6&amp;" "&amp;I6</f>
        <v>#REF!</v>
      </c>
      <c r="I6" s="555" t="s">
        <v>147</v>
      </c>
      <c r="J6" s="555"/>
      <c r="K6" s="555"/>
      <c r="L6" s="555"/>
      <c r="M6" s="555"/>
      <c r="N6" s="555"/>
      <c r="O6" s="555"/>
      <c r="P6" s="555"/>
      <c r="Q6" s="556"/>
      <c r="R6" s="25"/>
      <c r="AM6" s="21" t="s">
        <v>151</v>
      </c>
      <c r="AN6" s="22"/>
      <c r="AO6" s="17"/>
      <c r="AQ6" s="17"/>
      <c r="AR6" s="17"/>
      <c r="AS6" s="17">
        <v>0.05</v>
      </c>
      <c r="AU6" s="17" t="s">
        <v>148</v>
      </c>
    </row>
    <row r="7" spans="1:53" s="21" customFormat="1" ht="14.25" x14ac:dyDescent="0.2">
      <c r="A7" s="52"/>
      <c r="B7" s="281" t="s">
        <v>167</v>
      </c>
      <c r="C7" s="151"/>
      <c r="D7" s="151"/>
      <c r="E7" s="53"/>
      <c r="F7" s="176"/>
      <c r="G7" s="176"/>
      <c r="H7" s="176"/>
      <c r="I7" s="557" t="s">
        <v>159</v>
      </c>
      <c r="J7" s="557"/>
      <c r="K7" s="557"/>
      <c r="L7" s="557"/>
      <c r="M7" s="557"/>
      <c r="N7" s="557"/>
      <c r="O7" s="557"/>
      <c r="P7" s="557"/>
      <c r="Q7" s="558"/>
      <c r="R7" s="25"/>
      <c r="AM7" s="21" t="s">
        <v>152</v>
      </c>
      <c r="AN7" s="22"/>
      <c r="AO7" s="17"/>
      <c r="AQ7" s="17"/>
      <c r="AS7" s="21">
        <v>0</v>
      </c>
      <c r="AT7" s="17"/>
      <c r="AU7" s="17" t="s">
        <v>149</v>
      </c>
      <c r="AV7" s="17"/>
      <c r="AW7" s="17"/>
      <c r="AX7" s="17"/>
      <c r="AY7" s="17"/>
      <c r="AZ7" s="17"/>
    </row>
    <row r="8" spans="1:53" s="21" customFormat="1" ht="14.25" x14ac:dyDescent="0.2">
      <c r="A8" s="52"/>
      <c r="B8" s="273"/>
      <c r="C8" s="53"/>
      <c r="D8" s="53"/>
      <c r="E8" s="53"/>
      <c r="F8" s="274"/>
      <c r="G8" s="53"/>
      <c r="H8" s="53"/>
      <c r="I8" s="53"/>
      <c r="J8" s="53"/>
      <c r="K8" s="53"/>
      <c r="L8" s="53"/>
      <c r="M8" s="274"/>
      <c r="N8" s="53"/>
      <c r="O8" s="274"/>
      <c r="P8" s="275"/>
      <c r="Q8" s="53"/>
      <c r="R8" s="25"/>
      <c r="AM8" s="21" t="s">
        <v>153</v>
      </c>
      <c r="AN8" s="22"/>
      <c r="AO8" s="17"/>
      <c r="AP8" s="17"/>
      <c r="AQ8" s="17"/>
      <c r="AR8" s="17"/>
      <c r="AS8" s="17">
        <v>0.02</v>
      </c>
      <c r="AT8" s="17">
        <v>0</v>
      </c>
      <c r="AU8" s="17">
        <v>0</v>
      </c>
      <c r="AV8" s="17"/>
      <c r="AW8" s="17"/>
      <c r="AX8" s="17"/>
      <c r="AY8" s="17"/>
      <c r="AZ8" s="17"/>
    </row>
    <row r="9" spans="1:53" s="21" customFormat="1" ht="14.25" x14ac:dyDescent="0.2">
      <c r="A9" s="52"/>
      <c r="B9" s="55" t="s">
        <v>28</v>
      </c>
      <c r="C9" s="56"/>
      <c r="D9" s="57"/>
      <c r="E9" s="58" t="s">
        <v>29</v>
      </c>
      <c r="F9" s="56"/>
      <c r="G9" s="56"/>
      <c r="H9" s="56"/>
      <c r="I9" s="56"/>
      <c r="J9" s="56"/>
      <c r="K9" s="428"/>
      <c r="L9" s="429"/>
      <c r="M9" s="58" t="s">
        <v>30</v>
      </c>
      <c r="N9" s="56"/>
      <c r="O9" s="56"/>
      <c r="P9" s="56"/>
      <c r="Q9" s="57"/>
      <c r="AM9" s="21" t="s">
        <v>154</v>
      </c>
      <c r="AN9" s="22"/>
      <c r="AO9" s="17"/>
      <c r="AP9" s="6"/>
      <c r="AQ9" s="17"/>
      <c r="AR9" s="6"/>
      <c r="AS9" s="17">
        <v>0.03</v>
      </c>
      <c r="AV9" s="17"/>
      <c r="AW9" s="17"/>
      <c r="AX9" s="17"/>
      <c r="AY9" s="17"/>
      <c r="AZ9" s="17" t="s">
        <v>146</v>
      </c>
      <c r="BA9" s="6" t="s">
        <v>2</v>
      </c>
    </row>
    <row r="10" spans="1:53" s="21" customFormat="1" ht="15.75" x14ac:dyDescent="0.3">
      <c r="A10" s="52"/>
      <c r="B10" s="60"/>
      <c r="C10" s="61"/>
      <c r="D10" s="62"/>
      <c r="E10" s="63" t="s">
        <v>20</v>
      </c>
      <c r="F10" s="64" t="s">
        <v>16</v>
      </c>
      <c r="G10" s="559" t="s">
        <v>39</v>
      </c>
      <c r="H10" s="560"/>
      <c r="I10" s="560"/>
      <c r="J10" s="561"/>
      <c r="K10" s="334" t="s">
        <v>35</v>
      </c>
      <c r="L10" s="427" t="s">
        <v>36</v>
      </c>
      <c r="M10" s="333" t="s">
        <v>0</v>
      </c>
      <c r="N10" s="334" t="s">
        <v>7</v>
      </c>
      <c r="O10" s="334" t="s">
        <v>1</v>
      </c>
      <c r="P10" s="334" t="s">
        <v>8</v>
      </c>
      <c r="Q10" s="335" t="s">
        <v>21</v>
      </c>
      <c r="AM10" s="21" t="s">
        <v>155</v>
      </c>
      <c r="AN10" s="22"/>
      <c r="AO10" s="17"/>
      <c r="AP10" s="17"/>
      <c r="AQ10" s="17"/>
      <c r="AR10" s="17"/>
      <c r="AS10" s="17">
        <v>0</v>
      </c>
      <c r="AU10" s="6" t="s">
        <v>158</v>
      </c>
      <c r="AV10" s="17"/>
      <c r="AW10" s="17"/>
      <c r="AX10" s="17"/>
      <c r="AY10" s="6"/>
      <c r="AZ10" s="337" t="s">
        <v>175</v>
      </c>
      <c r="BA10" s="337">
        <v>1</v>
      </c>
    </row>
    <row r="11" spans="1:53" s="21" customFormat="1" ht="14.25" x14ac:dyDescent="0.2">
      <c r="A11" s="52"/>
      <c r="B11" s="65"/>
      <c r="C11" s="66"/>
      <c r="D11" s="67"/>
      <c r="E11" s="68" t="s">
        <v>4</v>
      </c>
      <c r="F11" s="69" t="s">
        <v>4</v>
      </c>
      <c r="G11" s="562" t="s">
        <v>8</v>
      </c>
      <c r="H11" s="563"/>
      <c r="I11" s="563"/>
      <c r="J11" s="564"/>
      <c r="K11" s="69" t="s">
        <v>5</v>
      </c>
      <c r="L11" s="69" t="s">
        <v>4</v>
      </c>
      <c r="M11" s="68" t="s">
        <v>3</v>
      </c>
      <c r="N11" s="69" t="s">
        <v>3</v>
      </c>
      <c r="O11" s="69" t="s">
        <v>10</v>
      </c>
      <c r="P11" s="69" t="s">
        <v>3</v>
      </c>
      <c r="Q11" s="70" t="s">
        <v>11</v>
      </c>
      <c r="AM11" s="21" t="s">
        <v>156</v>
      </c>
      <c r="AN11" s="22"/>
      <c r="AO11" s="17"/>
      <c r="AP11" s="6"/>
      <c r="AQ11" s="17"/>
      <c r="AR11" s="6"/>
      <c r="AS11" s="17">
        <v>0.01</v>
      </c>
      <c r="AU11" s="6" t="s">
        <v>146</v>
      </c>
      <c r="AY11" s="6"/>
      <c r="AZ11" s="337" t="s">
        <v>174</v>
      </c>
      <c r="BA11" s="336" t="s">
        <v>7</v>
      </c>
    </row>
    <row r="12" spans="1:53" s="17" customFormat="1" ht="15" x14ac:dyDescent="0.2">
      <c r="A12" s="54"/>
      <c r="B12" s="73"/>
      <c r="C12" s="72"/>
      <c r="D12" s="74"/>
      <c r="E12" s="449" t="e">
        <f>VLOOKUP(N5,#REF!,2,FALSE)</f>
        <v>#REF!</v>
      </c>
      <c r="F12" s="450" t="e">
        <f>#REF!</f>
        <v>#REF!</v>
      </c>
      <c r="G12" s="542" t="e">
        <f>#REF!</f>
        <v>#REF!</v>
      </c>
      <c r="H12" s="543"/>
      <c r="I12" s="543"/>
      <c r="J12" s="544"/>
      <c r="K12" s="94" t="e">
        <f>#REF!</f>
        <v>#REF!</v>
      </c>
      <c r="L12" s="450" t="e">
        <f>IF(ISNUMBER(F12),F12+K12,F12)</f>
        <v>#REF!</v>
      </c>
      <c r="M12" s="458"/>
      <c r="N12" s="459"/>
      <c r="O12" s="459">
        <f>M12*N12</f>
        <v>0</v>
      </c>
      <c r="P12" s="459"/>
      <c r="Q12" s="460">
        <f>O12*P12</f>
        <v>0</v>
      </c>
      <c r="AM12" s="21" t="s">
        <v>157</v>
      </c>
      <c r="AN12" s="22"/>
      <c r="AR12" s="22"/>
      <c r="AS12" s="17">
        <v>0.02</v>
      </c>
      <c r="AU12" s="6" t="s">
        <v>159</v>
      </c>
      <c r="AV12" s="21">
        <v>1</v>
      </c>
      <c r="AY12" s="6"/>
      <c r="AZ12" s="337" t="s">
        <v>180</v>
      </c>
      <c r="BA12" s="336" t="s">
        <v>199</v>
      </c>
    </row>
    <row r="13" spans="1:53" s="6" customFormat="1" ht="12" customHeight="1" x14ac:dyDescent="0.2">
      <c r="A13" s="54"/>
      <c r="B13" s="75"/>
      <c r="C13" s="75"/>
      <c r="D13" s="75"/>
      <c r="E13" s="234"/>
      <c r="F13" s="234"/>
      <c r="G13" s="299"/>
      <c r="I13" s="300"/>
      <c r="J13" s="234"/>
      <c r="K13" s="234"/>
      <c r="L13" s="234"/>
      <c r="M13" s="234"/>
      <c r="N13" s="234"/>
      <c r="O13" s="234"/>
      <c r="P13" s="85"/>
      <c r="Q13" s="85"/>
      <c r="AU13" s="6" t="s">
        <v>160</v>
      </c>
      <c r="AV13" s="17">
        <v>1.3</v>
      </c>
      <c r="AZ13" s="337" t="s">
        <v>176</v>
      </c>
      <c r="BA13" s="336" t="s">
        <v>7</v>
      </c>
    </row>
    <row r="14" spans="1:53" s="17" customFormat="1" ht="14.25" customHeight="1" x14ac:dyDescent="0.2">
      <c r="A14" s="59"/>
      <c r="B14" s="545" t="s">
        <v>200</v>
      </c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AM14" s="21" t="s">
        <v>146</v>
      </c>
      <c r="AP14" s="22"/>
      <c r="AQ14" s="22"/>
      <c r="AR14" s="22"/>
      <c r="AS14" s="22">
        <v>0</v>
      </c>
      <c r="AU14" s="6" t="s">
        <v>161</v>
      </c>
      <c r="AV14" s="6">
        <v>1.4</v>
      </c>
    </row>
    <row r="15" spans="1:53" s="6" customFormat="1" ht="14.25" customHeight="1" x14ac:dyDescent="0.2">
      <c r="A15" s="17"/>
      <c r="B15" s="203" t="s">
        <v>184</v>
      </c>
      <c r="C15" s="201"/>
      <c r="D15" s="201"/>
      <c r="E15" s="201"/>
      <c r="F15" s="201"/>
      <c r="G15" s="201"/>
      <c r="H15" s="201"/>
      <c r="I15" s="269"/>
      <c r="J15" s="202"/>
      <c r="K15" s="202"/>
      <c r="L15" s="202"/>
      <c r="M15" s="202"/>
      <c r="N15" s="202"/>
      <c r="O15" s="202"/>
      <c r="P15" s="202"/>
      <c r="Q15" s="303"/>
      <c r="AM15" s="21" t="s">
        <v>96</v>
      </c>
      <c r="AN15" s="21"/>
      <c r="AO15" s="21"/>
      <c r="AP15" s="21"/>
      <c r="AQ15" s="21"/>
      <c r="AR15" s="21"/>
      <c r="AS15" s="21">
        <v>1</v>
      </c>
      <c r="AU15" s="6" t="s">
        <v>162</v>
      </c>
      <c r="AV15" s="17">
        <v>1.6</v>
      </c>
    </row>
    <row r="16" spans="1:53" s="17" customFormat="1" ht="13.5" customHeight="1" x14ac:dyDescent="0.25">
      <c r="B16" s="285" t="s">
        <v>185</v>
      </c>
      <c r="C16" s="301"/>
      <c r="D16" s="301"/>
      <c r="E16" s="301"/>
      <c r="F16" s="301"/>
      <c r="G16" s="301"/>
      <c r="H16" s="302" t="s">
        <v>41</v>
      </c>
      <c r="I16" s="71">
        <f>IF(I15="",1,(E12-I15)/(E12-L12))</f>
        <v>1</v>
      </c>
      <c r="J16" s="301"/>
      <c r="K16" s="301"/>
      <c r="L16" s="301"/>
      <c r="M16" s="301"/>
      <c r="N16" s="301"/>
      <c r="O16" s="301"/>
      <c r="P16" s="301"/>
      <c r="Q16" s="304"/>
      <c r="R16" s="27"/>
      <c r="AM16" s="21" t="s">
        <v>97</v>
      </c>
      <c r="AN16" s="21"/>
      <c r="AO16" s="21"/>
      <c r="AP16" s="21"/>
      <c r="AQ16" s="21"/>
      <c r="AR16" s="21"/>
      <c r="AS16" s="21">
        <v>0.5</v>
      </c>
      <c r="AU16" s="6" t="s">
        <v>163</v>
      </c>
      <c r="AV16" s="6">
        <v>1.7</v>
      </c>
      <c r="AX16" s="22"/>
      <c r="AY16" s="22"/>
      <c r="AZ16" s="22"/>
    </row>
    <row r="17" spans="2:52" s="17" customFormat="1" ht="12" x14ac:dyDescent="0.2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15"/>
      <c r="AM17" s="21" t="s">
        <v>98</v>
      </c>
      <c r="AS17" s="17">
        <v>0.3</v>
      </c>
      <c r="AU17" s="6" t="s">
        <v>164</v>
      </c>
      <c r="AV17" s="17">
        <v>1.8</v>
      </c>
      <c r="AX17" s="21"/>
      <c r="AY17" s="21"/>
      <c r="AZ17" s="21"/>
    </row>
    <row r="18" spans="2:52" s="8" customFormat="1" x14ac:dyDescent="0.2">
      <c r="B18" s="209" t="s">
        <v>170</v>
      </c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1"/>
      <c r="R18" s="29"/>
      <c r="AM18" s="21" t="s">
        <v>99</v>
      </c>
      <c r="AN18" s="6"/>
      <c r="AO18" s="6"/>
      <c r="AP18" s="6"/>
      <c r="AQ18" s="6"/>
      <c r="AR18" s="6"/>
      <c r="AS18" s="6">
        <v>0.1</v>
      </c>
      <c r="AU18" s="6" t="s">
        <v>165</v>
      </c>
      <c r="AV18" s="17">
        <v>2</v>
      </c>
      <c r="AX18" s="21"/>
      <c r="AY18" s="21"/>
      <c r="AZ18" s="21"/>
    </row>
    <row r="19" spans="2:52" s="6" customFormat="1" ht="22.5" customHeight="1" x14ac:dyDescent="0.2">
      <c r="B19" s="188" t="s">
        <v>25</v>
      </c>
      <c r="C19" s="175" t="s">
        <v>14</v>
      </c>
      <c r="D19" s="546" t="s">
        <v>26</v>
      </c>
      <c r="E19" s="547"/>
      <c r="F19" s="548" t="s">
        <v>172</v>
      </c>
      <c r="G19" s="547"/>
      <c r="H19" s="549"/>
      <c r="I19" s="200" t="s">
        <v>7</v>
      </c>
      <c r="J19" s="175" t="s">
        <v>13</v>
      </c>
      <c r="K19" s="175" t="s">
        <v>198</v>
      </c>
      <c r="L19" s="175" t="s">
        <v>1</v>
      </c>
      <c r="M19" s="546" t="s">
        <v>173</v>
      </c>
      <c r="N19" s="550"/>
      <c r="O19" s="197" t="s">
        <v>181</v>
      </c>
      <c r="P19" s="455" t="s">
        <v>17</v>
      </c>
      <c r="Q19" s="187" t="s">
        <v>18</v>
      </c>
      <c r="R19" s="5"/>
      <c r="AU19" s="6" t="s">
        <v>166</v>
      </c>
      <c r="AV19" s="8">
        <v>2.2000000000000002</v>
      </c>
      <c r="AX19" s="17"/>
      <c r="AY19" s="17"/>
      <c r="AZ19" s="17"/>
    </row>
    <row r="20" spans="2:52" s="6" customFormat="1" ht="14.25" customHeight="1" x14ac:dyDescent="0.2">
      <c r="B20" s="189" t="s">
        <v>2</v>
      </c>
      <c r="C20" s="172"/>
      <c r="D20" s="173"/>
      <c r="E20" s="172"/>
      <c r="F20" s="172"/>
      <c r="G20" s="174"/>
      <c r="H20" s="174"/>
      <c r="I20" s="170" t="s">
        <v>3</v>
      </c>
      <c r="J20" s="170" t="s">
        <v>3</v>
      </c>
      <c r="K20" s="172" t="s">
        <v>197</v>
      </c>
      <c r="L20" s="170" t="s">
        <v>40</v>
      </c>
      <c r="M20" s="499" t="s">
        <v>7</v>
      </c>
      <c r="N20" s="499"/>
      <c r="O20" s="198" t="s">
        <v>182</v>
      </c>
      <c r="P20" s="171" t="s">
        <v>6</v>
      </c>
      <c r="Q20" s="374" t="s">
        <v>141</v>
      </c>
      <c r="R20" s="31"/>
      <c r="AM20" s="5"/>
      <c r="AN20" s="5"/>
    </row>
    <row r="21" spans="2:52" s="6" customFormat="1" ht="12.75" customHeight="1" x14ac:dyDescent="0.2">
      <c r="B21" s="297" t="s">
        <v>48</v>
      </c>
      <c r="C21" s="35" t="s">
        <v>44</v>
      </c>
      <c r="D21" s="48" t="str">
        <f>IF(ISNA(VLOOKUP(B21,BibliothèqueProjet!$A$6:$J$70,2,FALSE)) = TRUE, "", VLOOKUP(B21,BibliothèqueProjet!$A$6:$J$20,2,FALSE))</f>
        <v>Murs Extérieur</v>
      </c>
      <c r="E21" s="33"/>
      <c r="F21" s="533" t="s">
        <v>180</v>
      </c>
      <c r="G21" s="534"/>
      <c r="H21" s="535"/>
      <c r="I21" s="212">
        <v>3.89</v>
      </c>
      <c r="J21" s="213">
        <v>3.4849999999999999</v>
      </c>
      <c r="K21" s="214">
        <v>6.35</v>
      </c>
      <c r="L21" s="36">
        <f t="shared" ref="L21:L26" si="0">(I21*J21)-K21</f>
        <v>7.2066499999999998</v>
      </c>
      <c r="M21" s="36" t="str">
        <f t="shared" ref="M21:M26" si="1">VLOOKUP(F21,$AZ$9:$BA$13,2,FALSE)</f>
        <v>fij</v>
      </c>
      <c r="N21" s="332">
        <v>1</v>
      </c>
      <c r="O21" s="199">
        <f>IF(B21&lt;&gt;0,VLOOKUP(B21,BibliothèqueProjet!$A$5:$J$20,10,FALSE),"")</f>
        <v>0.15</v>
      </c>
      <c r="P21" s="372">
        <f t="shared" ref="P21:P26" si="2">IF(O21&lt;&gt;"",L21*N21*O21,"")</f>
        <v>1.0809974999999998</v>
      </c>
      <c r="Q21" s="168" t="e">
        <f t="shared" ref="Q21:Q26" si="3">IF(P21&lt;&gt;"",P21*($E$12-$L$12),"")</f>
        <v>#REF!</v>
      </c>
      <c r="R21" s="31"/>
      <c r="AM21" s="10" t="s">
        <v>95</v>
      </c>
      <c r="AN21" s="10" t="s">
        <v>95</v>
      </c>
      <c r="AO21" s="10" t="s">
        <v>95</v>
      </c>
      <c r="AP21" s="10" t="s">
        <v>95</v>
      </c>
      <c r="AQ21" s="7"/>
      <c r="AR21" s="1" t="s">
        <v>101</v>
      </c>
      <c r="AS21" s="1" t="s">
        <v>102</v>
      </c>
      <c r="AT21" s="7"/>
      <c r="AU21" s="10" t="s">
        <v>95</v>
      </c>
      <c r="AV21" s="17"/>
      <c r="AW21" s="17"/>
      <c r="AX21" s="17"/>
      <c r="AY21" s="17"/>
      <c r="AZ21" s="17"/>
    </row>
    <row r="22" spans="2:52" s="6" customFormat="1" x14ac:dyDescent="0.2">
      <c r="B22" s="298"/>
      <c r="C22" s="38"/>
      <c r="D22" s="48" t="str">
        <f>IF(ISNA(VLOOKUP(B22,BibliothèqueProjet!$A$6:$J$70,2,FALSE)) = TRUE, "", VLOOKUP(B22,BibliothèqueProjet!$A$6:$J$20,2,FALSE))</f>
        <v/>
      </c>
      <c r="E22" s="39"/>
      <c r="F22" s="536" t="s">
        <v>146</v>
      </c>
      <c r="G22" s="537"/>
      <c r="H22" s="538"/>
      <c r="I22" s="215"/>
      <c r="J22" s="216"/>
      <c r="K22" s="217"/>
      <c r="L22" s="36">
        <f t="shared" si="0"/>
        <v>0</v>
      </c>
      <c r="M22" s="36" t="str">
        <f t="shared" si="1"/>
        <v>-</v>
      </c>
      <c r="N22" s="331"/>
      <c r="O22" s="199" t="str">
        <f>IF(B22&lt;&gt;0,VLOOKUP(B22,BibliothèqueProjet!$A$5:$J$20,10,FALSE),"")</f>
        <v/>
      </c>
      <c r="P22" s="372" t="str">
        <f t="shared" si="2"/>
        <v/>
      </c>
      <c r="Q22" s="168" t="str">
        <f t="shared" si="3"/>
        <v/>
      </c>
      <c r="R22" s="31"/>
      <c r="AM22" s="1" t="s">
        <v>105</v>
      </c>
      <c r="AN22" s="1" t="s">
        <v>105</v>
      </c>
      <c r="AO22" s="1" t="s">
        <v>101</v>
      </c>
      <c r="AP22" s="8"/>
      <c r="AQ22" s="8"/>
      <c r="AR22" s="10" t="s">
        <v>95</v>
      </c>
      <c r="AS22" s="95" t="s">
        <v>110</v>
      </c>
      <c r="AT22" s="7"/>
      <c r="AU22" s="17" t="s">
        <v>143</v>
      </c>
      <c r="AV22" s="17"/>
      <c r="AW22" s="5"/>
      <c r="AX22" s="5"/>
      <c r="AY22" s="5"/>
      <c r="AZ22" s="19"/>
    </row>
    <row r="23" spans="2:52" s="6" customFormat="1" ht="12.75" customHeight="1" x14ac:dyDescent="0.2">
      <c r="B23" s="298"/>
      <c r="C23" s="35"/>
      <c r="D23" s="48" t="str">
        <f>IF(ISNA(VLOOKUP(B23,BibliothèqueProjet!$A$6:$J$70,2,FALSE)) = TRUE, "", VLOOKUP(B23,BibliothèqueProjet!$A$6:$J$20,2,FALSE))</f>
        <v/>
      </c>
      <c r="E23" s="33"/>
      <c r="F23" s="536" t="s">
        <v>146</v>
      </c>
      <c r="G23" s="537"/>
      <c r="H23" s="538"/>
      <c r="I23" s="212"/>
      <c r="J23" s="213"/>
      <c r="K23" s="214"/>
      <c r="L23" s="36">
        <f t="shared" si="0"/>
        <v>0</v>
      </c>
      <c r="M23" s="36" t="str">
        <f t="shared" si="1"/>
        <v>-</v>
      </c>
      <c r="N23" s="331"/>
      <c r="O23" s="199" t="str">
        <f>IF(B23&lt;&gt;0,VLOOKUP(B23,BibliothèqueProjet!$A$5:$J$20,10,FALSE),"")</f>
        <v/>
      </c>
      <c r="P23" s="372" t="str">
        <f t="shared" si="2"/>
        <v/>
      </c>
      <c r="Q23" s="168" t="str">
        <f t="shared" si="3"/>
        <v/>
      </c>
      <c r="R23" s="31"/>
      <c r="AM23" s="1" t="s">
        <v>107</v>
      </c>
      <c r="AN23" s="1" t="s">
        <v>107</v>
      </c>
      <c r="AO23" s="1" t="s">
        <v>102</v>
      </c>
      <c r="AP23" s="1"/>
      <c r="AQ23" s="7"/>
      <c r="AR23" s="1" t="s">
        <v>104</v>
      </c>
      <c r="AS23" s="7"/>
      <c r="AT23" s="7"/>
      <c r="AU23" s="17" t="s">
        <v>144</v>
      </c>
      <c r="AV23" s="17"/>
      <c r="AW23" s="5"/>
      <c r="AX23" s="5"/>
      <c r="AY23" s="5"/>
      <c r="AZ23" s="19"/>
    </row>
    <row r="24" spans="2:52" s="6" customFormat="1" ht="12" customHeight="1" x14ac:dyDescent="0.2">
      <c r="B24" s="298"/>
      <c r="C24" s="35"/>
      <c r="D24" s="48" t="str">
        <f>IF(ISNA(VLOOKUP(B24,BibliothèqueProjet!$A$6:$J$70,2,FALSE)) = TRUE, "", VLOOKUP(B24,BibliothèqueProjet!$A$6:$J$20,2,FALSE))</f>
        <v/>
      </c>
      <c r="E24" s="33"/>
      <c r="F24" s="536" t="s">
        <v>146</v>
      </c>
      <c r="G24" s="537"/>
      <c r="H24" s="538"/>
      <c r="I24" s="212"/>
      <c r="J24" s="213"/>
      <c r="K24" s="214"/>
      <c r="L24" s="36">
        <f t="shared" si="0"/>
        <v>0</v>
      </c>
      <c r="M24" s="36" t="str">
        <f t="shared" si="1"/>
        <v>-</v>
      </c>
      <c r="N24" s="331"/>
      <c r="O24" s="199" t="str">
        <f>IF(B24&lt;&gt;0,VLOOKUP(B24,BibliothèqueProjet!$A$5:$J$20,10,FALSE),"")</f>
        <v/>
      </c>
      <c r="P24" s="372" t="str">
        <f t="shared" si="2"/>
        <v/>
      </c>
      <c r="Q24" s="168" t="str">
        <f t="shared" si="3"/>
        <v/>
      </c>
      <c r="R24" s="31"/>
      <c r="AM24" s="1" t="s">
        <v>106</v>
      </c>
      <c r="AN24" s="1" t="s">
        <v>106</v>
      </c>
      <c r="AO24" s="17"/>
      <c r="AP24" s="1"/>
      <c r="AQ24" s="7"/>
      <c r="AR24" s="17" t="s">
        <v>109</v>
      </c>
      <c r="AS24" s="7"/>
      <c r="AT24" s="7"/>
      <c r="AU24" s="17"/>
      <c r="AV24" s="17"/>
      <c r="AW24" s="5"/>
      <c r="AX24" s="5"/>
      <c r="AY24" s="5"/>
      <c r="AZ24" s="19"/>
    </row>
    <row r="25" spans="2:52" s="6" customFormat="1" ht="12" customHeight="1" x14ac:dyDescent="0.2">
      <c r="B25" s="298"/>
      <c r="C25" s="35"/>
      <c r="D25" s="48" t="str">
        <f>IF(ISNA(VLOOKUP(B25,BibliothèqueProjet!$A$6:$J$70,2,FALSE)) = TRUE, "", VLOOKUP(B25,BibliothèqueProjet!$A$6:$J$20,2,FALSE))</f>
        <v/>
      </c>
      <c r="E25" s="33"/>
      <c r="F25" s="536" t="s">
        <v>146</v>
      </c>
      <c r="G25" s="537"/>
      <c r="H25" s="538"/>
      <c r="I25" s="212"/>
      <c r="J25" s="213"/>
      <c r="K25" s="214"/>
      <c r="L25" s="36">
        <f t="shared" si="0"/>
        <v>0</v>
      </c>
      <c r="M25" s="36" t="str">
        <f t="shared" si="1"/>
        <v>-</v>
      </c>
      <c r="N25" s="331"/>
      <c r="O25" s="199" t="str">
        <f>IF(B25&lt;&gt;0,VLOOKUP(B25,BibliothèqueProjet!$A$5:$J$20,10,FALSE),"")</f>
        <v/>
      </c>
      <c r="P25" s="372" t="str">
        <f t="shared" si="2"/>
        <v/>
      </c>
      <c r="Q25" s="168" t="str">
        <f t="shared" si="3"/>
        <v/>
      </c>
      <c r="R25" s="31"/>
      <c r="AM25" s="28"/>
      <c r="AN25" s="17"/>
      <c r="AO25" s="17"/>
      <c r="AP25" s="1"/>
      <c r="AQ25" s="1"/>
      <c r="AR25" s="1"/>
      <c r="AS25" s="1"/>
      <c r="AT25" s="7"/>
      <c r="AU25" s="17"/>
      <c r="AV25" s="17"/>
      <c r="AW25" s="5"/>
      <c r="AX25" s="5"/>
      <c r="AY25" s="5"/>
      <c r="AZ25" s="5"/>
    </row>
    <row r="26" spans="2:52" s="6" customFormat="1" ht="12" customHeight="1" x14ac:dyDescent="0.2">
      <c r="B26" s="298"/>
      <c r="C26" s="38"/>
      <c r="D26" s="48" t="str">
        <f>IF(ISNA(VLOOKUP(B26,BibliothèqueProjet!$A$6:$J$70,2,FALSE)) = TRUE, "", VLOOKUP(B26,BibliothèqueProjet!$A$6:$J$20,2,FALSE))</f>
        <v/>
      </c>
      <c r="E26" s="33"/>
      <c r="F26" s="539" t="s">
        <v>146</v>
      </c>
      <c r="G26" s="540"/>
      <c r="H26" s="541"/>
      <c r="I26" s="212"/>
      <c r="J26" s="213"/>
      <c r="K26" s="214"/>
      <c r="L26" s="36">
        <f t="shared" si="0"/>
        <v>0</v>
      </c>
      <c r="M26" s="36" t="str">
        <f t="shared" si="1"/>
        <v>-</v>
      </c>
      <c r="N26" s="331"/>
      <c r="O26" s="199" t="str">
        <f>IF(B26&lt;&gt;0,VLOOKUP(B26,BibliothèqueProjet!$A$5:$J$20,10,FALSE),"")</f>
        <v/>
      </c>
      <c r="P26" s="372" t="str">
        <f t="shared" si="2"/>
        <v/>
      </c>
      <c r="Q26" s="168" t="str">
        <f t="shared" si="3"/>
        <v/>
      </c>
      <c r="AM26" s="28"/>
      <c r="AN26" s="17"/>
      <c r="AO26" s="17"/>
      <c r="AP26" s="1"/>
      <c r="AQ26" s="1"/>
      <c r="AR26" s="1"/>
      <c r="AS26" s="1"/>
      <c r="AT26" s="7"/>
      <c r="AU26" s="17"/>
      <c r="AV26" s="17"/>
      <c r="AW26" s="5"/>
      <c r="AX26" s="5"/>
      <c r="AY26" s="5"/>
      <c r="AZ26" s="5"/>
    </row>
    <row r="27" spans="2:52" s="6" customFormat="1" ht="15" x14ac:dyDescent="0.25">
      <c r="B27" s="76" t="s">
        <v>42</v>
      </c>
      <c r="C27" s="56"/>
      <c r="D27" s="77"/>
      <c r="E27" s="56"/>
      <c r="F27" s="56"/>
      <c r="G27" s="56"/>
      <c r="H27" s="78"/>
      <c r="I27" s="79"/>
      <c r="J27" s="80"/>
      <c r="K27" s="78"/>
      <c r="L27" s="79"/>
      <c r="M27" s="79"/>
      <c r="N27" s="81"/>
      <c r="O27" s="82" t="s">
        <v>9</v>
      </c>
      <c r="P27" s="268">
        <f>SUM(P21:P26)</f>
        <v>1.0809974999999998</v>
      </c>
      <c r="Q27" s="268" t="e">
        <f>SUM(Q21:Q26)</f>
        <v>#REF!</v>
      </c>
      <c r="R27" s="32"/>
      <c r="AM27" s="28"/>
      <c r="AN27" s="17"/>
      <c r="AO27" s="17"/>
      <c r="AP27" s="1"/>
      <c r="AQ27" s="1" t="s">
        <v>104</v>
      </c>
      <c r="AR27" s="17" t="s">
        <v>109</v>
      </c>
      <c r="AS27" s="5"/>
      <c r="AT27" s="18" t="s">
        <v>108</v>
      </c>
      <c r="AU27" s="17"/>
      <c r="AV27" s="17"/>
      <c r="AW27" s="5"/>
      <c r="AX27" s="5"/>
      <c r="AY27" s="5"/>
      <c r="AZ27" s="5"/>
    </row>
    <row r="28" spans="2:52" s="17" customForma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AM28" s="10" t="s">
        <v>95</v>
      </c>
      <c r="AP28" s="1" t="s">
        <v>105</v>
      </c>
      <c r="AQ28" s="7">
        <v>4</v>
      </c>
      <c r="AR28" s="16">
        <v>2</v>
      </c>
      <c r="AS28" s="5"/>
      <c r="AT28" s="5">
        <v>0.1</v>
      </c>
      <c r="AW28" s="18"/>
      <c r="AX28" s="18"/>
      <c r="AY28" s="18"/>
      <c r="AZ28" s="18"/>
    </row>
    <row r="29" spans="2:52" s="17" customFormat="1" x14ac:dyDescent="0.2">
      <c r="B29" s="247" t="s">
        <v>187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9"/>
      <c r="R29" s="15"/>
      <c r="AM29" s="28" t="s">
        <v>113</v>
      </c>
      <c r="AP29" s="1" t="s">
        <v>107</v>
      </c>
      <c r="AQ29" s="7">
        <v>7</v>
      </c>
      <c r="AR29" s="43">
        <v>4</v>
      </c>
      <c r="AS29" s="5"/>
      <c r="AT29" s="5"/>
    </row>
    <row r="30" spans="2:52" s="17" customFormat="1" ht="22.5" customHeight="1" x14ac:dyDescent="0.2">
      <c r="B30" s="241" t="s">
        <v>25</v>
      </c>
      <c r="C30" s="242" t="s">
        <v>14</v>
      </c>
      <c r="D30" s="497" t="s">
        <v>26</v>
      </c>
      <c r="E30" s="509"/>
      <c r="F30" s="510" t="s">
        <v>172</v>
      </c>
      <c r="G30" s="509"/>
      <c r="H30" s="511"/>
      <c r="I30" s="243" t="s">
        <v>7</v>
      </c>
      <c r="J30" s="242" t="s">
        <v>13</v>
      </c>
      <c r="K30" s="242" t="s">
        <v>183</v>
      </c>
      <c r="L30" s="242" t="s">
        <v>1</v>
      </c>
      <c r="M30" s="497" t="s">
        <v>173</v>
      </c>
      <c r="N30" s="498"/>
      <c r="O30" s="244" t="s">
        <v>181</v>
      </c>
      <c r="P30" s="245" t="s">
        <v>17</v>
      </c>
      <c r="Q30" s="246" t="s">
        <v>18</v>
      </c>
      <c r="R30" s="15"/>
      <c r="AM30" s="28" t="s">
        <v>114</v>
      </c>
      <c r="AN30" s="18"/>
      <c r="AO30" s="18"/>
      <c r="AP30" s="1" t="s">
        <v>106</v>
      </c>
      <c r="AQ30" s="7">
        <v>10</v>
      </c>
      <c r="AR30" s="18">
        <v>5</v>
      </c>
      <c r="AS30" s="5"/>
      <c r="AT30" s="5"/>
    </row>
    <row r="31" spans="2:52" s="17" customFormat="1" ht="12" customHeight="1" x14ac:dyDescent="0.2">
      <c r="B31" s="189" t="s">
        <v>2</v>
      </c>
      <c r="C31" s="172"/>
      <c r="D31" s="173"/>
      <c r="E31" s="172"/>
      <c r="F31" s="172"/>
      <c r="G31" s="174"/>
      <c r="H31" s="174"/>
      <c r="I31" s="170" t="s">
        <v>3</v>
      </c>
      <c r="J31" s="170" t="s">
        <v>3</v>
      </c>
      <c r="K31" s="169" t="s">
        <v>2</v>
      </c>
      <c r="L31" s="170" t="s">
        <v>40</v>
      </c>
      <c r="M31" s="499" t="s">
        <v>7</v>
      </c>
      <c r="N31" s="499"/>
      <c r="O31" s="198" t="s">
        <v>182</v>
      </c>
      <c r="P31" s="171" t="s">
        <v>6</v>
      </c>
      <c r="Q31" s="374" t="s">
        <v>141</v>
      </c>
      <c r="R31" s="15"/>
      <c r="AM31" s="28"/>
      <c r="AN31" s="16"/>
      <c r="AO31" s="18"/>
      <c r="AT31" s="5"/>
    </row>
    <row r="32" spans="2:52" s="17" customFormat="1" ht="12" customHeight="1" x14ac:dyDescent="0.2">
      <c r="B32" s="295" t="s">
        <v>62</v>
      </c>
      <c r="C32" s="35" t="s">
        <v>44</v>
      </c>
      <c r="D32" s="48" t="str">
        <f>IF(ISNA(VLOOKUP(B32,BibliothèqueProjet!$A$43:$J$62,2,FALSE)) = TRUE, "", VLOOKUP(B32,BibliothèqueProjet!$A$43:$J$62,2,FALSE))</f>
        <v>Double vitrage 4/16/4</v>
      </c>
      <c r="E32" s="33"/>
      <c r="F32" s="530" t="s">
        <v>146</v>
      </c>
      <c r="G32" s="531"/>
      <c r="H32" s="532"/>
      <c r="I32" s="238">
        <v>2.75</v>
      </c>
      <c r="J32" s="377">
        <v>2.31</v>
      </c>
      <c r="K32" s="239">
        <v>1</v>
      </c>
      <c r="L32" s="354">
        <f>+I32*J32*K32</f>
        <v>6.3525</v>
      </c>
      <c r="M32" s="351" t="str">
        <f>VLOOKUP(F32,$AZ$9:$BA$13,2,FALSE)</f>
        <v>-</v>
      </c>
      <c r="N32" s="338">
        <v>1</v>
      </c>
      <c r="O32" s="354">
        <f>IF(B32&lt;&gt;0,VLOOKUP(B32,BibliothèqueProjet!$A$5:$J$70,10,FALSE),"")</f>
        <v>0.91</v>
      </c>
      <c r="P32" s="434">
        <f>IF(O32&lt;&gt;"",K32*L32*O32*N32,"")</f>
        <v>5.7807750000000002</v>
      </c>
      <c r="Q32" s="435" t="e">
        <f>IF(P32&lt;&gt;"",P32*($E$12-$L$12),"")</f>
        <v>#REF!</v>
      </c>
      <c r="R32" s="15"/>
      <c r="AM32" s="28"/>
      <c r="AN32" s="16"/>
      <c r="AO32" s="18"/>
      <c r="AT32" s="5"/>
    </row>
    <row r="33" spans="1:52" s="17" customFormat="1" ht="12" customHeight="1" x14ac:dyDescent="0.2">
      <c r="B33" s="295"/>
      <c r="C33" s="35"/>
      <c r="D33" s="48" t="str">
        <f>IF(ISNA(VLOOKUP(B33,BibliothèqueProjet!$A$43:$J$62,2,FALSE)) = TRUE, "", VLOOKUP(B33,BibliothèqueProjet!$A$43:$J$62,2,FALSE))</f>
        <v/>
      </c>
      <c r="E33" s="33"/>
      <c r="F33" s="524" t="s">
        <v>146</v>
      </c>
      <c r="G33" s="525"/>
      <c r="H33" s="526"/>
      <c r="I33" s="238"/>
      <c r="J33" s="377"/>
      <c r="K33" s="239"/>
      <c r="L33" s="355">
        <f t="shared" ref="L33:L38" si="4">+I33*J33*K33</f>
        <v>0</v>
      </c>
      <c r="M33" s="352" t="str">
        <f t="shared" ref="M33:M38" si="5">VLOOKUP(F33,$AZ$9:$BA$13,2,FALSE)</f>
        <v>-</v>
      </c>
      <c r="N33" s="339"/>
      <c r="O33" s="355" t="str">
        <f>IF(B33&lt;&gt;0,VLOOKUP(B33,BibliothèqueProjet!$A$5:$J$70,10,FALSE),"")</f>
        <v/>
      </c>
      <c r="P33" s="373" t="str">
        <f>IF(O33&lt;&gt;"",K33*L33*O33*N33,"")</f>
        <v/>
      </c>
      <c r="Q33" s="88" t="str">
        <f t="shared" ref="Q33:Q41" si="6">IF(P33&lt;&gt;"",P33*($E$12-$L$12),"")</f>
        <v/>
      </c>
      <c r="R33" s="15"/>
      <c r="AM33" s="28"/>
      <c r="AN33" s="16"/>
      <c r="AO33" s="18"/>
      <c r="AT33" s="5"/>
    </row>
    <row r="34" spans="1:52" s="6" customFormat="1" ht="12.75" customHeight="1" x14ac:dyDescent="0.2">
      <c r="B34" s="295"/>
      <c r="C34" s="35"/>
      <c r="D34" s="48" t="str">
        <f>IF(ISNA(VLOOKUP(B34,BibliothèqueProjet!$A$43:$J$62,2,FALSE)) = TRUE, "", VLOOKUP(B34,BibliothèqueProjet!$A$43:$J$62,2,FALSE))</f>
        <v/>
      </c>
      <c r="E34" s="33"/>
      <c r="F34" s="524" t="s">
        <v>146</v>
      </c>
      <c r="G34" s="525"/>
      <c r="H34" s="526"/>
      <c r="I34" s="238"/>
      <c r="J34" s="377"/>
      <c r="K34" s="239"/>
      <c r="L34" s="355">
        <f t="shared" si="4"/>
        <v>0</v>
      </c>
      <c r="M34" s="352" t="str">
        <f t="shared" si="5"/>
        <v>-</v>
      </c>
      <c r="N34" s="339"/>
      <c r="O34" s="355" t="str">
        <f>IF(B34&lt;&gt;0,VLOOKUP(B34,BibliothèqueProjet!$A$5:$J$70,10,FALSE),"")</f>
        <v/>
      </c>
      <c r="P34" s="373" t="str">
        <f t="shared" ref="P34:P41" si="7">IF(O34&lt;&gt;"",K34*L34*O34*N34,"")</f>
        <v/>
      </c>
      <c r="Q34" s="88" t="str">
        <f t="shared" si="6"/>
        <v/>
      </c>
      <c r="R34" s="32"/>
      <c r="AM34" s="34"/>
      <c r="AN34" s="31"/>
    </row>
    <row r="35" spans="1:52" s="17" customFormat="1" x14ac:dyDescent="0.2">
      <c r="B35" s="295"/>
      <c r="C35" s="35"/>
      <c r="D35" s="48" t="str">
        <f>IF(ISNA(VLOOKUP(B35,BibliothèqueProjet!$A$43:$J$62,2,FALSE)) = TRUE, "", VLOOKUP(B35,BibliothèqueProjet!$A$43:$J$62,2,FALSE))</f>
        <v/>
      </c>
      <c r="E35" s="33"/>
      <c r="F35" s="524" t="s">
        <v>146</v>
      </c>
      <c r="G35" s="525"/>
      <c r="H35" s="526"/>
      <c r="I35" s="238"/>
      <c r="J35" s="377"/>
      <c r="K35" s="239"/>
      <c r="L35" s="355">
        <f t="shared" si="4"/>
        <v>0</v>
      </c>
      <c r="M35" s="352" t="str">
        <f t="shared" si="5"/>
        <v>-</v>
      </c>
      <c r="N35" s="339"/>
      <c r="O35" s="355" t="str">
        <f>IF(B35&lt;&gt;0,VLOOKUP(B35,BibliothèqueProjet!$A$5:$J$70,10,FALSE),"")</f>
        <v/>
      </c>
      <c r="P35" s="373" t="str">
        <f t="shared" si="7"/>
        <v/>
      </c>
      <c r="Q35" s="88" t="str">
        <f t="shared" si="6"/>
        <v/>
      </c>
      <c r="R35" s="15"/>
      <c r="AM35" s="28"/>
    </row>
    <row r="36" spans="1:52" s="17" customFormat="1" x14ac:dyDescent="0.2">
      <c r="B36" s="295"/>
      <c r="C36" s="35"/>
      <c r="D36" s="48" t="str">
        <f>IF(ISNA(VLOOKUP(B36,BibliothèqueProjet!$A$43:$J$62,2,FALSE)) = TRUE, "", VLOOKUP(B36,BibliothèqueProjet!$A$43:$J$62,2,FALSE))</f>
        <v/>
      </c>
      <c r="E36" s="33"/>
      <c r="F36" s="524" t="s">
        <v>146</v>
      </c>
      <c r="G36" s="525"/>
      <c r="H36" s="526"/>
      <c r="I36" s="238"/>
      <c r="J36" s="377"/>
      <c r="K36" s="239"/>
      <c r="L36" s="355">
        <f t="shared" si="4"/>
        <v>0</v>
      </c>
      <c r="M36" s="352" t="str">
        <f t="shared" si="5"/>
        <v>-</v>
      </c>
      <c r="N36" s="339"/>
      <c r="O36" s="355" t="str">
        <f>IF(B36&lt;&gt;0,VLOOKUP(B36,BibliothèqueProjet!$A$5:$J$70,10,FALSE),"")</f>
        <v/>
      </c>
      <c r="P36" s="373" t="str">
        <f t="shared" si="7"/>
        <v/>
      </c>
      <c r="Q36" s="88" t="str">
        <f t="shared" si="6"/>
        <v/>
      </c>
      <c r="R36" s="15"/>
      <c r="AM36" s="28"/>
    </row>
    <row r="37" spans="1:52" s="17" customFormat="1" x14ac:dyDescent="0.2">
      <c r="B37" s="295"/>
      <c r="C37" s="35"/>
      <c r="D37" s="48" t="str">
        <f>IF(ISNA(VLOOKUP(B37,BibliothèqueProjet!$A$43:$J$62,2,FALSE)) = TRUE, "", VLOOKUP(B37,BibliothèqueProjet!$A$43:$J$62,2,FALSE))</f>
        <v/>
      </c>
      <c r="E37" s="33"/>
      <c r="F37" s="524" t="s">
        <v>146</v>
      </c>
      <c r="G37" s="525"/>
      <c r="H37" s="526"/>
      <c r="I37" s="238"/>
      <c r="J37" s="377"/>
      <c r="K37" s="239"/>
      <c r="L37" s="355">
        <f t="shared" si="4"/>
        <v>0</v>
      </c>
      <c r="M37" s="352" t="str">
        <f t="shared" si="5"/>
        <v>-</v>
      </c>
      <c r="N37" s="339"/>
      <c r="O37" s="355" t="str">
        <f>IF(B37&lt;&gt;0,VLOOKUP(B37,BibliothèqueProjet!$A$5:$J$70,10,FALSE),"")</f>
        <v/>
      </c>
      <c r="P37" s="373" t="str">
        <f t="shared" si="7"/>
        <v/>
      </c>
      <c r="Q37" s="88" t="str">
        <f t="shared" si="6"/>
        <v/>
      </c>
      <c r="R37" s="15"/>
      <c r="AM37" s="28"/>
    </row>
    <row r="38" spans="1:52" s="17" customFormat="1" x14ac:dyDescent="0.2">
      <c r="B38" s="295"/>
      <c r="C38" s="35"/>
      <c r="D38" s="48" t="str">
        <f>IF(ISNA(VLOOKUP(B38,BibliothèqueProjet!$A$43:$J$62,2,FALSE)) = TRUE, "", VLOOKUP(B38,BibliothèqueProjet!$A$43:$J$62,2,FALSE))</f>
        <v/>
      </c>
      <c r="E38" s="33"/>
      <c r="F38" s="524" t="s">
        <v>146</v>
      </c>
      <c r="G38" s="525"/>
      <c r="H38" s="526"/>
      <c r="I38" s="238"/>
      <c r="J38" s="377"/>
      <c r="K38" s="239"/>
      <c r="L38" s="355">
        <f t="shared" si="4"/>
        <v>0</v>
      </c>
      <c r="M38" s="352" t="str">
        <f t="shared" si="5"/>
        <v>-</v>
      </c>
      <c r="N38" s="339"/>
      <c r="O38" s="355" t="str">
        <f>IF(B38&lt;&gt;0,VLOOKUP(B38,BibliothèqueProjet!$A$5:$J$70,10,FALSE),"")</f>
        <v/>
      </c>
      <c r="P38" s="373" t="str">
        <f t="shared" si="7"/>
        <v/>
      </c>
      <c r="Q38" s="88" t="str">
        <f t="shared" si="6"/>
        <v/>
      </c>
      <c r="R38" s="15"/>
      <c r="AM38" s="28"/>
    </row>
    <row r="39" spans="1:52" s="17" customFormat="1" x14ac:dyDescent="0.2">
      <c r="B39" s="296"/>
      <c r="C39" s="38"/>
      <c r="D39" s="48" t="str">
        <f>IF(ISNA(VLOOKUP(B39,BibliothèqueProjet!$A$6:$J$70,2,FALSE)) = TRUE, "", VLOOKUP(B39,BibliothèqueProjet!$A$6:$J$70,2,FALSE))</f>
        <v/>
      </c>
      <c r="E39" s="39"/>
      <c r="F39" s="524" t="s">
        <v>146</v>
      </c>
      <c r="G39" s="525"/>
      <c r="H39" s="526"/>
      <c r="I39" s="240"/>
      <c r="J39" s="378"/>
      <c r="K39" s="239"/>
      <c r="L39" s="355">
        <f>+I39*J39*K39</f>
        <v>0</v>
      </c>
      <c r="M39" s="352" t="str">
        <f>VLOOKUP(F39,$AZ$9:$BA$13,2,FALSE)</f>
        <v>-</v>
      </c>
      <c r="N39" s="339"/>
      <c r="O39" s="355" t="str">
        <f>IF(B39&lt;&gt;0,VLOOKUP(B39,BibliothèqueProjet!$A$5:$J$70,10,FALSE),"")</f>
        <v/>
      </c>
      <c r="P39" s="373" t="str">
        <f t="shared" si="7"/>
        <v/>
      </c>
      <c r="Q39" s="88" t="str">
        <f t="shared" si="6"/>
        <v/>
      </c>
      <c r="R39" s="15"/>
    </row>
    <row r="40" spans="1:52" s="17" customFormat="1" x14ac:dyDescent="0.2">
      <c r="B40" s="296"/>
      <c r="C40" s="35"/>
      <c r="D40" s="48" t="str">
        <f>IF(ISNA(VLOOKUP(B40,BibliothèqueProjet!$A$6:$J$70,2,FALSE)) = TRUE, "", VLOOKUP(B40,BibliothèqueProjet!$A$6:$J$70,2,FALSE))</f>
        <v/>
      </c>
      <c r="E40" s="33"/>
      <c r="F40" s="524" t="s">
        <v>146</v>
      </c>
      <c r="G40" s="525"/>
      <c r="H40" s="526"/>
      <c r="I40" s="238"/>
      <c r="J40" s="377"/>
      <c r="K40" s="239"/>
      <c r="L40" s="355">
        <f>+I40*J40*K40</f>
        <v>0</v>
      </c>
      <c r="M40" s="352" t="str">
        <f>VLOOKUP(F40,$AZ$9:$BA$13,2,FALSE)</f>
        <v>-</v>
      </c>
      <c r="N40" s="339"/>
      <c r="O40" s="355" t="str">
        <f>IF(B40&lt;&gt;0,VLOOKUP(B40,BibliothèqueProjet!$A$5:$J$70,10,FALSE),"")</f>
        <v/>
      </c>
      <c r="P40" s="373" t="str">
        <f t="shared" si="7"/>
        <v/>
      </c>
      <c r="Q40" s="88" t="str">
        <f t="shared" si="6"/>
        <v/>
      </c>
      <c r="R40" s="41"/>
    </row>
    <row r="41" spans="1:52" s="17" customFormat="1" x14ac:dyDescent="0.2">
      <c r="B41" s="296"/>
      <c r="C41" s="38"/>
      <c r="D41" s="48" t="str">
        <f>IF(ISNA(VLOOKUP(B41,BibliothèqueProjet!$A$6:$J$70,2,FALSE)) = TRUE, "", VLOOKUP(B41,BibliothèqueProjet!$A$6:$J$70,2,FALSE))</f>
        <v/>
      </c>
      <c r="E41" s="33"/>
      <c r="F41" s="527" t="s">
        <v>146</v>
      </c>
      <c r="G41" s="528"/>
      <c r="H41" s="529"/>
      <c r="I41" s="238"/>
      <c r="J41" s="377"/>
      <c r="K41" s="239"/>
      <c r="L41" s="356">
        <f>+I41*J41*K41</f>
        <v>0</v>
      </c>
      <c r="M41" s="353" t="str">
        <f>VLOOKUP(F41,$AZ$9:$BA$13,2,FALSE)</f>
        <v>-</v>
      </c>
      <c r="N41" s="340"/>
      <c r="O41" s="356" t="str">
        <f>IF(B41&lt;&gt;0,VLOOKUP(B41,BibliothèqueProjet!$A$5:$J$70,10,FALSE),"")</f>
        <v/>
      </c>
      <c r="P41" s="438" t="str">
        <f t="shared" si="7"/>
        <v/>
      </c>
      <c r="Q41" s="439" t="str">
        <f t="shared" si="6"/>
        <v/>
      </c>
      <c r="R41" s="28"/>
      <c r="AO41" s="17" t="s">
        <v>146</v>
      </c>
    </row>
    <row r="42" spans="1:52" s="17" customFormat="1" ht="15" x14ac:dyDescent="0.25">
      <c r="B42" s="76" t="s">
        <v>42</v>
      </c>
      <c r="C42" s="56"/>
      <c r="D42" s="77"/>
      <c r="E42" s="56"/>
      <c r="F42" s="56"/>
      <c r="G42" s="56"/>
      <c r="H42" s="78"/>
      <c r="I42" s="79"/>
      <c r="J42" s="80"/>
      <c r="K42" s="78"/>
      <c r="L42" s="79"/>
      <c r="M42" s="79"/>
      <c r="N42" s="81"/>
      <c r="O42" s="82" t="s">
        <v>9</v>
      </c>
      <c r="P42" s="268">
        <f>SUM(P32:P41)</f>
        <v>5.7807750000000002</v>
      </c>
      <c r="Q42" s="268" t="e">
        <f>SUM(Q32:Q41)</f>
        <v>#REF!</v>
      </c>
      <c r="R42" s="28"/>
      <c r="AO42" s="17" t="s">
        <v>175</v>
      </c>
    </row>
    <row r="43" spans="1:52" s="17" customFormat="1" ht="12" x14ac:dyDescent="0.2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28"/>
      <c r="AO43" s="17" t="s">
        <v>174</v>
      </c>
    </row>
    <row r="44" spans="1:52" s="8" customFormat="1" x14ac:dyDescent="0.2">
      <c r="A44" s="17"/>
      <c r="B44" s="250" t="s">
        <v>171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2"/>
      <c r="R44" s="29"/>
      <c r="AM44" s="21"/>
      <c r="AN44" s="6"/>
      <c r="AO44" s="17" t="s">
        <v>179</v>
      </c>
      <c r="AP44" s="6"/>
      <c r="AQ44" s="6"/>
      <c r="AR44" s="6"/>
      <c r="AS44" s="6"/>
      <c r="AU44" s="6"/>
      <c r="AV44" s="17"/>
      <c r="AX44" s="21"/>
      <c r="AY44" s="21"/>
      <c r="AZ44" s="21"/>
    </row>
    <row r="45" spans="1:52" s="17" customFormat="1" ht="24" x14ac:dyDescent="0.2">
      <c r="B45" s="241" t="s">
        <v>25</v>
      </c>
      <c r="C45" s="242" t="s">
        <v>14</v>
      </c>
      <c r="D45" s="497" t="s">
        <v>26</v>
      </c>
      <c r="E45" s="509"/>
      <c r="F45" s="510" t="s">
        <v>172</v>
      </c>
      <c r="G45" s="509"/>
      <c r="H45" s="511"/>
      <c r="I45" s="243" t="s">
        <v>7</v>
      </c>
      <c r="J45" s="242" t="s">
        <v>13</v>
      </c>
      <c r="K45" s="175" t="s">
        <v>198</v>
      </c>
      <c r="L45" s="242" t="s">
        <v>1</v>
      </c>
      <c r="M45" s="497" t="s">
        <v>173</v>
      </c>
      <c r="N45" s="498"/>
      <c r="O45" s="244" t="s">
        <v>181</v>
      </c>
      <c r="P45" s="245" t="s">
        <v>17</v>
      </c>
      <c r="Q45" s="246" t="s">
        <v>18</v>
      </c>
      <c r="R45" s="15"/>
      <c r="AM45" s="10"/>
      <c r="AO45" s="17" t="s">
        <v>176</v>
      </c>
      <c r="AP45" s="1"/>
      <c r="AQ45" s="7"/>
      <c r="AR45" s="16"/>
      <c r="AS45" s="5"/>
      <c r="AT45" s="5"/>
      <c r="AW45" s="18"/>
      <c r="AX45" s="18"/>
      <c r="AY45" s="18"/>
      <c r="AZ45" s="18"/>
    </row>
    <row r="46" spans="1:52" s="6" customFormat="1" ht="12.75" customHeight="1" x14ac:dyDescent="0.2">
      <c r="A46" s="17"/>
      <c r="B46" s="189" t="s">
        <v>2</v>
      </c>
      <c r="C46" s="172"/>
      <c r="D46" s="173"/>
      <c r="E46" s="172"/>
      <c r="F46" s="172"/>
      <c r="G46" s="174"/>
      <c r="H46" s="174"/>
      <c r="I46" s="170" t="s">
        <v>3</v>
      </c>
      <c r="J46" s="170" t="s">
        <v>3</v>
      </c>
      <c r="K46" s="172" t="s">
        <v>197</v>
      </c>
      <c r="L46" s="170" t="s">
        <v>40</v>
      </c>
      <c r="M46" s="499" t="s">
        <v>7</v>
      </c>
      <c r="N46" s="499"/>
      <c r="O46" s="198" t="s">
        <v>182</v>
      </c>
      <c r="P46" s="171" t="s">
        <v>6</v>
      </c>
      <c r="Q46" s="374" t="s">
        <v>141</v>
      </c>
      <c r="R46" s="32"/>
      <c r="AM46" s="34"/>
      <c r="AN46" s="31"/>
    </row>
    <row r="47" spans="1:52" s="17" customFormat="1" x14ac:dyDescent="0.2">
      <c r="B47" s="293" t="s">
        <v>69</v>
      </c>
      <c r="C47" s="35" t="s">
        <v>44</v>
      </c>
      <c r="D47" s="48" t="str">
        <f>IF(ISNA(VLOOKUP(B47,BibliothèqueProjet!$A$6:$J$70,2,FALSE)) = TRUE, "", VLOOKUP(B47,BibliothèqueProjet!$A$6:$J$70,2,FALSE))</f>
        <v>Planchers bas</v>
      </c>
      <c r="E47" s="33"/>
      <c r="F47" s="515" t="s">
        <v>176</v>
      </c>
      <c r="G47" s="516"/>
      <c r="H47" s="517"/>
      <c r="I47" s="218"/>
      <c r="J47" s="219"/>
      <c r="K47" s="220"/>
      <c r="L47" s="366">
        <f>(I47*J47)-K47</f>
        <v>0</v>
      </c>
      <c r="M47" s="351" t="str">
        <f>VLOOKUP(F47,$AZ$9:$BA$13,2,FALSE)</f>
        <v>b</v>
      </c>
      <c r="N47" s="341"/>
      <c r="O47" s="223">
        <f>IF(B47&lt;&gt;0,VLOOKUP(B47,BibliothèqueProjet!$A$5:$J$70,10,FALSE),"")</f>
        <v>0.3</v>
      </c>
      <c r="P47" s="87">
        <f>IF(O47&lt;&gt;"",L47*O47*N47,"")</f>
        <v>0</v>
      </c>
      <c r="Q47" s="88" t="e">
        <f>IF(P47&lt;&gt;"",P47*($E$12-$L$12),"")</f>
        <v>#REF!</v>
      </c>
      <c r="R47" s="15"/>
      <c r="AH47" s="28"/>
    </row>
    <row r="48" spans="1:52" s="17" customFormat="1" x14ac:dyDescent="0.2">
      <c r="B48" s="294"/>
      <c r="C48" s="38"/>
      <c r="D48" s="48" t="str">
        <f>IF(ISNA(VLOOKUP(B48,BibliothèqueProjet!$A$6:$J$70,2,FALSE)) = TRUE, "", VLOOKUP(B48,BibliothèqueProjet!$A$6:$J$70,2,FALSE))</f>
        <v/>
      </c>
      <c r="E48" s="39"/>
      <c r="F48" s="518" t="s">
        <v>146</v>
      </c>
      <c r="G48" s="519"/>
      <c r="H48" s="520"/>
      <c r="I48" s="221"/>
      <c r="J48" s="222"/>
      <c r="K48" s="220"/>
      <c r="L48" s="366">
        <f>(I48*J48)-K48</f>
        <v>0</v>
      </c>
      <c r="M48" s="352" t="str">
        <f>VLOOKUP(F48,$AZ$9:$BA$13,2,FALSE)</f>
        <v>-</v>
      </c>
      <c r="N48" s="342"/>
      <c r="O48" s="196" t="str">
        <f>IF(B48&lt;&gt;0,VLOOKUP(B48,BibliothèqueProjet!$A$5:$J$70,10,FALSE),"")</f>
        <v/>
      </c>
      <c r="P48" s="87" t="str">
        <f>IF(O48&lt;&gt;"",L48*O48*N48,"")</f>
        <v/>
      </c>
      <c r="Q48" s="88" t="str">
        <f>IF(P48&lt;&gt;"",P48*($E$12-$L$12),"")</f>
        <v/>
      </c>
      <c r="R48" s="15"/>
      <c r="AH48" s="28"/>
    </row>
    <row r="49" spans="2:48" s="17" customFormat="1" x14ac:dyDescent="0.2">
      <c r="B49" s="294"/>
      <c r="C49" s="35"/>
      <c r="D49" s="48" t="str">
        <f>IF(ISNA(VLOOKUP(B49,BibliothèqueProjet!$A$6:$J$70,2,FALSE)) = TRUE, "", VLOOKUP(B49,BibliothèqueProjet!$A$6:$J$70,2,FALSE))</f>
        <v/>
      </c>
      <c r="E49" s="33"/>
      <c r="F49" s="518" t="s">
        <v>146</v>
      </c>
      <c r="G49" s="519"/>
      <c r="H49" s="520"/>
      <c r="I49" s="218"/>
      <c r="J49" s="219"/>
      <c r="K49" s="220"/>
      <c r="L49" s="366">
        <f>(I49*J49)-K49</f>
        <v>0</v>
      </c>
      <c r="M49" s="352" t="str">
        <f>VLOOKUP(F49,$AZ$9:$BA$13,2,FALSE)</f>
        <v>-</v>
      </c>
      <c r="N49" s="342"/>
      <c r="O49" s="196" t="str">
        <f>IF(B49&lt;&gt;0,VLOOKUP(B49,BibliothèqueProjet!$A$5:$J$70,10,FALSE),"")</f>
        <v/>
      </c>
      <c r="P49" s="87" t="str">
        <f>IF(O49&lt;&gt;"",L49*O49*N49,"")</f>
        <v/>
      </c>
      <c r="Q49" s="88" t="str">
        <f>IF(P49&lt;&gt;"",P49*($E$12-$L$12),"")</f>
        <v/>
      </c>
      <c r="R49" s="15"/>
      <c r="AH49" s="28"/>
    </row>
    <row r="50" spans="2:48" s="17" customFormat="1" ht="12" customHeight="1" x14ac:dyDescent="0.2">
      <c r="B50" s="294"/>
      <c r="C50" s="38"/>
      <c r="D50" s="48" t="str">
        <f>IF(ISNA(VLOOKUP(B50,BibliothèqueProjet!$A$6:$J$70,2,FALSE)) = TRUE, "", VLOOKUP(B50,BibliothèqueProjet!$A$6:$J$70,2,FALSE))</f>
        <v/>
      </c>
      <c r="E50" s="33"/>
      <c r="F50" s="521" t="s">
        <v>146</v>
      </c>
      <c r="G50" s="522"/>
      <c r="H50" s="523"/>
      <c r="I50" s="218"/>
      <c r="J50" s="219"/>
      <c r="K50" s="220"/>
      <c r="L50" s="366">
        <f>(I50*J50)-K50</f>
        <v>0</v>
      </c>
      <c r="M50" s="353" t="str">
        <f>VLOOKUP(F50,$AZ$9:$BA$13,2,FALSE)</f>
        <v>-</v>
      </c>
      <c r="N50" s="343"/>
      <c r="O50" s="196" t="str">
        <f>IF(B50&lt;&gt;0,VLOOKUP(B50,BibliothèqueProjet!$A$5:$J$70,10,FALSE),"")</f>
        <v/>
      </c>
      <c r="P50" s="87" t="str">
        <f>IF(O50&lt;&gt;"",L50*O50*N50,"")</f>
        <v/>
      </c>
      <c r="Q50" s="88" t="str">
        <f>IF(P50&lt;&gt;"",P50*($E$12-$L$12),"")</f>
        <v/>
      </c>
      <c r="R50" s="15"/>
      <c r="AH50" s="28"/>
    </row>
    <row r="51" spans="2:48" s="17" customFormat="1" ht="15" x14ac:dyDescent="0.25">
      <c r="B51" s="76" t="s">
        <v>42</v>
      </c>
      <c r="C51" s="56"/>
      <c r="D51" s="77"/>
      <c r="E51" s="56"/>
      <c r="F51" s="56"/>
      <c r="G51" s="56"/>
      <c r="H51" s="78"/>
      <c r="I51" s="79"/>
      <c r="J51" s="80"/>
      <c r="K51" s="78"/>
      <c r="L51" s="79"/>
      <c r="M51" s="86"/>
      <c r="N51" s="81"/>
      <c r="O51" s="82" t="s">
        <v>9</v>
      </c>
      <c r="P51" s="268">
        <f>SUM(P47:P50)</f>
        <v>0</v>
      </c>
      <c r="Q51" s="268" t="e">
        <f>SUM(Q47:Q50)</f>
        <v>#REF!</v>
      </c>
      <c r="R51" s="15"/>
      <c r="AH51" s="28"/>
    </row>
    <row r="52" spans="2:48" s="17" customForma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AH52" s="28"/>
    </row>
    <row r="53" spans="2:48" s="17" customFormat="1" x14ac:dyDescent="0.2">
      <c r="B53" s="256" t="s">
        <v>186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15"/>
    </row>
    <row r="54" spans="2:48" s="17" customFormat="1" ht="24" x14ac:dyDescent="0.2">
      <c r="B54" s="241" t="s">
        <v>25</v>
      </c>
      <c r="C54" s="242" t="s">
        <v>14</v>
      </c>
      <c r="D54" s="497" t="s">
        <v>26</v>
      </c>
      <c r="E54" s="509"/>
      <c r="F54" s="510" t="s">
        <v>172</v>
      </c>
      <c r="G54" s="509"/>
      <c r="H54" s="511"/>
      <c r="I54" s="243" t="s">
        <v>7</v>
      </c>
      <c r="J54" s="242" t="s">
        <v>13</v>
      </c>
      <c r="K54" s="175" t="s">
        <v>198</v>
      </c>
      <c r="L54" s="242" t="s">
        <v>1</v>
      </c>
      <c r="M54" s="497" t="s">
        <v>173</v>
      </c>
      <c r="N54" s="498"/>
      <c r="O54" s="244" t="s">
        <v>181</v>
      </c>
      <c r="P54" s="245" t="s">
        <v>17</v>
      </c>
      <c r="Q54" s="246" t="s">
        <v>18</v>
      </c>
      <c r="R54" s="28"/>
      <c r="AH54" s="28"/>
    </row>
    <row r="55" spans="2:48" s="8" customFormat="1" x14ac:dyDescent="0.2">
      <c r="B55" s="189" t="s">
        <v>2</v>
      </c>
      <c r="C55" s="172"/>
      <c r="D55" s="173"/>
      <c r="E55" s="172"/>
      <c r="F55" s="172"/>
      <c r="G55" s="174"/>
      <c r="H55" s="174"/>
      <c r="I55" s="170" t="s">
        <v>3</v>
      </c>
      <c r="J55" s="170" t="s">
        <v>3</v>
      </c>
      <c r="K55" s="172" t="s">
        <v>197</v>
      </c>
      <c r="L55" s="170" t="s">
        <v>40</v>
      </c>
      <c r="M55" s="499" t="s">
        <v>7</v>
      </c>
      <c r="N55" s="499"/>
      <c r="O55" s="198" t="s">
        <v>182</v>
      </c>
      <c r="P55" s="171" t="s">
        <v>6</v>
      </c>
      <c r="Q55" s="374" t="s">
        <v>141</v>
      </c>
      <c r="R55" s="29"/>
      <c r="AH55" s="21"/>
      <c r="AP55" s="6"/>
      <c r="AQ55" s="17"/>
      <c r="AS55" s="21"/>
      <c r="AT55" s="21"/>
      <c r="AU55" s="21"/>
      <c r="AV55" s="21"/>
    </row>
    <row r="56" spans="2:48" s="6" customFormat="1" x14ac:dyDescent="0.2">
      <c r="B56" s="291" t="s">
        <v>63</v>
      </c>
      <c r="C56" s="35" t="s">
        <v>44</v>
      </c>
      <c r="D56" s="48" t="str">
        <f>IF(ISNA(VLOOKUP(B56,BibliothèqueProjet!$A$6:$J$70,2,FALSE)) = TRUE, "", VLOOKUP(B56,BibliothèqueProjet!$A$6:$J$70,2,FALSE))</f>
        <v>Toiture végétalisée</v>
      </c>
      <c r="E56" s="33"/>
      <c r="F56" s="512" t="s">
        <v>175</v>
      </c>
      <c r="G56" s="513"/>
      <c r="H56" s="514"/>
      <c r="I56" s="153">
        <v>3.89</v>
      </c>
      <c r="J56" s="375">
        <v>4.45</v>
      </c>
      <c r="K56" s="208">
        <f>(H56*I56*J56)-K61</f>
        <v>0</v>
      </c>
      <c r="L56" s="363">
        <f t="shared" ref="L56:L63" si="8">+I56*J56-K56</f>
        <v>17.310500000000001</v>
      </c>
      <c r="M56" s="351">
        <f t="shared" ref="M56:M63" si="9">VLOOKUP(F56,$AZ$9:$BA$13,2,FALSE)</f>
        <v>1</v>
      </c>
      <c r="N56" s="344">
        <v>1</v>
      </c>
      <c r="O56" s="223">
        <f>IF(B56&lt;&gt;0,VLOOKUP(B56,BibliothèqueProjet!$A$5:$J$70,10,FALSE),"")</f>
        <v>0.13</v>
      </c>
      <c r="P56" s="434">
        <f>IF(O56&lt;&gt;"",L56*O56*N56,"")</f>
        <v>2.2503650000000004</v>
      </c>
      <c r="Q56" s="435" t="e">
        <f>IF(P56&lt;&gt;"",P56*($E$12-$L$12),"")</f>
        <v>#REF!</v>
      </c>
      <c r="R56" s="32"/>
      <c r="AH56" s="28"/>
      <c r="AP56" s="17"/>
      <c r="AQ56" s="17"/>
      <c r="AR56" s="5"/>
      <c r="AS56" s="5"/>
      <c r="AT56" s="5"/>
      <c r="AU56" s="5"/>
      <c r="AV56" s="5"/>
    </row>
    <row r="57" spans="2:48" s="17" customFormat="1" x14ac:dyDescent="0.2">
      <c r="B57" s="291"/>
      <c r="C57" s="35"/>
      <c r="D57" s="48" t="str">
        <f>IF(ISNA(VLOOKUP(B57,BibliothèqueProjet!$A$6:$J$70,2,FALSE)) = TRUE, "", VLOOKUP(B57,BibliothèqueProjet!$A$6:$J$70,2,FALSE))</f>
        <v/>
      </c>
      <c r="E57" s="33"/>
      <c r="F57" s="503" t="s">
        <v>146</v>
      </c>
      <c r="G57" s="504"/>
      <c r="H57" s="505"/>
      <c r="I57" s="153"/>
      <c r="J57" s="375"/>
      <c r="K57" s="208"/>
      <c r="L57" s="364">
        <f t="shared" si="8"/>
        <v>0</v>
      </c>
      <c r="M57" s="352" t="str">
        <f t="shared" si="9"/>
        <v>-</v>
      </c>
      <c r="N57" s="430"/>
      <c r="O57" s="196" t="str">
        <f>IF(B57&lt;&gt;0,VLOOKUP(B57,BibliothèqueProjet!$A$5:$J$70,10,FALSE),"")</f>
        <v/>
      </c>
      <c r="P57" s="373" t="str">
        <f t="shared" ref="P57:P63" si="10">IF(O57&lt;&gt;"",L57*O57*N57,"")</f>
        <v/>
      </c>
      <c r="Q57" s="88" t="str">
        <f t="shared" ref="Q57:Q63" si="11">IF(P57&lt;&gt;"",P57*($E$12-$L$12),"")</f>
        <v/>
      </c>
      <c r="R57" s="15"/>
      <c r="AH57" s="10"/>
      <c r="AK57" s="1"/>
      <c r="AL57" s="7"/>
      <c r="AM57" s="16"/>
      <c r="AN57" s="5"/>
      <c r="AO57" s="5"/>
      <c r="AR57" s="18"/>
      <c r="AS57" s="18"/>
      <c r="AT57" s="18"/>
      <c r="AU57" s="18"/>
      <c r="AV57" s="18"/>
    </row>
    <row r="58" spans="2:48" s="17" customFormat="1" x14ac:dyDescent="0.2">
      <c r="B58" s="291"/>
      <c r="C58" s="35"/>
      <c r="D58" s="48" t="str">
        <f>IF(ISNA(VLOOKUP(B58,BibliothèqueProjet!$A$6:$J$70,2,FALSE)) = TRUE, "", VLOOKUP(B58,BibliothèqueProjet!$A$6:$J$70,2,FALSE))</f>
        <v/>
      </c>
      <c r="E58" s="33"/>
      <c r="F58" s="503" t="s">
        <v>146</v>
      </c>
      <c r="G58" s="504"/>
      <c r="H58" s="505"/>
      <c r="I58" s="153"/>
      <c r="J58" s="375"/>
      <c r="K58" s="208"/>
      <c r="L58" s="364">
        <f t="shared" si="8"/>
        <v>0</v>
      </c>
      <c r="M58" s="352" t="str">
        <f t="shared" si="9"/>
        <v>-</v>
      </c>
      <c r="N58" s="430"/>
      <c r="O58" s="196" t="str">
        <f>IF(B58&lt;&gt;0,VLOOKUP(B58,BibliothèqueProjet!$A$5:$J$70,10,FALSE),"")</f>
        <v/>
      </c>
      <c r="P58" s="373" t="str">
        <f t="shared" si="10"/>
        <v/>
      </c>
      <c r="Q58" s="88" t="str">
        <f t="shared" si="11"/>
        <v/>
      </c>
      <c r="R58" s="15"/>
      <c r="AH58" s="28"/>
      <c r="AK58" s="1"/>
      <c r="AL58" s="7"/>
      <c r="AM58" s="43"/>
      <c r="AN58" s="5"/>
      <c r="AO58" s="5"/>
    </row>
    <row r="59" spans="2:48" s="17" customFormat="1" x14ac:dyDescent="0.2">
      <c r="B59" s="291"/>
      <c r="C59" s="35"/>
      <c r="D59" s="48" t="str">
        <f>IF(ISNA(VLOOKUP(B59,BibliothèqueProjet!$A$6:$J$70,2,FALSE)) = TRUE, "", VLOOKUP(B59,BibliothèqueProjet!$A$6:$J$70,2,FALSE))</f>
        <v/>
      </c>
      <c r="E59" s="33"/>
      <c r="F59" s="503" t="s">
        <v>146</v>
      </c>
      <c r="G59" s="504"/>
      <c r="H59" s="505"/>
      <c r="I59" s="153"/>
      <c r="J59" s="375"/>
      <c r="K59" s="208"/>
      <c r="L59" s="364">
        <f t="shared" si="8"/>
        <v>0</v>
      </c>
      <c r="M59" s="352" t="str">
        <f t="shared" si="9"/>
        <v>-</v>
      </c>
      <c r="N59" s="430"/>
      <c r="O59" s="196" t="str">
        <f>IF(B59&lt;&gt;0,VLOOKUP(B59,BibliothèqueProjet!$A$5:$J$70,10,FALSE),"")</f>
        <v/>
      </c>
      <c r="P59" s="373" t="str">
        <f t="shared" si="10"/>
        <v/>
      </c>
      <c r="Q59" s="88" t="str">
        <f t="shared" si="11"/>
        <v/>
      </c>
      <c r="R59" s="15"/>
      <c r="AH59" s="28"/>
      <c r="AI59" s="18"/>
      <c r="AJ59" s="18"/>
      <c r="AK59" s="1"/>
      <c r="AL59" s="7"/>
      <c r="AM59" s="18"/>
      <c r="AN59" s="5"/>
      <c r="AO59" s="5"/>
    </row>
    <row r="60" spans="2:48" s="17" customFormat="1" ht="12" customHeight="1" x14ac:dyDescent="0.2">
      <c r="B60" s="291"/>
      <c r="C60" s="35"/>
      <c r="D60" s="48" t="str">
        <f>IF(ISNA(VLOOKUP(B60,BibliothèqueProjet!$A$6:$J$70,2,FALSE)) = TRUE, "", VLOOKUP(B60,BibliothèqueProjet!$A$6:$J$70,2,FALSE))</f>
        <v/>
      </c>
      <c r="E60" s="33"/>
      <c r="F60" s="503" t="s">
        <v>146</v>
      </c>
      <c r="G60" s="504"/>
      <c r="H60" s="505"/>
      <c r="I60" s="153"/>
      <c r="J60" s="375"/>
      <c r="K60" s="208"/>
      <c r="L60" s="364">
        <f t="shared" si="8"/>
        <v>0</v>
      </c>
      <c r="M60" s="352" t="str">
        <f t="shared" si="9"/>
        <v>-</v>
      </c>
      <c r="N60" s="430"/>
      <c r="O60" s="196" t="str">
        <f>IF(B60&lt;&gt;0,VLOOKUP(B60,BibliothèqueProjet!$A$5:$J$70,10,FALSE),"")</f>
        <v/>
      </c>
      <c r="P60" s="373" t="str">
        <f t="shared" si="10"/>
        <v/>
      </c>
      <c r="Q60" s="88" t="str">
        <f t="shared" si="11"/>
        <v/>
      </c>
      <c r="R60" s="15"/>
      <c r="AH60" s="28"/>
      <c r="AI60" s="16"/>
      <c r="AJ60" s="18"/>
      <c r="AO60" s="5"/>
    </row>
    <row r="61" spans="2:48" s="17" customFormat="1" ht="12" customHeight="1" x14ac:dyDescent="0.2">
      <c r="B61" s="292"/>
      <c r="C61" s="38"/>
      <c r="D61" s="48" t="str">
        <f>IF(ISNA(VLOOKUP(B61,BibliothèqueProjet!$A$6:$J$70,2,FALSE)) = TRUE, "", VLOOKUP(B61,BibliothèqueProjet!$A$6:$J$70,2,FALSE))</f>
        <v/>
      </c>
      <c r="E61" s="39"/>
      <c r="F61" s="503" t="s">
        <v>146</v>
      </c>
      <c r="G61" s="504"/>
      <c r="H61" s="505"/>
      <c r="I61" s="152"/>
      <c r="J61" s="376"/>
      <c r="K61" s="208"/>
      <c r="L61" s="364">
        <f t="shared" si="8"/>
        <v>0</v>
      </c>
      <c r="M61" s="352" t="str">
        <f t="shared" si="9"/>
        <v>-</v>
      </c>
      <c r="N61" s="345"/>
      <c r="O61" s="196" t="str">
        <f>IF(B61&lt;&gt;0,VLOOKUP(B61,BibliothèqueProjet!$A$5:$J$70,10,FALSE),"")</f>
        <v/>
      </c>
      <c r="P61" s="373" t="str">
        <f t="shared" si="10"/>
        <v/>
      </c>
      <c r="Q61" s="88" t="str">
        <f t="shared" si="11"/>
        <v/>
      </c>
      <c r="R61" s="15"/>
      <c r="AH61" s="28"/>
      <c r="AI61" s="16"/>
      <c r="AJ61" s="18"/>
      <c r="AO61" s="5"/>
    </row>
    <row r="62" spans="2:48" s="6" customFormat="1" ht="12.75" customHeight="1" x14ac:dyDescent="0.2">
      <c r="B62" s="292"/>
      <c r="C62" s="35"/>
      <c r="D62" s="48" t="str">
        <f>IF(ISNA(VLOOKUP(B62,BibliothèqueProjet!$A$6:$J$70,2,FALSE)) = TRUE, "", VLOOKUP(B62,BibliothèqueProjet!$A$6:$J$70,2,FALSE))</f>
        <v/>
      </c>
      <c r="E62" s="33"/>
      <c r="F62" s="503" t="s">
        <v>146</v>
      </c>
      <c r="G62" s="504"/>
      <c r="H62" s="505"/>
      <c r="I62" s="153"/>
      <c r="J62" s="375"/>
      <c r="K62" s="208"/>
      <c r="L62" s="364">
        <f t="shared" si="8"/>
        <v>0</v>
      </c>
      <c r="M62" s="352" t="str">
        <f t="shared" si="9"/>
        <v>-</v>
      </c>
      <c r="N62" s="345"/>
      <c r="O62" s="196" t="str">
        <f>IF(B62&lt;&gt;0,VLOOKUP(B62,BibliothèqueProjet!$A$5:$J$70,10,FALSE),"")</f>
        <v/>
      </c>
      <c r="P62" s="373" t="str">
        <f t="shared" si="10"/>
        <v/>
      </c>
      <c r="Q62" s="88" t="str">
        <f t="shared" si="11"/>
        <v/>
      </c>
      <c r="R62" s="32"/>
      <c r="AH62" s="34"/>
      <c r="AI62" s="31"/>
    </row>
    <row r="63" spans="2:48" s="17" customFormat="1" x14ac:dyDescent="0.2">
      <c r="B63" s="292"/>
      <c r="C63" s="38"/>
      <c r="D63" s="48" t="str">
        <f>IF(ISNA(VLOOKUP(B63,BibliothèqueProjet!$A$6:$J$70,2,FALSE)) = TRUE, "", VLOOKUP(B63,BibliothèqueProjet!$A$6:$J$70,2,FALSE))</f>
        <v/>
      </c>
      <c r="E63" s="33"/>
      <c r="F63" s="506" t="s">
        <v>146</v>
      </c>
      <c r="G63" s="507"/>
      <c r="H63" s="508"/>
      <c r="I63" s="153"/>
      <c r="J63" s="375"/>
      <c r="K63" s="208"/>
      <c r="L63" s="365">
        <f t="shared" si="8"/>
        <v>0</v>
      </c>
      <c r="M63" s="353" t="str">
        <f t="shared" si="9"/>
        <v>-</v>
      </c>
      <c r="N63" s="346"/>
      <c r="O63" s="440" t="str">
        <f>IF(B63&lt;&gt;0,VLOOKUP(B63,BibliothèqueProjet!$A$5:$J$70,10,FALSE),"")</f>
        <v/>
      </c>
      <c r="P63" s="438" t="str">
        <f t="shared" si="10"/>
        <v/>
      </c>
      <c r="Q63" s="439" t="str">
        <f t="shared" si="11"/>
        <v/>
      </c>
      <c r="R63" s="15"/>
      <c r="AH63" s="28"/>
    </row>
    <row r="64" spans="2:48" s="17" customFormat="1" ht="15" x14ac:dyDescent="0.25">
      <c r="B64" s="76" t="s">
        <v>42</v>
      </c>
      <c r="C64" s="56"/>
      <c r="D64" s="77"/>
      <c r="E64" s="56"/>
      <c r="F64" s="56"/>
      <c r="G64" s="56"/>
      <c r="H64" s="78"/>
      <c r="I64" s="79"/>
      <c r="J64" s="80"/>
      <c r="K64" s="78"/>
      <c r="L64" s="79"/>
      <c r="M64" s="86"/>
      <c r="N64" s="81"/>
      <c r="O64" s="82" t="s">
        <v>9</v>
      </c>
      <c r="P64" s="268">
        <f>SUM(P56:P63)</f>
        <v>2.2503650000000004</v>
      </c>
      <c r="Q64" s="268" t="e">
        <f>SUM(Q56:Q63)</f>
        <v>#REF!</v>
      </c>
      <c r="R64" s="15"/>
      <c r="AH64" s="28"/>
    </row>
    <row r="65" spans="2:48" s="17" customFormat="1" ht="15" x14ac:dyDescent="0.25">
      <c r="B65" s="162"/>
      <c r="C65" s="75"/>
      <c r="D65" s="163"/>
      <c r="E65" s="75"/>
      <c r="F65" s="75"/>
      <c r="G65" s="75"/>
      <c r="H65" s="84"/>
      <c r="I65" s="85"/>
      <c r="J65" s="164"/>
      <c r="K65" s="84"/>
      <c r="L65" s="85"/>
      <c r="M65" s="85"/>
      <c r="N65" s="85"/>
      <c r="O65" s="165"/>
      <c r="P65" s="166"/>
      <c r="Q65" s="167"/>
      <c r="R65" s="15"/>
      <c r="AH65" s="28"/>
    </row>
    <row r="66" spans="2:48" s="17" customFormat="1" x14ac:dyDescent="0.2">
      <c r="B66" s="253" t="s">
        <v>178</v>
      </c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5"/>
      <c r="R66" s="15"/>
    </row>
    <row r="67" spans="2:48" s="17" customFormat="1" ht="28.5" customHeight="1" x14ac:dyDescent="0.2">
      <c r="B67" s="241" t="s">
        <v>25</v>
      </c>
      <c r="C67" s="242" t="s">
        <v>14</v>
      </c>
      <c r="D67" s="497" t="s">
        <v>26</v>
      </c>
      <c r="E67" s="509"/>
      <c r="F67" s="510" t="s">
        <v>172</v>
      </c>
      <c r="G67" s="509"/>
      <c r="H67" s="511"/>
      <c r="I67" s="243"/>
      <c r="J67" s="242"/>
      <c r="K67" s="242"/>
      <c r="L67" s="243" t="s">
        <v>0</v>
      </c>
      <c r="M67" s="497" t="s">
        <v>173</v>
      </c>
      <c r="N67" s="498"/>
      <c r="O67" s="244" t="s">
        <v>181</v>
      </c>
      <c r="P67" s="245" t="s">
        <v>17</v>
      </c>
      <c r="Q67" s="246" t="s">
        <v>18</v>
      </c>
      <c r="R67" s="41"/>
    </row>
    <row r="68" spans="2:48" x14ac:dyDescent="0.2">
      <c r="B68" s="189" t="s">
        <v>2</v>
      </c>
      <c r="C68" s="172"/>
      <c r="D68" s="173"/>
      <c r="E68" s="172"/>
      <c r="F68" s="172"/>
      <c r="G68" s="174"/>
      <c r="H68" s="174"/>
      <c r="I68" s="170"/>
      <c r="J68" s="170"/>
      <c r="K68" s="169"/>
      <c r="L68" s="172" t="s">
        <v>3</v>
      </c>
      <c r="M68" s="499" t="s">
        <v>7</v>
      </c>
      <c r="N68" s="499"/>
      <c r="O68" s="198" t="s">
        <v>182</v>
      </c>
      <c r="P68" s="171" t="s">
        <v>6</v>
      </c>
      <c r="Q68" s="374" t="s">
        <v>141</v>
      </c>
    </row>
    <row r="69" spans="2:48" s="8" customFormat="1" x14ac:dyDescent="0.2">
      <c r="B69" s="289" t="s">
        <v>80</v>
      </c>
      <c r="C69" s="35" t="s">
        <v>44</v>
      </c>
      <c r="D69" s="48" t="str">
        <f>IF(ISNA(VLOOKUP(B69,BibliothèqueProjet!$A$6:$J$70,2,FALSE)) = TRUE, "", VLOOKUP(B69,BibliothèqueProjet!$A$6:$J$70,2,FALSE))</f>
        <v>Linéique</v>
      </c>
      <c r="E69" s="33"/>
      <c r="F69" s="500" t="s">
        <v>175</v>
      </c>
      <c r="G69" s="501"/>
      <c r="H69" s="502"/>
      <c r="I69" s="37"/>
      <c r="J69" s="46"/>
      <c r="K69" s="36"/>
      <c r="L69" s="367">
        <v>2.75</v>
      </c>
      <c r="M69" s="351">
        <f>VLOOKUP(F69,$AZ$9:$BA$13,2,FALSE)</f>
        <v>1</v>
      </c>
      <c r="N69" s="369">
        <v>1</v>
      </c>
      <c r="O69" s="433">
        <f>IF(B69&lt;&gt;0,VLOOKUP(B69,BibliothèqueProjet!$A$5:$J$70,10,FALSE),"")</f>
        <v>0.1</v>
      </c>
      <c r="P69" s="434">
        <f>IF(O69&lt;&gt;"",O69*L69*N69,"")</f>
        <v>0.27500000000000002</v>
      </c>
      <c r="Q69" s="435" t="e">
        <f>IF(P69&lt;&gt;"",P69*($E$12-$L$12),"")</f>
        <v>#REF!</v>
      </c>
      <c r="R69" s="29"/>
      <c r="AH69" s="21"/>
      <c r="AI69" s="6"/>
      <c r="AJ69" s="6"/>
      <c r="AK69" s="6"/>
      <c r="AL69" s="6"/>
      <c r="AM69" s="6"/>
      <c r="AN69" s="6"/>
      <c r="AP69" s="6"/>
      <c r="AQ69" s="17"/>
      <c r="AS69" s="21"/>
      <c r="AT69" s="21"/>
      <c r="AU69" s="21"/>
      <c r="AV69" s="21"/>
    </row>
    <row r="70" spans="2:48" s="8" customFormat="1" x14ac:dyDescent="0.2">
      <c r="B70" s="289"/>
      <c r="C70" s="35"/>
      <c r="D70" s="48" t="str">
        <f>IF(ISNA(VLOOKUP(B70,BibliothèqueProjet!$A$6:$J$70,2,FALSE)) = TRUE, "", VLOOKUP(B70,BibliothèqueProjet!$A$6:$J$70,2,FALSE))</f>
        <v/>
      </c>
      <c r="E70" s="33"/>
      <c r="F70" s="491" t="s">
        <v>146</v>
      </c>
      <c r="G70" s="492"/>
      <c r="H70" s="493"/>
      <c r="I70" s="37"/>
      <c r="J70" s="46"/>
      <c r="K70" s="36"/>
      <c r="L70" s="431"/>
      <c r="M70" s="352" t="str">
        <f t="shared" ref="M70:M75" si="12">VLOOKUP(F70,$AZ$9:$BA$13,2,FALSE)</f>
        <v>-</v>
      </c>
      <c r="N70" s="432"/>
      <c r="O70" s="436" t="str">
        <f>IF(B70&lt;&gt;0,VLOOKUP(B70,BibliothèqueProjet!$A$5:$J$70,10,FALSE),"")</f>
        <v/>
      </c>
      <c r="P70" s="373" t="str">
        <f t="shared" ref="P70:P78" si="13">IF(O70&lt;&gt;"",O70*L70*N70,"")</f>
        <v/>
      </c>
      <c r="Q70" s="88" t="str">
        <f t="shared" ref="Q70:Q78" si="14">IF(P70&lt;&gt;"",P70*($E$12-$L$12),"")</f>
        <v/>
      </c>
      <c r="R70" s="29"/>
      <c r="AH70" s="21"/>
      <c r="AI70" s="6"/>
      <c r="AJ70" s="6"/>
      <c r="AK70" s="6"/>
      <c r="AL70" s="6"/>
      <c r="AM70" s="6"/>
      <c r="AN70" s="6"/>
      <c r="AP70" s="6"/>
      <c r="AQ70" s="17"/>
      <c r="AS70" s="21"/>
      <c r="AT70" s="21"/>
      <c r="AU70" s="21"/>
      <c r="AV70" s="21"/>
    </row>
    <row r="71" spans="2:48" s="8" customFormat="1" x14ac:dyDescent="0.2">
      <c r="B71" s="289"/>
      <c r="C71" s="35"/>
      <c r="D71" s="48" t="str">
        <f>IF(ISNA(VLOOKUP(B71,BibliothèqueProjet!$A$6:$J$70,2,FALSE)) = TRUE, "", VLOOKUP(B71,BibliothèqueProjet!$A$6:$J$70,2,FALSE))</f>
        <v/>
      </c>
      <c r="E71" s="33"/>
      <c r="F71" s="491" t="s">
        <v>146</v>
      </c>
      <c r="G71" s="492"/>
      <c r="H71" s="493"/>
      <c r="I71" s="37"/>
      <c r="J71" s="46"/>
      <c r="K71" s="36"/>
      <c r="L71" s="431"/>
      <c r="M71" s="352" t="str">
        <f t="shared" si="12"/>
        <v>-</v>
      </c>
      <c r="N71" s="432"/>
      <c r="O71" s="436" t="str">
        <f>IF(B71&lt;&gt;0,VLOOKUP(B71,BibliothèqueProjet!$A$5:$J$70,10,FALSE),"")</f>
        <v/>
      </c>
      <c r="P71" s="373" t="str">
        <f t="shared" si="13"/>
        <v/>
      </c>
      <c r="Q71" s="88" t="str">
        <f t="shared" si="14"/>
        <v/>
      </c>
      <c r="R71" s="29"/>
      <c r="AH71" s="21"/>
      <c r="AI71" s="6"/>
      <c r="AJ71" s="6"/>
      <c r="AK71" s="6"/>
      <c r="AL71" s="6"/>
      <c r="AM71" s="6"/>
      <c r="AN71" s="6"/>
      <c r="AP71" s="6"/>
      <c r="AQ71" s="17"/>
      <c r="AS71" s="21"/>
      <c r="AT71" s="21"/>
      <c r="AU71" s="21"/>
      <c r="AV71" s="21"/>
    </row>
    <row r="72" spans="2:48" s="8" customFormat="1" x14ac:dyDescent="0.2">
      <c r="B72" s="289"/>
      <c r="C72" s="35"/>
      <c r="D72" s="48" t="str">
        <f>IF(ISNA(VLOOKUP(B72,BibliothèqueProjet!$A$6:$J$70,2,FALSE)) = TRUE, "", VLOOKUP(B72,BibliothèqueProjet!$A$6:$J$70,2,FALSE))</f>
        <v/>
      </c>
      <c r="E72" s="33"/>
      <c r="F72" s="491" t="s">
        <v>146</v>
      </c>
      <c r="G72" s="492"/>
      <c r="H72" s="493"/>
      <c r="I72" s="37"/>
      <c r="J72" s="46"/>
      <c r="K72" s="36"/>
      <c r="L72" s="431"/>
      <c r="M72" s="352" t="str">
        <f t="shared" si="12"/>
        <v>-</v>
      </c>
      <c r="N72" s="432"/>
      <c r="O72" s="436" t="str">
        <f>IF(B72&lt;&gt;0,VLOOKUP(B72,BibliothèqueProjet!$A$5:$J$70,10,FALSE),"")</f>
        <v/>
      </c>
      <c r="P72" s="373" t="str">
        <f t="shared" si="13"/>
        <v/>
      </c>
      <c r="Q72" s="88" t="str">
        <f t="shared" si="14"/>
        <v/>
      </c>
      <c r="R72" s="29"/>
      <c r="AH72" s="21"/>
      <c r="AI72" s="6"/>
      <c r="AJ72" s="6"/>
      <c r="AK72" s="6"/>
      <c r="AL72" s="6"/>
      <c r="AM72" s="6"/>
      <c r="AN72" s="6"/>
      <c r="AP72" s="6"/>
      <c r="AQ72" s="17"/>
      <c r="AS72" s="21"/>
      <c r="AT72" s="21"/>
      <c r="AU72" s="21"/>
      <c r="AV72" s="21"/>
    </row>
    <row r="73" spans="2:48" s="8" customFormat="1" x14ac:dyDescent="0.2">
      <c r="B73" s="289"/>
      <c r="C73" s="35"/>
      <c r="D73" s="48" t="str">
        <f>IF(ISNA(VLOOKUP(B73,BibliothèqueProjet!$A$6:$J$70,2,FALSE)) = TRUE, "", VLOOKUP(B73,BibliothèqueProjet!$A$6:$J$70,2,FALSE))</f>
        <v/>
      </c>
      <c r="E73" s="33"/>
      <c r="F73" s="491" t="s">
        <v>146</v>
      </c>
      <c r="G73" s="492"/>
      <c r="H73" s="493"/>
      <c r="I73" s="37"/>
      <c r="J73" s="46"/>
      <c r="K73" s="36"/>
      <c r="L73" s="431"/>
      <c r="M73" s="352" t="str">
        <f t="shared" si="12"/>
        <v>-</v>
      </c>
      <c r="N73" s="432"/>
      <c r="O73" s="436" t="str">
        <f>IF(B73&lt;&gt;0,VLOOKUP(B73,BibliothèqueProjet!$A$5:$J$70,10,FALSE),"")</f>
        <v/>
      </c>
      <c r="P73" s="373" t="str">
        <f t="shared" si="13"/>
        <v/>
      </c>
      <c r="Q73" s="88" t="str">
        <f t="shared" si="14"/>
        <v/>
      </c>
      <c r="R73" s="29"/>
      <c r="AH73" s="21"/>
      <c r="AI73" s="6"/>
      <c r="AJ73" s="6"/>
      <c r="AK73" s="6"/>
      <c r="AL73" s="6"/>
      <c r="AM73" s="6"/>
      <c r="AN73" s="6"/>
      <c r="AP73" s="6"/>
      <c r="AQ73" s="17"/>
      <c r="AS73" s="21"/>
      <c r="AT73" s="21"/>
      <c r="AU73" s="21"/>
      <c r="AV73" s="21"/>
    </row>
    <row r="74" spans="2:48" s="8" customFormat="1" x14ac:dyDescent="0.2">
      <c r="B74" s="289"/>
      <c r="C74" s="35"/>
      <c r="D74" s="48" t="str">
        <f>IF(ISNA(VLOOKUP(B74,BibliothèqueProjet!$A$6:$J$70,2,FALSE)) = TRUE, "", VLOOKUP(B74,BibliothèqueProjet!$A$6:$J$70,2,FALSE))</f>
        <v/>
      </c>
      <c r="E74" s="33"/>
      <c r="F74" s="491" t="s">
        <v>146</v>
      </c>
      <c r="G74" s="492"/>
      <c r="H74" s="493"/>
      <c r="I74" s="37"/>
      <c r="J74" s="46"/>
      <c r="K74" s="36"/>
      <c r="L74" s="431"/>
      <c r="M74" s="352" t="str">
        <f t="shared" si="12"/>
        <v>-</v>
      </c>
      <c r="N74" s="432"/>
      <c r="O74" s="436" t="str">
        <f>IF(B74&lt;&gt;0,VLOOKUP(B74,BibliothèqueProjet!$A$5:$J$70,10,FALSE),"")</f>
        <v/>
      </c>
      <c r="P74" s="373" t="str">
        <f t="shared" si="13"/>
        <v/>
      </c>
      <c r="Q74" s="88" t="str">
        <f t="shared" si="14"/>
        <v/>
      </c>
      <c r="R74" s="29"/>
      <c r="AH74" s="21"/>
      <c r="AI74" s="6"/>
      <c r="AJ74" s="6"/>
      <c r="AK74" s="6"/>
      <c r="AL74" s="6"/>
      <c r="AM74" s="6"/>
      <c r="AN74" s="6"/>
      <c r="AP74" s="6"/>
      <c r="AQ74" s="17"/>
      <c r="AS74" s="21"/>
      <c r="AT74" s="21"/>
      <c r="AU74" s="21"/>
      <c r="AV74" s="21"/>
    </row>
    <row r="75" spans="2:48" s="8" customFormat="1" x14ac:dyDescent="0.2">
      <c r="B75" s="289"/>
      <c r="C75" s="35"/>
      <c r="D75" s="48" t="str">
        <f>IF(ISNA(VLOOKUP(B75,BibliothèqueProjet!$A$6:$J$70,2,FALSE)) = TRUE, "", VLOOKUP(B75,BibliothèqueProjet!$A$6:$J$70,2,FALSE))</f>
        <v/>
      </c>
      <c r="E75" s="33"/>
      <c r="F75" s="491" t="s">
        <v>146</v>
      </c>
      <c r="G75" s="492"/>
      <c r="H75" s="493"/>
      <c r="I75" s="37"/>
      <c r="J75" s="46"/>
      <c r="K75" s="36"/>
      <c r="L75" s="431"/>
      <c r="M75" s="352" t="str">
        <f t="shared" si="12"/>
        <v>-</v>
      </c>
      <c r="N75" s="432"/>
      <c r="O75" s="436" t="str">
        <f>IF(B75&lt;&gt;0,VLOOKUP(B75,BibliothèqueProjet!$A$5:$J$70,10,FALSE),"")</f>
        <v/>
      </c>
      <c r="P75" s="373" t="str">
        <f t="shared" si="13"/>
        <v/>
      </c>
      <c r="Q75" s="88" t="str">
        <f t="shared" si="14"/>
        <v/>
      </c>
      <c r="R75" s="29"/>
      <c r="AH75" s="21"/>
      <c r="AI75" s="6"/>
      <c r="AJ75" s="6"/>
      <c r="AK75" s="6"/>
      <c r="AL75" s="6"/>
      <c r="AM75" s="6"/>
      <c r="AN75" s="6"/>
      <c r="AP75" s="6"/>
      <c r="AQ75" s="17"/>
      <c r="AS75" s="21"/>
      <c r="AT75" s="21"/>
      <c r="AU75" s="21"/>
      <c r="AV75" s="21"/>
    </row>
    <row r="76" spans="2:48" s="6" customFormat="1" x14ac:dyDescent="0.2">
      <c r="B76" s="290"/>
      <c r="C76" s="38"/>
      <c r="D76" s="48" t="str">
        <f>IF(ISNA(VLOOKUP(B76,BibliothèqueProjet!$A$6:$J$70,2,FALSE)) = TRUE, "", VLOOKUP(B76,BibliothèqueProjet!$A$6:$J$70,2,FALSE))</f>
        <v/>
      </c>
      <c r="E76" s="39"/>
      <c r="F76" s="491" t="s">
        <v>146</v>
      </c>
      <c r="G76" s="492"/>
      <c r="H76" s="493"/>
      <c r="I76" s="26"/>
      <c r="J76" s="47"/>
      <c r="K76" s="36"/>
      <c r="L76" s="368"/>
      <c r="M76" s="352" t="str">
        <f>VLOOKUP(F76,$AZ$9:$BA$13,2,FALSE)</f>
        <v>-</v>
      </c>
      <c r="N76" s="370"/>
      <c r="O76" s="436" t="str">
        <f>IF(B76&lt;&gt;0,VLOOKUP(B76,BibliothèqueProjet!$A$5:$J$70,10,FALSE),"")</f>
        <v/>
      </c>
      <c r="P76" s="373" t="str">
        <f t="shared" si="13"/>
        <v/>
      </c>
      <c r="Q76" s="88" t="str">
        <f t="shared" si="14"/>
        <v/>
      </c>
      <c r="R76" s="32"/>
      <c r="AH76" s="28"/>
      <c r="AI76" s="17"/>
      <c r="AJ76" s="17"/>
      <c r="AK76" s="1"/>
      <c r="AL76" s="1"/>
      <c r="AM76" s="17"/>
      <c r="AN76" s="5"/>
      <c r="AO76" s="18"/>
      <c r="AP76" s="17"/>
      <c r="AQ76" s="17"/>
      <c r="AR76" s="5"/>
      <c r="AS76" s="5"/>
      <c r="AT76" s="5"/>
      <c r="AU76" s="5"/>
      <c r="AV76" s="5"/>
    </row>
    <row r="77" spans="2:48" s="17" customFormat="1" ht="13.5" customHeight="1" x14ac:dyDescent="0.2">
      <c r="B77" s="290"/>
      <c r="C77" s="35"/>
      <c r="D77" s="48" t="str">
        <f>IF(ISNA(VLOOKUP(B77,BibliothèqueProjet!$A$6:$J$70,2,FALSE)) = TRUE, "", VLOOKUP(B77,BibliothèqueProjet!$A$6:$J$70,2,FALSE))</f>
        <v/>
      </c>
      <c r="E77" s="33"/>
      <c r="F77" s="491" t="s">
        <v>146</v>
      </c>
      <c r="G77" s="492"/>
      <c r="H77" s="493"/>
      <c r="I77" s="37"/>
      <c r="J77" s="46"/>
      <c r="K77" s="36"/>
      <c r="L77" s="368"/>
      <c r="M77" s="352" t="str">
        <f>VLOOKUP(F77,$AZ$9:$BA$13,2,FALSE)</f>
        <v>-</v>
      </c>
      <c r="N77" s="370"/>
      <c r="O77" s="436" t="str">
        <f>IF(B77&lt;&gt;0,VLOOKUP(B77,BibliothèqueProjet!$A$5:$J$70,10,FALSE),"")</f>
        <v/>
      </c>
      <c r="P77" s="373" t="str">
        <f t="shared" si="13"/>
        <v/>
      </c>
      <c r="Q77" s="88" t="str">
        <f t="shared" si="14"/>
        <v/>
      </c>
      <c r="R77" s="15"/>
      <c r="AH77" s="10"/>
      <c r="AK77" s="1"/>
      <c r="AL77" s="7"/>
      <c r="AM77" s="16"/>
      <c r="AN77" s="5"/>
      <c r="AO77" s="5"/>
      <c r="AR77" s="18"/>
      <c r="AS77" s="18"/>
      <c r="AT77" s="18"/>
      <c r="AU77" s="18"/>
      <c r="AV77" s="18"/>
    </row>
    <row r="78" spans="2:48" s="17" customFormat="1" x14ac:dyDescent="0.2">
      <c r="B78" s="290"/>
      <c r="C78" s="38"/>
      <c r="D78" s="48" t="str">
        <f>IF(ISNA(VLOOKUP(B78,BibliothèqueProjet!$A$6:$J$70,2,FALSE)) = TRUE, "", VLOOKUP(B78,BibliothèqueProjet!$A$6:$J$70,2,FALSE))</f>
        <v/>
      </c>
      <c r="E78" s="33"/>
      <c r="F78" s="494" t="s">
        <v>146</v>
      </c>
      <c r="G78" s="495"/>
      <c r="H78" s="496"/>
      <c r="I78" s="37"/>
      <c r="J78" s="46"/>
      <c r="K78" s="36"/>
      <c r="L78" s="368"/>
      <c r="M78" s="353" t="str">
        <f>VLOOKUP(F78,$AZ$9:$BA$13,2,FALSE)</f>
        <v>-</v>
      </c>
      <c r="N78" s="371" t="str">
        <f>IF(B78&lt;&gt;0,VLOOKUP(B78,BibliothèqueProjet!$A$5:$J$70,10,FALSE),"")</f>
        <v/>
      </c>
      <c r="O78" s="437" t="str">
        <f>IF(B78&lt;&gt;0,VLOOKUP(B78,BibliothèqueProjet!$A$5:$J$70,10,FALSE),"")</f>
        <v/>
      </c>
      <c r="P78" s="438" t="str">
        <f t="shared" si="13"/>
        <v/>
      </c>
      <c r="Q78" s="439" t="str">
        <f t="shared" si="14"/>
        <v/>
      </c>
      <c r="R78" s="15"/>
      <c r="AH78" s="28"/>
      <c r="AK78" s="1"/>
      <c r="AL78" s="7"/>
      <c r="AM78" s="43"/>
      <c r="AN78" s="5"/>
      <c r="AO78" s="5"/>
    </row>
    <row r="79" spans="2:48" s="17" customFormat="1" ht="15" x14ac:dyDescent="0.25">
      <c r="B79" s="76" t="s">
        <v>42</v>
      </c>
      <c r="C79" s="56"/>
      <c r="D79" s="77"/>
      <c r="E79" s="56"/>
      <c r="F79" s="56"/>
      <c r="G79" s="56"/>
      <c r="H79" s="78"/>
      <c r="I79" s="79"/>
      <c r="J79" s="80"/>
      <c r="K79" s="78"/>
      <c r="L79" s="79"/>
      <c r="M79" s="79"/>
      <c r="N79" s="81"/>
      <c r="O79" s="82" t="s">
        <v>9</v>
      </c>
      <c r="P79" s="268">
        <f>SUM(P69:P78)</f>
        <v>0.27500000000000002</v>
      </c>
      <c r="Q79" s="268" t="e">
        <f>SUM(Q69:Q78)</f>
        <v>#REF!</v>
      </c>
      <c r="R79" s="15"/>
      <c r="AH79" s="28"/>
      <c r="AI79" s="18"/>
      <c r="AJ79" s="18"/>
      <c r="AK79" s="1"/>
      <c r="AL79" s="7"/>
      <c r="AM79" s="18"/>
      <c r="AN79" s="5"/>
      <c r="AO79" s="5"/>
    </row>
    <row r="80" spans="2:48" s="17" customFormat="1" ht="12" x14ac:dyDescent="0.2">
      <c r="B80" s="162"/>
      <c r="C80" s="75"/>
      <c r="D80" s="163"/>
      <c r="E80" s="75"/>
      <c r="F80" s="75"/>
      <c r="G80" s="75"/>
      <c r="H80" s="84"/>
      <c r="I80" s="85"/>
      <c r="J80" s="164"/>
      <c r="K80" s="84"/>
      <c r="L80" s="85"/>
      <c r="M80" s="85"/>
      <c r="N80" s="85"/>
      <c r="O80" s="85"/>
      <c r="P80" s="166"/>
      <c r="Q80" s="167"/>
      <c r="R80" s="15"/>
      <c r="AH80" s="28"/>
      <c r="AI80" s="16"/>
      <c r="AJ80" s="18"/>
      <c r="AO80" s="5"/>
    </row>
    <row r="81" spans="1:48" s="17" customFormat="1" ht="12" customHeight="1" x14ac:dyDescent="0.2">
      <c r="A81" s="6"/>
      <c r="B81" s="259" t="s">
        <v>31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1"/>
      <c r="R81" s="15"/>
      <c r="AH81" s="28"/>
      <c r="AI81" s="16"/>
      <c r="AJ81" s="18"/>
      <c r="AO81" s="5"/>
    </row>
    <row r="82" spans="1:48" s="6" customFormat="1" ht="12.75" customHeight="1" x14ac:dyDescent="0.2">
      <c r="A82" s="17"/>
      <c r="B82" s="283" t="s">
        <v>142</v>
      </c>
      <c r="C82" s="284"/>
      <c r="D82" s="284"/>
      <c r="E82" s="284"/>
      <c r="F82" s="284"/>
      <c r="G82" s="284"/>
      <c r="H82" s="105"/>
      <c r="I82" s="105"/>
      <c r="J82" s="105"/>
      <c r="K82" s="284"/>
      <c r="L82" s="284"/>
      <c r="M82" s="284"/>
      <c r="N82" s="284"/>
      <c r="O82" s="482" t="s">
        <v>143</v>
      </c>
      <c r="P82" s="482"/>
      <c r="Q82" s="483"/>
      <c r="R82" s="32"/>
      <c r="AH82" s="34"/>
      <c r="AI82" s="31"/>
    </row>
    <row r="83" spans="1:48" s="17" customFormat="1" x14ac:dyDescent="0.2">
      <c r="B83" s="204" t="s">
        <v>100</v>
      </c>
      <c r="C83" s="205"/>
      <c r="D83" s="205"/>
      <c r="E83" s="206"/>
      <c r="F83" s="206"/>
      <c r="G83" s="206"/>
      <c r="H83" s="90"/>
      <c r="I83" s="90"/>
      <c r="J83" s="90"/>
      <c r="K83" s="92"/>
      <c r="L83" s="92"/>
      <c r="M83" s="92"/>
      <c r="N83" s="92"/>
      <c r="O83" s="484" t="s">
        <v>102</v>
      </c>
      <c r="P83" s="484"/>
      <c r="Q83" s="485"/>
      <c r="R83" s="15"/>
      <c r="AH83" s="28"/>
    </row>
    <row r="84" spans="1:48" s="17" customFormat="1" x14ac:dyDescent="0.2">
      <c r="B84" s="207" t="s">
        <v>92</v>
      </c>
      <c r="C84" s="205"/>
      <c r="D84" s="205"/>
      <c r="E84" s="205"/>
      <c r="F84" s="205"/>
      <c r="G84" s="205"/>
      <c r="H84" s="90"/>
      <c r="I84" s="90"/>
      <c r="J84" s="90"/>
      <c r="K84" s="92"/>
      <c r="L84" s="92"/>
      <c r="M84" s="92"/>
      <c r="N84" s="92"/>
      <c r="O84" s="484" t="s">
        <v>110</v>
      </c>
      <c r="P84" s="484"/>
      <c r="Q84" s="485"/>
      <c r="R84" s="15"/>
      <c r="AH84" s="28"/>
    </row>
    <row r="85" spans="1:48" s="17" customFormat="1" x14ac:dyDescent="0.2">
      <c r="B85" s="207" t="s">
        <v>112</v>
      </c>
      <c r="C85" s="205"/>
      <c r="D85" s="205"/>
      <c r="E85" s="205"/>
      <c r="F85" s="205"/>
      <c r="G85" s="205"/>
      <c r="H85" s="90"/>
      <c r="I85" s="90"/>
      <c r="J85" s="90"/>
      <c r="K85" s="92"/>
      <c r="L85" s="92"/>
      <c r="M85" s="92"/>
      <c r="N85" s="92"/>
      <c r="O85" s="484" t="s">
        <v>113</v>
      </c>
      <c r="P85" s="484"/>
      <c r="Q85" s="485"/>
      <c r="R85" s="15"/>
      <c r="AH85" s="28" t="s">
        <v>169</v>
      </c>
    </row>
    <row r="86" spans="1:48" s="17" customFormat="1" x14ac:dyDescent="0.2">
      <c r="B86" s="285" t="s">
        <v>103</v>
      </c>
      <c r="C86" s="286"/>
      <c r="D86" s="286"/>
      <c r="E86" s="286"/>
      <c r="F86" s="286"/>
      <c r="G86" s="286"/>
      <c r="H86" s="287"/>
      <c r="I86" s="287"/>
      <c r="J86" s="287"/>
      <c r="K86" s="288"/>
      <c r="L86" s="288"/>
      <c r="M86" s="288"/>
      <c r="N86" s="288"/>
      <c r="O86" s="486" t="s">
        <v>110</v>
      </c>
      <c r="P86" s="486"/>
      <c r="Q86" s="487"/>
      <c r="R86" s="15"/>
      <c r="AH86" s="28"/>
    </row>
    <row r="87" spans="1:48" s="17" customFormat="1" x14ac:dyDescent="0.2">
      <c r="B87" s="15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270"/>
      <c r="R87" s="15"/>
    </row>
    <row r="88" spans="1:48" s="17" customFormat="1" ht="12" x14ac:dyDescent="0.2">
      <c r="B88" s="159" t="s">
        <v>115</v>
      </c>
      <c r="C88" s="103"/>
      <c r="D88" s="103"/>
      <c r="E88" s="160"/>
      <c r="F88" s="100"/>
      <c r="G88" s="159" t="s">
        <v>116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61"/>
      <c r="R88" s="41"/>
    </row>
    <row r="89" spans="1:48" s="17" customFormat="1" ht="16.5" customHeight="1" x14ac:dyDescent="0.3">
      <c r="A89" s="8"/>
      <c r="B89" s="101"/>
      <c r="C89" s="18"/>
      <c r="D89" s="18"/>
      <c r="E89" s="18"/>
      <c r="F89" s="100"/>
      <c r="G89" s="101" t="s">
        <v>201</v>
      </c>
      <c r="H89" s="18"/>
      <c r="I89" s="18"/>
      <c r="J89" s="358">
        <v>0</v>
      </c>
      <c r="K89" s="359" t="s">
        <v>122</v>
      </c>
      <c r="L89" s="358" t="e">
        <f>+J89*E12</f>
        <v>#REF!</v>
      </c>
      <c r="M89" s="18"/>
      <c r="N89" s="18"/>
      <c r="O89" s="18"/>
      <c r="P89" s="18"/>
      <c r="Q89" s="357"/>
      <c r="R89" s="41"/>
    </row>
    <row r="90" spans="1:48" s="8" customFormat="1" x14ac:dyDescent="0.2">
      <c r="A90" s="6"/>
      <c r="B90" s="101" t="s">
        <v>34</v>
      </c>
      <c r="C90" s="18"/>
      <c r="D90" s="18"/>
      <c r="E90" s="18"/>
      <c r="F90" s="100"/>
      <c r="G90" s="232" t="s">
        <v>117</v>
      </c>
      <c r="H90" s="131"/>
      <c r="I90" s="360"/>
      <c r="J90" s="361"/>
      <c r="K90" s="232" t="s">
        <v>118</v>
      </c>
      <c r="L90" s="105"/>
      <c r="M90" s="105"/>
      <c r="N90" s="105"/>
      <c r="O90" s="105"/>
      <c r="P90" s="105"/>
      <c r="Q90" s="362"/>
      <c r="R90" s="29"/>
      <c r="AH90" s="21"/>
      <c r="AI90" s="6"/>
      <c r="AJ90" s="6"/>
      <c r="AK90" s="6"/>
      <c r="AL90" s="6"/>
      <c r="AM90" s="6"/>
      <c r="AN90" s="6"/>
      <c r="AP90" s="6"/>
      <c r="AQ90" s="17"/>
      <c r="AS90" s="21"/>
      <c r="AT90" s="21"/>
      <c r="AU90" s="21"/>
      <c r="AV90" s="21"/>
    </row>
    <row r="91" spans="1:48" s="6" customFormat="1" ht="15" x14ac:dyDescent="0.3">
      <c r="A91" s="17"/>
      <c r="B91" s="452" t="s">
        <v>119</v>
      </c>
      <c r="C91" s="106" t="s">
        <v>120</v>
      </c>
      <c r="D91" s="107" t="s">
        <v>120</v>
      </c>
      <c r="E91" s="108" t="s">
        <v>121</v>
      </c>
      <c r="F91" s="100"/>
      <c r="G91" s="109" t="s">
        <v>122</v>
      </c>
      <c r="H91" s="453" t="s">
        <v>123</v>
      </c>
      <c r="I91" s="453" t="s">
        <v>124</v>
      </c>
      <c r="J91" s="454" t="s">
        <v>125</v>
      </c>
      <c r="K91" s="110" t="s">
        <v>23</v>
      </c>
      <c r="L91" s="90"/>
      <c r="M91" s="111"/>
      <c r="N91" s="107" t="s">
        <v>126</v>
      </c>
      <c r="O91" s="453" t="s">
        <v>127</v>
      </c>
      <c r="P91" s="453" t="s">
        <v>124</v>
      </c>
      <c r="Q91" s="454" t="s">
        <v>125</v>
      </c>
      <c r="R91" s="32"/>
      <c r="AH91" s="28"/>
      <c r="AI91" s="17"/>
      <c r="AJ91" s="17"/>
      <c r="AK91" s="1"/>
      <c r="AL91" s="1"/>
      <c r="AM91" s="17"/>
      <c r="AN91" s="5"/>
      <c r="AO91" s="18"/>
      <c r="AP91" s="17"/>
      <c r="AQ91" s="17"/>
      <c r="AR91" s="5"/>
      <c r="AS91" s="5"/>
      <c r="AT91" s="5"/>
      <c r="AU91" s="5"/>
      <c r="AV91" s="5"/>
    </row>
    <row r="92" spans="1:48" s="17" customFormat="1" ht="13.5" customHeight="1" x14ac:dyDescent="0.2">
      <c r="B92" s="446" t="s">
        <v>128</v>
      </c>
      <c r="C92" s="112" t="s">
        <v>2</v>
      </c>
      <c r="D92" s="113" t="s">
        <v>2</v>
      </c>
      <c r="E92" s="44" t="s">
        <v>12</v>
      </c>
      <c r="F92" s="104"/>
      <c r="G92" s="446" t="s">
        <v>4</v>
      </c>
      <c r="H92" s="113" t="s">
        <v>2</v>
      </c>
      <c r="I92" s="447" t="s">
        <v>12</v>
      </c>
      <c r="J92" s="448" t="s">
        <v>12</v>
      </c>
      <c r="K92" s="114"/>
      <c r="L92" s="115"/>
      <c r="M92" s="116"/>
      <c r="N92" s="117" t="s">
        <v>4</v>
      </c>
      <c r="O92" s="118" t="s">
        <v>2</v>
      </c>
      <c r="P92" s="117" t="s">
        <v>12</v>
      </c>
      <c r="Q92" s="119" t="s">
        <v>12</v>
      </c>
      <c r="R92" s="15"/>
      <c r="AH92" s="10"/>
      <c r="AK92" s="1"/>
      <c r="AL92" s="7"/>
      <c r="AM92" s="16"/>
      <c r="AN92" s="5"/>
      <c r="AO92" s="5"/>
      <c r="AR92" s="18"/>
      <c r="AS92" s="18"/>
      <c r="AT92" s="18"/>
      <c r="AU92" s="18"/>
      <c r="AV92" s="18"/>
    </row>
    <row r="93" spans="1:48" s="17" customFormat="1" x14ac:dyDescent="0.2">
      <c r="B93" s="120">
        <f>IF(O83="Neuve",0,IF(AND(O82="Naturelle",O84="Villas"),VLOOKUP(O86,AP27:AQ30,2,FALSE),VLOOKUP(O86,AP27:AR30,3,FALSE)))</f>
        <v>0</v>
      </c>
      <c r="C93" s="121">
        <f>IF(B93=0,0,VLOOKUP(H6,AM5:AS12,7,FALSE))</f>
        <v>0</v>
      </c>
      <c r="D93" s="121">
        <f>IF(B93=0,0,VLOOKUP(I7,AU11:AV19,2,FALSE))</f>
        <v>0</v>
      </c>
      <c r="E93" s="45">
        <f>D93*2*B93*C93</f>
        <v>0</v>
      </c>
      <c r="F93" s="100"/>
      <c r="G93" s="449" t="e">
        <f>IF(J89=0,F12,L89)</f>
        <v>#REF!</v>
      </c>
      <c r="H93" s="450" t="e">
        <f>(E12-G93)/(E12-F12)</f>
        <v>#REF!</v>
      </c>
      <c r="I93" s="262">
        <v>0</v>
      </c>
      <c r="J93" s="451" t="e">
        <f>+I93*H93</f>
        <v>#REF!</v>
      </c>
      <c r="K93" s="122"/>
      <c r="L93" s="90"/>
      <c r="M93" s="111"/>
      <c r="N93" s="441">
        <v>0</v>
      </c>
      <c r="O93" s="40" t="e">
        <f>(E12-N93)/(E12-F12)</f>
        <v>#REF!</v>
      </c>
      <c r="P93" s="263">
        <v>0</v>
      </c>
      <c r="Q93" s="123" t="e">
        <f>+P93*O93</f>
        <v>#REF!</v>
      </c>
      <c r="R93" s="15"/>
      <c r="AH93" s="28"/>
      <c r="AK93" s="1"/>
      <c r="AL93" s="7"/>
      <c r="AM93" s="43"/>
      <c r="AN93" s="5"/>
      <c r="AO93" s="5"/>
    </row>
    <row r="94" spans="1:48" s="17" customFormat="1" x14ac:dyDescent="0.2">
      <c r="B94" s="124" t="s">
        <v>129</v>
      </c>
      <c r="C94" s="125"/>
      <c r="D94" s="124"/>
      <c r="E94" s="126"/>
      <c r="F94" s="100"/>
      <c r="G94" s="488" t="s">
        <v>130</v>
      </c>
      <c r="H94" s="489"/>
      <c r="I94" s="489"/>
      <c r="J94" s="490"/>
      <c r="K94" s="127"/>
      <c r="L94" s="128"/>
      <c r="M94" s="129"/>
      <c r="N94" s="442"/>
      <c r="O94" s="50"/>
      <c r="P94" s="264"/>
      <c r="Q94" s="130"/>
      <c r="R94" s="15"/>
      <c r="AH94" s="28"/>
      <c r="AI94" s="18"/>
      <c r="AJ94" s="18"/>
      <c r="AK94" s="1"/>
      <c r="AL94" s="7"/>
      <c r="AM94" s="18"/>
      <c r="AN94" s="5"/>
      <c r="AO94" s="5"/>
    </row>
    <row r="95" spans="1:48" s="17" customFormat="1" ht="12" customHeight="1" x14ac:dyDescent="0.3">
      <c r="B95" s="452" t="s">
        <v>131</v>
      </c>
      <c r="C95" s="133" t="s">
        <v>132</v>
      </c>
      <c r="D95" s="101"/>
      <c r="E95" s="102"/>
      <c r="F95" s="100"/>
      <c r="G95" s="473" t="s">
        <v>133</v>
      </c>
      <c r="H95" s="474"/>
      <c r="I95" s="474"/>
      <c r="J95" s="475"/>
      <c r="K95" s="444"/>
      <c r="L95" s="90"/>
      <c r="M95" s="111"/>
      <c r="N95" s="441"/>
      <c r="O95" s="40"/>
      <c r="P95" s="263"/>
      <c r="Q95" s="123"/>
      <c r="R95" s="15"/>
      <c r="AH95" s="28"/>
      <c r="AI95" s="16"/>
      <c r="AJ95" s="18"/>
      <c r="AO95" s="5"/>
    </row>
    <row r="96" spans="1:48" s="17" customFormat="1" ht="12" x14ac:dyDescent="0.2">
      <c r="A96" s="6"/>
      <c r="B96" s="446" t="s">
        <v>128</v>
      </c>
      <c r="C96" s="134" t="s">
        <v>12</v>
      </c>
      <c r="D96" s="101"/>
      <c r="E96" s="102"/>
      <c r="F96" s="100"/>
      <c r="G96" s="476" t="s">
        <v>12</v>
      </c>
      <c r="H96" s="477"/>
      <c r="I96" s="477"/>
      <c r="J96" s="478"/>
      <c r="K96" s="136"/>
      <c r="L96" s="98"/>
      <c r="M96" s="137"/>
      <c r="N96" s="443"/>
      <c r="O96" s="138"/>
      <c r="P96" s="265"/>
      <c r="Q96" s="139"/>
      <c r="R96" s="15"/>
      <c r="AH96" s="28"/>
      <c r="AI96" s="16"/>
      <c r="AJ96" s="18"/>
      <c r="AO96" s="5"/>
    </row>
    <row r="97" spans="1:35" s="6" customFormat="1" ht="15" x14ac:dyDescent="0.25">
      <c r="A97" s="17"/>
      <c r="B97" s="449">
        <v>0.3</v>
      </c>
      <c r="C97" s="140">
        <f>+B97*Q12</f>
        <v>0</v>
      </c>
      <c r="D97" s="97"/>
      <c r="E97" s="99"/>
      <c r="F97" s="100"/>
      <c r="G97" s="479" t="e">
        <f>(#REF!-#REF!)*'Sej1'!Q12/ListingLocaux!K50</f>
        <v>#REF!</v>
      </c>
      <c r="H97" s="480"/>
      <c r="I97" s="480"/>
      <c r="J97" s="481"/>
      <c r="K97" s="141" t="s">
        <v>134</v>
      </c>
      <c r="L97" s="141"/>
      <c r="M97" s="141"/>
      <c r="N97" s="141"/>
      <c r="O97" s="142" t="s">
        <v>9</v>
      </c>
      <c r="P97" s="143">
        <f>+SUM(P93:P96)</f>
        <v>0</v>
      </c>
      <c r="Q97" s="143" t="e">
        <f>+SUM(Q93:Q96)</f>
        <v>#REF!</v>
      </c>
      <c r="R97" s="32"/>
      <c r="AH97" s="34"/>
      <c r="AI97" s="31"/>
    </row>
    <row r="98" spans="1:35" s="17" customFormat="1" ht="12" x14ac:dyDescent="0.2">
      <c r="B98" s="124" t="s">
        <v>135</v>
      </c>
      <c r="C98" s="126"/>
      <c r="D98" s="126"/>
      <c r="E98" s="132"/>
      <c r="F98" s="101"/>
      <c r="G98" s="18"/>
      <c r="H98" s="18"/>
      <c r="I98" s="18"/>
      <c r="J98" s="42"/>
      <c r="K98" s="232" t="s">
        <v>136</v>
      </c>
      <c r="L98" s="105"/>
      <c r="M98" s="105"/>
      <c r="N98" s="105"/>
      <c r="O98" s="105"/>
      <c r="P98" s="105"/>
      <c r="Q98" s="271"/>
      <c r="R98" s="15"/>
      <c r="AH98" s="28"/>
    </row>
    <row r="99" spans="1:35" s="17" customFormat="1" ht="15" x14ac:dyDescent="0.3">
      <c r="B99" s="452" t="s">
        <v>137</v>
      </c>
      <c r="C99" s="454" t="s">
        <v>138</v>
      </c>
      <c r="D99" s="5"/>
      <c r="E99" s="145"/>
      <c r="F99" s="135"/>
      <c r="G99" s="42"/>
      <c r="H99" s="5"/>
      <c r="I99" s="5"/>
      <c r="J99" s="18"/>
      <c r="K99" s="233"/>
      <c r="L99" s="234"/>
      <c r="M99" s="18"/>
      <c r="N99" s="235"/>
      <c r="O99" s="229" t="s">
        <v>139</v>
      </c>
      <c r="P99" s="230" t="s">
        <v>140</v>
      </c>
      <c r="Q99" s="231" t="s">
        <v>22</v>
      </c>
      <c r="R99" s="15"/>
      <c r="AH99" s="28"/>
    </row>
    <row r="100" spans="1:35" s="17" customFormat="1" x14ac:dyDescent="0.2">
      <c r="B100" s="446" t="s">
        <v>12</v>
      </c>
      <c r="C100" s="448" t="s">
        <v>12</v>
      </c>
      <c r="D100" s="30"/>
      <c r="E100" s="224"/>
      <c r="F100" s="227"/>
      <c r="G100" s="30"/>
      <c r="H100" s="30"/>
      <c r="I100" s="228"/>
      <c r="J100" s="18"/>
      <c r="K100" s="236"/>
      <c r="L100" s="234"/>
      <c r="M100" s="20"/>
      <c r="N100" s="19"/>
      <c r="O100" s="446" t="s">
        <v>19</v>
      </c>
      <c r="P100" s="447" t="s">
        <v>6</v>
      </c>
      <c r="Q100" s="448" t="s">
        <v>141</v>
      </c>
      <c r="R100" s="15"/>
      <c r="AH100" s="28" t="s">
        <v>169</v>
      </c>
    </row>
    <row r="101" spans="1:35" s="17" customFormat="1" ht="12" x14ac:dyDescent="0.2">
      <c r="B101" s="426" t="e">
        <f>0.1*Q12+I93+P97+G97</f>
        <v>#REF!</v>
      </c>
      <c r="C101" s="226" t="e">
        <f>IF(O82="Naturelle",MAX(C97,E93),0.1*Q12+J93+Q97+G97)</f>
        <v>#REF!</v>
      </c>
      <c r="D101" s="147"/>
      <c r="E101" s="225"/>
      <c r="F101" s="272"/>
      <c r="G101" s="148"/>
      <c r="H101" s="148"/>
      <c r="I101" s="148"/>
      <c r="J101" s="144"/>
      <c r="K101" s="154"/>
      <c r="L101" s="149"/>
      <c r="M101" s="149"/>
      <c r="N101" s="150"/>
      <c r="O101" s="449" t="e">
        <f>+(1220-(0.14*Altitude))/3600</f>
        <v>#REF!</v>
      </c>
      <c r="P101" s="450" t="e">
        <f>+O101*C101</f>
        <v>#REF!</v>
      </c>
      <c r="Q101" s="328" t="e">
        <f>+P101*(E12-L12)</f>
        <v>#REF!</v>
      </c>
      <c r="R101" s="15"/>
      <c r="AH101" s="28"/>
    </row>
    <row r="102" spans="1:35" s="17" customFormat="1" ht="17.25" customHeight="1" x14ac:dyDescent="0.2"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</row>
    <row r="103" spans="1:35" s="17" customFormat="1" ht="16.5" customHeight="1" x14ac:dyDescent="0.3">
      <c r="B103" s="348" t="s">
        <v>32</v>
      </c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50"/>
      <c r="P103" s="49" t="s">
        <v>168</v>
      </c>
      <c r="Q103" s="347" t="s">
        <v>15</v>
      </c>
      <c r="R103" s="41"/>
    </row>
    <row r="104" spans="1:35" s="17" customFormat="1" ht="16.5" customHeight="1" x14ac:dyDescent="0.2">
      <c r="A104" s="14"/>
      <c r="B104" s="155"/>
      <c r="C104" s="20"/>
      <c r="D104" s="20"/>
      <c r="E104" s="20"/>
      <c r="F104" s="20"/>
      <c r="G104" s="20"/>
      <c r="H104" s="20"/>
      <c r="I104" s="20"/>
      <c r="J104" s="20"/>
      <c r="L104" s="20"/>
      <c r="M104" s="20"/>
      <c r="N104" s="5"/>
      <c r="O104" s="146"/>
      <c r="P104" s="446" t="s">
        <v>6</v>
      </c>
      <c r="Q104" s="448" t="s">
        <v>141</v>
      </c>
      <c r="R104" s="41"/>
    </row>
    <row r="105" spans="1:35" x14ac:dyDescent="0.2">
      <c r="B105" s="154"/>
      <c r="C105" s="149"/>
      <c r="D105" s="98"/>
      <c r="E105" s="149"/>
      <c r="F105" s="149"/>
      <c r="G105" s="149"/>
      <c r="H105" s="149"/>
      <c r="I105" s="149"/>
      <c r="J105" s="149"/>
      <c r="K105" s="149"/>
      <c r="L105" s="149"/>
      <c r="M105" s="98"/>
      <c r="N105" s="156"/>
      <c r="O105" s="157"/>
      <c r="P105" s="266" t="e">
        <f>+P101+P79+P64+P51+P42+P27</f>
        <v>#REF!</v>
      </c>
      <c r="Q105" s="267" t="e">
        <f>+(Q101+Q79+Q64+Q51+Q42+Q27)</f>
        <v>#REF!</v>
      </c>
    </row>
    <row r="106" spans="1:35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35" x14ac:dyDescent="0.2">
      <c r="B107" s="17" t="s">
        <v>195</v>
      </c>
      <c r="C107" s="17"/>
      <c r="D107" s="17"/>
      <c r="E107" s="17"/>
    </row>
    <row r="108" spans="1:35" x14ac:dyDescent="0.2">
      <c r="B108" s="305" t="s">
        <v>38</v>
      </c>
      <c r="C108" s="306"/>
      <c r="D108" s="307"/>
      <c r="E108" s="308" t="e">
        <f>+Q27</f>
        <v>#REF!</v>
      </c>
    </row>
    <row r="109" spans="1:35" x14ac:dyDescent="0.2">
      <c r="B109" s="309" t="s">
        <v>192</v>
      </c>
      <c r="C109" s="310"/>
      <c r="D109" s="311"/>
      <c r="E109" s="312" t="e">
        <f>+Q42</f>
        <v>#REF!</v>
      </c>
    </row>
    <row r="110" spans="1:35" x14ac:dyDescent="0.2">
      <c r="B110" s="313" t="s">
        <v>56</v>
      </c>
      <c r="C110" s="314"/>
      <c r="D110" s="315"/>
      <c r="E110" s="316" t="e">
        <f>+Q51</f>
        <v>#REF!</v>
      </c>
    </row>
    <row r="111" spans="1:35" x14ac:dyDescent="0.2">
      <c r="B111" s="317" t="s">
        <v>37</v>
      </c>
      <c r="C111" s="318"/>
      <c r="D111" s="319"/>
      <c r="E111" s="320" t="e">
        <f>+Q64</f>
        <v>#REF!</v>
      </c>
    </row>
    <row r="112" spans="1:35" x14ac:dyDescent="0.2">
      <c r="B112" s="321" t="s">
        <v>193</v>
      </c>
      <c r="C112" s="322"/>
      <c r="D112" s="323"/>
      <c r="E112" s="324" t="e">
        <f>+Q79</f>
        <v>#REF!</v>
      </c>
    </row>
    <row r="113" spans="2:5" x14ac:dyDescent="0.2">
      <c r="B113" s="325" t="s">
        <v>194</v>
      </c>
      <c r="C113" s="326"/>
      <c r="D113" s="327"/>
      <c r="E113" s="329" t="e">
        <f>+Q101</f>
        <v>#REF!</v>
      </c>
    </row>
    <row r="130" spans="2:18" ht="15" x14ac:dyDescent="0.3">
      <c r="B130" s="461" t="s">
        <v>221</v>
      </c>
      <c r="C130" s="465" t="s">
        <v>23</v>
      </c>
      <c r="D130" s="462"/>
      <c r="E130" s="462"/>
      <c r="F130" s="462"/>
      <c r="G130" s="462"/>
      <c r="H130" s="462"/>
      <c r="I130" s="463"/>
      <c r="J130" s="466" t="s">
        <v>1</v>
      </c>
      <c r="K130" s="466" t="s">
        <v>265</v>
      </c>
      <c r="L130" s="466" t="s">
        <v>266</v>
      </c>
      <c r="M130" s="467" t="s">
        <v>223</v>
      </c>
      <c r="N130" s="467" t="s">
        <v>224</v>
      </c>
      <c r="O130" s="467" t="s">
        <v>225</v>
      </c>
      <c r="P130" s="468" t="s">
        <v>226</v>
      </c>
      <c r="Q130" s="468" t="s">
        <v>137</v>
      </c>
      <c r="R130" s="468" t="s">
        <v>227</v>
      </c>
    </row>
    <row r="131" spans="2:18" x14ac:dyDescent="0.2">
      <c r="B131" s="464"/>
      <c r="C131" s="464"/>
      <c r="D131" s="464"/>
      <c r="E131" s="464"/>
      <c r="F131" s="464"/>
      <c r="G131" s="464"/>
      <c r="H131" s="464"/>
      <c r="I131" s="464"/>
      <c r="J131" s="469" t="s">
        <v>40</v>
      </c>
      <c r="K131" s="469" t="s">
        <v>4</v>
      </c>
      <c r="L131" s="469" t="s">
        <v>4</v>
      </c>
      <c r="M131" s="469" t="s">
        <v>141</v>
      </c>
      <c r="N131" s="469" t="s">
        <v>141</v>
      </c>
      <c r="O131" s="469" t="s">
        <v>141</v>
      </c>
      <c r="P131" s="469" t="s">
        <v>267</v>
      </c>
      <c r="Q131" s="469" t="s">
        <v>268</v>
      </c>
      <c r="R131" s="469" t="s">
        <v>269</v>
      </c>
    </row>
    <row r="132" spans="2:18" x14ac:dyDescent="0.2">
      <c r="B132" s="464" t="str">
        <f>+G2</f>
        <v>Sej1</v>
      </c>
      <c r="C132" s="464" t="str">
        <f>+L2</f>
        <v>Sejour</v>
      </c>
      <c r="D132" s="464"/>
      <c r="E132" s="464"/>
      <c r="F132" s="464"/>
      <c r="G132" s="464"/>
      <c r="H132" s="464"/>
      <c r="I132" s="464"/>
      <c r="J132" s="469">
        <v>20</v>
      </c>
      <c r="K132" s="469">
        <v>20</v>
      </c>
      <c r="L132" s="469">
        <v>10</v>
      </c>
      <c r="M132" s="470">
        <v>100</v>
      </c>
      <c r="N132" s="471">
        <v>200</v>
      </c>
      <c r="O132" s="471">
        <v>300</v>
      </c>
      <c r="P132" s="469">
        <f>+O132/J132</f>
        <v>15</v>
      </c>
      <c r="Q132" s="470">
        <v>30</v>
      </c>
      <c r="R132" s="469">
        <f>+Q132/J132</f>
        <v>1.5</v>
      </c>
    </row>
  </sheetData>
  <sheetProtection selectLockedCells="1"/>
  <protectedRanges>
    <protectedRange sqref="O47:O50 B47:G50 B21:G26 I21:O26 I47:M50 B32:G41 I32:M41 B56:G63 B69:G78 I69:O78 I56:M63 O56:O63 O32:O41" name="Plage3"/>
    <protectedRange sqref="I15" name="Plage2"/>
    <protectedRange sqref="I13:O14 H14 K12:Q12 E12:G14" name="Plage1"/>
  </protectedRanges>
  <dataConsolidate link="1"/>
  <mergeCells count="75">
    <mergeCell ref="M20:N20"/>
    <mergeCell ref="N4:Q4"/>
    <mergeCell ref="N5:Q5"/>
    <mergeCell ref="I6:Q6"/>
    <mergeCell ref="I7:Q7"/>
    <mergeCell ref="G10:J10"/>
    <mergeCell ref="G11:J11"/>
    <mergeCell ref="G12:J12"/>
    <mergeCell ref="B14:Q14"/>
    <mergeCell ref="D19:E19"/>
    <mergeCell ref="F19:H19"/>
    <mergeCell ref="M19:N19"/>
    <mergeCell ref="F33:H33"/>
    <mergeCell ref="F21:H21"/>
    <mergeCell ref="F22:H22"/>
    <mergeCell ref="F23:H23"/>
    <mergeCell ref="F24:H24"/>
    <mergeCell ref="F25:H25"/>
    <mergeCell ref="F26:H26"/>
    <mergeCell ref="D30:E30"/>
    <mergeCell ref="F30:H30"/>
    <mergeCell ref="M30:N30"/>
    <mergeCell ref="M31:N31"/>
    <mergeCell ref="F32:H32"/>
    <mergeCell ref="M45:N45"/>
    <mergeCell ref="M46:N46"/>
    <mergeCell ref="F34:H34"/>
    <mergeCell ref="F35:H35"/>
    <mergeCell ref="F36:H36"/>
    <mergeCell ref="F37:H37"/>
    <mergeCell ref="F38:H38"/>
    <mergeCell ref="F39:H39"/>
    <mergeCell ref="D54:E54"/>
    <mergeCell ref="F54:H54"/>
    <mergeCell ref="F40:H40"/>
    <mergeCell ref="F41:H41"/>
    <mergeCell ref="D45:E45"/>
    <mergeCell ref="F45:H45"/>
    <mergeCell ref="F59:H59"/>
    <mergeCell ref="F47:H47"/>
    <mergeCell ref="F48:H48"/>
    <mergeCell ref="F49:H49"/>
    <mergeCell ref="F50:H50"/>
    <mergeCell ref="M54:N54"/>
    <mergeCell ref="M55:N55"/>
    <mergeCell ref="F56:H56"/>
    <mergeCell ref="F57:H57"/>
    <mergeCell ref="F58:H58"/>
    <mergeCell ref="F60:H60"/>
    <mergeCell ref="F61:H61"/>
    <mergeCell ref="F62:H62"/>
    <mergeCell ref="F63:H63"/>
    <mergeCell ref="D67:E67"/>
    <mergeCell ref="F67:H67"/>
    <mergeCell ref="F78:H78"/>
    <mergeCell ref="M67:N67"/>
    <mergeCell ref="M68:N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G95:J95"/>
    <mergeCell ref="G96:J96"/>
    <mergeCell ref="G97:J97"/>
    <mergeCell ref="O82:Q82"/>
    <mergeCell ref="O83:Q83"/>
    <mergeCell ref="O84:Q84"/>
    <mergeCell ref="O85:Q85"/>
    <mergeCell ref="O86:Q86"/>
    <mergeCell ref="G94:J94"/>
  </mergeCells>
  <conditionalFormatting sqref="B101">
    <cfRule type="cellIs" dxfId="3" priority="1" stopIfTrue="1" operator="lessThan">
      <formula>#REF!</formula>
    </cfRule>
    <cfRule type="cellIs" dxfId="2" priority="2" stopIfTrue="1" operator="greaterThanOrEqual">
      <formula>#REF!</formula>
    </cfRule>
  </conditionalFormatting>
  <dataValidations count="15">
    <dataValidation type="list" allowBlank="1" showInputMessage="1" showErrorMessage="1" sqref="I6:Q6">
      <formula1>$AU$4:$AU$7</formula1>
    </dataValidation>
    <dataValidation type="list" allowBlank="1" showInputMessage="1" showErrorMessage="1" sqref="B56:B63">
      <formula1>Toitures</formula1>
    </dataValidation>
    <dataValidation type="list" allowBlank="1" showInputMessage="1" showErrorMessage="1" sqref="B32:B41">
      <formula1>Menuiseries</formula1>
    </dataValidation>
    <dataValidation type="list" allowBlank="1" showInputMessage="1" showErrorMessage="1" sqref="B69:B78">
      <formula1>Ponts</formula1>
    </dataValidation>
    <dataValidation type="list" allowBlank="1" showInputMessage="1" showErrorMessage="1" sqref="B47:B50">
      <formula1>planchers</formula1>
    </dataValidation>
    <dataValidation type="list" allowBlank="1" showInputMessage="1" showErrorMessage="1" sqref="B21:B26">
      <formula1>Murs</formula1>
    </dataValidation>
    <dataValidation type="list" allowBlank="1" showInputMessage="1" showErrorMessage="1" sqref="O82:Q82">
      <formula1>$AU$21:$AU$23</formula1>
    </dataValidation>
    <dataValidation type="list" allowBlank="1" showInputMessage="1" showErrorMessage="1" sqref="O85:Q85">
      <formula1>$AM$28:$AM$30</formula1>
    </dataValidation>
    <dataValidation type="list" allowBlank="1" showInputMessage="1" showErrorMessage="1" sqref="O83:Q83">
      <formula1>$AO$21:$AO$23</formula1>
    </dataValidation>
    <dataValidation type="list" allowBlank="1" showInputMessage="1" showErrorMessage="1" sqref="I7">
      <formula1>$AU$11:$AU$19</formula1>
    </dataValidation>
    <dataValidation type="list" allowBlank="1" showInputMessage="1" showErrorMessage="1" sqref="N5:Q5">
      <formula1>INDIRECT($N$4)</formula1>
    </dataValidation>
    <dataValidation type="list" allowBlank="1" showInputMessage="1" showErrorMessage="1" sqref="N4">
      <formula1>Bâtiments</formula1>
    </dataValidation>
    <dataValidation type="list" allowBlank="1" showInputMessage="1" showErrorMessage="1" sqref="F21:F26 F47:F50 F56:F63 F32:F41 F69:F78">
      <formula1>Contact</formula1>
    </dataValidation>
    <dataValidation type="list" allowBlank="1" showInputMessage="1" showErrorMessage="1" sqref="O86:Q86">
      <formula1>INDIRECT($O$84)</formula1>
    </dataValidation>
    <dataValidation type="list" allowBlank="1" showInputMessage="1" showErrorMessage="1" sqref="O84:Q84">
      <formula1>INDIRECT($O$83)</formula1>
    </dataValidation>
  </dataValidations>
  <pageMargins left="0.78740157480314965" right="0.19685039370078741" top="0.62992125984251968" bottom="0.62992125984251968" header="0.51181102362204722" footer="0.51181102362204722"/>
  <pageSetup paperSize="9" scale="78" orientation="portrait" r:id="rId1"/>
  <headerFooter alignWithMargins="0">
    <oddHeader xml:space="preserve">&amp;R
</oddHeader>
    <oddFooter>&amp;L&amp;8Formulaire de calcul SIA 384.201&amp;C&amp;8Fiche du local&amp;R&amp;8Page &amp;P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79998168889431442"/>
    <pageSetUpPr fitToPage="1"/>
  </sheetPr>
  <dimension ref="A1:BA132"/>
  <sheetViews>
    <sheetView showGridLines="0" topLeftCell="A94" zoomScaleNormal="100" zoomScaleSheetLayoutView="100" workbookViewId="0">
      <selection activeCell="H134" sqref="H134"/>
    </sheetView>
  </sheetViews>
  <sheetFormatPr baseColWidth="10" defaultRowHeight="12.75" x14ac:dyDescent="0.2"/>
  <cols>
    <col min="1" max="1" width="0.7109375" style="14" customWidth="1"/>
    <col min="2" max="3" width="6.140625" style="14" customWidth="1"/>
    <col min="4" max="5" width="9.42578125" style="14" customWidth="1"/>
    <col min="6" max="6" width="6.140625" style="14" customWidth="1"/>
    <col min="7" max="9" width="6" style="14" customWidth="1"/>
    <col min="10" max="10" width="7.140625" style="14" customWidth="1"/>
    <col min="11" max="11" width="6.140625" style="14" customWidth="1"/>
    <col min="12" max="12" width="6.5703125" style="14" customWidth="1"/>
    <col min="13" max="13" width="6.140625" style="14" customWidth="1"/>
    <col min="14" max="14" width="6.42578125" style="14" customWidth="1"/>
    <col min="15" max="15" width="7.140625" style="14" customWidth="1"/>
    <col min="16" max="16" width="9.140625" style="14" bestFit="1" customWidth="1"/>
    <col min="17" max="17" width="7" style="14" bestFit="1" customWidth="1"/>
    <col min="18" max="20" width="6.140625" style="14" customWidth="1"/>
    <col min="21" max="22" width="11.28515625" style="14" bestFit="1" customWidth="1"/>
    <col min="23" max="23" width="9.5703125" style="14" customWidth="1"/>
    <col min="24" max="24" width="13.85546875" style="14" customWidth="1"/>
    <col min="25" max="26" width="8.140625" style="14" customWidth="1"/>
    <col min="27" max="34" width="11.42578125" style="14"/>
    <col min="35" max="60" width="7.7109375" style="14" customWidth="1"/>
    <col min="61" max="16384" width="11.42578125" style="14"/>
  </cols>
  <sheetData>
    <row r="1" spans="1:53" s="22" customFormat="1" ht="14.25" customHeight="1" x14ac:dyDescent="0.2">
      <c r="A1" s="51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4"/>
    </row>
    <row r="2" spans="1:53" s="22" customFormat="1" ht="24.75" customHeight="1" x14ac:dyDescent="0.2">
      <c r="A2" s="51"/>
      <c r="B2" s="180" t="s">
        <v>33</v>
      </c>
      <c r="C2" s="181"/>
      <c r="D2" s="181"/>
      <c r="E2" s="182" t="s">
        <v>196</v>
      </c>
      <c r="F2" s="182"/>
      <c r="G2" s="330" t="s">
        <v>277</v>
      </c>
      <c r="H2" s="330"/>
      <c r="I2" s="23"/>
      <c r="J2" s="182" t="s">
        <v>27</v>
      </c>
      <c r="K2" s="183"/>
      <c r="L2" s="330" t="s">
        <v>271</v>
      </c>
      <c r="M2" s="330"/>
      <c r="N2" s="330"/>
      <c r="O2" s="184"/>
      <c r="P2" s="184"/>
      <c r="Q2" s="185"/>
      <c r="R2" s="24"/>
      <c r="AM2" s="21"/>
    </row>
    <row r="3" spans="1:53" s="22" customFormat="1" ht="15" x14ac:dyDescent="0.2">
      <c r="A3" s="51"/>
      <c r="B3" s="190"/>
      <c r="C3" s="191"/>
      <c r="D3" s="191"/>
      <c r="E3" s="192"/>
      <c r="F3" s="192"/>
      <c r="H3" s="193"/>
      <c r="J3" s="192"/>
      <c r="K3" s="194"/>
      <c r="L3" s="195"/>
      <c r="M3" s="195"/>
      <c r="N3" s="195"/>
      <c r="O3" s="195"/>
      <c r="P3" s="195"/>
      <c r="Q3" s="194"/>
      <c r="R3" s="24"/>
      <c r="AM3" s="6"/>
    </row>
    <row r="4" spans="1:53" s="22" customFormat="1" ht="14.25" x14ac:dyDescent="0.2">
      <c r="A4" s="51"/>
      <c r="B4" s="276" t="s">
        <v>92</v>
      </c>
      <c r="C4" s="277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551" t="s">
        <v>94</v>
      </c>
      <c r="O4" s="551"/>
      <c r="P4" s="551"/>
      <c r="Q4" s="552"/>
      <c r="R4" s="24"/>
      <c r="AU4" s="17" t="s">
        <v>95</v>
      </c>
    </row>
    <row r="5" spans="1:53" s="22" customFormat="1" ht="14.25" x14ac:dyDescent="0.2">
      <c r="A5" s="51"/>
      <c r="B5" s="280" t="s">
        <v>177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53" t="s">
        <v>93</v>
      </c>
      <c r="O5" s="553"/>
      <c r="P5" s="553"/>
      <c r="Q5" s="554"/>
      <c r="R5" s="24"/>
      <c r="AM5" s="6" t="s">
        <v>150</v>
      </c>
      <c r="AO5" s="17"/>
      <c r="AP5" s="21"/>
      <c r="AQ5" s="17"/>
      <c r="AR5" s="17">
        <v>0</v>
      </c>
      <c r="AS5" s="17">
        <v>0</v>
      </c>
      <c r="AU5" s="17" t="s">
        <v>147</v>
      </c>
    </row>
    <row r="6" spans="1:53" s="21" customFormat="1" ht="14.25" x14ac:dyDescent="0.2">
      <c r="A6" s="52"/>
      <c r="B6" s="280" t="s">
        <v>145</v>
      </c>
      <c r="C6" s="178"/>
      <c r="D6" s="178"/>
      <c r="E6" s="186" t="e">
        <f>#REF!</f>
        <v>#REF!</v>
      </c>
      <c r="F6" s="179"/>
      <c r="G6" s="179"/>
      <c r="H6" s="282" t="e">
        <f>E6&amp;" "&amp;I6</f>
        <v>#REF!</v>
      </c>
      <c r="I6" s="555" t="s">
        <v>147</v>
      </c>
      <c r="J6" s="555"/>
      <c r="K6" s="555"/>
      <c r="L6" s="555"/>
      <c r="M6" s="555"/>
      <c r="N6" s="555"/>
      <c r="O6" s="555"/>
      <c r="P6" s="555"/>
      <c r="Q6" s="556"/>
      <c r="R6" s="25"/>
      <c r="AM6" s="21" t="s">
        <v>151</v>
      </c>
      <c r="AN6" s="22"/>
      <c r="AO6" s="17"/>
      <c r="AQ6" s="17"/>
      <c r="AR6" s="17"/>
      <c r="AS6" s="17">
        <v>0.05</v>
      </c>
      <c r="AU6" s="17" t="s">
        <v>148</v>
      </c>
    </row>
    <row r="7" spans="1:53" s="21" customFormat="1" ht="14.25" x14ac:dyDescent="0.2">
      <c r="A7" s="52"/>
      <c r="B7" s="281" t="s">
        <v>167</v>
      </c>
      <c r="C7" s="151"/>
      <c r="D7" s="151"/>
      <c r="E7" s="53"/>
      <c r="F7" s="176"/>
      <c r="G7" s="176"/>
      <c r="H7" s="176"/>
      <c r="I7" s="557" t="s">
        <v>159</v>
      </c>
      <c r="J7" s="557"/>
      <c r="K7" s="557"/>
      <c r="L7" s="557"/>
      <c r="M7" s="557"/>
      <c r="N7" s="557"/>
      <c r="O7" s="557"/>
      <c r="P7" s="557"/>
      <c r="Q7" s="558"/>
      <c r="R7" s="25"/>
      <c r="AM7" s="21" t="s">
        <v>152</v>
      </c>
      <c r="AN7" s="22"/>
      <c r="AO7" s="17"/>
      <c r="AQ7" s="17"/>
      <c r="AS7" s="21">
        <v>0</v>
      </c>
      <c r="AT7" s="17"/>
      <c r="AU7" s="17" t="s">
        <v>149</v>
      </c>
      <c r="AV7" s="17"/>
      <c r="AW7" s="17"/>
      <c r="AX7" s="17"/>
      <c r="AY7" s="17"/>
      <c r="AZ7" s="17"/>
    </row>
    <row r="8" spans="1:53" s="21" customFormat="1" ht="14.25" x14ac:dyDescent="0.2">
      <c r="A8" s="52"/>
      <c r="B8" s="273"/>
      <c r="C8" s="53"/>
      <c r="D8" s="53"/>
      <c r="E8" s="53"/>
      <c r="F8" s="274"/>
      <c r="G8" s="53"/>
      <c r="H8" s="53"/>
      <c r="I8" s="53"/>
      <c r="J8" s="53"/>
      <c r="K8" s="53"/>
      <c r="L8" s="53"/>
      <c r="M8" s="274"/>
      <c r="N8" s="53"/>
      <c r="O8" s="274"/>
      <c r="P8" s="275"/>
      <c r="Q8" s="53"/>
      <c r="R8" s="25"/>
      <c r="AM8" s="21" t="s">
        <v>153</v>
      </c>
      <c r="AN8" s="22"/>
      <c r="AO8" s="17"/>
      <c r="AP8" s="17"/>
      <c r="AQ8" s="17"/>
      <c r="AR8" s="17"/>
      <c r="AS8" s="17">
        <v>0.02</v>
      </c>
      <c r="AT8" s="17">
        <v>0</v>
      </c>
      <c r="AU8" s="17">
        <v>0</v>
      </c>
      <c r="AV8" s="17"/>
      <c r="AW8" s="17"/>
      <c r="AX8" s="17"/>
      <c r="AY8" s="17"/>
      <c r="AZ8" s="17"/>
    </row>
    <row r="9" spans="1:53" s="21" customFormat="1" ht="14.25" x14ac:dyDescent="0.2">
      <c r="A9" s="52"/>
      <c r="B9" s="55" t="s">
        <v>28</v>
      </c>
      <c r="C9" s="56"/>
      <c r="D9" s="57"/>
      <c r="E9" s="58" t="s">
        <v>29</v>
      </c>
      <c r="F9" s="56"/>
      <c r="G9" s="56"/>
      <c r="H9" s="56"/>
      <c r="I9" s="56"/>
      <c r="J9" s="56"/>
      <c r="K9" s="428"/>
      <c r="L9" s="429"/>
      <c r="M9" s="58" t="s">
        <v>30</v>
      </c>
      <c r="N9" s="56"/>
      <c r="O9" s="56"/>
      <c r="P9" s="56"/>
      <c r="Q9" s="57"/>
      <c r="AM9" s="21" t="s">
        <v>154</v>
      </c>
      <c r="AN9" s="22"/>
      <c r="AO9" s="17"/>
      <c r="AP9" s="6"/>
      <c r="AQ9" s="17"/>
      <c r="AR9" s="6"/>
      <c r="AS9" s="17">
        <v>0.03</v>
      </c>
      <c r="AV9" s="17"/>
      <c r="AW9" s="17"/>
      <c r="AX9" s="17"/>
      <c r="AY9" s="17"/>
      <c r="AZ9" s="17" t="s">
        <v>146</v>
      </c>
      <c r="BA9" s="6" t="s">
        <v>2</v>
      </c>
    </row>
    <row r="10" spans="1:53" s="21" customFormat="1" ht="15.75" x14ac:dyDescent="0.3">
      <c r="A10" s="52"/>
      <c r="B10" s="60"/>
      <c r="C10" s="61"/>
      <c r="D10" s="62"/>
      <c r="E10" s="63" t="s">
        <v>20</v>
      </c>
      <c r="F10" s="64" t="s">
        <v>16</v>
      </c>
      <c r="G10" s="559" t="s">
        <v>39</v>
      </c>
      <c r="H10" s="560"/>
      <c r="I10" s="560"/>
      <c r="J10" s="561"/>
      <c r="K10" s="334" t="s">
        <v>35</v>
      </c>
      <c r="L10" s="427" t="s">
        <v>36</v>
      </c>
      <c r="M10" s="333" t="s">
        <v>0</v>
      </c>
      <c r="N10" s="334" t="s">
        <v>7</v>
      </c>
      <c r="O10" s="334" t="s">
        <v>1</v>
      </c>
      <c r="P10" s="334" t="s">
        <v>8</v>
      </c>
      <c r="Q10" s="335" t="s">
        <v>21</v>
      </c>
      <c r="AM10" s="21" t="s">
        <v>155</v>
      </c>
      <c r="AN10" s="22"/>
      <c r="AO10" s="17"/>
      <c r="AP10" s="17"/>
      <c r="AQ10" s="17"/>
      <c r="AR10" s="17"/>
      <c r="AS10" s="17">
        <v>0</v>
      </c>
      <c r="AU10" s="6" t="s">
        <v>158</v>
      </c>
      <c r="AV10" s="17"/>
      <c r="AW10" s="17"/>
      <c r="AX10" s="17"/>
      <c r="AY10" s="6"/>
      <c r="AZ10" s="337" t="s">
        <v>175</v>
      </c>
      <c r="BA10" s="337">
        <v>1</v>
      </c>
    </row>
    <row r="11" spans="1:53" s="21" customFormat="1" ht="14.25" x14ac:dyDescent="0.2">
      <c r="A11" s="52"/>
      <c r="B11" s="65"/>
      <c r="C11" s="66"/>
      <c r="D11" s="67"/>
      <c r="E11" s="68" t="s">
        <v>4</v>
      </c>
      <c r="F11" s="69" t="s">
        <v>4</v>
      </c>
      <c r="G11" s="562" t="s">
        <v>8</v>
      </c>
      <c r="H11" s="563"/>
      <c r="I11" s="563"/>
      <c r="J11" s="564"/>
      <c r="K11" s="69" t="s">
        <v>5</v>
      </c>
      <c r="L11" s="69" t="s">
        <v>4</v>
      </c>
      <c r="M11" s="68" t="s">
        <v>3</v>
      </c>
      <c r="N11" s="69" t="s">
        <v>3</v>
      </c>
      <c r="O11" s="69" t="s">
        <v>10</v>
      </c>
      <c r="P11" s="69" t="s">
        <v>3</v>
      </c>
      <c r="Q11" s="70" t="s">
        <v>11</v>
      </c>
      <c r="AM11" s="21" t="s">
        <v>156</v>
      </c>
      <c r="AN11" s="22"/>
      <c r="AO11" s="17"/>
      <c r="AP11" s="6"/>
      <c r="AQ11" s="17"/>
      <c r="AR11" s="6"/>
      <c r="AS11" s="17">
        <v>0.01</v>
      </c>
      <c r="AU11" s="6" t="s">
        <v>146</v>
      </c>
      <c r="AY11" s="6"/>
      <c r="AZ11" s="337" t="s">
        <v>174</v>
      </c>
      <c r="BA11" s="336" t="s">
        <v>7</v>
      </c>
    </row>
    <row r="12" spans="1:53" s="17" customFormat="1" ht="15" x14ac:dyDescent="0.2">
      <c r="A12" s="54"/>
      <c r="B12" s="73"/>
      <c r="C12" s="72"/>
      <c r="D12" s="74"/>
      <c r="E12" s="449" t="e">
        <f>VLOOKUP(N5,#REF!,2,FALSE)</f>
        <v>#REF!</v>
      </c>
      <c r="F12" s="450" t="e">
        <f>#REF!</f>
        <v>#REF!</v>
      </c>
      <c r="G12" s="542" t="e">
        <f>#REF!</f>
        <v>#REF!</v>
      </c>
      <c r="H12" s="543"/>
      <c r="I12" s="543"/>
      <c r="J12" s="544"/>
      <c r="K12" s="94" t="e">
        <f>#REF!</f>
        <v>#REF!</v>
      </c>
      <c r="L12" s="450" t="e">
        <f>IF(ISNUMBER(F12),F12+K12,F12)</f>
        <v>#REF!</v>
      </c>
      <c r="M12" s="458"/>
      <c r="N12" s="459"/>
      <c r="O12" s="459">
        <f>M12*N12</f>
        <v>0</v>
      </c>
      <c r="P12" s="459"/>
      <c r="Q12" s="460">
        <f>O12*P12</f>
        <v>0</v>
      </c>
      <c r="AM12" s="21" t="s">
        <v>157</v>
      </c>
      <c r="AN12" s="22"/>
      <c r="AR12" s="22"/>
      <c r="AS12" s="17">
        <v>0.02</v>
      </c>
      <c r="AU12" s="6" t="s">
        <v>159</v>
      </c>
      <c r="AV12" s="21">
        <v>1</v>
      </c>
      <c r="AY12" s="6"/>
      <c r="AZ12" s="337" t="s">
        <v>180</v>
      </c>
      <c r="BA12" s="336" t="s">
        <v>199</v>
      </c>
    </row>
    <row r="13" spans="1:53" s="6" customFormat="1" ht="12" customHeight="1" x14ac:dyDescent="0.2">
      <c r="A13" s="54"/>
      <c r="B13" s="75"/>
      <c r="C13" s="75"/>
      <c r="D13" s="75"/>
      <c r="E13" s="234"/>
      <c r="F13" s="234"/>
      <c r="G13" s="299"/>
      <c r="I13" s="300"/>
      <c r="J13" s="234"/>
      <c r="K13" s="234"/>
      <c r="L13" s="234"/>
      <c r="M13" s="234"/>
      <c r="N13" s="234"/>
      <c r="O13" s="234"/>
      <c r="P13" s="85"/>
      <c r="Q13" s="85"/>
      <c r="AU13" s="6" t="s">
        <v>160</v>
      </c>
      <c r="AV13" s="17">
        <v>1.3</v>
      </c>
      <c r="AZ13" s="337" t="s">
        <v>176</v>
      </c>
      <c r="BA13" s="336" t="s">
        <v>7</v>
      </c>
    </row>
    <row r="14" spans="1:53" s="17" customFormat="1" ht="14.25" customHeight="1" x14ac:dyDescent="0.2">
      <c r="A14" s="59"/>
      <c r="B14" s="545" t="s">
        <v>200</v>
      </c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AM14" s="21" t="s">
        <v>146</v>
      </c>
      <c r="AP14" s="22"/>
      <c r="AQ14" s="22"/>
      <c r="AR14" s="22"/>
      <c r="AS14" s="22">
        <v>0</v>
      </c>
      <c r="AU14" s="6" t="s">
        <v>161</v>
      </c>
      <c r="AV14" s="6">
        <v>1.4</v>
      </c>
    </row>
    <row r="15" spans="1:53" s="6" customFormat="1" ht="14.25" customHeight="1" x14ac:dyDescent="0.2">
      <c r="A15" s="17"/>
      <c r="B15" s="203" t="s">
        <v>184</v>
      </c>
      <c r="C15" s="201"/>
      <c r="D15" s="201"/>
      <c r="E15" s="201"/>
      <c r="F15" s="201"/>
      <c r="G15" s="201"/>
      <c r="H15" s="201"/>
      <c r="I15" s="269"/>
      <c r="J15" s="202"/>
      <c r="K15" s="202"/>
      <c r="L15" s="202"/>
      <c r="M15" s="202"/>
      <c r="N15" s="202"/>
      <c r="O15" s="202"/>
      <c r="P15" s="202"/>
      <c r="Q15" s="303"/>
      <c r="AM15" s="21" t="s">
        <v>96</v>
      </c>
      <c r="AN15" s="21"/>
      <c r="AO15" s="21"/>
      <c r="AP15" s="21"/>
      <c r="AQ15" s="21"/>
      <c r="AR15" s="21"/>
      <c r="AS15" s="21">
        <v>1</v>
      </c>
      <c r="AU15" s="6" t="s">
        <v>162</v>
      </c>
      <c r="AV15" s="17">
        <v>1.6</v>
      </c>
    </row>
    <row r="16" spans="1:53" s="17" customFormat="1" ht="13.5" customHeight="1" x14ac:dyDescent="0.25">
      <c r="B16" s="285" t="s">
        <v>185</v>
      </c>
      <c r="C16" s="301"/>
      <c r="D16" s="301"/>
      <c r="E16" s="301"/>
      <c r="F16" s="301"/>
      <c r="G16" s="301"/>
      <c r="H16" s="302" t="s">
        <v>41</v>
      </c>
      <c r="I16" s="71">
        <f>IF(I15="",1,(E12-I15)/(E12-L12))</f>
        <v>1</v>
      </c>
      <c r="J16" s="301"/>
      <c r="K16" s="301"/>
      <c r="L16" s="301"/>
      <c r="M16" s="301"/>
      <c r="N16" s="301"/>
      <c r="O16" s="301"/>
      <c r="P16" s="301"/>
      <c r="Q16" s="304"/>
      <c r="R16" s="27"/>
      <c r="AM16" s="21" t="s">
        <v>97</v>
      </c>
      <c r="AN16" s="21"/>
      <c r="AO16" s="21"/>
      <c r="AP16" s="21"/>
      <c r="AQ16" s="21"/>
      <c r="AR16" s="21"/>
      <c r="AS16" s="21">
        <v>0.5</v>
      </c>
      <c r="AU16" s="6" t="s">
        <v>163</v>
      </c>
      <c r="AV16" s="6">
        <v>1.7</v>
      </c>
      <c r="AX16" s="22"/>
      <c r="AY16" s="22"/>
      <c r="AZ16" s="22"/>
    </row>
    <row r="17" spans="2:52" s="17" customFormat="1" ht="12" x14ac:dyDescent="0.2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15"/>
      <c r="AM17" s="21" t="s">
        <v>98</v>
      </c>
      <c r="AS17" s="17">
        <v>0.3</v>
      </c>
      <c r="AU17" s="6" t="s">
        <v>164</v>
      </c>
      <c r="AV17" s="17">
        <v>1.8</v>
      </c>
      <c r="AX17" s="21"/>
      <c r="AY17" s="21"/>
      <c r="AZ17" s="21"/>
    </row>
    <row r="18" spans="2:52" s="8" customFormat="1" x14ac:dyDescent="0.2">
      <c r="B18" s="209" t="s">
        <v>170</v>
      </c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1"/>
      <c r="R18" s="29"/>
      <c r="AM18" s="21" t="s">
        <v>99</v>
      </c>
      <c r="AN18" s="6"/>
      <c r="AO18" s="6"/>
      <c r="AP18" s="6"/>
      <c r="AQ18" s="6"/>
      <c r="AR18" s="6"/>
      <c r="AS18" s="6">
        <v>0.1</v>
      </c>
      <c r="AU18" s="6" t="s">
        <v>165</v>
      </c>
      <c r="AV18" s="17">
        <v>2</v>
      </c>
      <c r="AX18" s="21"/>
      <c r="AY18" s="21"/>
      <c r="AZ18" s="21"/>
    </row>
    <row r="19" spans="2:52" s="6" customFormat="1" ht="22.5" customHeight="1" x14ac:dyDescent="0.2">
      <c r="B19" s="188" t="s">
        <v>25</v>
      </c>
      <c r="C19" s="175" t="s">
        <v>14</v>
      </c>
      <c r="D19" s="546" t="s">
        <v>26</v>
      </c>
      <c r="E19" s="547"/>
      <c r="F19" s="548" t="s">
        <v>172</v>
      </c>
      <c r="G19" s="547"/>
      <c r="H19" s="549"/>
      <c r="I19" s="200" t="s">
        <v>7</v>
      </c>
      <c r="J19" s="175" t="s">
        <v>13</v>
      </c>
      <c r="K19" s="175" t="s">
        <v>198</v>
      </c>
      <c r="L19" s="175" t="s">
        <v>1</v>
      </c>
      <c r="M19" s="546" t="s">
        <v>173</v>
      </c>
      <c r="N19" s="550"/>
      <c r="O19" s="197" t="s">
        <v>181</v>
      </c>
      <c r="P19" s="455" t="s">
        <v>17</v>
      </c>
      <c r="Q19" s="187" t="s">
        <v>18</v>
      </c>
      <c r="R19" s="5"/>
      <c r="AU19" s="6" t="s">
        <v>166</v>
      </c>
      <c r="AV19" s="8">
        <v>2.2000000000000002</v>
      </c>
      <c r="AX19" s="17"/>
      <c r="AY19" s="17"/>
      <c r="AZ19" s="17"/>
    </row>
    <row r="20" spans="2:52" s="6" customFormat="1" ht="14.25" customHeight="1" x14ac:dyDescent="0.2">
      <c r="B20" s="189" t="s">
        <v>2</v>
      </c>
      <c r="C20" s="172"/>
      <c r="D20" s="173"/>
      <c r="E20" s="172"/>
      <c r="F20" s="172"/>
      <c r="G20" s="174"/>
      <c r="H20" s="174"/>
      <c r="I20" s="170" t="s">
        <v>3</v>
      </c>
      <c r="J20" s="170" t="s">
        <v>3</v>
      </c>
      <c r="K20" s="172" t="s">
        <v>197</v>
      </c>
      <c r="L20" s="170" t="s">
        <v>40</v>
      </c>
      <c r="M20" s="499" t="s">
        <v>7</v>
      </c>
      <c r="N20" s="499"/>
      <c r="O20" s="198" t="s">
        <v>182</v>
      </c>
      <c r="P20" s="171" t="s">
        <v>6</v>
      </c>
      <c r="Q20" s="374" t="s">
        <v>141</v>
      </c>
      <c r="R20" s="31"/>
      <c r="AM20" s="5"/>
      <c r="AN20" s="5"/>
    </row>
    <row r="21" spans="2:52" s="6" customFormat="1" ht="12.75" customHeight="1" x14ac:dyDescent="0.2">
      <c r="B21" s="297" t="s">
        <v>48</v>
      </c>
      <c r="C21" s="35" t="s">
        <v>44</v>
      </c>
      <c r="D21" s="48" t="str">
        <f>IF(ISNA(VLOOKUP(B21,BibliothèqueProjet!$A$6:$J$70,2,FALSE)) = TRUE, "", VLOOKUP(B21,BibliothèqueProjet!$A$6:$J$20,2,FALSE))</f>
        <v>Murs Extérieur</v>
      </c>
      <c r="E21" s="33"/>
      <c r="F21" s="533" t="s">
        <v>180</v>
      </c>
      <c r="G21" s="534"/>
      <c r="H21" s="535"/>
      <c r="I21" s="212">
        <v>3.89</v>
      </c>
      <c r="J21" s="213">
        <v>3.4849999999999999</v>
      </c>
      <c r="K21" s="214">
        <v>6.35</v>
      </c>
      <c r="L21" s="36">
        <f t="shared" ref="L21:L26" si="0">(I21*J21)-K21</f>
        <v>7.2066499999999998</v>
      </c>
      <c r="M21" s="36" t="str">
        <f t="shared" ref="M21:M26" si="1">VLOOKUP(F21,$AZ$9:$BA$13,2,FALSE)</f>
        <v>fij</v>
      </c>
      <c r="N21" s="332">
        <v>1</v>
      </c>
      <c r="O21" s="199">
        <f>IF(B21&lt;&gt;0,VLOOKUP(B21,BibliothèqueProjet!$A$5:$J$20,10,FALSE),"")</f>
        <v>0.15</v>
      </c>
      <c r="P21" s="372">
        <f t="shared" ref="P21:P26" si="2">IF(O21&lt;&gt;"",L21*N21*O21,"")</f>
        <v>1.0809974999999998</v>
      </c>
      <c r="Q21" s="168" t="e">
        <f t="shared" ref="Q21:Q26" si="3">IF(P21&lt;&gt;"",P21*($E$12-$L$12),"")</f>
        <v>#REF!</v>
      </c>
      <c r="R21" s="31"/>
      <c r="AM21" s="10" t="s">
        <v>95</v>
      </c>
      <c r="AN21" s="10" t="s">
        <v>95</v>
      </c>
      <c r="AO21" s="10" t="s">
        <v>95</v>
      </c>
      <c r="AP21" s="10" t="s">
        <v>95</v>
      </c>
      <c r="AQ21" s="7"/>
      <c r="AR21" s="1" t="s">
        <v>101</v>
      </c>
      <c r="AS21" s="1" t="s">
        <v>102</v>
      </c>
      <c r="AT21" s="7"/>
      <c r="AU21" s="10" t="s">
        <v>95</v>
      </c>
      <c r="AV21" s="17"/>
      <c r="AW21" s="17"/>
      <c r="AX21" s="17"/>
      <c r="AY21" s="17"/>
      <c r="AZ21" s="17"/>
    </row>
    <row r="22" spans="2:52" s="6" customFormat="1" x14ac:dyDescent="0.2">
      <c r="B22" s="298"/>
      <c r="C22" s="38"/>
      <c r="D22" s="48" t="str">
        <f>IF(ISNA(VLOOKUP(B22,BibliothèqueProjet!$A$6:$J$70,2,FALSE)) = TRUE, "", VLOOKUP(B22,BibliothèqueProjet!$A$6:$J$20,2,FALSE))</f>
        <v/>
      </c>
      <c r="E22" s="39"/>
      <c r="F22" s="536" t="s">
        <v>146</v>
      </c>
      <c r="G22" s="537"/>
      <c r="H22" s="538"/>
      <c r="I22" s="215"/>
      <c r="J22" s="216"/>
      <c r="K22" s="217"/>
      <c r="L22" s="36">
        <f t="shared" si="0"/>
        <v>0</v>
      </c>
      <c r="M22" s="36" t="str">
        <f t="shared" si="1"/>
        <v>-</v>
      </c>
      <c r="N22" s="331"/>
      <c r="O22" s="199" t="str">
        <f>IF(B22&lt;&gt;0,VLOOKUP(B22,BibliothèqueProjet!$A$5:$J$20,10,FALSE),"")</f>
        <v/>
      </c>
      <c r="P22" s="372" t="str">
        <f t="shared" si="2"/>
        <v/>
      </c>
      <c r="Q22" s="168" t="str">
        <f t="shared" si="3"/>
        <v/>
      </c>
      <c r="R22" s="31"/>
      <c r="AM22" s="1" t="s">
        <v>105</v>
      </c>
      <c r="AN22" s="1" t="s">
        <v>105</v>
      </c>
      <c r="AO22" s="1" t="s">
        <v>101</v>
      </c>
      <c r="AP22" s="8"/>
      <c r="AQ22" s="8"/>
      <c r="AR22" s="10" t="s">
        <v>95</v>
      </c>
      <c r="AS22" s="95" t="s">
        <v>110</v>
      </c>
      <c r="AT22" s="7"/>
      <c r="AU22" s="17" t="s">
        <v>143</v>
      </c>
      <c r="AV22" s="17"/>
      <c r="AW22" s="5"/>
      <c r="AX22" s="5"/>
      <c r="AY22" s="5"/>
      <c r="AZ22" s="19"/>
    </row>
    <row r="23" spans="2:52" s="6" customFormat="1" ht="12.75" customHeight="1" x14ac:dyDescent="0.2">
      <c r="B23" s="298"/>
      <c r="C23" s="35"/>
      <c r="D23" s="48" t="str">
        <f>IF(ISNA(VLOOKUP(B23,BibliothèqueProjet!$A$6:$J$70,2,FALSE)) = TRUE, "", VLOOKUP(B23,BibliothèqueProjet!$A$6:$J$20,2,FALSE))</f>
        <v/>
      </c>
      <c r="E23" s="33"/>
      <c r="F23" s="536" t="s">
        <v>146</v>
      </c>
      <c r="G23" s="537"/>
      <c r="H23" s="538"/>
      <c r="I23" s="212"/>
      <c r="J23" s="213"/>
      <c r="K23" s="214"/>
      <c r="L23" s="36">
        <f t="shared" si="0"/>
        <v>0</v>
      </c>
      <c r="M23" s="36" t="str">
        <f t="shared" si="1"/>
        <v>-</v>
      </c>
      <c r="N23" s="331"/>
      <c r="O23" s="199" t="str">
        <f>IF(B23&lt;&gt;0,VLOOKUP(B23,BibliothèqueProjet!$A$5:$J$20,10,FALSE),"")</f>
        <v/>
      </c>
      <c r="P23" s="372" t="str">
        <f t="shared" si="2"/>
        <v/>
      </c>
      <c r="Q23" s="168" t="str">
        <f t="shared" si="3"/>
        <v/>
      </c>
      <c r="R23" s="31"/>
      <c r="AM23" s="1" t="s">
        <v>107</v>
      </c>
      <c r="AN23" s="1" t="s">
        <v>107</v>
      </c>
      <c r="AO23" s="1" t="s">
        <v>102</v>
      </c>
      <c r="AP23" s="1"/>
      <c r="AQ23" s="7"/>
      <c r="AR23" s="1" t="s">
        <v>104</v>
      </c>
      <c r="AS23" s="7"/>
      <c r="AT23" s="7"/>
      <c r="AU23" s="17" t="s">
        <v>144</v>
      </c>
      <c r="AV23" s="17"/>
      <c r="AW23" s="5"/>
      <c r="AX23" s="5"/>
      <c r="AY23" s="5"/>
      <c r="AZ23" s="19"/>
    </row>
    <row r="24" spans="2:52" s="6" customFormat="1" ht="12" customHeight="1" x14ac:dyDescent="0.2">
      <c r="B24" s="298"/>
      <c r="C24" s="35"/>
      <c r="D24" s="48" t="str">
        <f>IF(ISNA(VLOOKUP(B24,BibliothèqueProjet!$A$6:$J$70,2,FALSE)) = TRUE, "", VLOOKUP(B24,BibliothèqueProjet!$A$6:$J$20,2,FALSE))</f>
        <v/>
      </c>
      <c r="E24" s="33"/>
      <c r="F24" s="536" t="s">
        <v>146</v>
      </c>
      <c r="G24" s="537"/>
      <c r="H24" s="538"/>
      <c r="I24" s="212"/>
      <c r="J24" s="213"/>
      <c r="K24" s="214"/>
      <c r="L24" s="36">
        <f t="shared" si="0"/>
        <v>0</v>
      </c>
      <c r="M24" s="36" t="str">
        <f t="shared" si="1"/>
        <v>-</v>
      </c>
      <c r="N24" s="331"/>
      <c r="O24" s="199" t="str">
        <f>IF(B24&lt;&gt;0,VLOOKUP(B24,BibliothèqueProjet!$A$5:$J$20,10,FALSE),"")</f>
        <v/>
      </c>
      <c r="P24" s="372" t="str">
        <f t="shared" si="2"/>
        <v/>
      </c>
      <c r="Q24" s="168" t="str">
        <f t="shared" si="3"/>
        <v/>
      </c>
      <c r="R24" s="31"/>
      <c r="AM24" s="1" t="s">
        <v>106</v>
      </c>
      <c r="AN24" s="1" t="s">
        <v>106</v>
      </c>
      <c r="AO24" s="17"/>
      <c r="AP24" s="1"/>
      <c r="AQ24" s="7"/>
      <c r="AR24" s="17" t="s">
        <v>109</v>
      </c>
      <c r="AS24" s="7"/>
      <c r="AT24" s="7"/>
      <c r="AU24" s="17"/>
      <c r="AV24" s="17"/>
      <c r="AW24" s="5"/>
      <c r="AX24" s="5"/>
      <c r="AY24" s="5"/>
      <c r="AZ24" s="19"/>
    </row>
    <row r="25" spans="2:52" s="6" customFormat="1" ht="12" customHeight="1" x14ac:dyDescent="0.2">
      <c r="B25" s="298"/>
      <c r="C25" s="35"/>
      <c r="D25" s="48" t="str">
        <f>IF(ISNA(VLOOKUP(B25,BibliothèqueProjet!$A$6:$J$70,2,FALSE)) = TRUE, "", VLOOKUP(B25,BibliothèqueProjet!$A$6:$J$20,2,FALSE))</f>
        <v/>
      </c>
      <c r="E25" s="33"/>
      <c r="F25" s="536" t="s">
        <v>146</v>
      </c>
      <c r="G25" s="537"/>
      <c r="H25" s="538"/>
      <c r="I25" s="212"/>
      <c r="J25" s="213"/>
      <c r="K25" s="214"/>
      <c r="L25" s="36">
        <f t="shared" si="0"/>
        <v>0</v>
      </c>
      <c r="M25" s="36" t="str">
        <f t="shared" si="1"/>
        <v>-</v>
      </c>
      <c r="N25" s="331"/>
      <c r="O25" s="199" t="str">
        <f>IF(B25&lt;&gt;0,VLOOKUP(B25,BibliothèqueProjet!$A$5:$J$20,10,FALSE),"")</f>
        <v/>
      </c>
      <c r="P25" s="372" t="str">
        <f t="shared" si="2"/>
        <v/>
      </c>
      <c r="Q25" s="168" t="str">
        <f t="shared" si="3"/>
        <v/>
      </c>
      <c r="R25" s="31"/>
      <c r="AM25" s="28"/>
      <c r="AN25" s="17"/>
      <c r="AO25" s="17"/>
      <c r="AP25" s="1"/>
      <c r="AQ25" s="1"/>
      <c r="AR25" s="1"/>
      <c r="AS25" s="1"/>
      <c r="AT25" s="7"/>
      <c r="AU25" s="17"/>
      <c r="AV25" s="17"/>
      <c r="AW25" s="5"/>
      <c r="AX25" s="5"/>
      <c r="AY25" s="5"/>
      <c r="AZ25" s="5"/>
    </row>
    <row r="26" spans="2:52" s="6" customFormat="1" ht="12" customHeight="1" x14ac:dyDescent="0.2">
      <c r="B26" s="298"/>
      <c r="C26" s="38"/>
      <c r="D26" s="48" t="str">
        <f>IF(ISNA(VLOOKUP(B26,BibliothèqueProjet!$A$6:$J$70,2,FALSE)) = TRUE, "", VLOOKUP(B26,BibliothèqueProjet!$A$6:$J$20,2,FALSE))</f>
        <v/>
      </c>
      <c r="E26" s="33"/>
      <c r="F26" s="539" t="s">
        <v>146</v>
      </c>
      <c r="G26" s="540"/>
      <c r="H26" s="541"/>
      <c r="I26" s="212"/>
      <c r="J26" s="213"/>
      <c r="K26" s="214"/>
      <c r="L26" s="36">
        <f t="shared" si="0"/>
        <v>0</v>
      </c>
      <c r="M26" s="36" t="str">
        <f t="shared" si="1"/>
        <v>-</v>
      </c>
      <c r="N26" s="331"/>
      <c r="O26" s="199" t="str">
        <f>IF(B26&lt;&gt;0,VLOOKUP(B26,BibliothèqueProjet!$A$5:$J$20,10,FALSE),"")</f>
        <v/>
      </c>
      <c r="P26" s="372" t="str">
        <f t="shared" si="2"/>
        <v/>
      </c>
      <c r="Q26" s="168" t="str">
        <f t="shared" si="3"/>
        <v/>
      </c>
      <c r="AM26" s="28"/>
      <c r="AN26" s="17"/>
      <c r="AO26" s="17"/>
      <c r="AP26" s="1"/>
      <c r="AQ26" s="1"/>
      <c r="AR26" s="1"/>
      <c r="AS26" s="1"/>
      <c r="AT26" s="7"/>
      <c r="AU26" s="17"/>
      <c r="AV26" s="17"/>
      <c r="AW26" s="5"/>
      <c r="AX26" s="5"/>
      <c r="AY26" s="5"/>
      <c r="AZ26" s="5"/>
    </row>
    <row r="27" spans="2:52" s="6" customFormat="1" ht="15" x14ac:dyDescent="0.25">
      <c r="B27" s="76" t="s">
        <v>42</v>
      </c>
      <c r="C27" s="56"/>
      <c r="D27" s="77"/>
      <c r="E27" s="56"/>
      <c r="F27" s="56"/>
      <c r="G27" s="56"/>
      <c r="H27" s="78"/>
      <c r="I27" s="79"/>
      <c r="J27" s="80"/>
      <c r="K27" s="78"/>
      <c r="L27" s="79"/>
      <c r="M27" s="79"/>
      <c r="N27" s="81"/>
      <c r="O27" s="82" t="s">
        <v>9</v>
      </c>
      <c r="P27" s="268">
        <f>SUM(P21:P26)</f>
        <v>1.0809974999999998</v>
      </c>
      <c r="Q27" s="268" t="e">
        <f>SUM(Q21:Q26)</f>
        <v>#REF!</v>
      </c>
      <c r="R27" s="32"/>
      <c r="AM27" s="28"/>
      <c r="AN27" s="17"/>
      <c r="AO27" s="17"/>
      <c r="AP27" s="1"/>
      <c r="AQ27" s="1" t="s">
        <v>104</v>
      </c>
      <c r="AR27" s="17" t="s">
        <v>109</v>
      </c>
      <c r="AS27" s="5"/>
      <c r="AT27" s="18" t="s">
        <v>108</v>
      </c>
      <c r="AU27" s="17"/>
      <c r="AV27" s="17"/>
      <c r="AW27" s="5"/>
      <c r="AX27" s="5"/>
      <c r="AY27" s="5"/>
      <c r="AZ27" s="5"/>
    </row>
    <row r="28" spans="2:52" s="17" customForma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AM28" s="10" t="s">
        <v>95</v>
      </c>
      <c r="AP28" s="1" t="s">
        <v>105</v>
      </c>
      <c r="AQ28" s="7">
        <v>4</v>
      </c>
      <c r="AR28" s="16">
        <v>2</v>
      </c>
      <c r="AS28" s="5"/>
      <c r="AT28" s="5">
        <v>0.1</v>
      </c>
      <c r="AW28" s="18"/>
      <c r="AX28" s="18"/>
      <c r="AY28" s="18"/>
      <c r="AZ28" s="18"/>
    </row>
    <row r="29" spans="2:52" s="17" customFormat="1" x14ac:dyDescent="0.2">
      <c r="B29" s="247" t="s">
        <v>187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9"/>
      <c r="R29" s="15"/>
      <c r="AM29" s="28" t="s">
        <v>113</v>
      </c>
      <c r="AP29" s="1" t="s">
        <v>107</v>
      </c>
      <c r="AQ29" s="7">
        <v>7</v>
      </c>
      <c r="AR29" s="43">
        <v>4</v>
      </c>
      <c r="AS29" s="5"/>
      <c r="AT29" s="5"/>
    </row>
    <row r="30" spans="2:52" s="17" customFormat="1" ht="22.5" customHeight="1" x14ac:dyDescent="0.2">
      <c r="B30" s="241" t="s">
        <v>25</v>
      </c>
      <c r="C30" s="242" t="s">
        <v>14</v>
      </c>
      <c r="D30" s="497" t="s">
        <v>26</v>
      </c>
      <c r="E30" s="509"/>
      <c r="F30" s="510" t="s">
        <v>172</v>
      </c>
      <c r="G30" s="509"/>
      <c r="H30" s="511"/>
      <c r="I30" s="243" t="s">
        <v>7</v>
      </c>
      <c r="J30" s="242" t="s">
        <v>13</v>
      </c>
      <c r="K30" s="242" t="s">
        <v>183</v>
      </c>
      <c r="L30" s="242" t="s">
        <v>1</v>
      </c>
      <c r="M30" s="497" t="s">
        <v>173</v>
      </c>
      <c r="N30" s="498"/>
      <c r="O30" s="244" t="s">
        <v>181</v>
      </c>
      <c r="P30" s="245" t="s">
        <v>17</v>
      </c>
      <c r="Q30" s="246" t="s">
        <v>18</v>
      </c>
      <c r="R30" s="15"/>
      <c r="AM30" s="28" t="s">
        <v>114</v>
      </c>
      <c r="AN30" s="18"/>
      <c r="AO30" s="18"/>
      <c r="AP30" s="1" t="s">
        <v>106</v>
      </c>
      <c r="AQ30" s="7">
        <v>10</v>
      </c>
      <c r="AR30" s="18">
        <v>5</v>
      </c>
      <c r="AS30" s="5"/>
      <c r="AT30" s="5"/>
    </row>
    <row r="31" spans="2:52" s="17" customFormat="1" ht="12" customHeight="1" x14ac:dyDescent="0.2">
      <c r="B31" s="189" t="s">
        <v>2</v>
      </c>
      <c r="C31" s="172"/>
      <c r="D31" s="173"/>
      <c r="E31" s="172"/>
      <c r="F31" s="172"/>
      <c r="G31" s="174"/>
      <c r="H31" s="174"/>
      <c r="I31" s="170" t="s">
        <v>3</v>
      </c>
      <c r="J31" s="170" t="s">
        <v>3</v>
      </c>
      <c r="K31" s="169" t="s">
        <v>2</v>
      </c>
      <c r="L31" s="170" t="s">
        <v>40</v>
      </c>
      <c r="M31" s="499" t="s">
        <v>7</v>
      </c>
      <c r="N31" s="499"/>
      <c r="O31" s="198" t="s">
        <v>182</v>
      </c>
      <c r="P31" s="171" t="s">
        <v>6</v>
      </c>
      <c r="Q31" s="374" t="s">
        <v>141</v>
      </c>
      <c r="R31" s="15"/>
      <c r="AM31" s="28"/>
      <c r="AN31" s="16"/>
      <c r="AO31" s="18"/>
      <c r="AT31" s="5"/>
    </row>
    <row r="32" spans="2:52" s="17" customFormat="1" ht="12" customHeight="1" x14ac:dyDescent="0.2">
      <c r="B32" s="295" t="s">
        <v>62</v>
      </c>
      <c r="C32" s="35" t="s">
        <v>44</v>
      </c>
      <c r="D32" s="48" t="str">
        <f>IF(ISNA(VLOOKUP(B32,BibliothèqueProjet!$A$43:$J$62,2,FALSE)) = TRUE, "", VLOOKUP(B32,BibliothèqueProjet!$A$43:$J$62,2,FALSE))</f>
        <v>Double vitrage 4/16/4</v>
      </c>
      <c r="E32" s="33"/>
      <c r="F32" s="530" t="s">
        <v>146</v>
      </c>
      <c r="G32" s="531"/>
      <c r="H32" s="532"/>
      <c r="I32" s="238">
        <v>2.75</v>
      </c>
      <c r="J32" s="377">
        <v>2.31</v>
      </c>
      <c r="K32" s="239">
        <v>1</v>
      </c>
      <c r="L32" s="354">
        <f>+I32*J32*K32</f>
        <v>6.3525</v>
      </c>
      <c r="M32" s="351" t="str">
        <f>VLOOKUP(F32,$AZ$9:$BA$13,2,FALSE)</f>
        <v>-</v>
      </c>
      <c r="N32" s="338">
        <v>1</v>
      </c>
      <c r="O32" s="354">
        <f>IF(B32&lt;&gt;0,VLOOKUP(B32,BibliothèqueProjet!$A$5:$J$70,10,FALSE),"")</f>
        <v>0.91</v>
      </c>
      <c r="P32" s="434">
        <f>IF(O32&lt;&gt;"",K32*L32*O32*N32,"")</f>
        <v>5.7807750000000002</v>
      </c>
      <c r="Q32" s="435" t="e">
        <f>IF(P32&lt;&gt;"",P32*($E$12-$L$12),"")</f>
        <v>#REF!</v>
      </c>
      <c r="R32" s="15"/>
      <c r="AM32" s="28"/>
      <c r="AN32" s="16"/>
      <c r="AO32" s="18"/>
      <c r="AT32" s="5"/>
    </row>
    <row r="33" spans="1:52" s="17" customFormat="1" ht="12" customHeight="1" x14ac:dyDescent="0.2">
      <c r="B33" s="295"/>
      <c r="C33" s="35"/>
      <c r="D33" s="48" t="str">
        <f>IF(ISNA(VLOOKUP(B33,BibliothèqueProjet!$A$43:$J$62,2,FALSE)) = TRUE, "", VLOOKUP(B33,BibliothèqueProjet!$A$43:$J$62,2,FALSE))</f>
        <v/>
      </c>
      <c r="E33" s="33"/>
      <c r="F33" s="524" t="s">
        <v>146</v>
      </c>
      <c r="G33" s="525"/>
      <c r="H33" s="526"/>
      <c r="I33" s="238"/>
      <c r="J33" s="377"/>
      <c r="K33" s="239"/>
      <c r="L33" s="355">
        <f t="shared" ref="L33:L38" si="4">+I33*J33*K33</f>
        <v>0</v>
      </c>
      <c r="M33" s="352" t="str">
        <f t="shared" ref="M33:M38" si="5">VLOOKUP(F33,$AZ$9:$BA$13,2,FALSE)</f>
        <v>-</v>
      </c>
      <c r="N33" s="339"/>
      <c r="O33" s="355" t="str">
        <f>IF(B33&lt;&gt;0,VLOOKUP(B33,BibliothèqueProjet!$A$5:$J$70,10,FALSE),"")</f>
        <v/>
      </c>
      <c r="P33" s="373" t="str">
        <f>IF(O33&lt;&gt;"",K33*L33*O33*N33,"")</f>
        <v/>
      </c>
      <c r="Q33" s="88" t="str">
        <f t="shared" ref="Q33:Q41" si="6">IF(P33&lt;&gt;"",P33*($E$12-$L$12),"")</f>
        <v/>
      </c>
      <c r="R33" s="15"/>
      <c r="AM33" s="28"/>
      <c r="AN33" s="16"/>
      <c r="AO33" s="18"/>
      <c r="AT33" s="5"/>
    </row>
    <row r="34" spans="1:52" s="6" customFormat="1" ht="12.75" customHeight="1" x14ac:dyDescent="0.2">
      <c r="B34" s="295"/>
      <c r="C34" s="35"/>
      <c r="D34" s="48" t="str">
        <f>IF(ISNA(VLOOKUP(B34,BibliothèqueProjet!$A$43:$J$62,2,FALSE)) = TRUE, "", VLOOKUP(B34,BibliothèqueProjet!$A$43:$J$62,2,FALSE))</f>
        <v/>
      </c>
      <c r="E34" s="33"/>
      <c r="F34" s="524" t="s">
        <v>146</v>
      </c>
      <c r="G34" s="525"/>
      <c r="H34" s="526"/>
      <c r="I34" s="238"/>
      <c r="J34" s="377"/>
      <c r="K34" s="239"/>
      <c r="L34" s="355">
        <f t="shared" si="4"/>
        <v>0</v>
      </c>
      <c r="M34" s="352" t="str">
        <f t="shared" si="5"/>
        <v>-</v>
      </c>
      <c r="N34" s="339"/>
      <c r="O34" s="355" t="str">
        <f>IF(B34&lt;&gt;0,VLOOKUP(B34,BibliothèqueProjet!$A$5:$J$70,10,FALSE),"")</f>
        <v/>
      </c>
      <c r="P34" s="373" t="str">
        <f t="shared" ref="P34:P41" si="7">IF(O34&lt;&gt;"",K34*L34*O34*N34,"")</f>
        <v/>
      </c>
      <c r="Q34" s="88" t="str">
        <f t="shared" si="6"/>
        <v/>
      </c>
      <c r="R34" s="32"/>
      <c r="AM34" s="34"/>
      <c r="AN34" s="31"/>
    </row>
    <row r="35" spans="1:52" s="17" customFormat="1" x14ac:dyDescent="0.2">
      <c r="B35" s="295"/>
      <c r="C35" s="35"/>
      <c r="D35" s="48" t="str">
        <f>IF(ISNA(VLOOKUP(B35,BibliothèqueProjet!$A$43:$J$62,2,FALSE)) = TRUE, "", VLOOKUP(B35,BibliothèqueProjet!$A$43:$J$62,2,FALSE))</f>
        <v/>
      </c>
      <c r="E35" s="33"/>
      <c r="F35" s="524" t="s">
        <v>146</v>
      </c>
      <c r="G35" s="525"/>
      <c r="H35" s="526"/>
      <c r="I35" s="238"/>
      <c r="J35" s="377"/>
      <c r="K35" s="239"/>
      <c r="L35" s="355">
        <f t="shared" si="4"/>
        <v>0</v>
      </c>
      <c r="M35" s="352" t="str">
        <f t="shared" si="5"/>
        <v>-</v>
      </c>
      <c r="N35" s="339"/>
      <c r="O35" s="355" t="str">
        <f>IF(B35&lt;&gt;0,VLOOKUP(B35,BibliothèqueProjet!$A$5:$J$70,10,FALSE),"")</f>
        <v/>
      </c>
      <c r="P35" s="373" t="str">
        <f t="shared" si="7"/>
        <v/>
      </c>
      <c r="Q35" s="88" t="str">
        <f t="shared" si="6"/>
        <v/>
      </c>
      <c r="R35" s="15"/>
      <c r="AM35" s="28"/>
    </row>
    <row r="36" spans="1:52" s="17" customFormat="1" x14ac:dyDescent="0.2">
      <c r="B36" s="295"/>
      <c r="C36" s="35"/>
      <c r="D36" s="48" t="str">
        <f>IF(ISNA(VLOOKUP(B36,BibliothèqueProjet!$A$43:$J$62,2,FALSE)) = TRUE, "", VLOOKUP(B36,BibliothèqueProjet!$A$43:$J$62,2,FALSE))</f>
        <v/>
      </c>
      <c r="E36" s="33"/>
      <c r="F36" s="524" t="s">
        <v>146</v>
      </c>
      <c r="G36" s="525"/>
      <c r="H36" s="526"/>
      <c r="I36" s="238"/>
      <c r="J36" s="377"/>
      <c r="K36" s="239"/>
      <c r="L36" s="355">
        <f t="shared" si="4"/>
        <v>0</v>
      </c>
      <c r="M36" s="352" t="str">
        <f t="shared" si="5"/>
        <v>-</v>
      </c>
      <c r="N36" s="339"/>
      <c r="O36" s="355" t="str">
        <f>IF(B36&lt;&gt;0,VLOOKUP(B36,BibliothèqueProjet!$A$5:$J$70,10,FALSE),"")</f>
        <v/>
      </c>
      <c r="P36" s="373" t="str">
        <f t="shared" si="7"/>
        <v/>
      </c>
      <c r="Q36" s="88" t="str">
        <f t="shared" si="6"/>
        <v/>
      </c>
      <c r="R36" s="15"/>
      <c r="AM36" s="28"/>
    </row>
    <row r="37" spans="1:52" s="17" customFormat="1" x14ac:dyDescent="0.2">
      <c r="B37" s="295"/>
      <c r="C37" s="35"/>
      <c r="D37" s="48" t="str">
        <f>IF(ISNA(VLOOKUP(B37,BibliothèqueProjet!$A$43:$J$62,2,FALSE)) = TRUE, "", VLOOKUP(B37,BibliothèqueProjet!$A$43:$J$62,2,FALSE))</f>
        <v/>
      </c>
      <c r="E37" s="33"/>
      <c r="F37" s="524" t="s">
        <v>146</v>
      </c>
      <c r="G37" s="525"/>
      <c r="H37" s="526"/>
      <c r="I37" s="238"/>
      <c r="J37" s="377"/>
      <c r="K37" s="239"/>
      <c r="L37" s="355">
        <f t="shared" si="4"/>
        <v>0</v>
      </c>
      <c r="M37" s="352" t="str">
        <f t="shared" si="5"/>
        <v>-</v>
      </c>
      <c r="N37" s="339"/>
      <c r="O37" s="355" t="str">
        <f>IF(B37&lt;&gt;0,VLOOKUP(B37,BibliothèqueProjet!$A$5:$J$70,10,FALSE),"")</f>
        <v/>
      </c>
      <c r="P37" s="373" t="str">
        <f t="shared" si="7"/>
        <v/>
      </c>
      <c r="Q37" s="88" t="str">
        <f t="shared" si="6"/>
        <v/>
      </c>
      <c r="R37" s="15"/>
      <c r="AM37" s="28"/>
    </row>
    <row r="38" spans="1:52" s="17" customFormat="1" x14ac:dyDescent="0.2">
      <c r="B38" s="295"/>
      <c r="C38" s="35"/>
      <c r="D38" s="48" t="str">
        <f>IF(ISNA(VLOOKUP(B38,BibliothèqueProjet!$A$43:$J$62,2,FALSE)) = TRUE, "", VLOOKUP(B38,BibliothèqueProjet!$A$43:$J$62,2,FALSE))</f>
        <v/>
      </c>
      <c r="E38" s="33"/>
      <c r="F38" s="524" t="s">
        <v>146</v>
      </c>
      <c r="G38" s="525"/>
      <c r="H38" s="526"/>
      <c r="I38" s="238"/>
      <c r="J38" s="377"/>
      <c r="K38" s="239"/>
      <c r="L38" s="355">
        <f t="shared" si="4"/>
        <v>0</v>
      </c>
      <c r="M38" s="352" t="str">
        <f t="shared" si="5"/>
        <v>-</v>
      </c>
      <c r="N38" s="339"/>
      <c r="O38" s="355" t="str">
        <f>IF(B38&lt;&gt;0,VLOOKUP(B38,BibliothèqueProjet!$A$5:$J$70,10,FALSE),"")</f>
        <v/>
      </c>
      <c r="P38" s="373" t="str">
        <f t="shared" si="7"/>
        <v/>
      </c>
      <c r="Q38" s="88" t="str">
        <f t="shared" si="6"/>
        <v/>
      </c>
      <c r="R38" s="15"/>
      <c r="AM38" s="28"/>
    </row>
    <row r="39" spans="1:52" s="17" customFormat="1" x14ac:dyDescent="0.2">
      <c r="B39" s="296"/>
      <c r="C39" s="38"/>
      <c r="D39" s="48" t="str">
        <f>IF(ISNA(VLOOKUP(B39,BibliothèqueProjet!$A$6:$J$70,2,FALSE)) = TRUE, "", VLOOKUP(B39,BibliothèqueProjet!$A$6:$J$70,2,FALSE))</f>
        <v/>
      </c>
      <c r="E39" s="39"/>
      <c r="F39" s="524" t="s">
        <v>146</v>
      </c>
      <c r="G39" s="525"/>
      <c r="H39" s="526"/>
      <c r="I39" s="240"/>
      <c r="J39" s="378"/>
      <c r="K39" s="239"/>
      <c r="L39" s="355">
        <f>+I39*J39*K39</f>
        <v>0</v>
      </c>
      <c r="M39" s="352" t="str">
        <f>VLOOKUP(F39,$AZ$9:$BA$13,2,FALSE)</f>
        <v>-</v>
      </c>
      <c r="N39" s="339"/>
      <c r="O39" s="355" t="str">
        <f>IF(B39&lt;&gt;0,VLOOKUP(B39,BibliothèqueProjet!$A$5:$J$70,10,FALSE),"")</f>
        <v/>
      </c>
      <c r="P39" s="373" t="str">
        <f t="shared" si="7"/>
        <v/>
      </c>
      <c r="Q39" s="88" t="str">
        <f t="shared" si="6"/>
        <v/>
      </c>
      <c r="R39" s="15"/>
    </row>
    <row r="40" spans="1:52" s="17" customFormat="1" x14ac:dyDescent="0.2">
      <c r="B40" s="296"/>
      <c r="C40" s="35"/>
      <c r="D40" s="48" t="str">
        <f>IF(ISNA(VLOOKUP(B40,BibliothèqueProjet!$A$6:$J$70,2,FALSE)) = TRUE, "", VLOOKUP(B40,BibliothèqueProjet!$A$6:$J$70,2,FALSE))</f>
        <v/>
      </c>
      <c r="E40" s="33"/>
      <c r="F40" s="524" t="s">
        <v>146</v>
      </c>
      <c r="G40" s="525"/>
      <c r="H40" s="526"/>
      <c r="I40" s="238"/>
      <c r="J40" s="377"/>
      <c r="K40" s="239"/>
      <c r="L40" s="355">
        <f>+I40*J40*K40</f>
        <v>0</v>
      </c>
      <c r="M40" s="352" t="str">
        <f>VLOOKUP(F40,$AZ$9:$BA$13,2,FALSE)</f>
        <v>-</v>
      </c>
      <c r="N40" s="339"/>
      <c r="O40" s="355" t="str">
        <f>IF(B40&lt;&gt;0,VLOOKUP(B40,BibliothèqueProjet!$A$5:$J$70,10,FALSE),"")</f>
        <v/>
      </c>
      <c r="P40" s="373" t="str">
        <f t="shared" si="7"/>
        <v/>
      </c>
      <c r="Q40" s="88" t="str">
        <f t="shared" si="6"/>
        <v/>
      </c>
      <c r="R40" s="41"/>
    </row>
    <row r="41" spans="1:52" s="17" customFormat="1" x14ac:dyDescent="0.2">
      <c r="B41" s="296"/>
      <c r="C41" s="38"/>
      <c r="D41" s="48" t="str">
        <f>IF(ISNA(VLOOKUP(B41,BibliothèqueProjet!$A$6:$J$70,2,FALSE)) = TRUE, "", VLOOKUP(B41,BibliothèqueProjet!$A$6:$J$70,2,FALSE))</f>
        <v/>
      </c>
      <c r="E41" s="33"/>
      <c r="F41" s="527" t="s">
        <v>146</v>
      </c>
      <c r="G41" s="528"/>
      <c r="H41" s="529"/>
      <c r="I41" s="238"/>
      <c r="J41" s="377"/>
      <c r="K41" s="239"/>
      <c r="L41" s="356">
        <f>+I41*J41*K41</f>
        <v>0</v>
      </c>
      <c r="M41" s="353" t="str">
        <f>VLOOKUP(F41,$AZ$9:$BA$13,2,FALSE)</f>
        <v>-</v>
      </c>
      <c r="N41" s="340"/>
      <c r="O41" s="356" t="str">
        <f>IF(B41&lt;&gt;0,VLOOKUP(B41,BibliothèqueProjet!$A$5:$J$70,10,FALSE),"")</f>
        <v/>
      </c>
      <c r="P41" s="438" t="str">
        <f t="shared" si="7"/>
        <v/>
      </c>
      <c r="Q41" s="439" t="str">
        <f t="shared" si="6"/>
        <v/>
      </c>
      <c r="R41" s="28"/>
      <c r="AO41" s="17" t="s">
        <v>146</v>
      </c>
    </row>
    <row r="42" spans="1:52" s="17" customFormat="1" ht="15" x14ac:dyDescent="0.25">
      <c r="B42" s="76" t="s">
        <v>42</v>
      </c>
      <c r="C42" s="56"/>
      <c r="D42" s="77"/>
      <c r="E42" s="56"/>
      <c r="F42" s="56"/>
      <c r="G42" s="56"/>
      <c r="H42" s="78"/>
      <c r="I42" s="79"/>
      <c r="J42" s="80"/>
      <c r="K42" s="78"/>
      <c r="L42" s="79"/>
      <c r="M42" s="79"/>
      <c r="N42" s="81"/>
      <c r="O42" s="82" t="s">
        <v>9</v>
      </c>
      <c r="P42" s="268">
        <f>SUM(P32:P41)</f>
        <v>5.7807750000000002</v>
      </c>
      <c r="Q42" s="268" t="e">
        <f>SUM(Q32:Q41)</f>
        <v>#REF!</v>
      </c>
      <c r="R42" s="28"/>
      <c r="AO42" s="17" t="s">
        <v>175</v>
      </c>
    </row>
    <row r="43" spans="1:52" s="17" customFormat="1" ht="12" x14ac:dyDescent="0.2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28"/>
      <c r="AO43" s="17" t="s">
        <v>174</v>
      </c>
    </row>
    <row r="44" spans="1:52" s="8" customFormat="1" x14ac:dyDescent="0.2">
      <c r="A44" s="17"/>
      <c r="B44" s="250" t="s">
        <v>171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2"/>
      <c r="R44" s="29"/>
      <c r="AM44" s="21"/>
      <c r="AN44" s="6"/>
      <c r="AO44" s="17" t="s">
        <v>179</v>
      </c>
      <c r="AP44" s="6"/>
      <c r="AQ44" s="6"/>
      <c r="AR44" s="6"/>
      <c r="AS44" s="6"/>
      <c r="AU44" s="6"/>
      <c r="AV44" s="17"/>
      <c r="AX44" s="21"/>
      <c r="AY44" s="21"/>
      <c r="AZ44" s="21"/>
    </row>
    <row r="45" spans="1:52" s="17" customFormat="1" ht="24" x14ac:dyDescent="0.2">
      <c r="B45" s="241" t="s">
        <v>25</v>
      </c>
      <c r="C45" s="242" t="s">
        <v>14</v>
      </c>
      <c r="D45" s="497" t="s">
        <v>26</v>
      </c>
      <c r="E45" s="509"/>
      <c r="F45" s="510" t="s">
        <v>172</v>
      </c>
      <c r="G45" s="509"/>
      <c r="H45" s="511"/>
      <c r="I45" s="243" t="s">
        <v>7</v>
      </c>
      <c r="J45" s="242" t="s">
        <v>13</v>
      </c>
      <c r="K45" s="175" t="s">
        <v>198</v>
      </c>
      <c r="L45" s="242" t="s">
        <v>1</v>
      </c>
      <c r="M45" s="497" t="s">
        <v>173</v>
      </c>
      <c r="N45" s="498"/>
      <c r="O45" s="244" t="s">
        <v>181</v>
      </c>
      <c r="P45" s="245" t="s">
        <v>17</v>
      </c>
      <c r="Q45" s="246" t="s">
        <v>18</v>
      </c>
      <c r="R45" s="15"/>
      <c r="AM45" s="10"/>
      <c r="AO45" s="17" t="s">
        <v>176</v>
      </c>
      <c r="AP45" s="1"/>
      <c r="AQ45" s="7"/>
      <c r="AR45" s="16"/>
      <c r="AS45" s="5"/>
      <c r="AT45" s="5"/>
      <c r="AW45" s="18"/>
      <c r="AX45" s="18"/>
      <c r="AY45" s="18"/>
      <c r="AZ45" s="18"/>
    </row>
    <row r="46" spans="1:52" s="6" customFormat="1" ht="12.75" customHeight="1" x14ac:dyDescent="0.2">
      <c r="A46" s="17"/>
      <c r="B46" s="189" t="s">
        <v>2</v>
      </c>
      <c r="C46" s="172"/>
      <c r="D46" s="173"/>
      <c r="E46" s="172"/>
      <c r="F46" s="172"/>
      <c r="G46" s="174"/>
      <c r="H46" s="174"/>
      <c r="I46" s="170" t="s">
        <v>3</v>
      </c>
      <c r="J46" s="170" t="s">
        <v>3</v>
      </c>
      <c r="K46" s="172" t="s">
        <v>197</v>
      </c>
      <c r="L46" s="170" t="s">
        <v>40</v>
      </c>
      <c r="M46" s="499" t="s">
        <v>7</v>
      </c>
      <c r="N46" s="499"/>
      <c r="O46" s="198" t="s">
        <v>182</v>
      </c>
      <c r="P46" s="171" t="s">
        <v>6</v>
      </c>
      <c r="Q46" s="374" t="s">
        <v>141</v>
      </c>
      <c r="R46" s="32"/>
      <c r="AM46" s="34"/>
      <c r="AN46" s="31"/>
    </row>
    <row r="47" spans="1:52" s="17" customFormat="1" x14ac:dyDescent="0.2">
      <c r="B47" s="293" t="s">
        <v>69</v>
      </c>
      <c r="C47" s="35" t="s">
        <v>44</v>
      </c>
      <c r="D47" s="48" t="str">
        <f>IF(ISNA(VLOOKUP(B47,BibliothèqueProjet!$A$6:$J$70,2,FALSE)) = TRUE, "", VLOOKUP(B47,BibliothèqueProjet!$A$6:$J$70,2,FALSE))</f>
        <v>Planchers bas</v>
      </c>
      <c r="E47" s="33"/>
      <c r="F47" s="515" t="s">
        <v>176</v>
      </c>
      <c r="G47" s="516"/>
      <c r="H47" s="517"/>
      <c r="I47" s="218"/>
      <c r="J47" s="219"/>
      <c r="K47" s="220"/>
      <c r="L47" s="366">
        <f>(I47*J47)-K47</f>
        <v>0</v>
      </c>
      <c r="M47" s="351" t="str">
        <f>VLOOKUP(F47,$AZ$9:$BA$13,2,FALSE)</f>
        <v>b</v>
      </c>
      <c r="N47" s="341"/>
      <c r="O47" s="223">
        <f>IF(B47&lt;&gt;0,VLOOKUP(B47,BibliothèqueProjet!$A$5:$J$70,10,FALSE),"")</f>
        <v>0.3</v>
      </c>
      <c r="P47" s="87">
        <f>IF(O47&lt;&gt;"",L47*O47*N47,"")</f>
        <v>0</v>
      </c>
      <c r="Q47" s="88" t="e">
        <f>IF(P47&lt;&gt;"",P47*($E$12-$L$12),"")</f>
        <v>#REF!</v>
      </c>
      <c r="R47" s="15"/>
      <c r="AH47" s="28"/>
    </row>
    <row r="48" spans="1:52" s="17" customFormat="1" x14ac:dyDescent="0.2">
      <c r="B48" s="294"/>
      <c r="C48" s="38"/>
      <c r="D48" s="48" t="str">
        <f>IF(ISNA(VLOOKUP(B48,BibliothèqueProjet!$A$6:$J$70,2,FALSE)) = TRUE, "", VLOOKUP(B48,BibliothèqueProjet!$A$6:$J$70,2,FALSE))</f>
        <v/>
      </c>
      <c r="E48" s="39"/>
      <c r="F48" s="518" t="s">
        <v>146</v>
      </c>
      <c r="G48" s="519"/>
      <c r="H48" s="520"/>
      <c r="I48" s="221"/>
      <c r="J48" s="222"/>
      <c r="K48" s="220"/>
      <c r="L48" s="366">
        <f>(I48*J48)-K48</f>
        <v>0</v>
      </c>
      <c r="M48" s="352" t="str">
        <f>VLOOKUP(F48,$AZ$9:$BA$13,2,FALSE)</f>
        <v>-</v>
      </c>
      <c r="N48" s="342"/>
      <c r="O48" s="196" t="str">
        <f>IF(B48&lt;&gt;0,VLOOKUP(B48,BibliothèqueProjet!$A$5:$J$70,10,FALSE),"")</f>
        <v/>
      </c>
      <c r="P48" s="87" t="str">
        <f>IF(O48&lt;&gt;"",L48*O48*N48,"")</f>
        <v/>
      </c>
      <c r="Q48" s="88" t="str">
        <f>IF(P48&lt;&gt;"",P48*($E$12-$L$12),"")</f>
        <v/>
      </c>
      <c r="R48" s="15"/>
      <c r="AH48" s="28"/>
    </row>
    <row r="49" spans="2:48" s="17" customFormat="1" x14ac:dyDescent="0.2">
      <c r="B49" s="294"/>
      <c r="C49" s="35"/>
      <c r="D49" s="48" t="str">
        <f>IF(ISNA(VLOOKUP(B49,BibliothèqueProjet!$A$6:$J$70,2,FALSE)) = TRUE, "", VLOOKUP(B49,BibliothèqueProjet!$A$6:$J$70,2,FALSE))</f>
        <v/>
      </c>
      <c r="E49" s="33"/>
      <c r="F49" s="518" t="s">
        <v>146</v>
      </c>
      <c r="G49" s="519"/>
      <c r="H49" s="520"/>
      <c r="I49" s="218"/>
      <c r="J49" s="219"/>
      <c r="K49" s="220"/>
      <c r="L49" s="366">
        <f>(I49*J49)-K49</f>
        <v>0</v>
      </c>
      <c r="M49" s="352" t="str">
        <f>VLOOKUP(F49,$AZ$9:$BA$13,2,FALSE)</f>
        <v>-</v>
      </c>
      <c r="N49" s="342"/>
      <c r="O49" s="196" t="str">
        <f>IF(B49&lt;&gt;0,VLOOKUP(B49,BibliothèqueProjet!$A$5:$J$70,10,FALSE),"")</f>
        <v/>
      </c>
      <c r="P49" s="87" t="str">
        <f>IF(O49&lt;&gt;"",L49*O49*N49,"")</f>
        <v/>
      </c>
      <c r="Q49" s="88" t="str">
        <f>IF(P49&lt;&gt;"",P49*($E$12-$L$12),"")</f>
        <v/>
      </c>
      <c r="R49" s="15"/>
      <c r="AH49" s="28"/>
    </row>
    <row r="50" spans="2:48" s="17" customFormat="1" ht="12" customHeight="1" x14ac:dyDescent="0.2">
      <c r="B50" s="294"/>
      <c r="C50" s="38"/>
      <c r="D50" s="48" t="str">
        <f>IF(ISNA(VLOOKUP(B50,BibliothèqueProjet!$A$6:$J$70,2,FALSE)) = TRUE, "", VLOOKUP(B50,BibliothèqueProjet!$A$6:$J$70,2,FALSE))</f>
        <v/>
      </c>
      <c r="E50" s="33"/>
      <c r="F50" s="521" t="s">
        <v>146</v>
      </c>
      <c r="G50" s="522"/>
      <c r="H50" s="523"/>
      <c r="I50" s="218"/>
      <c r="J50" s="219"/>
      <c r="K50" s="220"/>
      <c r="L50" s="366">
        <f>(I50*J50)-K50</f>
        <v>0</v>
      </c>
      <c r="M50" s="353" t="str">
        <f>VLOOKUP(F50,$AZ$9:$BA$13,2,FALSE)</f>
        <v>-</v>
      </c>
      <c r="N50" s="343"/>
      <c r="O50" s="196" t="str">
        <f>IF(B50&lt;&gt;0,VLOOKUP(B50,BibliothèqueProjet!$A$5:$J$70,10,FALSE),"")</f>
        <v/>
      </c>
      <c r="P50" s="87" t="str">
        <f>IF(O50&lt;&gt;"",L50*O50*N50,"")</f>
        <v/>
      </c>
      <c r="Q50" s="88" t="str">
        <f>IF(P50&lt;&gt;"",P50*($E$12-$L$12),"")</f>
        <v/>
      </c>
      <c r="R50" s="15"/>
      <c r="AH50" s="28"/>
    </row>
    <row r="51" spans="2:48" s="17" customFormat="1" ht="15" x14ac:dyDescent="0.25">
      <c r="B51" s="76" t="s">
        <v>42</v>
      </c>
      <c r="C51" s="56"/>
      <c r="D51" s="77"/>
      <c r="E51" s="56"/>
      <c r="F51" s="56"/>
      <c r="G51" s="56"/>
      <c r="H51" s="78"/>
      <c r="I51" s="79"/>
      <c r="J51" s="80"/>
      <c r="K51" s="78"/>
      <c r="L51" s="79"/>
      <c r="M51" s="86"/>
      <c r="N51" s="81"/>
      <c r="O51" s="82" t="s">
        <v>9</v>
      </c>
      <c r="P51" s="268">
        <f>SUM(P47:P50)</f>
        <v>0</v>
      </c>
      <c r="Q51" s="268" t="e">
        <f>SUM(Q47:Q50)</f>
        <v>#REF!</v>
      </c>
      <c r="R51" s="15"/>
      <c r="AH51" s="28"/>
    </row>
    <row r="52" spans="2:48" s="17" customForma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AH52" s="28"/>
    </row>
    <row r="53" spans="2:48" s="17" customFormat="1" x14ac:dyDescent="0.2">
      <c r="B53" s="256" t="s">
        <v>186</v>
      </c>
      <c r="C53" s="257"/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15"/>
    </row>
    <row r="54" spans="2:48" s="17" customFormat="1" ht="24" x14ac:dyDescent="0.2">
      <c r="B54" s="241" t="s">
        <v>25</v>
      </c>
      <c r="C54" s="242" t="s">
        <v>14</v>
      </c>
      <c r="D54" s="497" t="s">
        <v>26</v>
      </c>
      <c r="E54" s="509"/>
      <c r="F54" s="510" t="s">
        <v>172</v>
      </c>
      <c r="G54" s="509"/>
      <c r="H54" s="511"/>
      <c r="I54" s="243" t="s">
        <v>7</v>
      </c>
      <c r="J54" s="242" t="s">
        <v>13</v>
      </c>
      <c r="K54" s="175" t="s">
        <v>198</v>
      </c>
      <c r="L54" s="242" t="s">
        <v>1</v>
      </c>
      <c r="M54" s="497" t="s">
        <v>173</v>
      </c>
      <c r="N54" s="498"/>
      <c r="O54" s="244" t="s">
        <v>181</v>
      </c>
      <c r="P54" s="245" t="s">
        <v>17</v>
      </c>
      <c r="Q54" s="246" t="s">
        <v>18</v>
      </c>
      <c r="R54" s="28"/>
      <c r="AH54" s="28"/>
    </row>
    <row r="55" spans="2:48" s="8" customFormat="1" x14ac:dyDescent="0.2">
      <c r="B55" s="189" t="s">
        <v>2</v>
      </c>
      <c r="C55" s="172"/>
      <c r="D55" s="173"/>
      <c r="E55" s="172"/>
      <c r="F55" s="172"/>
      <c r="G55" s="174"/>
      <c r="H55" s="174"/>
      <c r="I55" s="170" t="s">
        <v>3</v>
      </c>
      <c r="J55" s="170" t="s">
        <v>3</v>
      </c>
      <c r="K55" s="172" t="s">
        <v>197</v>
      </c>
      <c r="L55" s="170" t="s">
        <v>40</v>
      </c>
      <c r="M55" s="499" t="s">
        <v>7</v>
      </c>
      <c r="N55" s="499"/>
      <c r="O55" s="198" t="s">
        <v>182</v>
      </c>
      <c r="P55" s="171" t="s">
        <v>6</v>
      </c>
      <c r="Q55" s="374" t="s">
        <v>141</v>
      </c>
      <c r="R55" s="29"/>
      <c r="AH55" s="21"/>
      <c r="AP55" s="6"/>
      <c r="AQ55" s="17"/>
      <c r="AS55" s="21"/>
      <c r="AT55" s="21"/>
      <c r="AU55" s="21"/>
      <c r="AV55" s="21"/>
    </row>
    <row r="56" spans="2:48" s="6" customFormat="1" x14ac:dyDescent="0.2">
      <c r="B56" s="291" t="s">
        <v>63</v>
      </c>
      <c r="C56" s="35" t="s">
        <v>44</v>
      </c>
      <c r="D56" s="48" t="str">
        <f>IF(ISNA(VLOOKUP(B56,BibliothèqueProjet!$A$6:$J$70,2,FALSE)) = TRUE, "", VLOOKUP(B56,BibliothèqueProjet!$A$6:$J$70,2,FALSE))</f>
        <v>Toiture végétalisée</v>
      </c>
      <c r="E56" s="33"/>
      <c r="F56" s="512" t="s">
        <v>175</v>
      </c>
      <c r="G56" s="513"/>
      <c r="H56" s="514"/>
      <c r="I56" s="153">
        <v>3.89</v>
      </c>
      <c r="J56" s="375">
        <v>4.45</v>
      </c>
      <c r="K56" s="208">
        <f>(H56*I56*J56)-K61</f>
        <v>0</v>
      </c>
      <c r="L56" s="363">
        <f t="shared" ref="L56:L63" si="8">+I56*J56-K56</f>
        <v>17.310500000000001</v>
      </c>
      <c r="M56" s="351">
        <f t="shared" ref="M56:M63" si="9">VLOOKUP(F56,$AZ$9:$BA$13,2,FALSE)</f>
        <v>1</v>
      </c>
      <c r="N56" s="344">
        <v>1</v>
      </c>
      <c r="O56" s="223">
        <f>IF(B56&lt;&gt;0,VLOOKUP(B56,BibliothèqueProjet!$A$5:$J$70,10,FALSE),"")</f>
        <v>0.13</v>
      </c>
      <c r="P56" s="434">
        <f>IF(O56&lt;&gt;"",L56*O56*N56,"")</f>
        <v>2.2503650000000004</v>
      </c>
      <c r="Q56" s="435" t="e">
        <f>IF(P56&lt;&gt;"",P56*($E$12-$L$12),"")</f>
        <v>#REF!</v>
      </c>
      <c r="R56" s="32"/>
      <c r="AH56" s="28"/>
      <c r="AP56" s="17"/>
      <c r="AQ56" s="17"/>
      <c r="AR56" s="5"/>
      <c r="AS56" s="5"/>
      <c r="AT56" s="5"/>
      <c r="AU56" s="5"/>
      <c r="AV56" s="5"/>
    </row>
    <row r="57" spans="2:48" s="17" customFormat="1" x14ac:dyDescent="0.2">
      <c r="B57" s="291"/>
      <c r="C57" s="35"/>
      <c r="D57" s="48" t="str">
        <f>IF(ISNA(VLOOKUP(B57,BibliothèqueProjet!$A$6:$J$70,2,FALSE)) = TRUE, "", VLOOKUP(B57,BibliothèqueProjet!$A$6:$J$70,2,FALSE))</f>
        <v/>
      </c>
      <c r="E57" s="33"/>
      <c r="F57" s="503" t="s">
        <v>146</v>
      </c>
      <c r="G57" s="504"/>
      <c r="H57" s="505"/>
      <c r="I57" s="153"/>
      <c r="J57" s="375"/>
      <c r="K57" s="208"/>
      <c r="L57" s="364">
        <f t="shared" si="8"/>
        <v>0</v>
      </c>
      <c r="M57" s="352" t="str">
        <f t="shared" si="9"/>
        <v>-</v>
      </c>
      <c r="N57" s="430"/>
      <c r="O57" s="196" t="str">
        <f>IF(B57&lt;&gt;0,VLOOKUP(B57,BibliothèqueProjet!$A$5:$J$70,10,FALSE),"")</f>
        <v/>
      </c>
      <c r="P57" s="373" t="str">
        <f t="shared" ref="P57:P63" si="10">IF(O57&lt;&gt;"",L57*O57*N57,"")</f>
        <v/>
      </c>
      <c r="Q57" s="88" t="str">
        <f t="shared" ref="Q57:Q63" si="11">IF(P57&lt;&gt;"",P57*($E$12-$L$12),"")</f>
        <v/>
      </c>
      <c r="R57" s="15"/>
      <c r="AH57" s="10"/>
      <c r="AK57" s="1"/>
      <c r="AL57" s="7"/>
      <c r="AM57" s="16"/>
      <c r="AN57" s="5"/>
      <c r="AO57" s="5"/>
      <c r="AR57" s="18"/>
      <c r="AS57" s="18"/>
      <c r="AT57" s="18"/>
      <c r="AU57" s="18"/>
      <c r="AV57" s="18"/>
    </row>
    <row r="58" spans="2:48" s="17" customFormat="1" x14ac:dyDescent="0.2">
      <c r="B58" s="291"/>
      <c r="C58" s="35"/>
      <c r="D58" s="48" t="str">
        <f>IF(ISNA(VLOOKUP(B58,BibliothèqueProjet!$A$6:$J$70,2,FALSE)) = TRUE, "", VLOOKUP(B58,BibliothèqueProjet!$A$6:$J$70,2,FALSE))</f>
        <v/>
      </c>
      <c r="E58" s="33"/>
      <c r="F58" s="503" t="s">
        <v>146</v>
      </c>
      <c r="G58" s="504"/>
      <c r="H58" s="505"/>
      <c r="I58" s="153"/>
      <c r="J58" s="375"/>
      <c r="K58" s="208"/>
      <c r="L58" s="364">
        <f t="shared" si="8"/>
        <v>0</v>
      </c>
      <c r="M58" s="352" t="str">
        <f t="shared" si="9"/>
        <v>-</v>
      </c>
      <c r="N58" s="430"/>
      <c r="O58" s="196" t="str">
        <f>IF(B58&lt;&gt;0,VLOOKUP(B58,BibliothèqueProjet!$A$5:$J$70,10,FALSE),"")</f>
        <v/>
      </c>
      <c r="P58" s="373" t="str">
        <f t="shared" si="10"/>
        <v/>
      </c>
      <c r="Q58" s="88" t="str">
        <f t="shared" si="11"/>
        <v/>
      </c>
      <c r="R58" s="15"/>
      <c r="AH58" s="28"/>
      <c r="AK58" s="1"/>
      <c r="AL58" s="7"/>
      <c r="AM58" s="43"/>
      <c r="AN58" s="5"/>
      <c r="AO58" s="5"/>
    </row>
    <row r="59" spans="2:48" s="17" customFormat="1" x14ac:dyDescent="0.2">
      <c r="B59" s="291"/>
      <c r="C59" s="35"/>
      <c r="D59" s="48" t="str">
        <f>IF(ISNA(VLOOKUP(B59,BibliothèqueProjet!$A$6:$J$70,2,FALSE)) = TRUE, "", VLOOKUP(B59,BibliothèqueProjet!$A$6:$J$70,2,FALSE))</f>
        <v/>
      </c>
      <c r="E59" s="33"/>
      <c r="F59" s="503" t="s">
        <v>146</v>
      </c>
      <c r="G59" s="504"/>
      <c r="H59" s="505"/>
      <c r="I59" s="153"/>
      <c r="J59" s="375"/>
      <c r="K59" s="208"/>
      <c r="L59" s="364">
        <f t="shared" si="8"/>
        <v>0</v>
      </c>
      <c r="M59" s="352" t="str">
        <f t="shared" si="9"/>
        <v>-</v>
      </c>
      <c r="N59" s="430"/>
      <c r="O59" s="196" t="str">
        <f>IF(B59&lt;&gt;0,VLOOKUP(B59,BibliothèqueProjet!$A$5:$J$70,10,FALSE),"")</f>
        <v/>
      </c>
      <c r="P59" s="373" t="str">
        <f t="shared" si="10"/>
        <v/>
      </c>
      <c r="Q59" s="88" t="str">
        <f t="shared" si="11"/>
        <v/>
      </c>
      <c r="R59" s="15"/>
      <c r="AH59" s="28"/>
      <c r="AI59" s="18"/>
      <c r="AJ59" s="18"/>
      <c r="AK59" s="1"/>
      <c r="AL59" s="7"/>
      <c r="AM59" s="18"/>
      <c r="AN59" s="5"/>
      <c r="AO59" s="5"/>
    </row>
    <row r="60" spans="2:48" s="17" customFormat="1" ht="12" customHeight="1" x14ac:dyDescent="0.2">
      <c r="B60" s="291"/>
      <c r="C60" s="35"/>
      <c r="D60" s="48" t="str">
        <f>IF(ISNA(VLOOKUP(B60,BibliothèqueProjet!$A$6:$J$70,2,FALSE)) = TRUE, "", VLOOKUP(B60,BibliothèqueProjet!$A$6:$J$70,2,FALSE))</f>
        <v/>
      </c>
      <c r="E60" s="33"/>
      <c r="F60" s="503" t="s">
        <v>146</v>
      </c>
      <c r="G60" s="504"/>
      <c r="H60" s="505"/>
      <c r="I60" s="153"/>
      <c r="J60" s="375"/>
      <c r="K60" s="208"/>
      <c r="L60" s="364">
        <f t="shared" si="8"/>
        <v>0</v>
      </c>
      <c r="M60" s="352" t="str">
        <f t="shared" si="9"/>
        <v>-</v>
      </c>
      <c r="N60" s="430"/>
      <c r="O60" s="196" t="str">
        <f>IF(B60&lt;&gt;0,VLOOKUP(B60,BibliothèqueProjet!$A$5:$J$70,10,FALSE),"")</f>
        <v/>
      </c>
      <c r="P60" s="373" t="str">
        <f t="shared" si="10"/>
        <v/>
      </c>
      <c r="Q60" s="88" t="str">
        <f t="shared" si="11"/>
        <v/>
      </c>
      <c r="R60" s="15"/>
      <c r="AH60" s="28"/>
      <c r="AI60" s="16"/>
      <c r="AJ60" s="18"/>
      <c r="AO60" s="5"/>
    </row>
    <row r="61" spans="2:48" s="17" customFormat="1" ht="12" customHeight="1" x14ac:dyDescent="0.2">
      <c r="B61" s="292"/>
      <c r="C61" s="38"/>
      <c r="D61" s="48" t="str">
        <f>IF(ISNA(VLOOKUP(B61,BibliothèqueProjet!$A$6:$J$70,2,FALSE)) = TRUE, "", VLOOKUP(B61,BibliothèqueProjet!$A$6:$J$70,2,FALSE))</f>
        <v/>
      </c>
      <c r="E61" s="39"/>
      <c r="F61" s="503" t="s">
        <v>146</v>
      </c>
      <c r="G61" s="504"/>
      <c r="H61" s="505"/>
      <c r="I61" s="152"/>
      <c r="J61" s="376"/>
      <c r="K61" s="208"/>
      <c r="L61" s="364">
        <f t="shared" si="8"/>
        <v>0</v>
      </c>
      <c r="M61" s="352" t="str">
        <f t="shared" si="9"/>
        <v>-</v>
      </c>
      <c r="N61" s="345"/>
      <c r="O61" s="196" t="str">
        <f>IF(B61&lt;&gt;0,VLOOKUP(B61,BibliothèqueProjet!$A$5:$J$70,10,FALSE),"")</f>
        <v/>
      </c>
      <c r="P61" s="373" t="str">
        <f t="shared" si="10"/>
        <v/>
      </c>
      <c r="Q61" s="88" t="str">
        <f t="shared" si="11"/>
        <v/>
      </c>
      <c r="R61" s="15"/>
      <c r="AH61" s="28"/>
      <c r="AI61" s="16"/>
      <c r="AJ61" s="18"/>
      <c r="AO61" s="5"/>
    </row>
    <row r="62" spans="2:48" s="6" customFormat="1" ht="12.75" customHeight="1" x14ac:dyDescent="0.2">
      <c r="B62" s="292"/>
      <c r="C62" s="35"/>
      <c r="D62" s="48" t="str">
        <f>IF(ISNA(VLOOKUP(B62,BibliothèqueProjet!$A$6:$J$70,2,FALSE)) = TRUE, "", VLOOKUP(B62,BibliothèqueProjet!$A$6:$J$70,2,FALSE))</f>
        <v/>
      </c>
      <c r="E62" s="33"/>
      <c r="F62" s="503" t="s">
        <v>146</v>
      </c>
      <c r="G62" s="504"/>
      <c r="H62" s="505"/>
      <c r="I62" s="153"/>
      <c r="J62" s="375"/>
      <c r="K62" s="208"/>
      <c r="L62" s="364">
        <f t="shared" si="8"/>
        <v>0</v>
      </c>
      <c r="M62" s="352" t="str">
        <f t="shared" si="9"/>
        <v>-</v>
      </c>
      <c r="N62" s="345"/>
      <c r="O62" s="196" t="str">
        <f>IF(B62&lt;&gt;0,VLOOKUP(B62,BibliothèqueProjet!$A$5:$J$70,10,FALSE),"")</f>
        <v/>
      </c>
      <c r="P62" s="373" t="str">
        <f t="shared" si="10"/>
        <v/>
      </c>
      <c r="Q62" s="88" t="str">
        <f t="shared" si="11"/>
        <v/>
      </c>
      <c r="R62" s="32"/>
      <c r="AH62" s="34"/>
      <c r="AI62" s="31"/>
    </row>
    <row r="63" spans="2:48" s="17" customFormat="1" x14ac:dyDescent="0.2">
      <c r="B63" s="292"/>
      <c r="C63" s="38"/>
      <c r="D63" s="48" t="str">
        <f>IF(ISNA(VLOOKUP(B63,BibliothèqueProjet!$A$6:$J$70,2,FALSE)) = TRUE, "", VLOOKUP(B63,BibliothèqueProjet!$A$6:$J$70,2,FALSE))</f>
        <v/>
      </c>
      <c r="E63" s="33"/>
      <c r="F63" s="506" t="s">
        <v>146</v>
      </c>
      <c r="G63" s="507"/>
      <c r="H63" s="508"/>
      <c r="I63" s="153"/>
      <c r="J63" s="375"/>
      <c r="K63" s="208"/>
      <c r="L63" s="365">
        <f t="shared" si="8"/>
        <v>0</v>
      </c>
      <c r="M63" s="353" t="str">
        <f t="shared" si="9"/>
        <v>-</v>
      </c>
      <c r="N63" s="346"/>
      <c r="O63" s="440" t="str">
        <f>IF(B63&lt;&gt;0,VLOOKUP(B63,BibliothèqueProjet!$A$5:$J$70,10,FALSE),"")</f>
        <v/>
      </c>
      <c r="P63" s="438" t="str">
        <f t="shared" si="10"/>
        <v/>
      </c>
      <c r="Q63" s="439" t="str">
        <f t="shared" si="11"/>
        <v/>
      </c>
      <c r="R63" s="15"/>
      <c r="AH63" s="28"/>
    </row>
    <row r="64" spans="2:48" s="17" customFormat="1" ht="15" x14ac:dyDescent="0.25">
      <c r="B64" s="76" t="s">
        <v>42</v>
      </c>
      <c r="C64" s="56"/>
      <c r="D64" s="77"/>
      <c r="E64" s="56"/>
      <c r="F64" s="56"/>
      <c r="G64" s="56"/>
      <c r="H64" s="78"/>
      <c r="I64" s="79"/>
      <c r="J64" s="80"/>
      <c r="K64" s="78"/>
      <c r="L64" s="79"/>
      <c r="M64" s="86"/>
      <c r="N64" s="81"/>
      <c r="O64" s="82" t="s">
        <v>9</v>
      </c>
      <c r="P64" s="268">
        <f>SUM(P56:P63)</f>
        <v>2.2503650000000004</v>
      </c>
      <c r="Q64" s="268" t="e">
        <f>SUM(Q56:Q63)</f>
        <v>#REF!</v>
      </c>
      <c r="R64" s="15"/>
      <c r="AH64" s="28"/>
    </row>
    <row r="65" spans="2:48" s="17" customFormat="1" ht="15" x14ac:dyDescent="0.25">
      <c r="B65" s="162"/>
      <c r="C65" s="75"/>
      <c r="D65" s="163"/>
      <c r="E65" s="75"/>
      <c r="F65" s="75"/>
      <c r="G65" s="75"/>
      <c r="H65" s="84"/>
      <c r="I65" s="85"/>
      <c r="J65" s="164"/>
      <c r="K65" s="84"/>
      <c r="L65" s="85"/>
      <c r="M65" s="85"/>
      <c r="N65" s="85"/>
      <c r="O65" s="165"/>
      <c r="P65" s="166"/>
      <c r="Q65" s="167"/>
      <c r="R65" s="15"/>
      <c r="AH65" s="28"/>
    </row>
    <row r="66" spans="2:48" s="17" customFormat="1" x14ac:dyDescent="0.2">
      <c r="B66" s="253" t="s">
        <v>178</v>
      </c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5"/>
      <c r="R66" s="15"/>
    </row>
    <row r="67" spans="2:48" s="17" customFormat="1" ht="28.5" customHeight="1" x14ac:dyDescent="0.2">
      <c r="B67" s="241" t="s">
        <v>25</v>
      </c>
      <c r="C67" s="242" t="s">
        <v>14</v>
      </c>
      <c r="D67" s="497" t="s">
        <v>26</v>
      </c>
      <c r="E67" s="509"/>
      <c r="F67" s="510" t="s">
        <v>172</v>
      </c>
      <c r="G67" s="509"/>
      <c r="H67" s="511"/>
      <c r="I67" s="243"/>
      <c r="J67" s="242"/>
      <c r="K67" s="242"/>
      <c r="L67" s="243" t="s">
        <v>0</v>
      </c>
      <c r="M67" s="497" t="s">
        <v>173</v>
      </c>
      <c r="N67" s="498"/>
      <c r="O67" s="244" t="s">
        <v>181</v>
      </c>
      <c r="P67" s="245" t="s">
        <v>17</v>
      </c>
      <c r="Q67" s="246" t="s">
        <v>18</v>
      </c>
      <c r="R67" s="41"/>
    </row>
    <row r="68" spans="2:48" x14ac:dyDescent="0.2">
      <c r="B68" s="189" t="s">
        <v>2</v>
      </c>
      <c r="C68" s="172"/>
      <c r="D68" s="173"/>
      <c r="E68" s="172"/>
      <c r="F68" s="172"/>
      <c r="G68" s="174"/>
      <c r="H68" s="174"/>
      <c r="I68" s="170"/>
      <c r="J68" s="170"/>
      <c r="K68" s="169"/>
      <c r="L68" s="172" t="s">
        <v>3</v>
      </c>
      <c r="M68" s="499" t="s">
        <v>7</v>
      </c>
      <c r="N68" s="499"/>
      <c r="O68" s="198" t="s">
        <v>182</v>
      </c>
      <c r="P68" s="171" t="s">
        <v>6</v>
      </c>
      <c r="Q68" s="374" t="s">
        <v>141</v>
      </c>
    </row>
    <row r="69" spans="2:48" s="8" customFormat="1" x14ac:dyDescent="0.2">
      <c r="B69" s="289" t="s">
        <v>80</v>
      </c>
      <c r="C69" s="35" t="s">
        <v>44</v>
      </c>
      <c r="D69" s="48" t="str">
        <f>IF(ISNA(VLOOKUP(B69,BibliothèqueProjet!$A$6:$J$70,2,FALSE)) = TRUE, "", VLOOKUP(B69,BibliothèqueProjet!$A$6:$J$70,2,FALSE))</f>
        <v>Linéique</v>
      </c>
      <c r="E69" s="33"/>
      <c r="F69" s="500" t="s">
        <v>175</v>
      </c>
      <c r="G69" s="501"/>
      <c r="H69" s="502"/>
      <c r="I69" s="37"/>
      <c r="J69" s="46"/>
      <c r="K69" s="36"/>
      <c r="L69" s="367">
        <v>2.75</v>
      </c>
      <c r="M69" s="351">
        <f>VLOOKUP(F69,$AZ$9:$BA$13,2,FALSE)</f>
        <v>1</v>
      </c>
      <c r="N69" s="369">
        <v>1</v>
      </c>
      <c r="O69" s="433">
        <f>IF(B69&lt;&gt;0,VLOOKUP(B69,BibliothèqueProjet!$A$5:$J$70,10,FALSE),"")</f>
        <v>0.1</v>
      </c>
      <c r="P69" s="434">
        <f>IF(O69&lt;&gt;"",O69*L69*N69,"")</f>
        <v>0.27500000000000002</v>
      </c>
      <c r="Q69" s="435" t="e">
        <f>IF(P69&lt;&gt;"",P69*($E$12-$L$12),"")</f>
        <v>#REF!</v>
      </c>
      <c r="R69" s="29"/>
      <c r="AH69" s="21"/>
      <c r="AI69" s="6"/>
      <c r="AJ69" s="6"/>
      <c r="AK69" s="6"/>
      <c r="AL69" s="6"/>
      <c r="AM69" s="6"/>
      <c r="AN69" s="6"/>
      <c r="AP69" s="6"/>
      <c r="AQ69" s="17"/>
      <c r="AS69" s="21"/>
      <c r="AT69" s="21"/>
      <c r="AU69" s="21"/>
      <c r="AV69" s="21"/>
    </row>
    <row r="70" spans="2:48" s="8" customFormat="1" x14ac:dyDescent="0.2">
      <c r="B70" s="289"/>
      <c r="C70" s="35"/>
      <c r="D70" s="48" t="str">
        <f>IF(ISNA(VLOOKUP(B70,BibliothèqueProjet!$A$6:$J$70,2,FALSE)) = TRUE, "", VLOOKUP(B70,BibliothèqueProjet!$A$6:$J$70,2,FALSE))</f>
        <v/>
      </c>
      <c r="E70" s="33"/>
      <c r="F70" s="491" t="s">
        <v>146</v>
      </c>
      <c r="G70" s="492"/>
      <c r="H70" s="493"/>
      <c r="I70" s="37"/>
      <c r="J70" s="46"/>
      <c r="K70" s="36"/>
      <c r="L70" s="431"/>
      <c r="M70" s="352" t="str">
        <f t="shared" ref="M70:M75" si="12">VLOOKUP(F70,$AZ$9:$BA$13,2,FALSE)</f>
        <v>-</v>
      </c>
      <c r="N70" s="432"/>
      <c r="O70" s="436" t="str">
        <f>IF(B70&lt;&gt;0,VLOOKUP(B70,BibliothèqueProjet!$A$5:$J$70,10,FALSE),"")</f>
        <v/>
      </c>
      <c r="P70" s="373" t="str">
        <f t="shared" ref="P70:P78" si="13">IF(O70&lt;&gt;"",O70*L70*N70,"")</f>
        <v/>
      </c>
      <c r="Q70" s="88" t="str">
        <f t="shared" ref="Q70:Q78" si="14">IF(P70&lt;&gt;"",P70*($E$12-$L$12),"")</f>
        <v/>
      </c>
      <c r="R70" s="29"/>
      <c r="AH70" s="21"/>
      <c r="AI70" s="6"/>
      <c r="AJ70" s="6"/>
      <c r="AK70" s="6"/>
      <c r="AL70" s="6"/>
      <c r="AM70" s="6"/>
      <c r="AN70" s="6"/>
      <c r="AP70" s="6"/>
      <c r="AQ70" s="17"/>
      <c r="AS70" s="21"/>
      <c r="AT70" s="21"/>
      <c r="AU70" s="21"/>
      <c r="AV70" s="21"/>
    </row>
    <row r="71" spans="2:48" s="8" customFormat="1" x14ac:dyDescent="0.2">
      <c r="B71" s="289"/>
      <c r="C71" s="35"/>
      <c r="D71" s="48" t="str">
        <f>IF(ISNA(VLOOKUP(B71,BibliothèqueProjet!$A$6:$J$70,2,FALSE)) = TRUE, "", VLOOKUP(B71,BibliothèqueProjet!$A$6:$J$70,2,FALSE))</f>
        <v/>
      </c>
      <c r="E71" s="33"/>
      <c r="F71" s="491" t="s">
        <v>146</v>
      </c>
      <c r="G71" s="492"/>
      <c r="H71" s="493"/>
      <c r="I71" s="37"/>
      <c r="J71" s="46"/>
      <c r="K71" s="36"/>
      <c r="L71" s="431"/>
      <c r="M71" s="352" t="str">
        <f t="shared" si="12"/>
        <v>-</v>
      </c>
      <c r="N71" s="432"/>
      <c r="O71" s="436" t="str">
        <f>IF(B71&lt;&gt;0,VLOOKUP(B71,BibliothèqueProjet!$A$5:$J$70,10,FALSE),"")</f>
        <v/>
      </c>
      <c r="P71" s="373" t="str">
        <f t="shared" si="13"/>
        <v/>
      </c>
      <c r="Q71" s="88" t="str">
        <f t="shared" si="14"/>
        <v/>
      </c>
      <c r="R71" s="29"/>
      <c r="AH71" s="21"/>
      <c r="AI71" s="6"/>
      <c r="AJ71" s="6"/>
      <c r="AK71" s="6"/>
      <c r="AL71" s="6"/>
      <c r="AM71" s="6"/>
      <c r="AN71" s="6"/>
      <c r="AP71" s="6"/>
      <c r="AQ71" s="17"/>
      <c r="AS71" s="21"/>
      <c r="AT71" s="21"/>
      <c r="AU71" s="21"/>
      <c r="AV71" s="21"/>
    </row>
    <row r="72" spans="2:48" s="8" customFormat="1" x14ac:dyDescent="0.2">
      <c r="B72" s="289"/>
      <c r="C72" s="35"/>
      <c r="D72" s="48" t="str">
        <f>IF(ISNA(VLOOKUP(B72,BibliothèqueProjet!$A$6:$J$70,2,FALSE)) = TRUE, "", VLOOKUP(B72,BibliothèqueProjet!$A$6:$J$70,2,FALSE))</f>
        <v/>
      </c>
      <c r="E72" s="33"/>
      <c r="F72" s="491" t="s">
        <v>146</v>
      </c>
      <c r="G72" s="492"/>
      <c r="H72" s="493"/>
      <c r="I72" s="37"/>
      <c r="J72" s="46"/>
      <c r="K72" s="36"/>
      <c r="L72" s="431"/>
      <c r="M72" s="352" t="str">
        <f t="shared" si="12"/>
        <v>-</v>
      </c>
      <c r="N72" s="432"/>
      <c r="O72" s="436" t="str">
        <f>IF(B72&lt;&gt;0,VLOOKUP(B72,BibliothèqueProjet!$A$5:$J$70,10,FALSE),"")</f>
        <v/>
      </c>
      <c r="P72" s="373" t="str">
        <f t="shared" si="13"/>
        <v/>
      </c>
      <c r="Q72" s="88" t="str">
        <f t="shared" si="14"/>
        <v/>
      </c>
      <c r="R72" s="29"/>
      <c r="AH72" s="21"/>
      <c r="AI72" s="6"/>
      <c r="AJ72" s="6"/>
      <c r="AK72" s="6"/>
      <c r="AL72" s="6"/>
      <c r="AM72" s="6"/>
      <c r="AN72" s="6"/>
      <c r="AP72" s="6"/>
      <c r="AQ72" s="17"/>
      <c r="AS72" s="21"/>
      <c r="AT72" s="21"/>
      <c r="AU72" s="21"/>
      <c r="AV72" s="21"/>
    </row>
    <row r="73" spans="2:48" s="8" customFormat="1" x14ac:dyDescent="0.2">
      <c r="B73" s="289"/>
      <c r="C73" s="35"/>
      <c r="D73" s="48" t="str">
        <f>IF(ISNA(VLOOKUP(B73,BibliothèqueProjet!$A$6:$J$70,2,FALSE)) = TRUE, "", VLOOKUP(B73,BibliothèqueProjet!$A$6:$J$70,2,FALSE))</f>
        <v/>
      </c>
      <c r="E73" s="33"/>
      <c r="F73" s="491" t="s">
        <v>146</v>
      </c>
      <c r="G73" s="492"/>
      <c r="H73" s="493"/>
      <c r="I73" s="37"/>
      <c r="J73" s="46"/>
      <c r="K73" s="36"/>
      <c r="L73" s="431"/>
      <c r="M73" s="352" t="str">
        <f t="shared" si="12"/>
        <v>-</v>
      </c>
      <c r="N73" s="432"/>
      <c r="O73" s="436" t="str">
        <f>IF(B73&lt;&gt;0,VLOOKUP(B73,BibliothèqueProjet!$A$5:$J$70,10,FALSE),"")</f>
        <v/>
      </c>
      <c r="P73" s="373" t="str">
        <f t="shared" si="13"/>
        <v/>
      </c>
      <c r="Q73" s="88" t="str">
        <f t="shared" si="14"/>
        <v/>
      </c>
      <c r="R73" s="29"/>
      <c r="AH73" s="21"/>
      <c r="AI73" s="6"/>
      <c r="AJ73" s="6"/>
      <c r="AK73" s="6"/>
      <c r="AL73" s="6"/>
      <c r="AM73" s="6"/>
      <c r="AN73" s="6"/>
      <c r="AP73" s="6"/>
      <c r="AQ73" s="17"/>
      <c r="AS73" s="21"/>
      <c r="AT73" s="21"/>
      <c r="AU73" s="21"/>
      <c r="AV73" s="21"/>
    </row>
    <row r="74" spans="2:48" s="8" customFormat="1" x14ac:dyDescent="0.2">
      <c r="B74" s="289"/>
      <c r="C74" s="35"/>
      <c r="D74" s="48" t="str">
        <f>IF(ISNA(VLOOKUP(B74,BibliothèqueProjet!$A$6:$J$70,2,FALSE)) = TRUE, "", VLOOKUP(B74,BibliothèqueProjet!$A$6:$J$70,2,FALSE))</f>
        <v/>
      </c>
      <c r="E74" s="33"/>
      <c r="F74" s="491" t="s">
        <v>146</v>
      </c>
      <c r="G74" s="492"/>
      <c r="H74" s="493"/>
      <c r="I74" s="37"/>
      <c r="J74" s="46"/>
      <c r="K74" s="36"/>
      <c r="L74" s="431"/>
      <c r="M74" s="352" t="str">
        <f t="shared" si="12"/>
        <v>-</v>
      </c>
      <c r="N74" s="432"/>
      <c r="O74" s="436" t="str">
        <f>IF(B74&lt;&gt;0,VLOOKUP(B74,BibliothèqueProjet!$A$5:$J$70,10,FALSE),"")</f>
        <v/>
      </c>
      <c r="P74" s="373" t="str">
        <f t="shared" si="13"/>
        <v/>
      </c>
      <c r="Q74" s="88" t="str">
        <f t="shared" si="14"/>
        <v/>
      </c>
      <c r="R74" s="29"/>
      <c r="AH74" s="21"/>
      <c r="AI74" s="6"/>
      <c r="AJ74" s="6"/>
      <c r="AK74" s="6"/>
      <c r="AL74" s="6"/>
      <c r="AM74" s="6"/>
      <c r="AN74" s="6"/>
      <c r="AP74" s="6"/>
      <c r="AQ74" s="17"/>
      <c r="AS74" s="21"/>
      <c r="AT74" s="21"/>
      <c r="AU74" s="21"/>
      <c r="AV74" s="21"/>
    </row>
    <row r="75" spans="2:48" s="8" customFormat="1" x14ac:dyDescent="0.2">
      <c r="B75" s="289"/>
      <c r="C75" s="35"/>
      <c r="D75" s="48" t="str">
        <f>IF(ISNA(VLOOKUP(B75,BibliothèqueProjet!$A$6:$J$70,2,FALSE)) = TRUE, "", VLOOKUP(B75,BibliothèqueProjet!$A$6:$J$70,2,FALSE))</f>
        <v/>
      </c>
      <c r="E75" s="33"/>
      <c r="F75" s="491" t="s">
        <v>146</v>
      </c>
      <c r="G75" s="492"/>
      <c r="H75" s="493"/>
      <c r="I75" s="37"/>
      <c r="J75" s="46"/>
      <c r="K75" s="36"/>
      <c r="L75" s="431"/>
      <c r="M75" s="352" t="str">
        <f t="shared" si="12"/>
        <v>-</v>
      </c>
      <c r="N75" s="432"/>
      <c r="O75" s="436" t="str">
        <f>IF(B75&lt;&gt;0,VLOOKUP(B75,BibliothèqueProjet!$A$5:$J$70,10,FALSE),"")</f>
        <v/>
      </c>
      <c r="P75" s="373" t="str">
        <f t="shared" si="13"/>
        <v/>
      </c>
      <c r="Q75" s="88" t="str">
        <f t="shared" si="14"/>
        <v/>
      </c>
      <c r="R75" s="29"/>
      <c r="AH75" s="21"/>
      <c r="AI75" s="6"/>
      <c r="AJ75" s="6"/>
      <c r="AK75" s="6"/>
      <c r="AL75" s="6"/>
      <c r="AM75" s="6"/>
      <c r="AN75" s="6"/>
      <c r="AP75" s="6"/>
      <c r="AQ75" s="17"/>
      <c r="AS75" s="21"/>
      <c r="AT75" s="21"/>
      <c r="AU75" s="21"/>
      <c r="AV75" s="21"/>
    </row>
    <row r="76" spans="2:48" s="6" customFormat="1" x14ac:dyDescent="0.2">
      <c r="B76" s="290"/>
      <c r="C76" s="38"/>
      <c r="D76" s="48" t="str">
        <f>IF(ISNA(VLOOKUP(B76,BibliothèqueProjet!$A$6:$J$70,2,FALSE)) = TRUE, "", VLOOKUP(B76,BibliothèqueProjet!$A$6:$J$70,2,FALSE))</f>
        <v/>
      </c>
      <c r="E76" s="39"/>
      <c r="F76" s="491" t="s">
        <v>146</v>
      </c>
      <c r="G76" s="492"/>
      <c r="H76" s="493"/>
      <c r="I76" s="26"/>
      <c r="J76" s="47"/>
      <c r="K76" s="36"/>
      <c r="L76" s="368"/>
      <c r="M76" s="352" t="str">
        <f>VLOOKUP(F76,$AZ$9:$BA$13,2,FALSE)</f>
        <v>-</v>
      </c>
      <c r="N76" s="370"/>
      <c r="O76" s="436" t="str">
        <f>IF(B76&lt;&gt;0,VLOOKUP(B76,BibliothèqueProjet!$A$5:$J$70,10,FALSE),"")</f>
        <v/>
      </c>
      <c r="P76" s="373" t="str">
        <f t="shared" si="13"/>
        <v/>
      </c>
      <c r="Q76" s="88" t="str">
        <f t="shared" si="14"/>
        <v/>
      </c>
      <c r="R76" s="32"/>
      <c r="AH76" s="28"/>
      <c r="AI76" s="17"/>
      <c r="AJ76" s="17"/>
      <c r="AK76" s="1"/>
      <c r="AL76" s="1"/>
      <c r="AM76" s="17"/>
      <c r="AN76" s="5"/>
      <c r="AO76" s="18"/>
      <c r="AP76" s="17"/>
      <c r="AQ76" s="17"/>
      <c r="AR76" s="5"/>
      <c r="AS76" s="5"/>
      <c r="AT76" s="5"/>
      <c r="AU76" s="5"/>
      <c r="AV76" s="5"/>
    </row>
    <row r="77" spans="2:48" s="17" customFormat="1" ht="13.5" customHeight="1" x14ac:dyDescent="0.2">
      <c r="B77" s="290"/>
      <c r="C77" s="35"/>
      <c r="D77" s="48" t="str">
        <f>IF(ISNA(VLOOKUP(B77,BibliothèqueProjet!$A$6:$J$70,2,FALSE)) = TRUE, "", VLOOKUP(B77,BibliothèqueProjet!$A$6:$J$70,2,FALSE))</f>
        <v/>
      </c>
      <c r="E77" s="33"/>
      <c r="F77" s="491" t="s">
        <v>146</v>
      </c>
      <c r="G77" s="492"/>
      <c r="H77" s="493"/>
      <c r="I77" s="37"/>
      <c r="J77" s="46"/>
      <c r="K77" s="36"/>
      <c r="L77" s="368"/>
      <c r="M77" s="352" t="str">
        <f>VLOOKUP(F77,$AZ$9:$BA$13,2,FALSE)</f>
        <v>-</v>
      </c>
      <c r="N77" s="370"/>
      <c r="O77" s="436" t="str">
        <f>IF(B77&lt;&gt;0,VLOOKUP(B77,BibliothèqueProjet!$A$5:$J$70,10,FALSE),"")</f>
        <v/>
      </c>
      <c r="P77" s="373" t="str">
        <f t="shared" si="13"/>
        <v/>
      </c>
      <c r="Q77" s="88" t="str">
        <f t="shared" si="14"/>
        <v/>
      </c>
      <c r="R77" s="15"/>
      <c r="AH77" s="10"/>
      <c r="AK77" s="1"/>
      <c r="AL77" s="7"/>
      <c r="AM77" s="16"/>
      <c r="AN77" s="5"/>
      <c r="AO77" s="5"/>
      <c r="AR77" s="18"/>
      <c r="AS77" s="18"/>
      <c r="AT77" s="18"/>
      <c r="AU77" s="18"/>
      <c r="AV77" s="18"/>
    </row>
    <row r="78" spans="2:48" s="17" customFormat="1" x14ac:dyDescent="0.2">
      <c r="B78" s="290"/>
      <c r="C78" s="38"/>
      <c r="D78" s="48" t="str">
        <f>IF(ISNA(VLOOKUP(B78,BibliothèqueProjet!$A$6:$J$70,2,FALSE)) = TRUE, "", VLOOKUP(B78,BibliothèqueProjet!$A$6:$J$70,2,FALSE))</f>
        <v/>
      </c>
      <c r="E78" s="33"/>
      <c r="F78" s="494" t="s">
        <v>146</v>
      </c>
      <c r="G78" s="495"/>
      <c r="H78" s="496"/>
      <c r="I78" s="37"/>
      <c r="J78" s="46"/>
      <c r="K78" s="36"/>
      <c r="L78" s="368"/>
      <c r="M78" s="353" t="str">
        <f>VLOOKUP(F78,$AZ$9:$BA$13,2,FALSE)</f>
        <v>-</v>
      </c>
      <c r="N78" s="371" t="str">
        <f>IF(B78&lt;&gt;0,VLOOKUP(B78,BibliothèqueProjet!$A$5:$J$70,10,FALSE),"")</f>
        <v/>
      </c>
      <c r="O78" s="437" t="str">
        <f>IF(B78&lt;&gt;0,VLOOKUP(B78,BibliothèqueProjet!$A$5:$J$70,10,FALSE),"")</f>
        <v/>
      </c>
      <c r="P78" s="438" t="str">
        <f t="shared" si="13"/>
        <v/>
      </c>
      <c r="Q78" s="439" t="str">
        <f t="shared" si="14"/>
        <v/>
      </c>
      <c r="R78" s="15"/>
      <c r="AH78" s="28"/>
      <c r="AK78" s="1"/>
      <c r="AL78" s="7"/>
      <c r="AM78" s="43"/>
      <c r="AN78" s="5"/>
      <c r="AO78" s="5"/>
    </row>
    <row r="79" spans="2:48" s="17" customFormat="1" ht="15" x14ac:dyDescent="0.25">
      <c r="B79" s="76" t="s">
        <v>42</v>
      </c>
      <c r="C79" s="56"/>
      <c r="D79" s="77"/>
      <c r="E79" s="56"/>
      <c r="F79" s="56"/>
      <c r="G79" s="56"/>
      <c r="H79" s="78"/>
      <c r="I79" s="79"/>
      <c r="J79" s="80"/>
      <c r="K79" s="78"/>
      <c r="L79" s="79"/>
      <c r="M79" s="79"/>
      <c r="N79" s="81"/>
      <c r="O79" s="82" t="s">
        <v>9</v>
      </c>
      <c r="P79" s="268">
        <f>SUM(P69:P78)</f>
        <v>0.27500000000000002</v>
      </c>
      <c r="Q79" s="268" t="e">
        <f>SUM(Q69:Q78)</f>
        <v>#REF!</v>
      </c>
      <c r="R79" s="15"/>
      <c r="AH79" s="28"/>
      <c r="AI79" s="18"/>
      <c r="AJ79" s="18"/>
      <c r="AK79" s="1"/>
      <c r="AL79" s="7"/>
      <c r="AM79" s="18"/>
      <c r="AN79" s="5"/>
      <c r="AO79" s="5"/>
    </row>
    <row r="80" spans="2:48" s="17" customFormat="1" ht="12" x14ac:dyDescent="0.2">
      <c r="B80" s="162"/>
      <c r="C80" s="75"/>
      <c r="D80" s="163"/>
      <c r="E80" s="75"/>
      <c r="F80" s="75"/>
      <c r="G80" s="75"/>
      <c r="H80" s="84"/>
      <c r="I80" s="85"/>
      <c r="J80" s="164"/>
      <c r="K80" s="84"/>
      <c r="L80" s="85"/>
      <c r="M80" s="85"/>
      <c r="N80" s="85"/>
      <c r="O80" s="85"/>
      <c r="P80" s="166"/>
      <c r="Q80" s="167"/>
      <c r="R80" s="15"/>
      <c r="AH80" s="28"/>
      <c r="AI80" s="16"/>
      <c r="AJ80" s="18"/>
      <c r="AO80" s="5"/>
    </row>
    <row r="81" spans="1:48" s="17" customFormat="1" ht="12" customHeight="1" x14ac:dyDescent="0.2">
      <c r="A81" s="6"/>
      <c r="B81" s="259" t="s">
        <v>31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1"/>
      <c r="R81" s="15"/>
      <c r="AH81" s="28"/>
      <c r="AI81" s="16"/>
      <c r="AJ81" s="18"/>
      <c r="AO81" s="5"/>
    </row>
    <row r="82" spans="1:48" s="6" customFormat="1" ht="12.75" customHeight="1" x14ac:dyDescent="0.2">
      <c r="A82" s="17"/>
      <c r="B82" s="283" t="s">
        <v>142</v>
      </c>
      <c r="C82" s="284"/>
      <c r="D82" s="284"/>
      <c r="E82" s="284"/>
      <c r="F82" s="284"/>
      <c r="G82" s="284"/>
      <c r="H82" s="105"/>
      <c r="I82" s="105"/>
      <c r="J82" s="105"/>
      <c r="K82" s="284"/>
      <c r="L82" s="284"/>
      <c r="M82" s="284"/>
      <c r="N82" s="284"/>
      <c r="O82" s="482" t="s">
        <v>143</v>
      </c>
      <c r="P82" s="482"/>
      <c r="Q82" s="483"/>
      <c r="R82" s="32"/>
      <c r="AH82" s="34"/>
      <c r="AI82" s="31"/>
    </row>
    <row r="83" spans="1:48" s="17" customFormat="1" x14ac:dyDescent="0.2">
      <c r="B83" s="204" t="s">
        <v>100</v>
      </c>
      <c r="C83" s="205"/>
      <c r="D83" s="205"/>
      <c r="E83" s="206"/>
      <c r="F83" s="206"/>
      <c r="G83" s="206"/>
      <c r="H83" s="90"/>
      <c r="I83" s="90"/>
      <c r="J83" s="90"/>
      <c r="K83" s="92"/>
      <c r="L83" s="92"/>
      <c r="M83" s="92"/>
      <c r="N83" s="92"/>
      <c r="O83" s="484" t="s">
        <v>102</v>
      </c>
      <c r="P83" s="484"/>
      <c r="Q83" s="485"/>
      <c r="R83" s="15"/>
      <c r="AH83" s="28"/>
    </row>
    <row r="84" spans="1:48" s="17" customFormat="1" x14ac:dyDescent="0.2">
      <c r="B84" s="207" t="s">
        <v>92</v>
      </c>
      <c r="C84" s="205"/>
      <c r="D84" s="205"/>
      <c r="E84" s="205"/>
      <c r="F84" s="205"/>
      <c r="G84" s="205"/>
      <c r="H84" s="90"/>
      <c r="I84" s="90"/>
      <c r="J84" s="90"/>
      <c r="K84" s="92"/>
      <c r="L84" s="92"/>
      <c r="M84" s="92"/>
      <c r="N84" s="92"/>
      <c r="O84" s="484" t="s">
        <v>110</v>
      </c>
      <c r="P84" s="484"/>
      <c r="Q84" s="485"/>
      <c r="R84" s="15"/>
      <c r="AH84" s="28"/>
    </row>
    <row r="85" spans="1:48" s="17" customFormat="1" x14ac:dyDescent="0.2">
      <c r="B85" s="207" t="s">
        <v>112</v>
      </c>
      <c r="C85" s="205"/>
      <c r="D85" s="205"/>
      <c r="E85" s="205"/>
      <c r="F85" s="205"/>
      <c r="G85" s="205"/>
      <c r="H85" s="90"/>
      <c r="I85" s="90"/>
      <c r="J85" s="90"/>
      <c r="K85" s="92"/>
      <c r="L85" s="92"/>
      <c r="M85" s="92"/>
      <c r="N85" s="92"/>
      <c r="O85" s="484" t="s">
        <v>113</v>
      </c>
      <c r="P85" s="484"/>
      <c r="Q85" s="485"/>
      <c r="R85" s="15"/>
      <c r="AH85" s="28" t="s">
        <v>169</v>
      </c>
    </row>
    <row r="86" spans="1:48" s="17" customFormat="1" x14ac:dyDescent="0.2">
      <c r="B86" s="285" t="s">
        <v>103</v>
      </c>
      <c r="C86" s="286"/>
      <c r="D86" s="286"/>
      <c r="E86" s="286"/>
      <c r="F86" s="286"/>
      <c r="G86" s="286"/>
      <c r="H86" s="287"/>
      <c r="I86" s="287"/>
      <c r="J86" s="287"/>
      <c r="K86" s="288"/>
      <c r="L86" s="288"/>
      <c r="M86" s="288"/>
      <c r="N86" s="288"/>
      <c r="O86" s="486" t="s">
        <v>110</v>
      </c>
      <c r="P86" s="486"/>
      <c r="Q86" s="487"/>
      <c r="R86" s="15"/>
      <c r="AH86" s="28"/>
    </row>
    <row r="87" spans="1:48" s="17" customFormat="1" x14ac:dyDescent="0.2">
      <c r="B87" s="15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270"/>
      <c r="R87" s="15"/>
    </row>
    <row r="88" spans="1:48" s="17" customFormat="1" ht="12" x14ac:dyDescent="0.2">
      <c r="B88" s="159" t="s">
        <v>115</v>
      </c>
      <c r="C88" s="103"/>
      <c r="D88" s="103"/>
      <c r="E88" s="160"/>
      <c r="F88" s="100"/>
      <c r="G88" s="159" t="s">
        <v>116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61"/>
      <c r="R88" s="41"/>
    </row>
    <row r="89" spans="1:48" s="17" customFormat="1" ht="16.5" customHeight="1" x14ac:dyDescent="0.3">
      <c r="A89" s="8"/>
      <c r="B89" s="101"/>
      <c r="C89" s="18"/>
      <c r="D89" s="18"/>
      <c r="E89" s="18"/>
      <c r="F89" s="100"/>
      <c r="G89" s="101" t="s">
        <v>201</v>
      </c>
      <c r="H89" s="18"/>
      <c r="I89" s="18"/>
      <c r="J89" s="358">
        <v>0</v>
      </c>
      <c r="K89" s="359" t="s">
        <v>122</v>
      </c>
      <c r="L89" s="358" t="e">
        <f>+J89*E12</f>
        <v>#REF!</v>
      </c>
      <c r="M89" s="18"/>
      <c r="N89" s="18"/>
      <c r="O89" s="18"/>
      <c r="P89" s="18"/>
      <c r="Q89" s="357"/>
      <c r="R89" s="41"/>
    </row>
    <row r="90" spans="1:48" s="8" customFormat="1" x14ac:dyDescent="0.2">
      <c r="A90" s="6"/>
      <c r="B90" s="101" t="s">
        <v>34</v>
      </c>
      <c r="C90" s="18"/>
      <c r="D90" s="18"/>
      <c r="E90" s="18"/>
      <c r="F90" s="100"/>
      <c r="G90" s="232" t="s">
        <v>117</v>
      </c>
      <c r="H90" s="131"/>
      <c r="I90" s="360"/>
      <c r="J90" s="361"/>
      <c r="K90" s="232" t="s">
        <v>118</v>
      </c>
      <c r="L90" s="105"/>
      <c r="M90" s="105"/>
      <c r="N90" s="105"/>
      <c r="O90" s="105"/>
      <c r="P90" s="105"/>
      <c r="Q90" s="362"/>
      <c r="R90" s="29"/>
      <c r="AH90" s="21"/>
      <c r="AI90" s="6"/>
      <c r="AJ90" s="6"/>
      <c r="AK90" s="6"/>
      <c r="AL90" s="6"/>
      <c r="AM90" s="6"/>
      <c r="AN90" s="6"/>
      <c r="AP90" s="6"/>
      <c r="AQ90" s="17"/>
      <c r="AS90" s="21"/>
      <c r="AT90" s="21"/>
      <c r="AU90" s="21"/>
      <c r="AV90" s="21"/>
    </row>
    <row r="91" spans="1:48" s="6" customFormat="1" ht="15" x14ac:dyDescent="0.3">
      <c r="A91" s="17"/>
      <c r="B91" s="452" t="s">
        <v>119</v>
      </c>
      <c r="C91" s="106" t="s">
        <v>120</v>
      </c>
      <c r="D91" s="107" t="s">
        <v>120</v>
      </c>
      <c r="E91" s="108" t="s">
        <v>121</v>
      </c>
      <c r="F91" s="100"/>
      <c r="G91" s="109" t="s">
        <v>122</v>
      </c>
      <c r="H91" s="453" t="s">
        <v>123</v>
      </c>
      <c r="I91" s="453" t="s">
        <v>124</v>
      </c>
      <c r="J91" s="454" t="s">
        <v>125</v>
      </c>
      <c r="K91" s="110" t="s">
        <v>23</v>
      </c>
      <c r="L91" s="90"/>
      <c r="M91" s="111"/>
      <c r="N91" s="107" t="s">
        <v>126</v>
      </c>
      <c r="O91" s="453" t="s">
        <v>127</v>
      </c>
      <c r="P91" s="453" t="s">
        <v>124</v>
      </c>
      <c r="Q91" s="454" t="s">
        <v>125</v>
      </c>
      <c r="R91" s="32"/>
      <c r="AH91" s="28"/>
      <c r="AI91" s="17"/>
      <c r="AJ91" s="17"/>
      <c r="AK91" s="1"/>
      <c r="AL91" s="1"/>
      <c r="AM91" s="17"/>
      <c r="AN91" s="5"/>
      <c r="AO91" s="18"/>
      <c r="AP91" s="17"/>
      <c r="AQ91" s="17"/>
      <c r="AR91" s="5"/>
      <c r="AS91" s="5"/>
      <c r="AT91" s="5"/>
      <c r="AU91" s="5"/>
      <c r="AV91" s="5"/>
    </row>
    <row r="92" spans="1:48" s="17" customFormat="1" ht="13.5" customHeight="1" x14ac:dyDescent="0.2">
      <c r="B92" s="446" t="s">
        <v>128</v>
      </c>
      <c r="C92" s="112" t="s">
        <v>2</v>
      </c>
      <c r="D92" s="113" t="s">
        <v>2</v>
      </c>
      <c r="E92" s="44" t="s">
        <v>12</v>
      </c>
      <c r="F92" s="104"/>
      <c r="G92" s="446" t="s">
        <v>4</v>
      </c>
      <c r="H92" s="113" t="s">
        <v>2</v>
      </c>
      <c r="I92" s="447" t="s">
        <v>12</v>
      </c>
      <c r="J92" s="448" t="s">
        <v>12</v>
      </c>
      <c r="K92" s="114"/>
      <c r="L92" s="115"/>
      <c r="M92" s="116"/>
      <c r="N92" s="117" t="s">
        <v>4</v>
      </c>
      <c r="O92" s="118" t="s">
        <v>2</v>
      </c>
      <c r="P92" s="117" t="s">
        <v>12</v>
      </c>
      <c r="Q92" s="119" t="s">
        <v>12</v>
      </c>
      <c r="R92" s="15"/>
      <c r="AH92" s="10"/>
      <c r="AK92" s="1"/>
      <c r="AL92" s="7"/>
      <c r="AM92" s="16"/>
      <c r="AN92" s="5"/>
      <c r="AO92" s="5"/>
      <c r="AR92" s="18"/>
      <c r="AS92" s="18"/>
      <c r="AT92" s="18"/>
      <c r="AU92" s="18"/>
      <c r="AV92" s="18"/>
    </row>
    <row r="93" spans="1:48" s="17" customFormat="1" x14ac:dyDescent="0.2">
      <c r="B93" s="120">
        <f>IF(O83="Neuve",0,IF(AND(O82="Naturelle",O84="Villas"),VLOOKUP(O86,AP27:AQ30,2,FALSE),VLOOKUP(O86,AP27:AR30,3,FALSE)))</f>
        <v>0</v>
      </c>
      <c r="C93" s="121">
        <f>IF(B93=0,0,VLOOKUP(H6,AM5:AS12,7,FALSE))</f>
        <v>0</v>
      </c>
      <c r="D93" s="121">
        <f>IF(B93=0,0,VLOOKUP(I7,AU11:AV19,2,FALSE))</f>
        <v>0</v>
      </c>
      <c r="E93" s="45">
        <f>D93*2*B93*C93</f>
        <v>0</v>
      </c>
      <c r="F93" s="100"/>
      <c r="G93" s="449" t="e">
        <f>IF(J89=0,F12,L89)</f>
        <v>#REF!</v>
      </c>
      <c r="H93" s="450" t="e">
        <f>(E12-G93)/(E12-F12)</f>
        <v>#REF!</v>
      </c>
      <c r="I93" s="262">
        <v>0</v>
      </c>
      <c r="J93" s="451" t="e">
        <f>+I93*H93</f>
        <v>#REF!</v>
      </c>
      <c r="K93" s="122"/>
      <c r="L93" s="90"/>
      <c r="M93" s="111"/>
      <c r="N93" s="441">
        <v>0</v>
      </c>
      <c r="O93" s="40" t="e">
        <f>(E12-N93)/(E12-F12)</f>
        <v>#REF!</v>
      </c>
      <c r="P93" s="263">
        <v>0</v>
      </c>
      <c r="Q93" s="123" t="e">
        <f>+P93*O93</f>
        <v>#REF!</v>
      </c>
      <c r="R93" s="15"/>
      <c r="AH93" s="28"/>
      <c r="AK93" s="1"/>
      <c r="AL93" s="7"/>
      <c r="AM93" s="43"/>
      <c r="AN93" s="5"/>
      <c r="AO93" s="5"/>
    </row>
    <row r="94" spans="1:48" s="17" customFormat="1" x14ac:dyDescent="0.2">
      <c r="B94" s="124" t="s">
        <v>129</v>
      </c>
      <c r="C94" s="125"/>
      <c r="D94" s="124"/>
      <c r="E94" s="126"/>
      <c r="F94" s="100"/>
      <c r="G94" s="488" t="s">
        <v>130</v>
      </c>
      <c r="H94" s="489"/>
      <c r="I94" s="489"/>
      <c r="J94" s="490"/>
      <c r="K94" s="127"/>
      <c r="L94" s="128"/>
      <c r="M94" s="129"/>
      <c r="N94" s="442"/>
      <c r="O94" s="50"/>
      <c r="P94" s="264"/>
      <c r="Q94" s="130"/>
      <c r="R94" s="15"/>
      <c r="AH94" s="28"/>
      <c r="AI94" s="18"/>
      <c r="AJ94" s="18"/>
      <c r="AK94" s="1"/>
      <c r="AL94" s="7"/>
      <c r="AM94" s="18"/>
      <c r="AN94" s="5"/>
      <c r="AO94" s="5"/>
    </row>
    <row r="95" spans="1:48" s="17" customFormat="1" ht="12" customHeight="1" x14ac:dyDescent="0.3">
      <c r="B95" s="452" t="s">
        <v>131</v>
      </c>
      <c r="C95" s="133" t="s">
        <v>132</v>
      </c>
      <c r="D95" s="101"/>
      <c r="E95" s="102"/>
      <c r="F95" s="100"/>
      <c r="G95" s="473" t="s">
        <v>133</v>
      </c>
      <c r="H95" s="474"/>
      <c r="I95" s="474"/>
      <c r="J95" s="475"/>
      <c r="K95" s="444"/>
      <c r="L95" s="90"/>
      <c r="M95" s="111"/>
      <c r="N95" s="441"/>
      <c r="O95" s="40"/>
      <c r="P95" s="263"/>
      <c r="Q95" s="123"/>
      <c r="R95" s="15"/>
      <c r="AH95" s="28"/>
      <c r="AI95" s="16"/>
      <c r="AJ95" s="18"/>
      <c r="AO95" s="5"/>
    </row>
    <row r="96" spans="1:48" s="17" customFormat="1" ht="12" x14ac:dyDescent="0.2">
      <c r="A96" s="6"/>
      <c r="B96" s="446" t="s">
        <v>128</v>
      </c>
      <c r="C96" s="134" t="s">
        <v>12</v>
      </c>
      <c r="D96" s="101"/>
      <c r="E96" s="102"/>
      <c r="F96" s="100"/>
      <c r="G96" s="476" t="s">
        <v>12</v>
      </c>
      <c r="H96" s="477"/>
      <c r="I96" s="477"/>
      <c r="J96" s="478"/>
      <c r="K96" s="136"/>
      <c r="L96" s="98"/>
      <c r="M96" s="137"/>
      <c r="N96" s="443"/>
      <c r="O96" s="138"/>
      <c r="P96" s="265"/>
      <c r="Q96" s="139"/>
      <c r="R96" s="15"/>
      <c r="AH96" s="28"/>
      <c r="AI96" s="16"/>
      <c r="AJ96" s="18"/>
      <c r="AO96" s="5"/>
    </row>
    <row r="97" spans="1:35" s="6" customFormat="1" ht="15" x14ac:dyDescent="0.25">
      <c r="A97" s="17"/>
      <c r="B97" s="449">
        <v>0.3</v>
      </c>
      <c r="C97" s="140">
        <f>+B97*Q12</f>
        <v>0</v>
      </c>
      <c r="D97" s="97"/>
      <c r="E97" s="99"/>
      <c r="F97" s="100"/>
      <c r="G97" s="479" t="e">
        <f>(#REF!-#REF!)*'CH2'!Q12/ListingLocaux!K50</f>
        <v>#REF!</v>
      </c>
      <c r="H97" s="480"/>
      <c r="I97" s="480"/>
      <c r="J97" s="481"/>
      <c r="K97" s="141" t="s">
        <v>134</v>
      </c>
      <c r="L97" s="141"/>
      <c r="M97" s="141"/>
      <c r="N97" s="141"/>
      <c r="O97" s="142" t="s">
        <v>9</v>
      </c>
      <c r="P97" s="143">
        <f>+SUM(P93:P96)</f>
        <v>0</v>
      </c>
      <c r="Q97" s="143" t="e">
        <f>+SUM(Q93:Q96)</f>
        <v>#REF!</v>
      </c>
      <c r="R97" s="32"/>
      <c r="AH97" s="34"/>
      <c r="AI97" s="31"/>
    </row>
    <row r="98" spans="1:35" s="17" customFormat="1" ht="12" x14ac:dyDescent="0.2">
      <c r="B98" s="124" t="s">
        <v>135</v>
      </c>
      <c r="C98" s="126"/>
      <c r="D98" s="126"/>
      <c r="E98" s="132"/>
      <c r="F98" s="101"/>
      <c r="G98" s="18"/>
      <c r="H98" s="18"/>
      <c r="I98" s="18"/>
      <c r="J98" s="42"/>
      <c r="K98" s="232" t="s">
        <v>136</v>
      </c>
      <c r="L98" s="105"/>
      <c r="M98" s="105"/>
      <c r="N98" s="105"/>
      <c r="O98" s="105"/>
      <c r="P98" s="105"/>
      <c r="Q98" s="271"/>
      <c r="R98" s="15"/>
      <c r="AH98" s="28"/>
    </row>
    <row r="99" spans="1:35" s="17" customFormat="1" ht="15" x14ac:dyDescent="0.3">
      <c r="B99" s="452" t="s">
        <v>137</v>
      </c>
      <c r="C99" s="454" t="s">
        <v>138</v>
      </c>
      <c r="D99" s="5"/>
      <c r="E99" s="145"/>
      <c r="F99" s="135"/>
      <c r="G99" s="42"/>
      <c r="H99" s="5"/>
      <c r="I99" s="5"/>
      <c r="J99" s="18"/>
      <c r="K99" s="233"/>
      <c r="L99" s="234"/>
      <c r="M99" s="18"/>
      <c r="N99" s="235"/>
      <c r="O99" s="229" t="s">
        <v>139</v>
      </c>
      <c r="P99" s="230" t="s">
        <v>140</v>
      </c>
      <c r="Q99" s="231" t="s">
        <v>22</v>
      </c>
      <c r="R99" s="15"/>
      <c r="AH99" s="28"/>
    </row>
    <row r="100" spans="1:35" s="17" customFormat="1" x14ac:dyDescent="0.2">
      <c r="B100" s="446" t="s">
        <v>12</v>
      </c>
      <c r="C100" s="448" t="s">
        <v>12</v>
      </c>
      <c r="D100" s="30"/>
      <c r="E100" s="224"/>
      <c r="F100" s="227"/>
      <c r="G100" s="30"/>
      <c r="H100" s="30"/>
      <c r="I100" s="228"/>
      <c r="J100" s="18"/>
      <c r="K100" s="236"/>
      <c r="L100" s="234"/>
      <c r="M100" s="20"/>
      <c r="N100" s="19"/>
      <c r="O100" s="446" t="s">
        <v>19</v>
      </c>
      <c r="P100" s="447" t="s">
        <v>6</v>
      </c>
      <c r="Q100" s="448" t="s">
        <v>141</v>
      </c>
      <c r="R100" s="15"/>
      <c r="AH100" s="28" t="s">
        <v>169</v>
      </c>
    </row>
    <row r="101" spans="1:35" s="17" customFormat="1" ht="12" x14ac:dyDescent="0.2">
      <c r="B101" s="426" t="e">
        <f>0.1*Q12+I93+P97+G97</f>
        <v>#REF!</v>
      </c>
      <c r="C101" s="226" t="e">
        <f>IF(O82="Naturelle",MAX(C97,E93),0.1*Q12+J93+Q97+G97)</f>
        <v>#REF!</v>
      </c>
      <c r="D101" s="147"/>
      <c r="E101" s="225"/>
      <c r="F101" s="272"/>
      <c r="G101" s="148"/>
      <c r="H101" s="148"/>
      <c r="I101" s="148"/>
      <c r="J101" s="144"/>
      <c r="K101" s="154"/>
      <c r="L101" s="149"/>
      <c r="M101" s="149"/>
      <c r="N101" s="150"/>
      <c r="O101" s="449" t="e">
        <f>+(1220-(0.14*Altitude))/3600</f>
        <v>#REF!</v>
      </c>
      <c r="P101" s="450" t="e">
        <f>+O101*C101</f>
        <v>#REF!</v>
      </c>
      <c r="Q101" s="328" t="e">
        <f>+P101*(E12-L12)</f>
        <v>#REF!</v>
      </c>
      <c r="R101" s="15"/>
      <c r="AH101" s="28"/>
    </row>
    <row r="102" spans="1:35" s="17" customFormat="1" ht="17.25" customHeight="1" x14ac:dyDescent="0.2"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</row>
    <row r="103" spans="1:35" s="17" customFormat="1" ht="16.5" customHeight="1" x14ac:dyDescent="0.3">
      <c r="B103" s="348" t="s">
        <v>32</v>
      </c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349"/>
      <c r="N103" s="349"/>
      <c r="O103" s="350"/>
      <c r="P103" s="49" t="s">
        <v>168</v>
      </c>
      <c r="Q103" s="347" t="s">
        <v>15</v>
      </c>
      <c r="R103" s="41"/>
    </row>
    <row r="104" spans="1:35" s="17" customFormat="1" ht="16.5" customHeight="1" x14ac:dyDescent="0.2">
      <c r="A104" s="14"/>
      <c r="B104" s="155"/>
      <c r="C104" s="20"/>
      <c r="D104" s="20"/>
      <c r="E104" s="20"/>
      <c r="F104" s="20"/>
      <c r="G104" s="20"/>
      <c r="H104" s="20"/>
      <c r="I104" s="20"/>
      <c r="J104" s="20"/>
      <c r="L104" s="20"/>
      <c r="M104" s="20"/>
      <c r="N104" s="5"/>
      <c r="O104" s="146"/>
      <c r="P104" s="446" t="s">
        <v>6</v>
      </c>
      <c r="Q104" s="448" t="s">
        <v>141</v>
      </c>
      <c r="R104" s="41"/>
    </row>
    <row r="105" spans="1:35" x14ac:dyDescent="0.2">
      <c r="B105" s="154"/>
      <c r="C105" s="149"/>
      <c r="D105" s="98"/>
      <c r="E105" s="149"/>
      <c r="F105" s="149"/>
      <c r="G105" s="149"/>
      <c r="H105" s="149"/>
      <c r="I105" s="149"/>
      <c r="J105" s="149"/>
      <c r="K105" s="149"/>
      <c r="L105" s="149"/>
      <c r="M105" s="98"/>
      <c r="N105" s="156"/>
      <c r="O105" s="157"/>
      <c r="P105" s="266" t="e">
        <f>+P101+P79+P64+P51+P42+P27</f>
        <v>#REF!</v>
      </c>
      <c r="Q105" s="267" t="e">
        <f>+(Q101+Q79+Q64+Q51+Q42+Q27)</f>
        <v>#REF!</v>
      </c>
    </row>
    <row r="106" spans="1:35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35" x14ac:dyDescent="0.2">
      <c r="B107" s="17" t="s">
        <v>195</v>
      </c>
      <c r="C107" s="17"/>
      <c r="D107" s="17"/>
      <c r="E107" s="17"/>
    </row>
    <row r="108" spans="1:35" x14ac:dyDescent="0.2">
      <c r="B108" s="305" t="s">
        <v>38</v>
      </c>
      <c r="C108" s="306"/>
      <c r="D108" s="307"/>
      <c r="E108" s="308" t="e">
        <f>+Q27</f>
        <v>#REF!</v>
      </c>
    </row>
    <row r="109" spans="1:35" x14ac:dyDescent="0.2">
      <c r="B109" s="309" t="s">
        <v>192</v>
      </c>
      <c r="C109" s="310"/>
      <c r="D109" s="311"/>
      <c r="E109" s="312" t="e">
        <f>+Q42</f>
        <v>#REF!</v>
      </c>
    </row>
    <row r="110" spans="1:35" x14ac:dyDescent="0.2">
      <c r="B110" s="313" t="s">
        <v>56</v>
      </c>
      <c r="C110" s="314"/>
      <c r="D110" s="315"/>
      <c r="E110" s="316" t="e">
        <f>+Q51</f>
        <v>#REF!</v>
      </c>
    </row>
    <row r="111" spans="1:35" x14ac:dyDescent="0.2">
      <c r="B111" s="317" t="s">
        <v>37</v>
      </c>
      <c r="C111" s="318"/>
      <c r="D111" s="319"/>
      <c r="E111" s="320" t="e">
        <f>+Q64</f>
        <v>#REF!</v>
      </c>
    </row>
    <row r="112" spans="1:35" x14ac:dyDescent="0.2">
      <c r="B112" s="321" t="s">
        <v>193</v>
      </c>
      <c r="C112" s="322"/>
      <c r="D112" s="323"/>
      <c r="E112" s="324" t="e">
        <f>+Q79</f>
        <v>#REF!</v>
      </c>
    </row>
    <row r="113" spans="2:5" x14ac:dyDescent="0.2">
      <c r="B113" s="325" t="s">
        <v>194</v>
      </c>
      <c r="C113" s="326"/>
      <c r="D113" s="327"/>
      <c r="E113" s="329" t="e">
        <f>+Q101</f>
        <v>#REF!</v>
      </c>
    </row>
    <row r="130" spans="2:18" ht="15" x14ac:dyDescent="0.3">
      <c r="B130" s="461" t="s">
        <v>221</v>
      </c>
      <c r="C130" s="465" t="s">
        <v>23</v>
      </c>
      <c r="D130" s="462"/>
      <c r="E130" s="462"/>
      <c r="F130" s="462"/>
      <c r="G130" s="462"/>
      <c r="H130" s="462"/>
      <c r="I130" s="463"/>
      <c r="J130" s="466" t="s">
        <v>1</v>
      </c>
      <c r="K130" s="466" t="s">
        <v>265</v>
      </c>
      <c r="L130" s="466" t="s">
        <v>266</v>
      </c>
      <c r="M130" s="467" t="s">
        <v>223</v>
      </c>
      <c r="N130" s="467" t="s">
        <v>224</v>
      </c>
      <c r="O130" s="467" t="s">
        <v>225</v>
      </c>
      <c r="P130" s="468" t="s">
        <v>226</v>
      </c>
      <c r="Q130" s="468" t="s">
        <v>137</v>
      </c>
      <c r="R130" s="468" t="s">
        <v>227</v>
      </c>
    </row>
    <row r="131" spans="2:18" x14ac:dyDescent="0.2">
      <c r="B131" s="464"/>
      <c r="C131" s="464"/>
      <c r="D131" s="464"/>
      <c r="E131" s="464"/>
      <c r="F131" s="464"/>
      <c r="G131" s="464"/>
      <c r="H131" s="464"/>
      <c r="I131" s="464"/>
      <c r="J131" s="469" t="s">
        <v>40</v>
      </c>
      <c r="K131" s="469" t="s">
        <v>4</v>
      </c>
      <c r="L131" s="469" t="s">
        <v>4</v>
      </c>
      <c r="M131" s="469" t="s">
        <v>141</v>
      </c>
      <c r="N131" s="469" t="s">
        <v>141</v>
      </c>
      <c r="O131" s="469" t="s">
        <v>141</v>
      </c>
      <c r="P131" s="469" t="s">
        <v>267</v>
      </c>
      <c r="Q131" s="469" t="s">
        <v>268</v>
      </c>
      <c r="R131" s="469" t="s">
        <v>269</v>
      </c>
    </row>
    <row r="132" spans="2:18" x14ac:dyDescent="0.2">
      <c r="B132" s="464" t="str">
        <f>+G2</f>
        <v>CH2</v>
      </c>
      <c r="C132" s="464" t="str">
        <f>+L2</f>
        <v>Chambre 2</v>
      </c>
      <c r="D132" s="464"/>
      <c r="E132" s="464"/>
      <c r="F132" s="464"/>
      <c r="G132" s="464"/>
      <c r="H132" s="464"/>
      <c r="I132" s="464"/>
      <c r="J132" s="469">
        <v>20</v>
      </c>
      <c r="K132" s="469">
        <v>20</v>
      </c>
      <c r="L132" s="469">
        <v>10</v>
      </c>
      <c r="M132" s="470">
        <v>100</v>
      </c>
      <c r="N132" s="471">
        <v>200</v>
      </c>
      <c r="O132" s="471">
        <v>300</v>
      </c>
      <c r="P132" s="469">
        <f>+O132/J132</f>
        <v>15</v>
      </c>
      <c r="Q132" s="470">
        <v>30</v>
      </c>
      <c r="R132" s="469">
        <f>+Q132/J132</f>
        <v>1.5</v>
      </c>
    </row>
  </sheetData>
  <sheetProtection selectLockedCells="1"/>
  <protectedRanges>
    <protectedRange sqref="O47:O50 B47:G50 B21:G26 I21:O26 I47:M50 B32:G41 I32:M41 B56:G63 B69:G78 I69:O78 I56:M63 O56:O63 O32:O41" name="Plage3"/>
    <protectedRange sqref="I15" name="Plage2"/>
    <protectedRange sqref="I13:O14 H14 K12:Q12 E12:G14" name="Plage1"/>
  </protectedRanges>
  <dataConsolidate link="1"/>
  <mergeCells count="75">
    <mergeCell ref="M20:N20"/>
    <mergeCell ref="N4:Q4"/>
    <mergeCell ref="N5:Q5"/>
    <mergeCell ref="I6:Q6"/>
    <mergeCell ref="I7:Q7"/>
    <mergeCell ref="G10:J10"/>
    <mergeCell ref="G11:J11"/>
    <mergeCell ref="G12:J12"/>
    <mergeCell ref="B14:Q14"/>
    <mergeCell ref="D19:E19"/>
    <mergeCell ref="F19:H19"/>
    <mergeCell ref="M19:N19"/>
    <mergeCell ref="F33:H33"/>
    <mergeCell ref="F21:H21"/>
    <mergeCell ref="F22:H22"/>
    <mergeCell ref="F23:H23"/>
    <mergeCell ref="F24:H24"/>
    <mergeCell ref="F25:H25"/>
    <mergeCell ref="F26:H26"/>
    <mergeCell ref="D30:E30"/>
    <mergeCell ref="F30:H30"/>
    <mergeCell ref="M30:N30"/>
    <mergeCell ref="M31:N31"/>
    <mergeCell ref="F32:H32"/>
    <mergeCell ref="M45:N45"/>
    <mergeCell ref="M46:N46"/>
    <mergeCell ref="F34:H34"/>
    <mergeCell ref="F35:H35"/>
    <mergeCell ref="F36:H36"/>
    <mergeCell ref="F37:H37"/>
    <mergeCell ref="F38:H38"/>
    <mergeCell ref="F39:H39"/>
    <mergeCell ref="D54:E54"/>
    <mergeCell ref="F54:H54"/>
    <mergeCell ref="F40:H40"/>
    <mergeCell ref="F41:H41"/>
    <mergeCell ref="D45:E45"/>
    <mergeCell ref="F45:H45"/>
    <mergeCell ref="F59:H59"/>
    <mergeCell ref="F47:H47"/>
    <mergeCell ref="F48:H48"/>
    <mergeCell ref="F49:H49"/>
    <mergeCell ref="F50:H50"/>
    <mergeCell ref="M54:N54"/>
    <mergeCell ref="M55:N55"/>
    <mergeCell ref="F56:H56"/>
    <mergeCell ref="F57:H57"/>
    <mergeCell ref="F58:H58"/>
    <mergeCell ref="F60:H60"/>
    <mergeCell ref="F61:H61"/>
    <mergeCell ref="F62:H62"/>
    <mergeCell ref="F63:H63"/>
    <mergeCell ref="D67:E67"/>
    <mergeCell ref="F67:H67"/>
    <mergeCell ref="F78:H78"/>
    <mergeCell ref="M67:N67"/>
    <mergeCell ref="M68:N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G95:J95"/>
    <mergeCell ref="G96:J96"/>
    <mergeCell ref="G97:J97"/>
    <mergeCell ref="O82:Q82"/>
    <mergeCell ref="O83:Q83"/>
    <mergeCell ref="O84:Q84"/>
    <mergeCell ref="O85:Q85"/>
    <mergeCell ref="O86:Q86"/>
    <mergeCell ref="G94:J94"/>
  </mergeCells>
  <conditionalFormatting sqref="B101">
    <cfRule type="cellIs" dxfId="1" priority="1" stopIfTrue="1" operator="lessThan">
      <formula>#REF!</formula>
    </cfRule>
    <cfRule type="cellIs" dxfId="0" priority="2" stopIfTrue="1" operator="greaterThanOrEqual">
      <formula>#REF!</formula>
    </cfRule>
  </conditionalFormatting>
  <dataValidations disablePrompts="1" count="15">
    <dataValidation type="list" allowBlank="1" showInputMessage="1" showErrorMessage="1" sqref="I6:Q6">
      <formula1>$AU$4:$AU$7</formula1>
    </dataValidation>
    <dataValidation type="list" allowBlank="1" showInputMessage="1" showErrorMessage="1" sqref="B56:B63">
      <formula1>Toitures</formula1>
    </dataValidation>
    <dataValidation type="list" allowBlank="1" showInputMessage="1" showErrorMessage="1" sqref="B32:B41">
      <formula1>Menuiseries</formula1>
    </dataValidation>
    <dataValidation type="list" allowBlank="1" showInputMessage="1" showErrorMessage="1" sqref="B69:B78">
      <formula1>Ponts</formula1>
    </dataValidation>
    <dataValidation type="list" allowBlank="1" showInputMessage="1" showErrorMessage="1" sqref="B47:B50">
      <formula1>planchers</formula1>
    </dataValidation>
    <dataValidation type="list" allowBlank="1" showInputMessage="1" showErrorMessage="1" sqref="B21:B26">
      <formula1>Murs</formula1>
    </dataValidation>
    <dataValidation type="list" allowBlank="1" showInputMessage="1" showErrorMessage="1" sqref="O82:Q82">
      <formula1>$AU$21:$AU$23</formula1>
    </dataValidation>
    <dataValidation type="list" allowBlank="1" showInputMessage="1" showErrorMessage="1" sqref="O85:Q85">
      <formula1>$AM$28:$AM$30</formula1>
    </dataValidation>
    <dataValidation type="list" allowBlank="1" showInputMessage="1" showErrorMessage="1" sqref="O83:Q83">
      <formula1>$AO$21:$AO$23</formula1>
    </dataValidation>
    <dataValidation type="list" allowBlank="1" showInputMessage="1" showErrorMessage="1" sqref="I7">
      <formula1>$AU$11:$AU$19</formula1>
    </dataValidation>
    <dataValidation type="list" allowBlank="1" showInputMessage="1" showErrorMessage="1" sqref="N5:Q5">
      <formula1>INDIRECT($N$4)</formula1>
    </dataValidation>
    <dataValidation type="list" allowBlank="1" showInputMessage="1" showErrorMessage="1" sqref="N4">
      <formula1>Bâtiments</formula1>
    </dataValidation>
    <dataValidation type="list" allowBlank="1" showInputMessage="1" showErrorMessage="1" sqref="F21:F26 F47:F50 F56:F63 F32:F41 F69:F78">
      <formula1>Contact</formula1>
    </dataValidation>
    <dataValidation type="list" allowBlank="1" showInputMessage="1" showErrorMessage="1" sqref="O86:Q86">
      <formula1>INDIRECT($O$84)</formula1>
    </dataValidation>
    <dataValidation type="list" allowBlank="1" showInputMessage="1" showErrorMessage="1" sqref="O84:Q84">
      <formula1>INDIRECT($O$83)</formula1>
    </dataValidation>
  </dataValidations>
  <pageMargins left="0.78740157480314965" right="0.19685039370078741" top="0.62992125984251968" bottom="0.62992125984251968" header="0.51181102362204722" footer="0.51181102362204722"/>
  <pageSetup paperSize="9" scale="78" orientation="portrait" r:id="rId1"/>
  <headerFooter alignWithMargins="0">
    <oddHeader xml:space="preserve">&amp;R
</oddHeader>
    <oddFooter>&amp;L&amp;8Formulaire de calcul SIA 384.201&amp;C&amp;8Fiche du local&amp;R&amp;8Page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74</vt:i4>
      </vt:variant>
    </vt:vector>
  </HeadingPairs>
  <TitlesOfParts>
    <vt:vector size="82" baseType="lpstr">
      <vt:lpstr>BibliothèqueProjet</vt:lpstr>
      <vt:lpstr>ListingLocaux</vt:lpstr>
      <vt:lpstr>Synthèse</vt:lpstr>
      <vt:lpstr>BR1</vt:lpstr>
      <vt:lpstr>Cui1</vt:lpstr>
      <vt:lpstr>CH1</vt:lpstr>
      <vt:lpstr>Sej1</vt:lpstr>
      <vt:lpstr>CH2</vt:lpstr>
      <vt:lpstr>BibliothèqueProjet!AdresseBauherr</vt:lpstr>
      <vt:lpstr>ListingLocaux!AdresseBauherr</vt:lpstr>
      <vt:lpstr>BibliothèqueProjet!AdresseObjekt</vt:lpstr>
      <vt:lpstr>BibliothèqueProjet!AdresseVerfasser</vt:lpstr>
      <vt:lpstr>ListingLocaux!AdresseVerfasser</vt:lpstr>
      <vt:lpstr>BibliothèqueProjet!AdresseVerfasserWaermedaemProj</vt:lpstr>
      <vt:lpstr>ListingLocaux!AdresseVerfasserWaermedaemProj</vt:lpstr>
      <vt:lpstr>'BR1'!Ancienne</vt:lpstr>
      <vt:lpstr>'CH1'!Ancienne</vt:lpstr>
      <vt:lpstr>'CH2'!Ancienne</vt:lpstr>
      <vt:lpstr>'Cui1'!Ancienne</vt:lpstr>
      <vt:lpstr>'Sej1'!Ancienne</vt:lpstr>
      <vt:lpstr>'BR1'!AUtres_constructions</vt:lpstr>
      <vt:lpstr>'CH1'!AUtres_constructions</vt:lpstr>
      <vt:lpstr>'CH2'!AUtres_constructions</vt:lpstr>
      <vt:lpstr>'Cui1'!AUtres_constructions</vt:lpstr>
      <vt:lpstr>'Sej1'!AUtres_constructions</vt:lpstr>
      <vt:lpstr>'BR1'!Brandzeichen</vt:lpstr>
      <vt:lpstr>'CH1'!Brandzeichen</vt:lpstr>
      <vt:lpstr>'CH2'!Brandzeichen</vt:lpstr>
      <vt:lpstr>'Cui1'!Brandzeichen</vt:lpstr>
      <vt:lpstr>'Sej1'!Brandzeichen</vt:lpstr>
      <vt:lpstr>Synthèse!BrandzeichenZusammenfassung</vt:lpstr>
      <vt:lpstr>'BR1'!Contact</vt:lpstr>
      <vt:lpstr>'CH1'!Contact</vt:lpstr>
      <vt:lpstr>'CH2'!Contact</vt:lpstr>
      <vt:lpstr>'Cui1'!Contact</vt:lpstr>
      <vt:lpstr>'Sej1'!Contact</vt:lpstr>
      <vt:lpstr>BibliothèqueProjet!Datum</vt:lpstr>
      <vt:lpstr>ListingLocaux!Datum</vt:lpstr>
      <vt:lpstr>Synthèse!GebGleichzeitigkeit</vt:lpstr>
      <vt:lpstr>Synthèse!GebLuft</vt:lpstr>
      <vt:lpstr>Menuiseries</vt:lpstr>
      <vt:lpstr>Murs</vt:lpstr>
      <vt:lpstr>'BR1'!Neuve</vt:lpstr>
      <vt:lpstr>'CH1'!Neuve</vt:lpstr>
      <vt:lpstr>'CH2'!Neuve</vt:lpstr>
      <vt:lpstr>'Cui1'!Neuve</vt:lpstr>
      <vt:lpstr>'Sej1'!Neuve</vt:lpstr>
      <vt:lpstr>planchers</vt:lpstr>
      <vt:lpstr>Ponts</vt:lpstr>
      <vt:lpstr>'BR1'!RaumBez</vt:lpstr>
      <vt:lpstr>'CH1'!RaumBez</vt:lpstr>
      <vt:lpstr>'CH2'!RaumBez</vt:lpstr>
      <vt:lpstr>'Cui1'!RaumBez</vt:lpstr>
      <vt:lpstr>'Sej1'!RaumBez</vt:lpstr>
      <vt:lpstr>'BR1'!RaumDaten</vt:lpstr>
      <vt:lpstr>'CH1'!RaumDaten</vt:lpstr>
      <vt:lpstr>'CH2'!RaumDaten</vt:lpstr>
      <vt:lpstr>'Cui1'!RaumDaten</vt:lpstr>
      <vt:lpstr>'Sej1'!RaumDaten</vt:lpstr>
      <vt:lpstr>'BR1'!RaumKbz</vt:lpstr>
      <vt:lpstr>'CH1'!RaumKbz</vt:lpstr>
      <vt:lpstr>'CH2'!RaumKbz</vt:lpstr>
      <vt:lpstr>'Cui1'!RaumKbz</vt:lpstr>
      <vt:lpstr>'Sej1'!RaumKbz</vt:lpstr>
      <vt:lpstr>'BR1'!Sans_influence</vt:lpstr>
      <vt:lpstr>'CH1'!Sans_influence</vt:lpstr>
      <vt:lpstr>'CH2'!Sans_influence</vt:lpstr>
      <vt:lpstr>'Cui1'!Sans_influence</vt:lpstr>
      <vt:lpstr>'Sej1'!Sans_influence</vt:lpstr>
      <vt:lpstr>Synthèse!SummeGeb</vt:lpstr>
      <vt:lpstr>Toitures</vt:lpstr>
      <vt:lpstr>'BR1'!Villas</vt:lpstr>
      <vt:lpstr>'CH1'!Villas</vt:lpstr>
      <vt:lpstr>'CH2'!Villas</vt:lpstr>
      <vt:lpstr>'Cui1'!Villas</vt:lpstr>
      <vt:lpstr>'Sej1'!Villas</vt:lpstr>
      <vt:lpstr>'BR1'!Zone_d_impression</vt:lpstr>
      <vt:lpstr>'CH1'!Zone_d_impression</vt:lpstr>
      <vt:lpstr>'CH2'!Zone_d_impression</vt:lpstr>
      <vt:lpstr>'Cui1'!Zone_d_impression</vt:lpstr>
      <vt:lpstr>'Sej1'!Zone_d_impression</vt:lpstr>
      <vt:lpstr>Synthèse!Zone_d_impression</vt:lpstr>
    </vt:vector>
  </TitlesOfParts>
  <Company>HTA Luzern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Formulaire: SIA 384.201</dc:title>
  <dc:creator>Utilisateur</dc:creator>
  <cp:lastModifiedBy>Michel</cp:lastModifiedBy>
  <cp:lastPrinted>2009-02-25T07:28:44Z</cp:lastPrinted>
  <dcterms:created xsi:type="dcterms:W3CDTF">2003-02-03T10:02:26Z</dcterms:created>
  <dcterms:modified xsi:type="dcterms:W3CDTF">2020-01-28T09:47:22Z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422389820</vt:i4>
  </property>
  <property fmtid="{D5CDD505-2E9C-101B-9397-08002B2CF9AE}" pid="3" name="_EmailSubject">
    <vt:lpwstr>Formular 384.201 franz</vt:lpwstr>
  </property>
  <property fmtid="{D5CDD505-2E9C-101B-9397-08002B2CF9AE}" pid="4" name="_AuthorEmail">
    <vt:lpwstr>roland.aeberli@sia.ch</vt:lpwstr>
  </property>
  <property fmtid="{D5CDD505-2E9C-101B-9397-08002B2CF9AE}" pid="5" name="_AuthorEmailDisplayName">
    <vt:lpwstr>Roland Aeberli</vt:lpwstr>
  </property>
  <property fmtid="{D5CDD505-2E9C-101B-9397-08002B2CF9AE}" pid="6" name="_PreviousAdHocReviewCycleID">
    <vt:i4>1861486816</vt:i4>
  </property>
  <property fmtid="{D5CDD505-2E9C-101B-9397-08002B2CF9AE}" pid="7" name="_ReviewingToolsShownOnce">
    <vt:lpwstr/>
  </property>
  <property fmtid="{D5CDD505-2E9C-101B-9397-08002B2CF9AE}" pid="8" name="TBCO_ScreenResolution">
    <vt:lpwstr>96 96 1920 1080</vt:lpwstr>
  </property>
</Properties>
</file>