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75" yWindow="90" windowWidth="17085" windowHeight="11340" activeTab="2"/>
  </bookViews>
  <sheets>
    <sheet name="Conges" sheetId="1" r:id="rId1"/>
    <sheet name="Parametre" sheetId="2" r:id="rId2"/>
    <sheet name="Calendar" sheetId="5" r:id="rId3"/>
  </sheets>
  <definedNames>
    <definedName name="_xlnm._FilterDatabase" localSheetId="0" hidden="1">Conges!$A$1:$G$6</definedName>
    <definedName name="Annee">Parametre!$H$4:$H$10</definedName>
    <definedName name="Debut">Conges!$B$2:$B$29</definedName>
    <definedName name="DebutAbs">Conges!$B$2:$B$13</definedName>
    <definedName name="DebutVac">Parametre!$S$17:$S$29</definedName>
    <definedName name="EvMarie">Parametre!$I$23:$I$28</definedName>
    <definedName name="EvMichel">Parametre!$I$19:$I$22</definedName>
    <definedName name="Fin">Conges!$C$2:$C$29</definedName>
    <definedName name="FinAbs">Conges!$C$2:$C$13</definedName>
    <definedName name="FinVac">Parametre!$T$17:$T$29</definedName>
    <definedName name="jourferies">Parametre!$C$17:$C$55</definedName>
    <definedName name="JoursSem">Parametre!$G$4:$G$10</definedName>
    <definedName name="Mois">Parametre!$G$17:$G$28</definedName>
    <definedName name="Noms">Conges!$A$2:$A$29</definedName>
    <definedName name="Taches">Conges!$D$2:$D$29</definedName>
  </definedNames>
  <calcPr calcId="152511"/>
</workbook>
</file>

<file path=xl/calcChain.xml><?xml version="1.0" encoding="utf-8"?>
<calcChain xmlns="http://schemas.openxmlformats.org/spreadsheetml/2006/main">
  <c r="K37" i="5" l="1"/>
  <c r="K38" i="5"/>
  <c r="K36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8" i="5"/>
  <c r="H23" i="2"/>
  <c r="I23" i="2" s="1"/>
  <c r="H19" i="2" l="1"/>
  <c r="H40" i="2" l="1"/>
  <c r="H39" i="2"/>
  <c r="H33" i="2" l="1"/>
  <c r="G33" i="2"/>
  <c r="G37" i="2" l="1"/>
  <c r="I19" i="2" l="1"/>
  <c r="H38" i="2"/>
  <c r="H34" i="2"/>
  <c r="H28" i="2"/>
  <c r="I28" i="2" s="1"/>
  <c r="H27" i="2"/>
  <c r="I27" i="2" s="1"/>
  <c r="H26" i="2"/>
  <c r="I26" i="2" s="1"/>
  <c r="H25" i="2"/>
  <c r="I25" i="2" s="1"/>
  <c r="H24" i="2"/>
  <c r="I24" i="2" s="1"/>
  <c r="H22" i="2"/>
  <c r="I22" i="2" s="1"/>
  <c r="H21" i="2"/>
  <c r="I21" i="2" s="1"/>
  <c r="H20" i="2"/>
  <c r="I20" i="2" s="1"/>
  <c r="U17" i="2" l="1"/>
  <c r="R29" i="2"/>
  <c r="R23" i="2"/>
  <c r="R28" i="2"/>
  <c r="R27" i="2"/>
  <c r="R26" i="2"/>
  <c r="R25" i="2"/>
  <c r="R24" i="2"/>
  <c r="R22" i="2"/>
  <c r="R21" i="2"/>
  <c r="R20" i="2"/>
  <c r="R19" i="2"/>
  <c r="R18" i="2"/>
  <c r="U21" i="2"/>
  <c r="U18" i="2"/>
  <c r="T29" i="2"/>
  <c r="T28" i="2"/>
  <c r="U28" i="2" s="1"/>
  <c r="T27" i="2"/>
  <c r="U27" i="2" s="1"/>
  <c r="T25" i="2"/>
  <c r="U25" i="2" s="1"/>
  <c r="T26" i="2"/>
  <c r="U26" i="2" s="1"/>
  <c r="T24" i="2"/>
  <c r="U24" i="2" s="1"/>
  <c r="T23" i="2"/>
  <c r="U23" i="2" s="1"/>
  <c r="T22" i="2"/>
  <c r="U22" i="2" s="1"/>
  <c r="T19" i="2"/>
  <c r="U19" i="2" s="1"/>
  <c r="T20" i="2"/>
  <c r="U20" i="2" s="1"/>
  <c r="T21" i="2"/>
  <c r="T18" i="2"/>
  <c r="D4" i="5"/>
  <c r="C8" i="5" s="1"/>
  <c r="H8" i="5" l="1"/>
  <c r="J8" i="5" s="1"/>
  <c r="E8" i="5"/>
  <c r="F8" i="5"/>
  <c r="C9" i="5"/>
  <c r="D7" i="5"/>
  <c r="I7" i="5" l="1"/>
  <c r="H7" i="5"/>
  <c r="H9" i="5"/>
  <c r="C10" i="5"/>
  <c r="F9" i="5"/>
  <c r="E9" i="5"/>
  <c r="C7" i="5"/>
  <c r="H10" i="5" l="1"/>
  <c r="J9" i="5"/>
  <c r="C11" i="5"/>
  <c r="F10" i="5"/>
  <c r="E10" i="5"/>
  <c r="J10" i="5" l="1"/>
  <c r="H11" i="5"/>
  <c r="C12" i="5"/>
  <c r="E11" i="5"/>
  <c r="F11" i="5"/>
  <c r="H12" i="5" l="1"/>
  <c r="J11" i="5"/>
  <c r="C13" i="5"/>
  <c r="E12" i="5"/>
  <c r="F12" i="5"/>
  <c r="J12" i="5" l="1"/>
  <c r="H13" i="5"/>
  <c r="C14" i="5"/>
  <c r="F13" i="5"/>
  <c r="E13" i="5"/>
  <c r="E8" i="1"/>
  <c r="E9" i="1"/>
  <c r="H14" i="5" l="1"/>
  <c r="J13" i="5"/>
  <c r="C15" i="5"/>
  <c r="F14" i="5"/>
  <c r="E14" i="5"/>
  <c r="H15" i="5" l="1"/>
  <c r="J14" i="5"/>
  <c r="C16" i="5"/>
  <c r="E15" i="5"/>
  <c r="F15" i="5"/>
  <c r="D4" i="2"/>
  <c r="D5" i="2" s="1"/>
  <c r="D39" i="2"/>
  <c r="D41" i="2"/>
  <c r="D51" i="2"/>
  <c r="C55" i="2"/>
  <c r="E55" i="2" s="1"/>
  <c r="C54" i="2"/>
  <c r="E54" i="2" s="1"/>
  <c r="C53" i="2"/>
  <c r="E53" i="2" s="1"/>
  <c r="C52" i="2"/>
  <c r="E52" i="2" s="1"/>
  <c r="C51" i="2"/>
  <c r="E51" i="2" s="1"/>
  <c r="C47" i="2"/>
  <c r="E47" i="2" s="1"/>
  <c r="C46" i="2"/>
  <c r="E46" i="2" s="1"/>
  <c r="C44" i="2"/>
  <c r="E44" i="2" s="1"/>
  <c r="C43" i="2"/>
  <c r="D43" i="2" s="1"/>
  <c r="C42" i="2"/>
  <c r="E42" i="2" s="1"/>
  <c r="C41" i="2"/>
  <c r="E41" i="2" s="1"/>
  <c r="C40" i="2"/>
  <c r="E40" i="2" s="1"/>
  <c r="C39" i="2"/>
  <c r="E39" i="2" s="1"/>
  <c r="C38" i="2"/>
  <c r="E38" i="2" s="1"/>
  <c r="C34" i="2"/>
  <c r="D34" i="2" s="1"/>
  <c r="C33" i="2"/>
  <c r="E33" i="2" s="1"/>
  <c r="C31" i="2"/>
  <c r="D31" i="2" s="1"/>
  <c r="C30" i="2"/>
  <c r="E30" i="2" s="1"/>
  <c r="C29" i="2"/>
  <c r="D29" i="2" s="1"/>
  <c r="C28" i="2"/>
  <c r="E28" i="2" s="1"/>
  <c r="C27" i="2"/>
  <c r="E27" i="2" s="1"/>
  <c r="C26" i="2"/>
  <c r="D26" i="2" s="1"/>
  <c r="C25" i="2"/>
  <c r="E25" i="2" s="1"/>
  <c r="C21" i="2"/>
  <c r="E21" i="2" s="1"/>
  <c r="C20" i="2"/>
  <c r="D20" i="2" s="1"/>
  <c r="C18" i="2"/>
  <c r="D18" i="2" s="1"/>
  <c r="C17" i="2"/>
  <c r="D27" i="2" l="1"/>
  <c r="C35" i="2"/>
  <c r="E35" i="2" s="1"/>
  <c r="E43" i="2"/>
  <c r="D55" i="2"/>
  <c r="D17" i="2"/>
  <c r="C32" i="2"/>
  <c r="C36" i="2"/>
  <c r="D36" i="2" s="1"/>
  <c r="J15" i="5"/>
  <c r="H16" i="5"/>
  <c r="D54" i="2"/>
  <c r="E29" i="2"/>
  <c r="D47" i="2"/>
  <c r="E31" i="2"/>
  <c r="E18" i="2"/>
  <c r="H35" i="2"/>
  <c r="H36" i="2"/>
  <c r="C19" i="2"/>
  <c r="D19" i="2" s="1"/>
  <c r="C23" i="2"/>
  <c r="D33" i="2"/>
  <c r="E17" i="2"/>
  <c r="E26" i="2"/>
  <c r="C22" i="2"/>
  <c r="E22" i="2" s="1"/>
  <c r="D28" i="2"/>
  <c r="E34" i="2"/>
  <c r="C17" i="5"/>
  <c r="E16" i="5"/>
  <c r="F16" i="5"/>
  <c r="D53" i="2"/>
  <c r="E36" i="2"/>
  <c r="D30" i="2"/>
  <c r="D52" i="2"/>
  <c r="D44" i="2"/>
  <c r="D42" i="2"/>
  <c r="D40" i="2"/>
  <c r="D38" i="2"/>
  <c r="D46" i="2"/>
  <c r="E19" i="2"/>
  <c r="C49" i="2"/>
  <c r="C50" i="2" s="1"/>
  <c r="D50" i="2" s="1"/>
  <c r="D35" i="2"/>
  <c r="E32" i="2"/>
  <c r="D32" i="2"/>
  <c r="C48" i="2"/>
  <c r="C45" i="2"/>
  <c r="D25" i="2"/>
  <c r="D21" i="2"/>
  <c r="D22" i="2"/>
  <c r="E20" i="2"/>
  <c r="G9" i="5" l="1"/>
  <c r="C37" i="2"/>
  <c r="E37" i="2" s="1"/>
  <c r="G11" i="5"/>
  <c r="H17" i="5"/>
  <c r="J16" i="5"/>
  <c r="E23" i="2"/>
  <c r="H37" i="2"/>
  <c r="C24" i="2"/>
  <c r="L8" i="5" s="1"/>
  <c r="D23" i="2"/>
  <c r="C18" i="5"/>
  <c r="F17" i="5"/>
  <c r="E17" i="5"/>
  <c r="E7" i="1"/>
  <c r="D49" i="2"/>
  <c r="D24" i="2"/>
  <c r="D7" i="2" s="1"/>
  <c r="E50" i="2"/>
  <c r="E49" i="2"/>
  <c r="E45" i="2"/>
  <c r="D45" i="2"/>
  <c r="D48" i="2"/>
  <c r="E48" i="2"/>
  <c r="L15" i="5" l="1"/>
  <c r="G16" i="5"/>
  <c r="G12" i="5"/>
  <c r="E5" i="1"/>
  <c r="G10" i="5"/>
  <c r="E6" i="1"/>
  <c r="G18" i="5"/>
  <c r="G14" i="5"/>
  <c r="E4" i="1"/>
  <c r="L13" i="5"/>
  <c r="L9" i="5"/>
  <c r="L14" i="5"/>
  <c r="L16" i="5"/>
  <c r="G13" i="5"/>
  <c r="L10" i="5"/>
  <c r="G17" i="5"/>
  <c r="L12" i="5"/>
  <c r="D37" i="2"/>
  <c r="G8" i="5"/>
  <c r="E24" i="2"/>
  <c r="D8" i="2" s="1"/>
  <c r="D6" i="2"/>
  <c r="L17" i="5"/>
  <c r="L11" i="5"/>
  <c r="G15" i="5"/>
  <c r="H18" i="5"/>
  <c r="L18" i="5" s="1"/>
  <c r="J17" i="5"/>
  <c r="E3" i="1"/>
  <c r="E2" i="1"/>
  <c r="C19" i="5"/>
  <c r="G19" i="5" s="1"/>
  <c r="F18" i="5"/>
  <c r="E18" i="5"/>
  <c r="H19" i="5" l="1"/>
  <c r="L19" i="5" s="1"/>
  <c r="J18" i="5"/>
  <c r="C20" i="5"/>
  <c r="G20" i="5" s="1"/>
  <c r="E19" i="5"/>
  <c r="F19" i="5"/>
  <c r="J19" i="5" l="1"/>
  <c r="H20" i="5"/>
  <c r="L20" i="5" s="1"/>
  <c r="C21" i="5"/>
  <c r="G21" i="5" s="1"/>
  <c r="E20" i="5"/>
  <c r="F20" i="5"/>
  <c r="H21" i="5" l="1"/>
  <c r="L21" i="5" s="1"/>
  <c r="J20" i="5"/>
  <c r="C22" i="5"/>
  <c r="G22" i="5" s="1"/>
  <c r="F21" i="5"/>
  <c r="E21" i="5"/>
  <c r="J21" i="5" l="1"/>
  <c r="H22" i="5"/>
  <c r="L22" i="5" s="1"/>
  <c r="C23" i="5"/>
  <c r="G23" i="5" s="1"/>
  <c r="F22" i="5"/>
  <c r="E22" i="5"/>
  <c r="H23" i="5" l="1"/>
  <c r="L23" i="5" s="1"/>
  <c r="J22" i="5"/>
  <c r="C24" i="5"/>
  <c r="G24" i="5" s="1"/>
  <c r="E23" i="5"/>
  <c r="F23" i="5"/>
  <c r="J23" i="5" l="1"/>
  <c r="H24" i="5"/>
  <c r="L24" i="5" s="1"/>
  <c r="J24" i="5"/>
  <c r="C25" i="5"/>
  <c r="G25" i="5" s="1"/>
  <c r="E24" i="5"/>
  <c r="F24" i="5"/>
  <c r="H25" i="5" l="1"/>
  <c r="L25" i="5" s="1"/>
  <c r="J25" i="5"/>
  <c r="C26" i="5"/>
  <c r="G26" i="5" s="1"/>
  <c r="F25" i="5"/>
  <c r="E25" i="5"/>
  <c r="H26" i="5" l="1"/>
  <c r="L26" i="5" s="1"/>
  <c r="H27" i="5"/>
  <c r="L27" i="5" s="1"/>
  <c r="J26" i="5"/>
  <c r="C27" i="5"/>
  <c r="G27" i="5" s="1"/>
  <c r="F26" i="5"/>
  <c r="E26" i="5"/>
  <c r="H28" i="5" l="1"/>
  <c r="L28" i="5" s="1"/>
  <c r="J27" i="5"/>
  <c r="C28" i="5"/>
  <c r="G28" i="5" s="1"/>
  <c r="E27" i="5"/>
  <c r="F27" i="5"/>
  <c r="H29" i="5" l="1"/>
  <c r="L29" i="5" s="1"/>
  <c r="J28" i="5"/>
  <c r="C29" i="5"/>
  <c r="G29" i="5" s="1"/>
  <c r="E28" i="5"/>
  <c r="F28" i="5"/>
  <c r="H30" i="5" l="1"/>
  <c r="L30" i="5" s="1"/>
  <c r="J29" i="5"/>
  <c r="C30" i="5"/>
  <c r="G30" i="5" s="1"/>
  <c r="F29" i="5"/>
  <c r="E29" i="5"/>
  <c r="H31" i="5" l="1"/>
  <c r="L31" i="5" s="1"/>
  <c r="J30" i="5"/>
  <c r="C31" i="5"/>
  <c r="G31" i="5" s="1"/>
  <c r="F30" i="5"/>
  <c r="E30" i="5"/>
  <c r="H32" i="5" l="1"/>
  <c r="L32" i="5" s="1"/>
  <c r="J31" i="5"/>
  <c r="C32" i="5"/>
  <c r="G32" i="5" s="1"/>
  <c r="E31" i="5"/>
  <c r="F31" i="5"/>
  <c r="H33" i="5" l="1"/>
  <c r="L33" i="5" s="1"/>
  <c r="J32" i="5"/>
  <c r="C33" i="5"/>
  <c r="G33" i="5" s="1"/>
  <c r="E32" i="5"/>
  <c r="F32" i="5"/>
  <c r="H34" i="5" l="1"/>
  <c r="L34" i="5" s="1"/>
  <c r="J33" i="5"/>
  <c r="C34" i="5"/>
  <c r="G34" i="5" s="1"/>
  <c r="F33" i="5"/>
  <c r="E33" i="5"/>
  <c r="H35" i="5" l="1"/>
  <c r="L35" i="5" s="1"/>
  <c r="J34" i="5"/>
  <c r="C35" i="5"/>
  <c r="G35" i="5" s="1"/>
  <c r="F34" i="5"/>
  <c r="E34" i="5"/>
  <c r="H36" i="5" l="1"/>
  <c r="J35" i="5"/>
  <c r="C36" i="5"/>
  <c r="G36" i="5" s="1"/>
  <c r="E35" i="5"/>
  <c r="F35" i="5"/>
  <c r="L36" i="5" l="1"/>
  <c r="J36" i="5"/>
  <c r="H37" i="5"/>
  <c r="C37" i="5"/>
  <c r="G37" i="5" s="1"/>
  <c r="E36" i="5"/>
  <c r="F36" i="5"/>
  <c r="L37" i="5" l="1"/>
  <c r="J37" i="5"/>
  <c r="H38" i="5"/>
  <c r="C38" i="5"/>
  <c r="G38" i="5" s="1"/>
  <c r="F37" i="5"/>
  <c r="E37" i="5"/>
  <c r="L38" i="5" l="1"/>
  <c r="J38" i="5"/>
  <c r="F38" i="5"/>
  <c r="E38" i="5"/>
</calcChain>
</file>

<file path=xl/sharedStrings.xml><?xml version="1.0" encoding="utf-8"?>
<sst xmlns="http://schemas.openxmlformats.org/spreadsheetml/2006/main" count="114" uniqueCount="74">
  <si>
    <t>Fin</t>
  </si>
  <si>
    <t>Motifs</t>
  </si>
  <si>
    <t>Début</t>
  </si>
  <si>
    <t>Jours Feries</t>
  </si>
  <si>
    <t>Nouvel 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</si>
  <si>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</si>
  <si>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</si>
  <si>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</si>
  <si>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</si>
  <si>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</si>
  <si>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</si>
  <si>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</si>
  <si>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</si>
  <si>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</si>
  <si>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</si>
  <si>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Victoire 1918</t>
  </si>
  <si>
    <t>Noël</t>
  </si>
  <si>
    <t>Date Feries</t>
  </si>
  <si>
    <t>Samedi</t>
  </si>
  <si>
    <t>Dimanche</t>
  </si>
  <si>
    <t>Année bissextile</t>
  </si>
  <si>
    <t>Nombre de jours</t>
  </si>
  <si>
    <t>Nombre de jours fériés</t>
  </si>
  <si>
    <t>Nombre de jours fériés le samedi</t>
  </si>
  <si>
    <t>Nombre de jours fériés le dimanche</t>
  </si>
  <si>
    <t>Nombre de jours ouvrables sur l'année</t>
  </si>
  <si>
    <t>Nombre de jours ouvrés sur l'année</t>
  </si>
  <si>
    <t>Janvier</t>
  </si>
  <si>
    <t>Lundi</t>
  </si>
  <si>
    <t>Mardi</t>
  </si>
  <si>
    <t>Mercredi</t>
  </si>
  <si>
    <t>Jeudi</t>
  </si>
  <si>
    <t>Vendredi</t>
  </si>
  <si>
    <t>Jours Sem</t>
  </si>
  <si>
    <r>
      <rPr>
        <b/>
        <i/>
        <sz val="9"/>
        <color theme="1"/>
        <rFont val="Calibri"/>
        <family val="2"/>
        <scheme val="minor"/>
      </rPr>
      <t>Les jours ouvrables</t>
    </r>
    <r>
      <rPr>
        <i/>
        <sz val="9"/>
        <color theme="1"/>
        <rFont val="Calibri"/>
        <family val="2"/>
        <scheme val="minor"/>
      </rPr>
      <t xml:space="preserve"> sont constitués de tous les jours de la semaine, sauf : - le jour de repos hebdomadaire (habituellement le dimanche) - et les jours fériés légaux qui sont en général non travaillés dans l’entreprise</t>
    </r>
  </si>
  <si>
    <r>
      <rPr>
        <b/>
        <i/>
        <sz val="10"/>
        <color theme="1"/>
        <rFont val="Calibri"/>
        <family val="2"/>
        <scheme val="minor"/>
      </rPr>
      <t>Les jours ouvrés</t>
    </r>
    <r>
      <rPr>
        <i/>
        <sz val="10"/>
        <color theme="1"/>
        <rFont val="Calibri"/>
        <family val="2"/>
        <scheme val="minor"/>
      </rPr>
      <t xml:space="preserve"> sont synonymes de jours normalement travaillés dans l’entreprise (habituellement 5).</t>
    </r>
  </si>
  <si>
    <t>Généralités, choisir l'année en D2</t>
  </si>
  <si>
    <r>
      <rPr>
        <b/>
        <i/>
        <sz val="10"/>
        <color theme="1"/>
        <rFont val="Calibri"/>
        <family val="2"/>
        <scheme val="minor"/>
      </rPr>
      <t>Les jours féries</t>
    </r>
    <r>
      <rPr>
        <i/>
        <sz val="10"/>
        <color theme="1"/>
        <rFont val="Calibri"/>
        <family val="2"/>
        <scheme val="minor"/>
      </rPr>
      <t xml:space="preserve"> sont calculer avec l'année en A17, et pour une période de 3 Ans.</t>
    </r>
  </si>
  <si>
    <r>
      <rPr>
        <b/>
        <i/>
        <sz val="10"/>
        <color theme="1"/>
        <rFont val="Calibri"/>
        <family val="2"/>
      </rPr>
      <t>Lundi de de Pâques</t>
    </r>
    <r>
      <rPr>
        <i/>
        <sz val="10"/>
        <color theme="1"/>
        <rFont val="Calibri"/>
        <family val="2"/>
      </rPr>
      <t xml:space="preserve"> : c'est 1 jour après Pâques</t>
    </r>
  </si>
  <si>
    <r>
      <rPr>
        <b/>
        <i/>
        <sz val="10"/>
        <color theme="1"/>
        <rFont val="Calibri"/>
        <family val="2"/>
      </rPr>
      <t>Jeudi de l'Ascencion</t>
    </r>
    <r>
      <rPr>
        <i/>
        <sz val="10"/>
        <color theme="1"/>
        <rFont val="Calibri"/>
        <family val="2"/>
      </rPr>
      <t xml:space="preserve"> : c'est 39 jours après Pâques</t>
    </r>
  </si>
  <si>
    <r>
      <rPr>
        <b/>
        <i/>
        <sz val="10"/>
        <color theme="1"/>
        <rFont val="Calibri"/>
        <family val="2"/>
      </rPr>
      <t>Lundi de la Pentecôte</t>
    </r>
    <r>
      <rPr>
        <i/>
        <sz val="10"/>
        <color theme="1"/>
        <rFont val="Calibri"/>
        <family val="2"/>
      </rPr>
      <t xml:space="preserve"> : c'est 50 jours après Pâques</t>
    </r>
  </si>
  <si>
    <r>
      <rPr>
        <b/>
        <i/>
        <sz val="10"/>
        <color theme="1"/>
        <rFont val="Calibri"/>
        <family val="2"/>
      </rPr>
      <t xml:space="preserve">Pâques </t>
    </r>
    <r>
      <rPr>
        <i/>
        <sz val="10"/>
        <color theme="1"/>
        <rFont val="Calibri"/>
        <family val="2"/>
      </rPr>
      <t>est un calcul.</t>
    </r>
  </si>
  <si>
    <t>C</t>
  </si>
  <si>
    <t>M</t>
  </si>
  <si>
    <t>At</t>
  </si>
  <si>
    <t>Ab</t>
  </si>
  <si>
    <t>Congés Payes</t>
  </si>
  <si>
    <t>Maladie</t>
  </si>
  <si>
    <t>Accident T</t>
  </si>
  <si>
    <t>Abscences</t>
  </si>
  <si>
    <t>WJ</t>
  </si>
  <si>
    <t>RS</t>
  </si>
  <si>
    <t>Nom des Agents</t>
  </si>
  <si>
    <t>Nb J ouvrables</t>
  </si>
  <si>
    <t>Annee</t>
  </si>
  <si>
    <t>Debut Vac</t>
  </si>
  <si>
    <t>Fin Vac</t>
  </si>
  <si>
    <t>Vacances soclaires</t>
  </si>
  <si>
    <t>Jour Reprise</t>
  </si>
  <si>
    <t>https://vacances-scolaires.education/</t>
  </si>
  <si>
    <t>Evenements</t>
  </si>
  <si>
    <t>Dates</t>
  </si>
  <si>
    <t>Chandeleur</t>
  </si>
  <si>
    <t xml:space="preserve"> (moins 49 J de Pâques)</t>
  </si>
  <si>
    <t>Ephiphanie</t>
  </si>
  <si>
    <t>Mardi gras</t>
  </si>
  <si>
    <t xml:space="preserve"> (moins 45 J de Pâques)</t>
  </si>
  <si>
    <t>Cendres</t>
  </si>
  <si>
    <t xml:space="preserve"> (moins 46 J de Pâques)</t>
  </si>
  <si>
    <t>Naissance</t>
  </si>
  <si>
    <t>Fêtes des mères</t>
  </si>
  <si>
    <t>Fêtes des pères</t>
  </si>
  <si>
    <t>Fêtes des grands-mères</t>
  </si>
  <si>
    <t>Fêtes des grands-pères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</si>
</sst>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\ dd\ mmmm\ yyyy;@"/>
    <numFmt numFmtId="165" formatCode="ddd\ dd/mm/yy"/>
    <numFmt numFmtId="166" formatCode="mmmm"/>
    <numFmt numFmtId="167" formatCode="dddd\ d\ mmm\ yyyy"/>
    <numFmt numFmtId="168" formatCode="d\ mmmm;@"/>
    <numFmt numFmtId="169" formatCode="dd/mm/yy"/>
    <numFmt numFmtId="170" formatCode="ddd\ dd\ "/>
  </numFmts>
  <fonts count="29"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theme="0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9"/>
      <name val="Geneva"/>
    </font>
    <font>
      <sz val="9"/>
      <name val="Calibri"/>
      <family val="2"/>
      <scheme val="minor"/>
    </font>
    <font>
      <b/>
      <sz val="10"/>
      <color theme="0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theme="0"/>
      <name val="Calibri"/>
      <family val="2"/>
    </font>
    <font>
      <i/>
      <sz val="10"/>
      <color theme="1"/>
      <name val="Calibri"/>
      <family val="2"/>
    </font>
    <font>
      <b/>
      <i/>
      <sz val="10"/>
      <color theme="1"/>
      <name val="Calibri"/>
      <family val="2"/>
    </font>
    <font>
      <b/>
      <sz val="10"/>
      <name val="Calibri"/>
      <family val="2"/>
    </font>
    <font>
      <b/>
      <sz val="9"/>
      <name val="Calibri"/>
      <family val="2"/>
    </font>
    <font>
      <u/>
      <sz val="8.8000000000000007"/>
      <color theme="10"/>
      <name val="Calibri"/>
      <family val="2"/>
    </font>
    <font>
      <i/>
      <sz val="9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</font>
    <font>
      <sz val="8"/>
      <color theme="1"/>
      <name val="Calibri"/>
      <family val="2"/>
    </font>
    <font>
      <sz val="9"/>
      <color indexed="8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0E1"/>
        <bgColor indexed="64"/>
      </patternFill>
    </fill>
    <fill>
      <patternFill patternType="solid">
        <fgColor rgb="FFFA65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FF6600"/>
        <bgColor indexed="64"/>
      </patternFill>
    </fill>
  </fills>
  <borders count="58">
    <border>
      <left/>
      <right/>
      <top/>
      <bottom/>
      <diagonal/>
    </border>
    <border>
      <left style="thin">
        <color rgb="FFFA6500"/>
      </left>
      <right style="thin">
        <color rgb="FFFA6500"/>
      </right>
      <top style="thin">
        <color rgb="FFFA6500"/>
      </top>
      <bottom/>
      <diagonal/>
    </border>
    <border>
      <left style="thin">
        <color rgb="FFFA6500"/>
      </left>
      <right style="thin">
        <color rgb="FFFA6500"/>
      </right>
      <top/>
      <bottom/>
      <diagonal/>
    </border>
    <border>
      <left style="thin">
        <color rgb="FFFA6500"/>
      </left>
      <right style="thin">
        <color rgb="FFFA6500"/>
      </right>
      <top/>
      <bottom style="thin">
        <color rgb="FFFA6500"/>
      </bottom>
      <diagonal/>
    </border>
    <border>
      <left style="thin">
        <color rgb="FFFA6500"/>
      </left>
      <right/>
      <top style="thin">
        <color rgb="FFFA6500"/>
      </top>
      <bottom/>
      <diagonal/>
    </border>
    <border>
      <left/>
      <right/>
      <top style="thin">
        <color rgb="FFFA6500"/>
      </top>
      <bottom/>
      <diagonal/>
    </border>
    <border>
      <left/>
      <right style="thin">
        <color rgb="FFFA6500"/>
      </right>
      <top style="thin">
        <color rgb="FFFA6500"/>
      </top>
      <bottom/>
      <diagonal/>
    </border>
    <border>
      <left style="thin">
        <color rgb="FFFA6500"/>
      </left>
      <right/>
      <top/>
      <bottom/>
      <diagonal/>
    </border>
    <border>
      <left/>
      <right style="thin">
        <color rgb="FFFA6500"/>
      </right>
      <top/>
      <bottom/>
      <diagonal/>
    </border>
    <border>
      <left style="thin">
        <color rgb="FFFA6500"/>
      </left>
      <right/>
      <top/>
      <bottom style="thin">
        <color rgb="FFFA6500"/>
      </bottom>
      <diagonal/>
    </border>
    <border>
      <left/>
      <right/>
      <top/>
      <bottom style="thin">
        <color rgb="FFFA6500"/>
      </bottom>
      <diagonal/>
    </border>
    <border>
      <left/>
      <right style="thin">
        <color rgb="FFFA6500"/>
      </right>
      <top/>
      <bottom style="thin">
        <color rgb="FFFA6500"/>
      </bottom>
      <diagonal/>
    </border>
    <border>
      <left style="thin">
        <color rgb="FFFA6500"/>
      </left>
      <right/>
      <top/>
      <bottom style="hair">
        <color auto="1"/>
      </bottom>
      <diagonal/>
    </border>
    <border>
      <left style="hair">
        <color theme="0" tint="-0.24994659260841701"/>
      </left>
      <right style="thin">
        <color rgb="FFFA6500"/>
      </right>
      <top style="thin">
        <color rgb="FFFA6500"/>
      </top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rgb="FFFA6500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rgb="FFFA6500"/>
      </right>
      <top style="hair">
        <color theme="0" tint="-0.24994659260841701"/>
      </top>
      <bottom style="thin">
        <color rgb="FFFA6500"/>
      </bottom>
      <diagonal/>
    </border>
    <border>
      <left/>
      <right style="hair">
        <color theme="0" tint="-0.24994659260841701"/>
      </right>
      <top style="thin">
        <color rgb="FFFA6500"/>
      </top>
      <bottom style="hair">
        <color theme="0" tint="-0.24994659260841701"/>
      </bottom>
      <diagonal/>
    </border>
    <border>
      <left/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hair">
        <color theme="0" tint="-0.24994659260841701"/>
      </right>
      <top style="hair">
        <color theme="0" tint="-0.24994659260841701"/>
      </top>
      <bottom style="thin">
        <color rgb="FFFA6500"/>
      </bottom>
      <diagonal/>
    </border>
    <border>
      <left style="thin">
        <color rgb="FFFA6500"/>
      </left>
      <right/>
      <top style="thin">
        <color rgb="FFFA6500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rgb="FFFA6500"/>
      </top>
      <bottom style="thin">
        <color theme="0" tint="-0.14996795556505021"/>
      </bottom>
      <diagonal/>
    </border>
    <border>
      <left style="thin">
        <color rgb="FFFA6500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rgb="FFFA6500"/>
      </left>
      <right/>
      <top style="thin">
        <color theme="0" tint="-0.14996795556505021"/>
      </top>
      <bottom style="thin">
        <color rgb="FFFA6500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rgb="FFFA6500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/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/>
      <diagonal/>
    </border>
    <border>
      <left style="thin">
        <color rgb="FFFA6500"/>
      </left>
      <right style="thin">
        <color rgb="FFFA6500"/>
      </right>
      <top style="thin">
        <color rgb="FFFA6500"/>
      </top>
      <bottom style="hair">
        <color rgb="FFFA6500"/>
      </bottom>
      <diagonal/>
    </border>
    <border>
      <left style="thin">
        <color rgb="FFFA6500"/>
      </left>
      <right style="thin">
        <color rgb="FFFA6500"/>
      </right>
      <top style="hair">
        <color rgb="FFFA6500"/>
      </top>
      <bottom style="hair">
        <color rgb="FFFA6500"/>
      </bottom>
      <diagonal/>
    </border>
    <border>
      <left style="thin">
        <color rgb="FFFA6500"/>
      </left>
      <right style="thin">
        <color rgb="FFFA6500"/>
      </right>
      <top style="hair">
        <color rgb="FFFA6500"/>
      </top>
      <bottom style="thin">
        <color rgb="FFFA6500"/>
      </bottom>
      <diagonal/>
    </border>
    <border>
      <left style="medium">
        <color indexed="9"/>
      </left>
      <right/>
      <top style="medium">
        <color indexed="9"/>
      </top>
      <bottom/>
      <diagonal/>
    </border>
    <border>
      <left style="thin">
        <color rgb="FFC0D1E6"/>
      </left>
      <right/>
      <top style="thin">
        <color rgb="FFC0D1E6"/>
      </top>
      <bottom style="hair">
        <color rgb="FFC0D1E6"/>
      </bottom>
      <diagonal/>
    </border>
    <border>
      <left/>
      <right/>
      <top style="thin">
        <color rgb="FFC0D1E6"/>
      </top>
      <bottom style="hair">
        <color rgb="FFC0D1E6"/>
      </bottom>
      <diagonal/>
    </border>
    <border>
      <left/>
      <right style="thin">
        <color rgb="FFC0D1E6"/>
      </right>
      <top style="thin">
        <color rgb="FFC0D1E6"/>
      </top>
      <bottom style="hair">
        <color rgb="FFC0D1E6"/>
      </bottom>
      <diagonal/>
    </border>
    <border>
      <left style="thin">
        <color rgb="FFC0D1E6"/>
      </left>
      <right/>
      <top style="hair">
        <color rgb="FFC0D1E6"/>
      </top>
      <bottom style="hair">
        <color rgb="FFC0D1E6"/>
      </bottom>
      <diagonal/>
    </border>
    <border>
      <left/>
      <right/>
      <top style="hair">
        <color rgb="FFC0D1E6"/>
      </top>
      <bottom style="hair">
        <color rgb="FFC0D1E6"/>
      </bottom>
      <diagonal/>
    </border>
    <border>
      <left/>
      <right style="thin">
        <color rgb="FFC0D1E6"/>
      </right>
      <top style="hair">
        <color rgb="FFC0D1E6"/>
      </top>
      <bottom style="hair">
        <color rgb="FFC0D1E6"/>
      </bottom>
      <diagonal/>
    </border>
    <border>
      <left style="thin">
        <color rgb="FFC0D1E6"/>
      </left>
      <right/>
      <top style="hair">
        <color rgb="FFC0D1E6"/>
      </top>
      <bottom/>
      <diagonal/>
    </border>
    <border>
      <left/>
      <right/>
      <top style="hair">
        <color rgb="FFC0D1E6"/>
      </top>
      <bottom/>
      <diagonal/>
    </border>
    <border>
      <left/>
      <right style="thin">
        <color rgb="FFC0D1E6"/>
      </right>
      <top style="hair">
        <color rgb="FFC0D1E6"/>
      </top>
      <bottom/>
      <diagonal/>
    </border>
    <border>
      <left style="thin">
        <color rgb="FFFFCD9B"/>
      </left>
      <right/>
      <top style="thin">
        <color rgb="FFFFCD9B"/>
      </top>
      <bottom style="hair">
        <color rgb="FFFFCD9B"/>
      </bottom>
      <diagonal/>
    </border>
    <border>
      <left/>
      <right/>
      <top style="thin">
        <color rgb="FFFFCD9B"/>
      </top>
      <bottom style="hair">
        <color rgb="FFFFCD9B"/>
      </bottom>
      <diagonal/>
    </border>
    <border>
      <left/>
      <right style="thin">
        <color rgb="FFFFCD9B"/>
      </right>
      <top style="thin">
        <color rgb="FFFFCD9B"/>
      </top>
      <bottom style="hair">
        <color rgb="FFFFCD9B"/>
      </bottom>
      <diagonal/>
    </border>
    <border>
      <left style="thin">
        <color rgb="FFFFCD9B"/>
      </left>
      <right/>
      <top style="hair">
        <color rgb="FFFFCD9B"/>
      </top>
      <bottom style="hair">
        <color rgb="FFFFCD9B"/>
      </bottom>
      <diagonal/>
    </border>
    <border>
      <left/>
      <right/>
      <top style="hair">
        <color rgb="FFFFCD9B"/>
      </top>
      <bottom style="hair">
        <color rgb="FFFFCD9B"/>
      </bottom>
      <diagonal/>
    </border>
    <border>
      <left/>
      <right style="thin">
        <color rgb="FFFFCD9B"/>
      </right>
      <top style="hair">
        <color rgb="FFFFCD9B"/>
      </top>
      <bottom style="hair">
        <color rgb="FFFFCD9B"/>
      </bottom>
      <diagonal/>
    </border>
    <border>
      <left style="thin">
        <color rgb="FFFFCD9B"/>
      </left>
      <right/>
      <top style="hair">
        <color rgb="FFFFCD9B"/>
      </top>
      <bottom style="thin">
        <color rgb="FFFFCD9B"/>
      </bottom>
      <diagonal/>
    </border>
    <border>
      <left/>
      <right/>
      <top style="hair">
        <color rgb="FFFFCD9B"/>
      </top>
      <bottom style="thin">
        <color rgb="FFFFCD9B"/>
      </bottom>
      <diagonal/>
    </border>
    <border>
      <left/>
      <right style="thin">
        <color rgb="FFFFCD9B"/>
      </right>
      <top style="hair">
        <color rgb="FFFFCD9B"/>
      </top>
      <bottom style="thin">
        <color rgb="FFFFCD9B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0" fontId="6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2" fillId="0" borderId="0"/>
  </cellStyleXfs>
  <cellXfs count="111">
    <xf numFmtId="0" fontId="0" fillId="0" borderId="0" xfId="0"/>
    <xf numFmtId="0" fontId="1" fillId="0" borderId="0" xfId="0" applyFont="1"/>
    <xf numFmtId="0" fontId="2" fillId="0" borderId="0" xfId="0" applyFont="1"/>
    <xf numFmtId="164" fontId="1" fillId="0" borderId="0" xfId="0" applyNumberFormat="1" applyFont="1" applyFill="1" applyBorder="1"/>
    <xf numFmtId="0" fontId="0" fillId="0" borderId="0" xfId="0" applyFill="1"/>
    <xf numFmtId="0" fontId="3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9" fillId="2" borderId="0" xfId="0" applyFont="1" applyFill="1" applyBorder="1" applyAlignment="1">
      <alignment horizontal="right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2" borderId="4" xfId="0" applyFill="1" applyBorder="1"/>
    <xf numFmtId="0" fontId="9" fillId="2" borderId="5" xfId="0" applyFont="1" applyFill="1" applyBorder="1" applyAlignment="1">
      <alignment horizontal="right"/>
    </xf>
    <xf numFmtId="0" fontId="9" fillId="0" borderId="6" xfId="0" applyFont="1" applyFill="1" applyBorder="1"/>
    <xf numFmtId="0" fontId="0" fillId="2" borderId="7" xfId="0" applyFill="1" applyBorder="1"/>
    <xf numFmtId="1" fontId="10" fillId="0" borderId="8" xfId="1" quotePrefix="1" applyNumberFormat="1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/>
    </xf>
    <xf numFmtId="1" fontId="9" fillId="0" borderId="8" xfId="0" applyNumberFormat="1" applyFont="1" applyFill="1" applyBorder="1" applyAlignment="1">
      <alignment horizontal="center"/>
    </xf>
    <xf numFmtId="0" fontId="0" fillId="2" borderId="9" xfId="0" applyFill="1" applyBorder="1"/>
    <xf numFmtId="0" fontId="9" fillId="2" borderId="10" xfId="0" applyFont="1" applyFill="1" applyBorder="1" applyAlignment="1">
      <alignment horizontal="right"/>
    </xf>
    <xf numFmtId="1" fontId="9" fillId="0" borderId="11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right"/>
    </xf>
    <xf numFmtId="164" fontId="5" fillId="2" borderId="0" xfId="0" applyNumberFormat="1" applyFont="1" applyFill="1" applyBorder="1" applyAlignment="1"/>
    <xf numFmtId="0" fontId="13" fillId="0" borderId="0" xfId="0" applyFont="1" applyAlignment="1">
      <alignment vertical="center"/>
    </xf>
    <xf numFmtId="0" fontId="15" fillId="3" borderId="0" xfId="0" applyFont="1" applyFill="1" applyAlignment="1">
      <alignment horizontal="center"/>
    </xf>
    <xf numFmtId="0" fontId="16" fillId="0" borderId="0" xfId="0" applyFont="1"/>
    <xf numFmtId="1" fontId="7" fillId="0" borderId="13" xfId="1" quotePrefix="1" applyNumberFormat="1" applyFont="1" applyFill="1" applyBorder="1" applyAlignment="1">
      <alignment horizontal="center" vertical="center"/>
    </xf>
    <xf numFmtId="1" fontId="7" fillId="0" borderId="14" xfId="1" quotePrefix="1" applyNumberFormat="1" applyFont="1" applyFill="1" applyBorder="1" applyAlignment="1">
      <alignment horizontal="center" vertical="center"/>
    </xf>
    <xf numFmtId="1" fontId="7" fillId="0" borderId="15" xfId="1" quotePrefix="1" applyNumberFormat="1" applyFont="1" applyFill="1" applyBorder="1" applyAlignment="1">
      <alignment horizontal="center" vertical="center"/>
    </xf>
    <xf numFmtId="1" fontId="7" fillId="0" borderId="16" xfId="1" quotePrefix="1" applyNumberFormat="1" applyFont="1" applyFill="1" applyBorder="1" applyAlignment="1">
      <alignment horizontal="center" vertical="center"/>
    </xf>
    <xf numFmtId="1" fontId="7" fillId="0" borderId="17" xfId="1" quotePrefix="1" applyNumberFormat="1" applyFont="1" applyFill="1" applyBorder="1" applyAlignment="1">
      <alignment horizontal="center" vertical="center"/>
    </xf>
    <xf numFmtId="1" fontId="7" fillId="0" borderId="18" xfId="1" quotePrefix="1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right"/>
    </xf>
    <xf numFmtId="164" fontId="5" fillId="2" borderId="20" xfId="0" applyNumberFormat="1" applyFont="1" applyFill="1" applyBorder="1" applyAlignment="1"/>
    <xf numFmtId="0" fontId="8" fillId="3" borderId="21" xfId="0" applyFont="1" applyFill="1" applyBorder="1" applyAlignment="1">
      <alignment horizontal="right"/>
    </xf>
    <xf numFmtId="164" fontId="8" fillId="3" borderId="22" xfId="0" applyNumberFormat="1" applyFont="1" applyFill="1" applyBorder="1" applyAlignment="1"/>
    <xf numFmtId="0" fontId="1" fillId="2" borderId="21" xfId="0" applyFont="1" applyFill="1" applyBorder="1" applyAlignment="1">
      <alignment horizontal="right"/>
    </xf>
    <xf numFmtId="164" fontId="1" fillId="2" borderId="22" xfId="0" applyNumberFormat="1" applyFont="1" applyFill="1" applyBorder="1"/>
    <xf numFmtId="0" fontId="1" fillId="2" borderId="23" xfId="0" applyFont="1" applyFill="1" applyBorder="1" applyAlignment="1">
      <alignment horizontal="right"/>
    </xf>
    <xf numFmtId="164" fontId="1" fillId="2" borderId="24" xfId="0" applyNumberFormat="1" applyFont="1" applyFill="1" applyBorder="1"/>
    <xf numFmtId="0" fontId="1" fillId="2" borderId="7" xfId="0" applyFont="1" applyFill="1" applyBorder="1" applyAlignment="1">
      <alignment horizontal="right"/>
    </xf>
    <xf numFmtId="165" fontId="4" fillId="4" borderId="26" xfId="0" applyNumberFormat="1" applyFont="1" applyFill="1" applyBorder="1" applyAlignment="1">
      <alignment horizontal="center" vertical="center"/>
    </xf>
    <xf numFmtId="165" fontId="4" fillId="5" borderId="25" xfId="0" applyNumberFormat="1" applyFont="1" applyFill="1" applyBorder="1" applyAlignment="1">
      <alignment horizontal="center" vertical="center"/>
    </xf>
    <xf numFmtId="165" fontId="4" fillId="6" borderId="25" xfId="0" applyNumberFormat="1" applyFont="1" applyFill="1" applyBorder="1" applyAlignment="1">
      <alignment horizontal="center" vertical="center"/>
    </xf>
    <xf numFmtId="165" fontId="4" fillId="7" borderId="25" xfId="0" applyNumberFormat="1" applyFont="1" applyFill="1" applyBorder="1" applyAlignment="1">
      <alignment horizontal="center" vertical="center"/>
    </xf>
    <xf numFmtId="165" fontId="4" fillId="0" borderId="25" xfId="0" applyNumberFormat="1" applyFont="1" applyFill="1" applyBorder="1"/>
    <xf numFmtId="0" fontId="4" fillId="0" borderId="0" xfId="0" applyFont="1"/>
    <xf numFmtId="0" fontId="0" fillId="0" borderId="0" xfId="0" applyAlignment="1">
      <alignment horizontal="center" vertical="center"/>
    </xf>
    <xf numFmtId="0" fontId="20" fillId="0" borderId="0" xfId="2" applyAlignment="1" applyProtection="1"/>
    <xf numFmtId="0" fontId="1" fillId="0" borderId="28" xfId="0" applyFont="1" applyBorder="1" applyAlignment="1">
      <alignment horizontal="center"/>
    </xf>
    <xf numFmtId="14" fontId="1" fillId="0" borderId="29" xfId="0" applyNumberFormat="1" applyFont="1" applyBorder="1"/>
    <xf numFmtId="0" fontId="1" fillId="0" borderId="29" xfId="0" applyFont="1" applyBorder="1" applyAlignment="1">
      <alignment horizontal="center"/>
    </xf>
    <xf numFmtId="0" fontId="0" fillId="0" borderId="29" xfId="0" applyBorder="1"/>
    <xf numFmtId="0" fontId="18" fillId="2" borderId="27" xfId="0" applyFont="1" applyFill="1" applyBorder="1" applyAlignment="1" applyProtection="1">
      <alignment horizontal="center" vertical="center" wrapText="1"/>
      <protection locked="0"/>
    </xf>
    <xf numFmtId="0" fontId="18" fillId="2" borderId="27" xfId="0" applyFont="1" applyFill="1" applyBorder="1" applyAlignment="1" applyProtection="1">
      <alignment horizontal="center" vertical="center"/>
      <protection locked="0"/>
    </xf>
    <xf numFmtId="0" fontId="19" fillId="2" borderId="27" xfId="0" applyFont="1" applyFill="1" applyBorder="1" applyAlignment="1" applyProtection="1">
      <alignment horizontal="center" vertical="center"/>
      <protection locked="0"/>
    </xf>
    <xf numFmtId="0" fontId="19" fillId="2" borderId="27" xfId="0" applyFont="1" applyFill="1" applyBorder="1" applyAlignment="1" applyProtection="1">
      <alignment horizontal="center" vertical="center" wrapText="1"/>
      <protection locked="0"/>
    </xf>
    <xf numFmtId="0" fontId="18" fillId="0" borderId="27" xfId="0" applyFont="1" applyBorder="1" applyAlignment="1">
      <alignment horizontal="center" vertical="center"/>
    </xf>
    <xf numFmtId="0" fontId="1" fillId="0" borderId="28" xfId="0" applyFont="1" applyBorder="1"/>
    <xf numFmtId="14" fontId="4" fillId="0" borderId="28" xfId="0" applyNumberFormat="1" applyFont="1" applyBorder="1" applyAlignment="1" applyProtection="1">
      <protection locked="0"/>
    </xf>
    <xf numFmtId="0" fontId="1" fillId="0" borderId="29" xfId="0" applyFont="1" applyBorder="1"/>
    <xf numFmtId="0" fontId="21" fillId="0" borderId="0" xfId="0" applyFont="1"/>
    <xf numFmtId="0" fontId="0" fillId="0" borderId="0" xfId="0" quotePrefix="1"/>
    <xf numFmtId="0" fontId="1" fillId="0" borderId="0" xfId="0" quotePrefix="1" applyFont="1"/>
    <xf numFmtId="0" fontId="1" fillId="0" borderId="32" xfId="0" applyFont="1" applyBorder="1" applyAlignment="1">
      <alignment horizontal="center"/>
    </xf>
    <xf numFmtId="0" fontId="0" fillId="0" borderId="32" xfId="0" applyBorder="1"/>
    <xf numFmtId="0" fontId="1" fillId="0" borderId="32" xfId="0" applyFont="1" applyBorder="1"/>
    <xf numFmtId="0" fontId="0" fillId="0" borderId="33" xfId="0" applyBorder="1"/>
    <xf numFmtId="0" fontId="0" fillId="2" borderId="34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23" fillId="0" borderId="0" xfId="0" applyFont="1" applyAlignment="1">
      <alignment horizontal="center" vertical="center"/>
    </xf>
    <xf numFmtId="0" fontId="24" fillId="0" borderId="0" xfId="2" applyFont="1" applyAlignment="1" applyProtection="1"/>
    <xf numFmtId="167" fontId="10" fillId="0" borderId="38" xfId="0" applyNumberFormat="1" applyFont="1" applyFill="1" applyBorder="1" applyAlignment="1">
      <alignment shrinkToFit="1"/>
    </xf>
    <xf numFmtId="167" fontId="10" fillId="0" borderId="39" xfId="0" applyNumberFormat="1" applyFont="1" applyFill="1" applyBorder="1" applyAlignment="1">
      <alignment shrinkToFit="1"/>
    </xf>
    <xf numFmtId="167" fontId="10" fillId="0" borderId="40" xfId="0" applyNumberFormat="1" applyFont="1" applyFill="1" applyBorder="1" applyAlignment="1">
      <alignment shrinkToFit="1"/>
    </xf>
    <xf numFmtId="167" fontId="10" fillId="0" borderId="41" xfId="0" applyNumberFormat="1" applyFont="1" applyFill="1" applyBorder="1" applyAlignment="1">
      <alignment shrinkToFit="1"/>
    </xf>
    <xf numFmtId="167" fontId="10" fillId="0" borderId="42" xfId="0" applyNumberFormat="1" applyFont="1" applyFill="1" applyBorder="1" applyAlignment="1">
      <alignment shrinkToFit="1"/>
    </xf>
    <xf numFmtId="167" fontId="10" fillId="0" borderId="43" xfId="0" applyNumberFormat="1" applyFont="1" applyFill="1" applyBorder="1" applyAlignment="1">
      <alignment shrinkToFit="1"/>
    </xf>
    <xf numFmtId="167" fontId="10" fillId="0" borderId="44" xfId="0" applyNumberFormat="1" applyFont="1" applyFill="1" applyBorder="1" applyAlignment="1">
      <alignment shrinkToFit="1"/>
    </xf>
    <xf numFmtId="167" fontId="10" fillId="0" borderId="45" xfId="0" applyNumberFormat="1" applyFont="1" applyFill="1" applyBorder="1" applyAlignment="1">
      <alignment shrinkToFit="1"/>
    </xf>
    <xf numFmtId="167" fontId="10" fillId="0" borderId="46" xfId="0" applyNumberFormat="1" applyFont="1" applyFill="1" applyBorder="1" applyAlignment="1">
      <alignment shrinkToFit="1"/>
    </xf>
    <xf numFmtId="167" fontId="10" fillId="0" borderId="47" xfId="0" applyNumberFormat="1" applyFont="1" applyFill="1" applyBorder="1" applyAlignment="1">
      <alignment shrinkToFit="1"/>
    </xf>
    <xf numFmtId="167" fontId="10" fillId="0" borderId="48" xfId="0" applyNumberFormat="1" applyFont="1" applyFill="1" applyBorder="1" applyAlignment="1">
      <alignment shrinkToFit="1"/>
    </xf>
    <xf numFmtId="167" fontId="10" fillId="0" borderId="49" xfId="0" applyNumberFormat="1" applyFont="1" applyFill="1" applyBorder="1" applyAlignment="1">
      <alignment shrinkToFit="1"/>
    </xf>
    <xf numFmtId="167" fontId="10" fillId="0" borderId="50" xfId="0" applyNumberFormat="1" applyFont="1" applyFill="1" applyBorder="1" applyAlignment="1">
      <alignment shrinkToFit="1"/>
    </xf>
    <xf numFmtId="167" fontId="10" fillId="0" borderId="51" xfId="0" applyNumberFormat="1" applyFont="1" applyFill="1" applyBorder="1" applyAlignment="1">
      <alignment shrinkToFit="1"/>
    </xf>
    <xf numFmtId="167" fontId="10" fillId="0" borderId="52" xfId="0" applyNumberFormat="1" applyFont="1" applyFill="1" applyBorder="1" applyAlignment="1">
      <alignment shrinkToFit="1"/>
    </xf>
    <xf numFmtId="167" fontId="10" fillId="0" borderId="53" xfId="0" applyNumberFormat="1" applyFont="1" applyFill="1" applyBorder="1" applyAlignment="1">
      <alignment shrinkToFit="1"/>
    </xf>
    <xf numFmtId="167" fontId="10" fillId="0" borderId="54" xfId="0" applyNumberFormat="1" applyFont="1" applyFill="1" applyBorder="1" applyAlignment="1">
      <alignment shrinkToFit="1"/>
    </xf>
    <xf numFmtId="167" fontId="10" fillId="0" borderId="55" xfId="0" applyNumberFormat="1" applyFont="1" applyFill="1" applyBorder="1" applyAlignment="1">
      <alignment shrinkToFit="1"/>
    </xf>
    <xf numFmtId="0" fontId="25" fillId="0" borderId="0" xfId="0" applyFont="1"/>
    <xf numFmtId="14" fontId="25" fillId="0" borderId="0" xfId="0" applyNumberFormat="1" applyFont="1"/>
    <xf numFmtId="0" fontId="26" fillId="8" borderId="37" xfId="0" applyFont="1" applyFill="1" applyBorder="1" applyAlignment="1">
      <alignment horizontal="left" vertical="center"/>
    </xf>
    <xf numFmtId="0" fontId="26" fillId="2" borderId="37" xfId="0" applyFont="1" applyFill="1" applyBorder="1" applyAlignment="1">
      <alignment horizontal="left" vertical="center"/>
    </xf>
    <xf numFmtId="168" fontId="1" fillId="0" borderId="0" xfId="0" applyNumberFormat="1" applyFont="1" applyAlignment="1">
      <alignment horizontal="left" indent="2"/>
    </xf>
    <xf numFmtId="0" fontId="1" fillId="0" borderId="0" xfId="0" applyFont="1" applyAlignment="1">
      <alignment horizontal="left" indent="2"/>
    </xf>
    <xf numFmtId="14" fontId="0" fillId="0" borderId="0" xfId="0" quotePrefix="1" applyNumberFormat="1"/>
    <xf numFmtId="14" fontId="25" fillId="0" borderId="0" xfId="0" quotePrefix="1" applyNumberFormat="1" applyFont="1"/>
    <xf numFmtId="169" fontId="0" fillId="0" borderId="0" xfId="0" quotePrefix="1" applyNumberFormat="1"/>
    <xf numFmtId="170" fontId="9" fillId="0" borderId="0" xfId="0" quotePrefix="1" applyNumberFormat="1" applyFont="1" applyFill="1" applyBorder="1" applyAlignment="1">
      <alignment horizontal="right" vertical="center"/>
    </xf>
    <xf numFmtId="0" fontId="25" fillId="0" borderId="0" xfId="0" quotePrefix="1" applyFont="1" applyAlignment="1">
      <alignment horizontal="left" indent="1"/>
    </xf>
    <xf numFmtId="0" fontId="28" fillId="9" borderId="0" xfId="0" applyFont="1" applyFill="1" applyBorder="1" applyAlignment="1">
      <alignment horizontal="center"/>
    </xf>
    <xf numFmtId="170" fontId="9" fillId="0" borderId="56" xfId="0" quotePrefix="1" applyNumberFormat="1" applyFont="1" applyFill="1" applyBorder="1" applyAlignment="1">
      <alignment horizontal="right" vertical="center"/>
    </xf>
    <xf numFmtId="166" fontId="27" fillId="9" borderId="30" xfId="0" applyNumberFormat="1" applyFont="1" applyFill="1" applyBorder="1" applyAlignment="1">
      <alignment horizontal="center"/>
    </xf>
    <xf numFmtId="168" fontId="1" fillId="0" borderId="0" xfId="0" quotePrefix="1" applyNumberFormat="1" applyFont="1" applyAlignment="1">
      <alignment horizontal="left" indent="1"/>
    </xf>
    <xf numFmtId="168" fontId="1" fillId="0" borderId="0" xfId="0" applyNumberFormat="1" applyFont="1" applyAlignment="1">
      <alignment horizontal="left" indent="1"/>
    </xf>
    <xf numFmtId="0" fontId="11" fillId="0" borderId="0" xfId="0" applyFont="1" applyAlignment="1">
      <alignment horizontal="left" vertical="center" wrapText="1"/>
    </xf>
    <xf numFmtId="0" fontId="27" fillId="9" borderId="57" xfId="0" applyFont="1" applyFill="1" applyBorder="1" applyAlignment="1">
      <alignment horizontal="center"/>
    </xf>
    <xf numFmtId="0" fontId="27" fillId="9" borderId="31" xfId="0" applyFont="1" applyFill="1" applyBorder="1" applyAlignment="1">
      <alignment horizontal="center"/>
    </xf>
  </cellXfs>
  <cellStyles count="4">
    <cellStyle name="Lien hypertexte" xfId="2" builtinId="8"/>
    <cellStyle name="Normal" xfId="0" builtinId="0"/>
    <cellStyle name="Normal 2" xfId="3"/>
    <cellStyle name="Normal_Calendrier" xfId="1"/>
  </cellStyles>
  <dxfs count="27">
    <dxf>
      <fill>
        <patternFill patternType="none">
          <bgColor auto="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color theme="0"/>
      </font>
      <fill>
        <patternFill>
          <bgColor rgb="FF56B1CA"/>
        </patternFill>
      </fill>
    </dxf>
    <dxf>
      <fill>
        <patternFill>
          <bgColor rgb="FFFED2FF"/>
        </patternFill>
      </fill>
    </dxf>
    <dxf>
      <fill>
        <patternFill patternType="none">
          <bgColor auto="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/>
        <i val="0"/>
        <color theme="1" tint="0.24994659260841701"/>
      </font>
      <fill>
        <patternFill>
          <bgColor rgb="FFE5E0EC"/>
        </patternFill>
      </fill>
    </dxf>
    <dxf>
      <fill>
        <patternFill>
          <bgColor rgb="FFC0EFF8"/>
        </patternFill>
      </fill>
    </dxf>
    <dxf>
      <font>
        <b val="0"/>
        <i val="0"/>
        <color theme="0"/>
      </font>
      <fill>
        <patternFill>
          <bgColor rgb="FFB61C5E"/>
        </patternFill>
      </fill>
    </dxf>
    <dxf>
      <font>
        <b/>
        <i val="0"/>
        <color rgb="FFC00000"/>
      </font>
      <fill>
        <patternFill>
          <bgColor rgb="FFFFE593"/>
        </patternFill>
      </fill>
    </dxf>
    <dxf>
      <fill>
        <patternFill>
          <bgColor rgb="FFC0EFF8"/>
        </patternFill>
      </fill>
    </dxf>
    <dxf>
      <font>
        <b val="0"/>
        <i val="0"/>
        <color theme="0"/>
      </font>
      <fill>
        <patternFill>
          <bgColor rgb="FFB61C5E"/>
        </patternFill>
      </fill>
    </dxf>
    <dxf>
      <font>
        <b/>
        <i val="0"/>
        <color rgb="FFC00000"/>
      </font>
      <fill>
        <patternFill>
          <bgColor rgb="FFFFE593"/>
        </patternFill>
      </fill>
    </dxf>
    <dxf>
      <fill>
        <patternFill>
          <bgColor rgb="FFC0EFF8"/>
        </patternFill>
      </fill>
    </dxf>
    <dxf>
      <font>
        <b val="0"/>
        <i val="0"/>
        <color theme="0"/>
      </font>
      <fill>
        <patternFill>
          <bgColor rgb="FFB61C5E"/>
        </patternFill>
      </fill>
    </dxf>
    <dxf>
      <font>
        <b/>
        <i val="0"/>
        <color rgb="FFC00000"/>
      </font>
      <fill>
        <patternFill>
          <bgColor rgb="FFFFE593"/>
        </patternFill>
      </fill>
    </dxf>
    <dxf>
      <fill>
        <patternFill>
          <bgColor rgb="FFC5FFDF"/>
        </patternFill>
      </fill>
    </dxf>
    <dxf>
      <fill>
        <patternFill patternType="none">
          <bgColor auto="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color theme="0"/>
      </font>
      <fill>
        <patternFill>
          <bgColor rgb="FF56B1CA"/>
        </patternFill>
      </fill>
    </dxf>
    <dxf>
      <fill>
        <patternFill>
          <bgColor rgb="FFFED2FF"/>
        </patternFill>
      </fill>
    </dxf>
    <dxf>
      <fill>
        <patternFill>
          <bgColor rgb="FFC0EFF8"/>
        </patternFill>
      </fill>
    </dxf>
    <dxf>
      <font>
        <b val="0"/>
        <i val="0"/>
        <color theme="0"/>
      </font>
      <fill>
        <patternFill>
          <bgColor rgb="FFB61C5E"/>
        </patternFill>
      </fill>
    </dxf>
    <dxf>
      <font>
        <b/>
        <i val="0"/>
        <color rgb="FFC00000"/>
      </font>
      <fill>
        <patternFill>
          <bgColor rgb="FFFFE593"/>
        </patternFill>
      </fill>
    </dxf>
    <dxf>
      <font>
        <b/>
        <i val="0"/>
        <color theme="1" tint="0.24994659260841701"/>
      </font>
      <fill>
        <patternFill>
          <bgColor rgb="FFE5E0EC"/>
        </patternFill>
      </fill>
    </dxf>
    <dxf>
      <fill>
        <patternFill>
          <bgColor rgb="FFC5FFDF"/>
        </patternFill>
      </fill>
    </dxf>
    <dxf>
      <font>
        <color theme="0"/>
      </font>
    </dxf>
  </dxfs>
  <tableStyles count="0" defaultTableStyle="TableStyleMedium9" defaultPivotStyle="PivotStyleLight16"/>
  <colors>
    <mruColors>
      <color rgb="FFFF0000"/>
      <color rgb="FF56B1CA"/>
      <color rgb="FF0066FF"/>
      <color rgb="FF00CC99"/>
      <color rgb="FFFED2FF"/>
      <color rgb="FFFF6600"/>
      <color rgb="FFE5E0EC"/>
      <color rgb="FFC0EFF8"/>
      <color rgb="FFC00000"/>
      <color rgb="FFFFE5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103910</xdr:colOff>
      <xdr:row>1</xdr:row>
      <xdr:rowOff>62345</xdr:rowOff>
    </xdr:from>
    <xdr:to>
      <xdr:col>14</xdr:col>
      <xdr:colOff>674009</xdr:colOff>
      <xdr:row>5</xdr:row>
      <xdr:rowOff>100445</xdr:rowOff>
    </xdr:to>
    <xdr:grpSp>
      <xdr:nvGrpSpPr>
        <xdr:cNvPr id="14" name="Groupe 13"/>
        <xdr:cNvGrpSpPr/>
      </xdr:nvGrpSpPr>
      <xdr:grpSpPr>
        <a:xfrm>
          <a:off x="3749387" y="252845"/>
          <a:ext cx="2916713" cy="739486"/>
          <a:chOff x="3533776" y="304800"/>
          <a:chExt cx="2913249" cy="742950"/>
        </a:xfrm>
      </xdr:grpSpPr>
      <xdr:sp macro="" textlink="">
        <xdr:nvSpPr>
          <xdr:cNvPr id="3" name="ZoneTexte 2"/>
          <xdr:cNvSpPr txBox="1"/>
        </xdr:nvSpPr>
        <xdr:spPr>
          <a:xfrm>
            <a:off x="4162425" y="304800"/>
            <a:ext cx="2284600" cy="436786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none" rtlCol="0" anchor="t">
            <a:spAutoFit/>
          </a:bodyPr>
          <a:lstStyle/>
          <a:p>
            <a:r>
              <a:rPr lang="fr-FR" sz="1100"/>
              <a:t>Si K6 est vide je n'ai pas les absences</a:t>
            </a:r>
          </a:p>
          <a:p>
            <a:r>
              <a:rPr lang="fr-FR" sz="1100"/>
              <a:t>et pour le 29,</a:t>
            </a:r>
            <a:r>
              <a:rPr lang="fr-FR" sz="1100" baseline="0"/>
              <a:t>30,31 j'ai erreur REF</a:t>
            </a:r>
            <a:endParaRPr lang="fr-FR" sz="1100"/>
          </a:p>
        </xdr:txBody>
      </xdr:sp>
      <xdr:cxnSp macro="">
        <xdr:nvCxnSpPr>
          <xdr:cNvPr id="5" name="Connecteur droit avec flèche 4"/>
          <xdr:cNvCxnSpPr>
            <a:stCxn id="3" idx="1"/>
          </xdr:cNvCxnSpPr>
        </xdr:nvCxnSpPr>
        <xdr:spPr>
          <a:xfrm flipH="1">
            <a:off x="3533776" y="523193"/>
            <a:ext cx="628649" cy="524557"/>
          </a:xfrm>
          <a:prstGeom prst="straightConnector1">
            <a:avLst/>
          </a:prstGeom>
          <a:ln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104775</xdr:colOff>
      <xdr:row>39</xdr:row>
      <xdr:rowOff>0</xdr:rowOff>
    </xdr:from>
    <xdr:to>
      <xdr:col>10</xdr:col>
      <xdr:colOff>142875</xdr:colOff>
      <xdr:row>42</xdr:row>
      <xdr:rowOff>37513</xdr:rowOff>
    </xdr:to>
    <xdr:sp macro="" textlink="">
      <xdr:nvSpPr>
        <xdr:cNvPr id="2" name="ZoneTexte 1"/>
        <xdr:cNvSpPr txBox="1"/>
      </xdr:nvSpPr>
      <xdr:spPr>
        <a:xfrm>
          <a:off x="542925" y="7381875"/>
          <a:ext cx="2943225" cy="609013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000"/>
            <a:t>En colonne H j'ai</a:t>
          </a:r>
          <a:r>
            <a:rPr lang="fr-FR" sz="1000" baseline="0"/>
            <a:t> la formule :</a:t>
          </a:r>
        </a:p>
        <a:p>
          <a:r>
            <a:rPr lang="fr-FR" sz="1000"/>
            <a:t>=SI(H35="";"";SI(MOIS(H35+1)=MOIS(H8);H35+1;"")) </a:t>
          </a:r>
        </a:p>
        <a:p>
          <a:r>
            <a:rPr lang="fr-FR" sz="1000"/>
            <a:t>pour le 29,</a:t>
          </a:r>
          <a:r>
            <a:rPr lang="fr-FR" sz="1000" baseline="0"/>
            <a:t> 30 et 31 jours en fin de mois.</a:t>
          </a:r>
        </a:p>
      </xdr:txBody>
    </xdr:sp>
    <xdr:clientData/>
  </xdr:twoCellAnchor>
  <xdr:twoCellAnchor>
    <xdr:from>
      <xdr:col>6</xdr:col>
      <xdr:colOff>452871</xdr:colOff>
      <xdr:row>35</xdr:row>
      <xdr:rowOff>155864</xdr:rowOff>
    </xdr:from>
    <xdr:to>
      <xdr:col>7</xdr:col>
      <xdr:colOff>112568</xdr:colOff>
      <xdr:row>39</xdr:row>
      <xdr:rowOff>0</xdr:rowOff>
    </xdr:to>
    <xdr:cxnSp macro="">
      <xdr:nvCxnSpPr>
        <xdr:cNvPr id="9" name="Connecteur droit avec flèche 8"/>
        <xdr:cNvCxnSpPr>
          <a:stCxn id="2" idx="0"/>
        </xdr:cNvCxnSpPr>
      </xdr:nvCxnSpPr>
      <xdr:spPr>
        <a:xfrm flipV="1">
          <a:off x="2020166" y="6771409"/>
          <a:ext cx="482311" cy="606136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43</xdr:row>
      <xdr:rowOff>85724</xdr:rowOff>
    </xdr:from>
    <xdr:to>
      <xdr:col>12</xdr:col>
      <xdr:colOff>704850</xdr:colOff>
      <xdr:row>49</xdr:row>
      <xdr:rowOff>9525</xdr:rowOff>
    </xdr:to>
    <xdr:sp macro="" textlink="">
      <xdr:nvSpPr>
        <xdr:cNvPr id="16" name="ZoneTexte 15"/>
        <xdr:cNvSpPr txBox="1"/>
      </xdr:nvSpPr>
      <xdr:spPr>
        <a:xfrm>
          <a:off x="1247775" y="8229599"/>
          <a:ext cx="3905250" cy="1066801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noAutofit/>
        </a:bodyPr>
        <a:lstStyle/>
        <a:p>
          <a:r>
            <a:rPr lang="fr-FR" sz="1100"/>
            <a:t>K6 est vide </a:t>
          </a:r>
        </a:p>
        <a:p>
          <a:r>
            <a:rPr lang="fr-FR" sz="11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=SI(SOMMEPROD((Noms=K$6)*($H37&gt;=Debut)*($H37&lt;=Fin))&gt;0;</a:t>
          </a:r>
        </a:p>
        <a:p>
          <a:r>
            <a:rPr lang="fr-FR" sz="11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INDEX(Taches;SOMMEPROD((Noms=K$6)*($H37&gt;=Debut)</a:t>
          </a:r>
        </a:p>
        <a:p>
          <a:r>
            <a:rPr lang="fr-FR" sz="11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*($H37&lt;=Fin)*LIGNE(Noms))-1);"")</a:t>
          </a:r>
          <a:r>
            <a:rPr lang="fr-FR"/>
            <a:t> </a:t>
          </a:r>
        </a:p>
        <a:p>
          <a:r>
            <a:rPr lang="fr-FR" sz="1100">
              <a:solidFill>
                <a:srgbClr val="FF0000"/>
              </a:solidFill>
            </a:rPr>
            <a:t>Erreur</a:t>
          </a:r>
          <a:r>
            <a:rPr lang="fr-FR" sz="1100" baseline="0">
              <a:solidFill>
                <a:srgbClr val="FF0000"/>
              </a:solidFill>
            </a:rPr>
            <a:t> REF</a:t>
          </a:r>
          <a:endParaRPr lang="fr-FR" sz="1100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  <xdr:twoCellAnchor>
    <xdr:from>
      <xdr:col>9</xdr:col>
      <xdr:colOff>19050</xdr:colOff>
      <xdr:row>36</xdr:row>
      <xdr:rowOff>95252</xdr:rowOff>
    </xdr:from>
    <xdr:to>
      <xdr:col>10</xdr:col>
      <xdr:colOff>19051</xdr:colOff>
      <xdr:row>43</xdr:row>
      <xdr:rowOff>85724</xdr:rowOff>
    </xdr:to>
    <xdr:cxnSp macro="">
      <xdr:nvCxnSpPr>
        <xdr:cNvPr id="17" name="Connecteur droit avec flèche 16"/>
        <xdr:cNvCxnSpPr>
          <a:stCxn id="16" idx="0"/>
        </xdr:cNvCxnSpPr>
      </xdr:nvCxnSpPr>
      <xdr:spPr>
        <a:xfrm flipV="1">
          <a:off x="3200400" y="6905627"/>
          <a:ext cx="161926" cy="1323972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380999</xdr:colOff>
      <xdr:row>36</xdr:row>
      <xdr:rowOff>142875</xdr:rowOff>
    </xdr:from>
    <xdr:to>
      <xdr:col>18</xdr:col>
      <xdr:colOff>676274</xdr:colOff>
      <xdr:row>41</xdr:row>
      <xdr:rowOff>114300</xdr:rowOff>
    </xdr:to>
    <xdr:sp macro="" textlink="">
      <xdr:nvSpPr>
        <xdr:cNvPr id="27" name="ZoneTexte 26"/>
        <xdr:cNvSpPr txBox="1"/>
      </xdr:nvSpPr>
      <xdr:spPr>
        <a:xfrm>
          <a:off x="4829174" y="6953250"/>
          <a:ext cx="4867275" cy="92392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noAutofit/>
        </a:bodyPr>
        <a:lstStyle/>
        <a:p>
          <a:r>
            <a:rPr lang="fr-FR" sz="1000"/>
            <a:t>Pour la colonne L  </a:t>
          </a:r>
        </a:p>
        <a:p>
          <a:r>
            <a:rPr lang="fr-FR" sz="10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=SI(NB.SI(Parametre!$C$17:$C$29;H37)=0;"";INDEX(Parametre!$B$17:$B$29;</a:t>
          </a:r>
        </a:p>
        <a:p>
          <a:r>
            <a:rPr lang="fr-FR" sz="10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EQUIV(H37;Parametre!$C$17:$C$29;0)))&amp;""&amp;SI(NB.SI(Parametre!$H$19:$H$40;H37)=0;"";</a:t>
          </a:r>
        </a:p>
        <a:p>
          <a:r>
            <a:rPr lang="fr-FR" sz="10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INDEX(Parametre!$I$19:$I$40;EQUIV(H37;Parametre!$H$19:$H$40;0)))</a:t>
          </a:r>
          <a:r>
            <a:rPr lang="fr-FR" sz="1000"/>
            <a:t> </a:t>
          </a:r>
          <a:endParaRPr lang="fr-FR" sz="1000">
            <a:solidFill>
              <a:srgbClr val="FF0000"/>
            </a:solidFill>
          </a:endParaRPr>
        </a:p>
        <a:p>
          <a:r>
            <a:rPr lang="fr-FR" sz="1000">
              <a:solidFill>
                <a:srgbClr val="FF0000"/>
              </a:solidFill>
            </a:rPr>
            <a:t>Erreur</a:t>
          </a:r>
          <a:r>
            <a:rPr lang="fr-FR" sz="1000" baseline="0">
              <a:solidFill>
                <a:srgbClr val="FF0000"/>
              </a:solidFill>
            </a:rPr>
            <a:t>  #N/A</a:t>
          </a:r>
          <a:endParaRPr lang="fr-FR" sz="1000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  <xdr:twoCellAnchor>
    <xdr:from>
      <xdr:col>12</xdr:col>
      <xdr:colOff>47625</xdr:colOff>
      <xdr:row>35</xdr:row>
      <xdr:rowOff>114300</xdr:rowOff>
    </xdr:from>
    <xdr:to>
      <xdr:col>15</xdr:col>
      <xdr:colOff>528637</xdr:colOff>
      <xdr:row>36</xdr:row>
      <xdr:rowOff>142875</xdr:rowOff>
    </xdr:to>
    <xdr:cxnSp macro="">
      <xdr:nvCxnSpPr>
        <xdr:cNvPr id="28" name="Connecteur droit avec flèche 27"/>
        <xdr:cNvCxnSpPr>
          <a:stCxn id="27" idx="0"/>
        </xdr:cNvCxnSpPr>
      </xdr:nvCxnSpPr>
      <xdr:spPr>
        <a:xfrm flipH="1" flipV="1">
          <a:off x="4495800" y="6734175"/>
          <a:ext cx="2767012" cy="2190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vacances-scolaires.education/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"/>
  <dimension ref="A1:S30"/>
  <sheetViews>
    <sheetView showGridLines="0" workbookViewId="0">
      <selection activeCell="D2" sqref="D2"/>
    </sheetView>
  </sheetViews>
  <sheetFormatPr baseColWidth="10" defaultRowHeight="15"/>
  <cols>
    <col min="2" max="3" width="11.42578125" customWidth="1"/>
    <col min="4" max="4" width="6.42578125" customWidth="1"/>
    <col min="5" max="6" width="5.7109375" customWidth="1"/>
    <col min="7" max="7" width="2" customWidth="1"/>
    <col min="8" max="8" width="6.7109375" customWidth="1"/>
    <col min="9" max="9" width="11.7109375" customWidth="1"/>
    <col min="10" max="10" width="12.7109375" customWidth="1"/>
    <col min="11" max="11" width="15.42578125" customWidth="1"/>
  </cols>
  <sheetData>
    <row r="1" spans="1:19" ht="36">
      <c r="A1" s="54" t="s">
        <v>52</v>
      </c>
      <c r="B1" s="55" t="s">
        <v>2</v>
      </c>
      <c r="C1" s="55" t="s">
        <v>0</v>
      </c>
      <c r="D1" s="56" t="s">
        <v>1</v>
      </c>
      <c r="E1" s="57" t="s">
        <v>53</v>
      </c>
      <c r="G1" s="47"/>
      <c r="H1" s="58" t="s">
        <v>1</v>
      </c>
      <c r="I1" s="48"/>
    </row>
    <row r="2" spans="1:19">
      <c r="A2" s="59" t="s">
        <v>50</v>
      </c>
      <c r="B2" s="60">
        <v>43831</v>
      </c>
      <c r="C2" s="60">
        <v>43835</v>
      </c>
      <c r="D2" s="50" t="s">
        <v>42</v>
      </c>
      <c r="E2" s="65">
        <f t="shared" ref="E2:E9" si="0">IF(OR($B2="",$C2=""),"",$C2-$B2+1-INT(($C2-MOD($C2-1,7)-$B2+7)/7)-(SUMPRODUCT((jourferies&gt;=$B2)-(jourferies&gt;$C2)))+SUMPRODUCT((WEEKDAY(jourferies)=1)*(jourferies&gt;=$B2)*(jourferies&lt;=$C2)))</f>
        <v>3</v>
      </c>
      <c r="H2" s="42" t="s">
        <v>42</v>
      </c>
      <c r="I2" s="1" t="s">
        <v>46</v>
      </c>
    </row>
    <row r="3" spans="1:19">
      <c r="A3" s="61" t="s">
        <v>51</v>
      </c>
      <c r="B3" s="51">
        <v>43840</v>
      </c>
      <c r="C3" s="51">
        <v>43845</v>
      </c>
      <c r="D3" s="52" t="s">
        <v>43</v>
      </c>
      <c r="E3" s="65">
        <f t="shared" si="0"/>
        <v>5</v>
      </c>
      <c r="H3" s="43" t="s">
        <v>43</v>
      </c>
      <c r="I3" s="1" t="s">
        <v>47</v>
      </c>
    </row>
    <row r="4" spans="1:19">
      <c r="A4" s="61" t="s">
        <v>50</v>
      </c>
      <c r="B4" s="51">
        <v>43869</v>
      </c>
      <c r="C4" s="51">
        <v>43873</v>
      </c>
      <c r="D4" s="52" t="s">
        <v>42</v>
      </c>
      <c r="E4" s="65">
        <f t="shared" si="0"/>
        <v>4</v>
      </c>
      <c r="H4" s="44" t="s">
        <v>44</v>
      </c>
      <c r="I4" s="1" t="s">
        <v>48</v>
      </c>
    </row>
    <row r="5" spans="1:19">
      <c r="A5" s="61" t="s">
        <v>51</v>
      </c>
      <c r="B5" s="51">
        <v>43878</v>
      </c>
      <c r="C5" s="51">
        <v>43883</v>
      </c>
      <c r="D5" s="52" t="s">
        <v>45</v>
      </c>
      <c r="E5" s="65">
        <f t="shared" si="0"/>
        <v>6</v>
      </c>
      <c r="H5" s="45" t="s">
        <v>45</v>
      </c>
      <c r="I5" s="1" t="s">
        <v>49</v>
      </c>
    </row>
    <row r="6" spans="1:19">
      <c r="A6" s="61" t="s">
        <v>50</v>
      </c>
      <c r="B6" s="51">
        <v>43882</v>
      </c>
      <c r="C6" s="51">
        <v>43886</v>
      </c>
      <c r="D6" s="52" t="s">
        <v>44</v>
      </c>
      <c r="E6" s="65">
        <f t="shared" si="0"/>
        <v>4</v>
      </c>
      <c r="H6" s="46"/>
      <c r="I6" s="1"/>
    </row>
    <row r="7" spans="1:19">
      <c r="A7" s="61"/>
      <c r="B7" s="51"/>
      <c r="C7" s="51"/>
      <c r="D7" s="52"/>
      <c r="E7" s="65" t="str">
        <f t="shared" si="0"/>
        <v/>
      </c>
      <c r="G7" s="1"/>
      <c r="H7" s="1"/>
      <c r="I7" s="1"/>
    </row>
    <row r="8" spans="1:19">
      <c r="A8" s="61"/>
      <c r="B8" s="51"/>
      <c r="C8" s="51"/>
      <c r="D8" s="61"/>
      <c r="E8" s="65" t="str">
        <f t="shared" si="0"/>
        <v/>
      </c>
      <c r="G8" s="1"/>
      <c r="H8" s="1"/>
      <c r="I8" s="1"/>
    </row>
    <row r="9" spans="1:19">
      <c r="A9" s="61"/>
      <c r="B9" s="61"/>
      <c r="C9" s="61"/>
      <c r="D9" s="61"/>
      <c r="E9" s="65" t="str">
        <f t="shared" si="0"/>
        <v/>
      </c>
      <c r="G9" s="1"/>
      <c r="H9" s="1"/>
      <c r="I9" s="1"/>
    </row>
    <row r="10" spans="1:19">
      <c r="A10" s="53"/>
      <c r="B10" s="53"/>
      <c r="C10" s="53"/>
      <c r="D10" s="53"/>
      <c r="E10" s="66"/>
      <c r="S10" s="49"/>
    </row>
    <row r="11" spans="1:19">
      <c r="A11" s="61"/>
      <c r="B11" s="61"/>
      <c r="C11" s="61"/>
      <c r="D11" s="61"/>
      <c r="E11" s="67"/>
      <c r="G11" s="1"/>
      <c r="H11" s="1"/>
      <c r="I11" s="1"/>
    </row>
    <row r="12" spans="1:19">
      <c r="A12" s="61"/>
      <c r="B12" s="61"/>
      <c r="C12" s="61"/>
      <c r="D12" s="61"/>
      <c r="E12" s="67"/>
      <c r="G12" s="1"/>
      <c r="H12" s="1"/>
      <c r="I12" s="1"/>
    </row>
    <row r="13" spans="1:19">
      <c r="A13" s="61"/>
      <c r="B13" s="61"/>
      <c r="C13" s="61"/>
      <c r="D13" s="61"/>
      <c r="E13" s="67"/>
      <c r="G13" s="1"/>
      <c r="H13" s="1"/>
      <c r="I13" s="1"/>
    </row>
    <row r="14" spans="1:19">
      <c r="A14" s="61"/>
      <c r="B14" s="61"/>
      <c r="C14" s="61"/>
      <c r="D14" s="61"/>
      <c r="E14" s="67"/>
      <c r="G14" s="1"/>
      <c r="H14" s="1"/>
      <c r="I14" s="1"/>
    </row>
    <row r="15" spans="1:19">
      <c r="A15" s="61"/>
      <c r="B15" s="53"/>
      <c r="C15" s="61"/>
      <c r="D15" s="61"/>
      <c r="E15" s="66"/>
      <c r="G15" s="1"/>
      <c r="H15" s="1"/>
      <c r="I15" s="64"/>
    </row>
    <row r="16" spans="1:19">
      <c r="A16" s="61"/>
      <c r="B16" s="53"/>
      <c r="C16" s="61"/>
      <c r="D16" s="61"/>
      <c r="E16" s="67"/>
      <c r="G16" s="1"/>
      <c r="H16" s="1"/>
      <c r="I16" s="1"/>
    </row>
    <row r="17" spans="1:9">
      <c r="A17" s="61"/>
      <c r="B17" s="53"/>
      <c r="C17" s="61"/>
      <c r="D17" s="61"/>
      <c r="E17" s="67"/>
      <c r="G17" s="1"/>
      <c r="H17" s="64"/>
      <c r="I17" s="1"/>
    </row>
    <row r="18" spans="1:9">
      <c r="A18" s="61"/>
      <c r="B18" s="53"/>
      <c r="C18" s="53"/>
      <c r="D18" s="53"/>
      <c r="E18" s="67"/>
      <c r="G18" s="1"/>
      <c r="H18" s="1"/>
      <c r="I18" s="1"/>
    </row>
    <row r="19" spans="1:9">
      <c r="A19" s="61"/>
      <c r="B19" s="53"/>
      <c r="C19" s="53"/>
      <c r="D19" s="53"/>
      <c r="E19" s="67"/>
      <c r="G19" s="1"/>
      <c r="H19" s="1"/>
      <c r="I19" s="1"/>
    </row>
    <row r="20" spans="1:9">
      <c r="A20" s="61"/>
      <c r="B20" s="53"/>
      <c r="C20" s="53"/>
      <c r="D20" s="53"/>
      <c r="E20" s="67"/>
      <c r="G20" s="1"/>
      <c r="H20" s="1"/>
      <c r="I20" s="1"/>
    </row>
    <row r="21" spans="1:9">
      <c r="A21" s="61"/>
      <c r="B21" s="53"/>
      <c r="C21" s="53"/>
      <c r="D21" s="53"/>
      <c r="E21" s="67"/>
      <c r="G21" s="1"/>
      <c r="H21" s="1"/>
      <c r="I21" s="1"/>
    </row>
    <row r="22" spans="1:9">
      <c r="A22" s="61"/>
      <c r="B22" s="53"/>
      <c r="C22" s="53"/>
      <c r="D22" s="53"/>
      <c r="E22" s="67"/>
      <c r="G22" s="1"/>
      <c r="H22" s="1"/>
      <c r="I22" s="1"/>
    </row>
    <row r="23" spans="1:9">
      <c r="A23" s="61"/>
      <c r="B23" s="53"/>
      <c r="C23" s="53"/>
      <c r="D23" s="53"/>
      <c r="E23" s="67"/>
      <c r="G23" s="1"/>
      <c r="H23" s="1"/>
      <c r="I23" s="1"/>
    </row>
    <row r="24" spans="1:9">
      <c r="A24" s="61"/>
      <c r="B24" s="53"/>
      <c r="C24" s="53"/>
      <c r="D24" s="53"/>
      <c r="E24" s="67"/>
      <c r="G24" s="1"/>
      <c r="H24" s="1"/>
      <c r="I24" s="1"/>
    </row>
    <row r="25" spans="1:9">
      <c r="A25" s="61"/>
      <c r="B25" s="53"/>
      <c r="C25" s="53"/>
      <c r="D25" s="53"/>
      <c r="E25" s="67"/>
      <c r="G25" s="1"/>
      <c r="H25" s="1"/>
      <c r="I25" s="1"/>
    </row>
    <row r="26" spans="1:9">
      <c r="A26" s="61"/>
      <c r="B26" s="53"/>
      <c r="C26" s="53"/>
      <c r="D26" s="53"/>
      <c r="E26" s="67"/>
      <c r="G26" s="1"/>
      <c r="H26" s="1"/>
      <c r="I26" s="1"/>
    </row>
    <row r="27" spans="1:9">
      <c r="A27" s="61"/>
      <c r="B27" s="53"/>
      <c r="C27" s="53"/>
      <c r="D27" s="53"/>
      <c r="E27" s="67"/>
      <c r="G27" s="1"/>
      <c r="H27" s="1"/>
      <c r="I27" s="1"/>
    </row>
    <row r="28" spans="1:9">
      <c r="A28" s="61"/>
      <c r="B28" s="53"/>
      <c r="C28" s="53"/>
      <c r="D28" s="53"/>
      <c r="E28" s="67"/>
      <c r="G28" s="1"/>
      <c r="H28" s="1"/>
      <c r="I28" s="1"/>
    </row>
    <row r="29" spans="1:9">
      <c r="A29" s="53"/>
      <c r="B29" s="53"/>
      <c r="C29" s="53"/>
      <c r="D29" s="53"/>
      <c r="E29" s="66"/>
    </row>
    <row r="30" spans="1:9">
      <c r="A30" s="68"/>
      <c r="B30" s="68"/>
      <c r="C30" s="68"/>
      <c r="D30" s="68"/>
      <c r="E30" s="6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U63"/>
  <sheetViews>
    <sheetView showGridLines="0" topLeftCell="E16" workbookViewId="0">
      <selection activeCell="G37" sqref="G37:I40"/>
    </sheetView>
  </sheetViews>
  <sheetFormatPr baseColWidth="10" defaultRowHeight="15"/>
  <cols>
    <col min="1" max="1" width="6.5703125" customWidth="1"/>
    <col min="2" max="2" width="15.5703125" bestFit="1" customWidth="1"/>
    <col min="3" max="3" width="19.28515625" bestFit="1" customWidth="1"/>
    <col min="4" max="5" width="9.7109375" customWidth="1"/>
    <col min="8" max="8" width="13.140625" bestFit="1" customWidth="1"/>
    <col min="12" max="12" width="8" customWidth="1"/>
    <col min="17" max="17" width="10.42578125" bestFit="1" customWidth="1"/>
    <col min="18" max="18" width="16.7109375" customWidth="1"/>
    <col min="19" max="20" width="21" customWidth="1"/>
    <col min="21" max="21" width="17.5703125" customWidth="1"/>
  </cols>
  <sheetData>
    <row r="2" spans="1:21">
      <c r="C2" s="4"/>
      <c r="D2" s="5">
        <v>2020</v>
      </c>
    </row>
    <row r="3" spans="1:21">
      <c r="B3" s="2" t="s">
        <v>36</v>
      </c>
      <c r="G3" s="2" t="s">
        <v>33</v>
      </c>
      <c r="H3" s="7" t="s">
        <v>54</v>
      </c>
    </row>
    <row r="4" spans="1:21">
      <c r="B4" s="12"/>
      <c r="C4" s="13" t="s">
        <v>20</v>
      </c>
      <c r="D4" s="14" t="b">
        <f>IF(OR(MOD(D2,400)=0,AND(MOD(D2,4)=0,MOD(D2,100)&gt;0)),TRUE,FALSE)</f>
        <v>1</v>
      </c>
      <c r="G4" s="9" t="s">
        <v>28</v>
      </c>
      <c r="H4" s="69">
        <v>2020</v>
      </c>
      <c r="I4" s="108" t="s">
        <v>34</v>
      </c>
      <c r="J4" s="108"/>
      <c r="K4" s="108"/>
      <c r="L4" s="108"/>
      <c r="M4" s="108"/>
      <c r="N4" s="108"/>
      <c r="O4" s="108"/>
      <c r="P4" s="108"/>
    </row>
    <row r="5" spans="1:21">
      <c r="B5" s="15"/>
      <c r="C5" s="8" t="s">
        <v>21</v>
      </c>
      <c r="D5" s="16">
        <f>IF(D4,366,365)</f>
        <v>366</v>
      </c>
      <c r="G5" s="10" t="s">
        <v>29</v>
      </c>
      <c r="H5" s="70">
        <v>2021</v>
      </c>
      <c r="I5" s="108"/>
      <c r="J5" s="108"/>
      <c r="K5" s="108"/>
      <c r="L5" s="108"/>
      <c r="M5" s="108"/>
      <c r="N5" s="108"/>
      <c r="O5" s="108"/>
      <c r="P5" s="108"/>
    </row>
    <row r="6" spans="1:21">
      <c r="B6" s="15"/>
      <c r="C6" s="8" t="s">
        <v>22</v>
      </c>
      <c r="D6" s="17">
        <f>COUNTA(C17:C29)</f>
        <v>13</v>
      </c>
      <c r="G6" s="10" t="s">
        <v>30</v>
      </c>
      <c r="H6" s="70">
        <v>2022</v>
      </c>
      <c r="I6" s="24" t="s">
        <v>35</v>
      </c>
    </row>
    <row r="7" spans="1:21">
      <c r="B7" s="15"/>
      <c r="C7" s="8" t="s">
        <v>23</v>
      </c>
      <c r="D7" s="18">
        <f>SUM(D17:D29)</f>
        <v>1</v>
      </c>
      <c r="G7" s="10" t="s">
        <v>31</v>
      </c>
      <c r="H7" s="70">
        <v>2023</v>
      </c>
    </row>
    <row r="8" spans="1:21">
      <c r="B8" s="15"/>
      <c r="C8" s="8" t="s">
        <v>24</v>
      </c>
      <c r="D8" s="18">
        <f>SUM(E17:E29)</f>
        <v>3</v>
      </c>
      <c r="G8" s="10" t="s">
        <v>32</v>
      </c>
      <c r="H8" s="70">
        <v>2024</v>
      </c>
    </row>
    <row r="9" spans="1:21">
      <c r="B9" s="15"/>
      <c r="C9" s="8" t="s">
        <v>25</v>
      </c>
      <c r="D9" s="18"/>
      <c r="G9" s="10" t="s">
        <v>18</v>
      </c>
      <c r="H9" s="70">
        <v>2025</v>
      </c>
    </row>
    <row r="10" spans="1:21">
      <c r="B10" s="19"/>
      <c r="C10" s="20" t="s">
        <v>26</v>
      </c>
      <c r="D10" s="21"/>
      <c r="G10" s="11" t="s">
        <v>19</v>
      </c>
      <c r="H10" s="71">
        <v>2026</v>
      </c>
      <c r="I10" s="26" t="s">
        <v>41</v>
      </c>
    </row>
    <row r="11" spans="1:21">
      <c r="I11" s="26" t="s">
        <v>38</v>
      </c>
    </row>
    <row r="12" spans="1:21">
      <c r="I12" s="26" t="s">
        <v>39</v>
      </c>
    </row>
    <row r="13" spans="1:21">
      <c r="I13" s="26" t="s">
        <v>40</v>
      </c>
    </row>
    <row r="15" spans="1:21">
      <c r="B15" s="24" t="s">
        <v>37</v>
      </c>
    </row>
    <row r="16" spans="1:21">
      <c r="A16" s="1"/>
      <c r="B16" s="2" t="s">
        <v>3</v>
      </c>
      <c r="C16" s="2" t="s">
        <v>17</v>
      </c>
      <c r="D16" s="2" t="s">
        <v>18</v>
      </c>
      <c r="E16" s="2" t="s">
        <v>19</v>
      </c>
      <c r="F16" s="1"/>
      <c r="R16" s="72" t="s">
        <v>57</v>
      </c>
      <c r="S16" s="72" t="s">
        <v>55</v>
      </c>
      <c r="T16" s="72" t="s">
        <v>56</v>
      </c>
      <c r="U16" s="72" t="s">
        <v>58</v>
      </c>
    </row>
    <row r="17" spans="1:21" ht="15.75" thickBot="1">
      <c r="A17" s="25">
        <v>2020</v>
      </c>
      <c r="B17" s="33" t="s">
        <v>4</v>
      </c>
      <c r="C17" s="34">
        <f>DATE($A$17,1,1)</f>
        <v>43831</v>
      </c>
      <c r="D17" s="30">
        <f>IF(WEEKDAY(C17,2)=6,1,0)</f>
        <v>0</v>
      </c>
      <c r="E17" s="27">
        <f>IF(WEEKDAY(C17,2)=7,1,0)</f>
        <v>0</v>
      </c>
      <c r="F17" s="1"/>
      <c r="R17" s="73" t="s">
        <v>59</v>
      </c>
      <c r="S17" s="74">
        <v>43708</v>
      </c>
      <c r="T17" s="75">
        <v>43708</v>
      </c>
      <c r="U17" s="76">
        <f>T17+2</f>
        <v>43710</v>
      </c>
    </row>
    <row r="18" spans="1:21" ht="15.75" thickBot="1">
      <c r="A18" s="1"/>
      <c r="B18" s="35" t="s">
        <v>5</v>
      </c>
      <c r="C18" s="36">
        <f>DATE($A$17,3,29.56+0.979*MOD(204-11*MOD($A$17,19),30)-WEEKDAY(DATE($A$17,3,28.56+0.979*MOD(204-11*MOD($A$17,19),30))))</f>
        <v>43933</v>
      </c>
      <c r="D18" s="31">
        <f>IF(WEEKDAY(C18,2)=6,1,0)</f>
        <v>0</v>
      </c>
      <c r="E18" s="28">
        <f>IF(WEEKDAY(C18,2)=7,1,0)</f>
        <v>1</v>
      </c>
      <c r="F18" s="1"/>
      <c r="G18" s="92" t="s">
        <v>69</v>
      </c>
      <c r="H18" s="6" t="s">
        <v>61</v>
      </c>
      <c r="I18" s="6" t="s">
        <v>60</v>
      </c>
      <c r="R18" s="94" t="str">
        <f>"Toussaint "&amp;CHAR(10)&amp;TEXT(S18,"""(""mmm aaaa"")""")</f>
        <v>Toussaint 
(oct 2019)</v>
      </c>
      <c r="S18" s="77">
        <v>43758</v>
      </c>
      <c r="T18" s="78">
        <f>S18+14</f>
        <v>43772</v>
      </c>
      <c r="U18" s="79">
        <f>T18+1</f>
        <v>43773</v>
      </c>
    </row>
    <row r="19" spans="1:21" ht="15.75" thickBot="1">
      <c r="A19" s="1"/>
      <c r="B19" s="37" t="s">
        <v>6</v>
      </c>
      <c r="C19" s="38">
        <f>C18+1</f>
        <v>43934</v>
      </c>
      <c r="D19" s="31">
        <f t="shared" ref="D19:D55" si="0">IF(WEEKDAY(C19,2)=6,1,0)</f>
        <v>0</v>
      </c>
      <c r="E19" s="28">
        <f t="shared" ref="E19:E29" si="1">IF(WEEKDAY(C19,2)=7,1,0)</f>
        <v>0</v>
      </c>
      <c r="F19" s="1"/>
      <c r="G19" s="93">
        <v>18975</v>
      </c>
      <c r="H19" s="96">
        <f>DATE($D$2+IF($H$17&gt;1,1,0),1,13)</f>
        <v>43843</v>
      </c>
      <c r="I19" s="97" t="str">
        <f>YEAR(H19)-YEAR(G19)&amp;" ans Michel"</f>
        <v>69 ans Michel</v>
      </c>
      <c r="R19" s="94" t="str">
        <f>"Noël "&amp;CHAR(10)&amp;TEXT(S19,"""(""mmm aaaa"")""")</f>
        <v>Noël 
(déc 2019)</v>
      </c>
      <c r="S19" s="77">
        <v>43821</v>
      </c>
      <c r="T19" s="78">
        <f t="shared" ref="T19:T21" si="2">S19+14</f>
        <v>43835</v>
      </c>
      <c r="U19" s="79">
        <f>T19+1</f>
        <v>43836</v>
      </c>
    </row>
    <row r="20" spans="1:21" ht="15.75" thickBot="1">
      <c r="A20" s="1"/>
      <c r="B20" s="37" t="s">
        <v>7</v>
      </c>
      <c r="C20" s="38">
        <f>DATE($A$17,5,1)</f>
        <v>43952</v>
      </c>
      <c r="D20" s="31">
        <f t="shared" si="0"/>
        <v>0</v>
      </c>
      <c r="E20" s="28">
        <f t="shared" si="1"/>
        <v>0</v>
      </c>
      <c r="F20" s="1"/>
      <c r="G20" s="93">
        <v>29465</v>
      </c>
      <c r="H20" s="96">
        <f>DATE($D$2+IF($H$17&gt;1,1,0),9,1)</f>
        <v>44075</v>
      </c>
      <c r="I20" s="97" t="str">
        <f>YEAR(H20)-YEAR(G20)&amp;" ans Gwénaëlle"</f>
        <v>40 ans Gwénaëlle</v>
      </c>
      <c r="R20" s="94" t="str">
        <f>"Hiver "&amp;CHAR(10)&amp;TEXT(S20,"""(""mmm aaaa"")""")</f>
        <v>Hiver 
(févr 2020)</v>
      </c>
      <c r="S20" s="77">
        <v>43884</v>
      </c>
      <c r="T20" s="78">
        <f t="shared" si="2"/>
        <v>43898</v>
      </c>
      <c r="U20" s="79">
        <f t="shared" ref="U20:U22" si="3">T20+1</f>
        <v>43899</v>
      </c>
    </row>
    <row r="21" spans="1:21" ht="15.75" thickBot="1">
      <c r="A21" s="1"/>
      <c r="B21" s="37" t="s">
        <v>8</v>
      </c>
      <c r="C21" s="38">
        <f>DATE($A$17,5,8)</f>
        <v>43959</v>
      </c>
      <c r="D21" s="31">
        <f t="shared" si="0"/>
        <v>0</v>
      </c>
      <c r="E21" s="28">
        <f t="shared" si="1"/>
        <v>0</v>
      </c>
      <c r="F21" s="1"/>
      <c r="G21" s="93">
        <v>36299</v>
      </c>
      <c r="H21" s="96">
        <f>DATE($D$2+IF($H$17&gt;1,1,0),5,19)</f>
        <v>43970</v>
      </c>
      <c r="I21" s="97" t="str">
        <f>YEAR(H21)-YEAR(G21)&amp;" ans Émilie"</f>
        <v>21 ans Émilie</v>
      </c>
      <c r="R21" s="94" t="str">
        <f>"Printemps "&amp;CHAR(10)&amp;TEXT(S21,"""(""mmm aaaa"")""")</f>
        <v>Printemps 
(avr 2020)</v>
      </c>
      <c r="S21" s="77">
        <v>43940</v>
      </c>
      <c r="T21" s="78">
        <f t="shared" si="2"/>
        <v>43954</v>
      </c>
      <c r="U21" s="79">
        <f t="shared" si="3"/>
        <v>43955</v>
      </c>
    </row>
    <row r="22" spans="1:21" ht="15.75" thickBot="1">
      <c r="A22" s="1"/>
      <c r="B22" s="37" t="s">
        <v>9</v>
      </c>
      <c r="C22" s="38">
        <f>C18+39</f>
        <v>43972</v>
      </c>
      <c r="D22" s="31">
        <f t="shared" si="0"/>
        <v>0</v>
      </c>
      <c r="E22" s="28">
        <f t="shared" si="1"/>
        <v>0</v>
      </c>
      <c r="F22" s="1"/>
      <c r="G22" s="93">
        <v>37699</v>
      </c>
      <c r="H22" s="96">
        <f>DATE($D$2+IF($H$17&gt;1,1,0),3,19)</f>
        <v>43909</v>
      </c>
      <c r="I22" s="97" t="str">
        <f>YEAR(H22)-YEAR(G22)&amp;" ans Rémi"</f>
        <v>17 ans Rémi</v>
      </c>
      <c r="R22" s="94" t="str">
        <f>"Ascension "&amp;CHAR(10)&amp;TEXT(S22,"""(""mmm aaaa"")""")</f>
        <v>Ascension 
(mai 2020)</v>
      </c>
      <c r="S22" s="77">
        <v>43972</v>
      </c>
      <c r="T22" s="78">
        <f>S22+3</f>
        <v>43975</v>
      </c>
      <c r="U22" s="79">
        <f t="shared" si="3"/>
        <v>43976</v>
      </c>
    </row>
    <row r="23" spans="1:21" ht="15.75" thickBot="1">
      <c r="A23" s="1"/>
      <c r="B23" s="37" t="s">
        <v>10</v>
      </c>
      <c r="C23" s="38">
        <f>C18+49</f>
        <v>43982</v>
      </c>
      <c r="D23" s="31">
        <f t="shared" si="0"/>
        <v>0</v>
      </c>
      <c r="E23" s="28">
        <f t="shared" si="1"/>
        <v>1</v>
      </c>
      <c r="F23" s="1"/>
      <c r="G23" s="93">
        <v>19310</v>
      </c>
      <c r="H23" s="96">
        <f>DATE($D$2+IF($H$17&gt;1,1,0),1,11)</f>
        <v>43841</v>
      </c>
      <c r="I23" s="97" t="str">
        <f>YEAR(H23)-YEAR(G23)&amp;" ans Marie"</f>
        <v>68 ans Marie</v>
      </c>
      <c r="R23" s="94" t="str">
        <f>"Été "&amp;CHAR(10)&amp;TEXT(S23,"""(""mmm aaaa"")""")</f>
        <v>Été 
(juil 2020)</v>
      </c>
      <c r="S23" s="80">
        <v>44016</v>
      </c>
      <c r="T23" s="81">
        <f>S23+58</f>
        <v>44074</v>
      </c>
      <c r="U23" s="82">
        <f>T23+1</f>
        <v>44075</v>
      </c>
    </row>
    <row r="24" spans="1:21" ht="15.75" thickBot="1">
      <c r="A24" s="1"/>
      <c r="B24" s="37" t="s">
        <v>11</v>
      </c>
      <c r="C24" s="38">
        <f>C23+1</f>
        <v>43983</v>
      </c>
      <c r="D24" s="31">
        <f t="shared" si="0"/>
        <v>0</v>
      </c>
      <c r="E24" s="28">
        <f t="shared" si="1"/>
        <v>0</v>
      </c>
      <c r="F24" s="1"/>
      <c r="G24" s="93">
        <v>27864</v>
      </c>
      <c r="H24" s="96">
        <f>DATE($D$2+IF($H$17&gt;1,1,0),4,14)</f>
        <v>43935</v>
      </c>
      <c r="I24" s="97" t="str">
        <f>YEAR(H24)-YEAR(G24)&amp;" ans Jérôme"</f>
        <v>44 ans Jérôme</v>
      </c>
      <c r="R24" s="95" t="str">
        <f>"Toussaint "&amp;CHAR(10)&amp;TEXT(S24,"""(""mmm aaaa"")""")</f>
        <v>Toussaint 
(oct 2020)</v>
      </c>
      <c r="S24" s="83">
        <v>44121</v>
      </c>
      <c r="T24" s="84">
        <f>S24+15</f>
        <v>44136</v>
      </c>
      <c r="U24" s="85">
        <f>T24+1</f>
        <v>44137</v>
      </c>
    </row>
    <row r="25" spans="1:21" ht="15.75" thickBot="1">
      <c r="A25" s="1"/>
      <c r="B25" s="37" t="s">
        <v>12</v>
      </c>
      <c r="C25" s="38">
        <f>DATE($A$17,7,14)</f>
        <v>44026</v>
      </c>
      <c r="D25" s="31">
        <f t="shared" si="0"/>
        <v>0</v>
      </c>
      <c r="E25" s="28">
        <f t="shared" si="1"/>
        <v>0</v>
      </c>
      <c r="F25" s="1"/>
      <c r="G25" s="93">
        <v>28622</v>
      </c>
      <c r="H25" s="96">
        <f>DATE($D$2+IF($H$17&gt;1,1,0),5,12)</f>
        <v>43963</v>
      </c>
      <c r="I25" s="97" t="str">
        <f>YEAR(H25)-YEAR(G25)&amp;" ans Sabrina"</f>
        <v>42 ans Sabrina</v>
      </c>
      <c r="R25" s="95" t="str">
        <f>"Noël "&amp;CHAR(10)&amp;TEXT(S25,"""(""mmm aaaa"")""")</f>
        <v>Noël 
(déc 2020)</v>
      </c>
      <c r="S25" s="86">
        <v>44184</v>
      </c>
      <c r="T25" s="87">
        <f t="shared" ref="T25:T27" si="4">S25+15</f>
        <v>44199</v>
      </c>
      <c r="U25" s="88">
        <f t="shared" ref="U25:U28" si="5">T25+1</f>
        <v>44200</v>
      </c>
    </row>
    <row r="26" spans="1:21" ht="15.75" thickBot="1">
      <c r="A26" s="1"/>
      <c r="B26" s="37" t="s">
        <v>13</v>
      </c>
      <c r="C26" s="38">
        <f>DATE($A$17,8,15)</f>
        <v>44058</v>
      </c>
      <c r="D26" s="31">
        <f t="shared" si="0"/>
        <v>1</v>
      </c>
      <c r="E26" s="28">
        <f t="shared" si="1"/>
        <v>0</v>
      </c>
      <c r="F26" s="1"/>
      <c r="G26" s="93">
        <v>39561</v>
      </c>
      <c r="H26" s="96">
        <f>DATE($D$2+IF($H$17&gt;1,1,0),4,23)</f>
        <v>43944</v>
      </c>
      <c r="I26" s="97" t="str">
        <f>YEAR(H26)-YEAR(G26)&amp;" ans Émma"</f>
        <v>12 ans Émma</v>
      </c>
      <c r="R26" s="95" t="str">
        <f>"Hiver "&amp;CHAR(10)&amp;TEXT(S26,"""(""mmm aaaa"")""")</f>
        <v>Hiver 
(févr 2021)</v>
      </c>
      <c r="S26" s="86">
        <v>44233</v>
      </c>
      <c r="T26" s="87">
        <f t="shared" si="4"/>
        <v>44248</v>
      </c>
      <c r="U26" s="88">
        <f t="shared" si="5"/>
        <v>44249</v>
      </c>
    </row>
    <row r="27" spans="1:21" ht="15.75" thickBot="1">
      <c r="A27" s="1"/>
      <c r="B27" s="37" t="s">
        <v>14</v>
      </c>
      <c r="C27" s="38">
        <f>DATE($A$17,11,1)</f>
        <v>44136</v>
      </c>
      <c r="D27" s="31">
        <f t="shared" si="0"/>
        <v>0</v>
      </c>
      <c r="E27" s="28">
        <f t="shared" si="1"/>
        <v>1</v>
      </c>
      <c r="F27" s="1"/>
      <c r="G27" s="93">
        <v>40583</v>
      </c>
      <c r="H27" s="96">
        <f>DATE($D$2+IF($H$17&gt;1,1,0),2,9)</f>
        <v>43870</v>
      </c>
      <c r="I27" s="97" t="str">
        <f>YEAR(H27)-YEAR(G27)&amp;" ans Maxence"</f>
        <v>9 ans Maxence</v>
      </c>
      <c r="R27" s="95" t="str">
        <f>"Printemps "&amp;CHAR(10)&amp;TEXT(S27,"""(""mmm aaaa"")""")</f>
        <v>Printemps 
(avr 2021)</v>
      </c>
      <c r="S27" s="86">
        <v>44296</v>
      </c>
      <c r="T27" s="87">
        <f t="shared" si="4"/>
        <v>44311</v>
      </c>
      <c r="U27" s="88">
        <f t="shared" si="5"/>
        <v>44312</v>
      </c>
    </row>
    <row r="28" spans="1:21" ht="15.75" thickBot="1">
      <c r="A28" s="1"/>
      <c r="B28" s="37" t="s">
        <v>15</v>
      </c>
      <c r="C28" s="38">
        <f>DATE($A$17,11,11)</f>
        <v>44146</v>
      </c>
      <c r="D28" s="31">
        <f t="shared" si="0"/>
        <v>0</v>
      </c>
      <c r="E28" s="28">
        <f t="shared" si="1"/>
        <v>0</v>
      </c>
      <c r="F28" s="1"/>
      <c r="G28" s="93">
        <v>41085</v>
      </c>
      <c r="H28" s="96">
        <f>DATE($D$2+IF($H$17&gt;1,1,0),6,25)</f>
        <v>44007</v>
      </c>
      <c r="I28" s="97" t="str">
        <f>YEAR(H28)-YEAR(G28)&amp;" ans Justine"</f>
        <v>8 ans Justine</v>
      </c>
      <c r="R28" s="95" t="str">
        <f>"Ascension "&amp;CHAR(10)&amp;TEXT(S28,"""(""mmm aaaa"")""")</f>
        <v>Ascension 
(mai 2021)</v>
      </c>
      <c r="S28" s="86">
        <v>44328</v>
      </c>
      <c r="T28" s="87">
        <f>S28+4</f>
        <v>44332</v>
      </c>
      <c r="U28" s="88">
        <f t="shared" si="5"/>
        <v>44333</v>
      </c>
    </row>
    <row r="29" spans="1:21">
      <c r="A29" s="1"/>
      <c r="B29" s="39" t="s">
        <v>16</v>
      </c>
      <c r="C29" s="40">
        <f>DATE($A$17,12,25)</f>
        <v>44190</v>
      </c>
      <c r="D29" s="32">
        <f t="shared" si="0"/>
        <v>0</v>
      </c>
      <c r="E29" s="29">
        <f t="shared" si="1"/>
        <v>0</v>
      </c>
      <c r="F29" s="1"/>
      <c r="R29" s="95" t="str">
        <f>"Été "&amp;CHAR(10)&amp;TEXT(S29,"""(""mmm aaaa"")""")</f>
        <v>Été 
(juil 2021)</v>
      </c>
      <c r="S29" s="89">
        <v>44383</v>
      </c>
      <c r="T29" s="90">
        <f>S29+58+1</f>
        <v>44442</v>
      </c>
      <c r="U29" s="91"/>
    </row>
    <row r="30" spans="1:21">
      <c r="A30" s="1"/>
      <c r="B30" s="41" t="s">
        <v>4</v>
      </c>
      <c r="C30" s="23">
        <f>DATE($A$17+1,1,1)</f>
        <v>44197</v>
      </c>
      <c r="D30" s="30">
        <f t="shared" si="0"/>
        <v>0</v>
      </c>
      <c r="E30" s="27">
        <f t="shared" ref="E30:E55" si="6">IF(WEEKDAY(C30,2)=7,1,0)</f>
        <v>0</v>
      </c>
      <c r="F30" s="1"/>
    </row>
    <row r="31" spans="1:21">
      <c r="A31" s="1"/>
      <c r="B31" s="35" t="s">
        <v>5</v>
      </c>
      <c r="C31" s="36">
        <f>DATE($A$17+1,3,29.56+0.979*MOD(204-11*MOD($A$17+1,19),30)-WEEKDAY(DATE($A$17+1,3,28.56+0.979*MOD(204-11*MOD($A$17+1,19),30))))</f>
        <v>44290</v>
      </c>
      <c r="D31" s="31">
        <f t="shared" si="0"/>
        <v>0</v>
      </c>
      <c r="E31" s="28">
        <f t="shared" si="6"/>
        <v>1</v>
      </c>
      <c r="F31" s="1"/>
      <c r="G31" s="1"/>
      <c r="H31" s="1"/>
      <c r="I31" s="1"/>
      <c r="J31" s="1"/>
    </row>
    <row r="32" spans="1:21">
      <c r="A32" s="1"/>
      <c r="B32" s="37" t="s">
        <v>6</v>
      </c>
      <c r="C32" s="38">
        <f>C31+1</f>
        <v>44291</v>
      </c>
      <c r="D32" s="31">
        <f t="shared" si="0"/>
        <v>0</v>
      </c>
      <c r="E32" s="28">
        <f t="shared" si="6"/>
        <v>0</v>
      </c>
      <c r="F32" s="1"/>
      <c r="H32" s="1"/>
      <c r="I32" s="1"/>
      <c r="J32" s="1"/>
      <c r="K32" s="1"/>
      <c r="L32" s="1"/>
      <c r="M32" s="1"/>
    </row>
    <row r="33" spans="1:13">
      <c r="A33" s="1"/>
      <c r="B33" s="37" t="s">
        <v>7</v>
      </c>
      <c r="C33" s="38">
        <f>DATE($A$17+1,5,1)</f>
        <v>44317</v>
      </c>
      <c r="D33" s="31">
        <f t="shared" si="0"/>
        <v>1</v>
      </c>
      <c r="E33" s="28">
        <f t="shared" si="6"/>
        <v>0</v>
      </c>
      <c r="F33" s="1"/>
      <c r="G33" s="99">
        <f>DATE($D$2+IF($H$17&gt;1,1,0),1,6)</f>
        <v>43836</v>
      </c>
      <c r="H33" s="106">
        <f>DATE($D$2,1,9)-WEEKDAY(DATE(D2,1,8))</f>
        <v>43835</v>
      </c>
      <c r="I33" s="1" t="s">
        <v>64</v>
      </c>
      <c r="J33" s="1"/>
      <c r="K33" s="1"/>
      <c r="L33" s="1"/>
      <c r="M33" s="1"/>
    </row>
    <row r="34" spans="1:13">
      <c r="A34" s="1"/>
      <c r="B34" s="37" t="s">
        <v>8</v>
      </c>
      <c r="C34" s="38">
        <f>DATE($A$17+1,5,8)</f>
        <v>44324</v>
      </c>
      <c r="D34" s="31">
        <f t="shared" si="0"/>
        <v>1</v>
      </c>
      <c r="E34" s="28">
        <f t="shared" si="6"/>
        <v>0</v>
      </c>
      <c r="F34" s="1"/>
      <c r="G34" s="1"/>
      <c r="H34" s="107">
        <f>DATE($D$2+IF($H$17&gt;1,1,0),2,2)</f>
        <v>43863</v>
      </c>
      <c r="I34" s="1" t="s">
        <v>62</v>
      </c>
      <c r="J34" s="1"/>
      <c r="K34" s="1"/>
      <c r="L34" s="64"/>
      <c r="M34" s="1"/>
    </row>
    <row r="35" spans="1:13">
      <c r="A35" s="1"/>
      <c r="B35" s="37" t="s">
        <v>9</v>
      </c>
      <c r="C35" s="38">
        <f>C31+39</f>
        <v>44329</v>
      </c>
      <c r="D35" s="31">
        <f t="shared" si="0"/>
        <v>0</v>
      </c>
      <c r="E35" s="28">
        <f t="shared" si="6"/>
        <v>0</v>
      </c>
      <c r="F35" s="1"/>
      <c r="G35" s="1"/>
      <c r="H35" s="107">
        <f>$C$18-47</f>
        <v>43886</v>
      </c>
      <c r="I35" s="1" t="s">
        <v>65</v>
      </c>
      <c r="J35" s="1"/>
      <c r="K35" s="1"/>
      <c r="L35" s="1"/>
      <c r="M35" s="1"/>
    </row>
    <row r="36" spans="1:13">
      <c r="A36" s="1"/>
      <c r="B36" s="37" t="s">
        <v>10</v>
      </c>
      <c r="C36" s="38">
        <f>C31+49</f>
        <v>44339</v>
      </c>
      <c r="D36" s="31">
        <f t="shared" si="0"/>
        <v>0</v>
      </c>
      <c r="E36" s="28">
        <f t="shared" si="6"/>
        <v>1</v>
      </c>
      <c r="F36" s="1"/>
      <c r="G36" s="1"/>
      <c r="H36" s="107">
        <f>$C$18-46</f>
        <v>43887</v>
      </c>
      <c r="I36" s="1" t="s">
        <v>67</v>
      </c>
      <c r="J36" s="1"/>
      <c r="K36" s="1"/>
      <c r="L36" s="1"/>
      <c r="M36" s="1"/>
    </row>
    <row r="37" spans="1:13">
      <c r="A37" s="1"/>
      <c r="B37" s="37" t="s">
        <v>11</v>
      </c>
      <c r="C37" s="38">
        <f>C36+1</f>
        <v>44340</v>
      </c>
      <c r="D37" s="31">
        <f t="shared" si="0"/>
        <v>0</v>
      </c>
      <c r="E37" s="28">
        <f t="shared" si="6"/>
        <v>0</v>
      </c>
      <c r="F37" s="1"/>
      <c r="G37" s="99">
        <f>DATE($D$2,6,1)-WEEKDAY(DATE($D$2,5,31))</f>
        <v>43982</v>
      </c>
      <c r="H37" s="107">
        <f>IF(G37=C23,G37+7,"")</f>
        <v>43989</v>
      </c>
      <c r="I37" s="1" t="s">
        <v>70</v>
      </c>
      <c r="J37" s="1"/>
    </row>
    <row r="38" spans="1:13">
      <c r="A38" s="1"/>
      <c r="B38" s="37" t="s">
        <v>12</v>
      </c>
      <c r="C38" s="38">
        <f>DATE($A$17+1,7,14)</f>
        <v>44391</v>
      </c>
      <c r="D38" s="31">
        <f t="shared" si="0"/>
        <v>0</v>
      </c>
      <c r="E38" s="28">
        <f t="shared" si="6"/>
        <v>0</v>
      </c>
      <c r="F38" s="1"/>
      <c r="G38" s="1"/>
      <c r="H38" s="107">
        <f>DATE($D$2,6,1)+MOD(8-WEEKDAY(DATE($D$2,6,1)),7)+7</f>
        <v>43996</v>
      </c>
      <c r="I38" s="1" t="s">
        <v>71</v>
      </c>
      <c r="J38" s="1"/>
    </row>
    <row r="39" spans="1:13">
      <c r="A39" s="1"/>
      <c r="B39" s="37" t="s">
        <v>13</v>
      </c>
      <c r="C39" s="38">
        <f>DATE($A$17+1,8,15)</f>
        <v>44423</v>
      </c>
      <c r="D39" s="31">
        <f t="shared" si="0"/>
        <v>0</v>
      </c>
      <c r="E39" s="28">
        <f t="shared" si="6"/>
        <v>1</v>
      </c>
      <c r="F39" s="1"/>
      <c r="G39" s="1"/>
      <c r="H39" s="107">
        <f>DATE($D$2,3,8)-WEEKDAY(DATE($D$2,3,7))</f>
        <v>43891</v>
      </c>
      <c r="I39" s="1" t="s">
        <v>72</v>
      </c>
      <c r="J39" s="1"/>
    </row>
    <row r="40" spans="1:13">
      <c r="A40" s="1"/>
      <c r="B40" s="37" t="s">
        <v>14</v>
      </c>
      <c r="C40" s="38">
        <f>DATE($A$17+1,11,1)</f>
        <v>44501</v>
      </c>
      <c r="D40" s="31">
        <f t="shared" si="0"/>
        <v>0</v>
      </c>
      <c r="E40" s="28">
        <f t="shared" si="6"/>
        <v>0</v>
      </c>
      <c r="F40" s="1"/>
      <c r="H40" s="107">
        <f>DATE($D$2,10,8)-WEEKDAY(DATE($D$2,10,7))</f>
        <v>44108</v>
      </c>
      <c r="I40" s="1" t="s">
        <v>73</v>
      </c>
      <c r="J40" s="1"/>
    </row>
    <row r="41" spans="1:13">
      <c r="A41" s="1"/>
      <c r="B41" s="37" t="s">
        <v>15</v>
      </c>
      <c r="C41" s="38">
        <f>DATE($A$17+1,11,11)</f>
        <v>44511</v>
      </c>
      <c r="D41" s="31">
        <f t="shared" si="0"/>
        <v>0</v>
      </c>
      <c r="E41" s="28">
        <f t="shared" si="6"/>
        <v>0</v>
      </c>
      <c r="F41" s="1"/>
      <c r="I41" s="1"/>
      <c r="J41" s="1"/>
    </row>
    <row r="42" spans="1:13">
      <c r="A42" s="1"/>
      <c r="B42" s="39" t="s">
        <v>16</v>
      </c>
      <c r="C42" s="40">
        <f>DATE($A$17+1,12,25)</f>
        <v>44555</v>
      </c>
      <c r="D42" s="32">
        <f t="shared" si="0"/>
        <v>1</v>
      </c>
      <c r="E42" s="29">
        <f t="shared" si="6"/>
        <v>0</v>
      </c>
      <c r="F42" s="1"/>
      <c r="I42" s="1"/>
      <c r="J42" s="1"/>
    </row>
    <row r="43" spans="1:13">
      <c r="A43" s="1"/>
      <c r="B43" s="22" t="s">
        <v>4</v>
      </c>
      <c r="C43" s="23">
        <f>DATE($A$17+2,1,1)</f>
        <v>44562</v>
      </c>
      <c r="D43" s="30">
        <f t="shared" si="0"/>
        <v>1</v>
      </c>
      <c r="E43" s="27">
        <f t="shared" si="6"/>
        <v>0</v>
      </c>
      <c r="F43" s="1"/>
      <c r="I43" s="1"/>
      <c r="J43" s="1"/>
    </row>
    <row r="44" spans="1:13">
      <c r="A44" s="1"/>
      <c r="B44" s="35" t="s">
        <v>5</v>
      </c>
      <c r="C44" s="36">
        <f>DATE($A$17+2,3,29.56+0.979*MOD(204-11*MOD($A$17+2,19),30)-WEEKDAY(DATE($A$17+2,3,28.56+0.979*MOD(204-11*MOD($A$17+2,19),30))))</f>
        <v>44668</v>
      </c>
      <c r="D44" s="31">
        <f t="shared" si="0"/>
        <v>0</v>
      </c>
      <c r="E44" s="28">
        <f t="shared" si="6"/>
        <v>1</v>
      </c>
      <c r="F44" s="1"/>
      <c r="I44" s="1"/>
      <c r="J44" s="1"/>
    </row>
    <row r="45" spans="1:13">
      <c r="A45" s="1"/>
      <c r="B45" s="37" t="s">
        <v>6</v>
      </c>
      <c r="C45" s="38">
        <f>C44+1</f>
        <v>44669</v>
      </c>
      <c r="D45" s="31">
        <f t="shared" si="0"/>
        <v>0</v>
      </c>
      <c r="E45" s="28">
        <f t="shared" si="6"/>
        <v>0</v>
      </c>
      <c r="F45" s="1"/>
      <c r="I45" s="1"/>
      <c r="J45" s="1"/>
    </row>
    <row r="46" spans="1:13">
      <c r="A46" s="1"/>
      <c r="B46" s="37" t="s">
        <v>7</v>
      </c>
      <c r="C46" s="38">
        <f>DATE($A$17+2,5,1)</f>
        <v>44682</v>
      </c>
      <c r="D46" s="31">
        <f t="shared" si="0"/>
        <v>0</v>
      </c>
      <c r="E46" s="28">
        <f t="shared" si="6"/>
        <v>1</v>
      </c>
      <c r="F46" s="1"/>
      <c r="G46" s="1"/>
      <c r="H46" s="1"/>
      <c r="I46" s="1"/>
      <c r="J46" s="1"/>
    </row>
    <row r="47" spans="1:13">
      <c r="A47" s="1"/>
      <c r="B47" s="37" t="s">
        <v>8</v>
      </c>
      <c r="C47" s="38">
        <f>DATE($A$17+2,5,8)</f>
        <v>44689</v>
      </c>
      <c r="D47" s="31">
        <f t="shared" si="0"/>
        <v>0</v>
      </c>
      <c r="E47" s="28">
        <f t="shared" si="6"/>
        <v>1</v>
      </c>
      <c r="F47" s="1"/>
      <c r="G47" s="1"/>
      <c r="H47" s="1"/>
      <c r="I47" s="1"/>
      <c r="J47" s="1"/>
    </row>
    <row r="48" spans="1:13">
      <c r="A48" s="1"/>
      <c r="B48" s="37" t="s">
        <v>9</v>
      </c>
      <c r="C48" s="38">
        <f>C44+39</f>
        <v>44707</v>
      </c>
      <c r="D48" s="31">
        <f t="shared" si="0"/>
        <v>0</v>
      </c>
      <c r="E48" s="28">
        <f t="shared" si="6"/>
        <v>0</v>
      </c>
      <c r="F48" s="1"/>
      <c r="G48" s="1"/>
      <c r="H48" s="1"/>
      <c r="I48" s="1"/>
      <c r="J48" s="1"/>
    </row>
    <row r="49" spans="1:20">
      <c r="A49" s="1"/>
      <c r="B49" s="37" t="s">
        <v>10</v>
      </c>
      <c r="C49" s="38">
        <f>C44+49</f>
        <v>44717</v>
      </c>
      <c r="D49" s="31">
        <f t="shared" si="0"/>
        <v>0</v>
      </c>
      <c r="E49" s="28">
        <f t="shared" si="6"/>
        <v>1</v>
      </c>
      <c r="F49" s="1"/>
      <c r="G49" s="1"/>
      <c r="H49" s="1"/>
      <c r="I49" s="1"/>
      <c r="J49" s="1"/>
    </row>
    <row r="50" spans="1:20">
      <c r="A50" s="1"/>
      <c r="B50" s="37" t="s">
        <v>11</v>
      </c>
      <c r="C50" s="38">
        <f>C49+1</f>
        <v>44718</v>
      </c>
      <c r="D50" s="31">
        <f t="shared" si="0"/>
        <v>0</v>
      </c>
      <c r="E50" s="28">
        <f t="shared" si="6"/>
        <v>0</v>
      </c>
      <c r="F50" s="1"/>
      <c r="G50" s="1"/>
      <c r="H50" s="1"/>
      <c r="I50" s="1"/>
      <c r="J50" s="1"/>
    </row>
    <row r="51" spans="1:20">
      <c r="A51" s="1"/>
      <c r="B51" s="37" t="s">
        <v>12</v>
      </c>
      <c r="C51" s="38">
        <f>DATE($A$17+2,7,14)</f>
        <v>44756</v>
      </c>
      <c r="D51" s="31">
        <f t="shared" si="0"/>
        <v>0</v>
      </c>
      <c r="E51" s="28">
        <f t="shared" si="6"/>
        <v>0</v>
      </c>
      <c r="F51" s="1"/>
      <c r="G51" s="1"/>
      <c r="H51" s="1"/>
      <c r="I51" s="1"/>
      <c r="J51" s="1"/>
    </row>
    <row r="52" spans="1:20">
      <c r="A52" s="1"/>
      <c r="B52" s="37" t="s">
        <v>13</v>
      </c>
      <c r="C52" s="38">
        <f>DATE($A$17+2,8,15)</f>
        <v>44788</v>
      </c>
      <c r="D52" s="31">
        <f t="shared" si="0"/>
        <v>0</v>
      </c>
      <c r="E52" s="28">
        <f t="shared" si="6"/>
        <v>0</v>
      </c>
      <c r="F52" s="1"/>
      <c r="G52" s="1"/>
      <c r="H52" s="1"/>
      <c r="I52" s="1"/>
      <c r="J52" s="1"/>
    </row>
    <row r="53" spans="1:20">
      <c r="A53" s="1"/>
      <c r="B53" s="37" t="s">
        <v>14</v>
      </c>
      <c r="C53" s="38">
        <f>DATE($A$17+2,11,1)</f>
        <v>44866</v>
      </c>
      <c r="D53" s="31">
        <f t="shared" si="0"/>
        <v>0</v>
      </c>
      <c r="E53" s="28">
        <f t="shared" si="6"/>
        <v>0</v>
      </c>
      <c r="F53" s="1"/>
      <c r="G53" s="1"/>
      <c r="H53" s="1"/>
      <c r="I53" s="1"/>
      <c r="J53" s="1"/>
    </row>
    <row r="54" spans="1:20">
      <c r="A54" s="1"/>
      <c r="B54" s="37" t="s">
        <v>15</v>
      </c>
      <c r="C54" s="38">
        <f>DATE($A$17+2,11,11)</f>
        <v>44876</v>
      </c>
      <c r="D54" s="31">
        <f t="shared" si="0"/>
        <v>0</v>
      </c>
      <c r="E54" s="28">
        <f t="shared" si="6"/>
        <v>0</v>
      </c>
      <c r="F54" s="1"/>
      <c r="G54" s="1"/>
      <c r="H54" s="1"/>
      <c r="I54" s="1"/>
      <c r="J54" s="1"/>
    </row>
    <row r="55" spans="1:20">
      <c r="A55" s="1"/>
      <c r="B55" s="39" t="s">
        <v>16</v>
      </c>
      <c r="C55" s="40">
        <f>DATE($A$17+2,12,25)</f>
        <v>44920</v>
      </c>
      <c r="D55" s="32">
        <f t="shared" si="0"/>
        <v>0</v>
      </c>
      <c r="E55" s="29">
        <f t="shared" si="6"/>
        <v>1</v>
      </c>
      <c r="F55" s="1"/>
      <c r="G55" s="1"/>
      <c r="H55" s="1"/>
      <c r="I55" s="1"/>
      <c r="J55" s="1"/>
      <c r="L55" s="100"/>
      <c r="T55" s="62" t="s">
        <v>63</v>
      </c>
    </row>
    <row r="56" spans="1:20">
      <c r="A56" s="1"/>
      <c r="B56" s="1"/>
      <c r="C56" s="3"/>
      <c r="D56" s="1"/>
      <c r="E56" s="1"/>
      <c r="F56" s="1"/>
      <c r="G56" s="1"/>
      <c r="H56" s="1"/>
      <c r="I56" s="1"/>
      <c r="J56" s="1"/>
      <c r="T56" s="62"/>
    </row>
    <row r="57" spans="1:20">
      <c r="T57" s="62" t="s">
        <v>66</v>
      </c>
    </row>
    <row r="58" spans="1:20">
      <c r="T58" s="62" t="s">
        <v>68</v>
      </c>
    </row>
    <row r="59" spans="1:20">
      <c r="N59" s="100"/>
      <c r="T59" s="62"/>
    </row>
    <row r="60" spans="1:20">
      <c r="T60" s="62"/>
    </row>
    <row r="63" spans="1:20">
      <c r="R63" s="98"/>
    </row>
  </sheetData>
  <mergeCells count="1">
    <mergeCell ref="I4:P5"/>
  </mergeCells>
  <conditionalFormatting sqref="D17:E55">
    <cfRule type="expression" dxfId="26" priority="2">
      <formula>(D17=0)</formula>
    </cfRule>
  </conditionalFormatting>
  <hyperlinks>
    <hyperlink ref="R17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L42"/>
  <sheetViews>
    <sheetView showGridLines="0" tabSelected="1" zoomScale="110" zoomScaleNormal="110" workbookViewId="0">
      <selection activeCell="N32" sqref="N32"/>
    </sheetView>
  </sheetViews>
  <sheetFormatPr baseColWidth="10" defaultRowHeight="15"/>
  <cols>
    <col min="1" max="2" width="3.28515625" customWidth="1"/>
    <col min="3" max="3" width="10.85546875" customWidth="1"/>
    <col min="4" max="4" width="1.140625" customWidth="1"/>
    <col min="5" max="6" width="2.42578125" customWidth="1"/>
    <col min="7" max="7" width="12.28515625" customWidth="1"/>
    <col min="8" max="8" width="10.85546875" customWidth="1"/>
    <col min="9" max="9" width="1.140625" customWidth="1"/>
    <col min="10" max="10" width="2.42578125" customWidth="1"/>
    <col min="11" max="11" width="4.28515625" customWidth="1"/>
    <col min="12" max="12" width="12.28515625" customWidth="1"/>
  </cols>
  <sheetData>
    <row r="3" spans="2:12" ht="15.75">
      <c r="G3" s="103">
        <v>2020</v>
      </c>
    </row>
    <row r="4" spans="2:12" ht="15.75">
      <c r="D4">
        <f>MONTH(1&amp;G4)</f>
        <v>1</v>
      </c>
      <c r="G4" s="103" t="s">
        <v>27</v>
      </c>
    </row>
    <row r="5" spans="2:12" ht="9" customHeight="1"/>
    <row r="6" spans="2:12">
      <c r="E6" s="92" t="s">
        <v>50</v>
      </c>
      <c r="F6" s="92" t="s">
        <v>51</v>
      </c>
      <c r="J6" s="92" t="s">
        <v>50</v>
      </c>
      <c r="K6" s="92"/>
    </row>
    <row r="7" spans="2:12" ht="15.75">
      <c r="C7" s="105" t="str">
        <f>PROPER(TEXT(C8,"mmmm"))</f>
        <v>Janvier</v>
      </c>
      <c r="D7" s="109">
        <f>YEAR(C8)</f>
        <v>2020</v>
      </c>
      <c r="E7" s="109"/>
      <c r="F7" s="109"/>
      <c r="G7" s="110"/>
      <c r="H7" s="105" t="str">
        <f>PROPER(TEXT(H8,"mmmm"))</f>
        <v>Février</v>
      </c>
      <c r="I7" s="109">
        <f>YEAR(H8)</f>
        <v>2020</v>
      </c>
      <c r="J7" s="109"/>
      <c r="K7" s="109"/>
      <c r="L7" s="110"/>
    </row>
    <row r="8" spans="2:12">
      <c r="B8" s="1">
        <v>1</v>
      </c>
      <c r="C8" s="101">
        <f>DATE($G$3,D4,1)</f>
        <v>43831</v>
      </c>
      <c r="D8" s="1"/>
      <c r="E8" s="64" t="str">
        <f t="shared" ref="E8:F38" si="0">IF(SUMPRODUCT((Noms=E$6)*($C8&gt;=Debut)*($C8&lt;=Fin))&gt;0,INDEX(Taches,SUMPRODUCT((Noms=E$6)*($C8&gt;=Debut)*($C8&lt;=Fin)*ROW(Noms))-1),"")</f>
        <v>C</v>
      </c>
      <c r="F8" s="1" t="str">
        <f t="shared" si="0"/>
        <v/>
      </c>
      <c r="G8" s="102" t="str">
        <f>IF(COUNTIF(Parametre!$C$17:$C$29,C8)=0,"",INDEX(Parametre!$B$17:$B$29,MATCH(C8,Parametre!$C$17:$C$29,0)))&amp;""&amp;IF(COUNTIF(Parametre!$L$22:$L$36,C8)=0,"",INDEX(Parametre!$M$22:$M$36,MATCH(C8,Parametre!$L$22:$L$36,0)))</f>
        <v>Nouvel An</v>
      </c>
      <c r="H8" s="101">
        <f>DATE(YEAR(C8),MONTH(C8)+1,1)</f>
        <v>43862</v>
      </c>
      <c r="I8" s="1"/>
      <c r="J8" s="64" t="str">
        <f t="shared" ref="J8:K38" si="1">IF(SUMPRODUCT((Noms=J$6)*($H8&gt;=Debut)*($H8&lt;=Fin))&gt;0,INDEX(Taches,SUMPRODUCT((Noms=J$6)*($H8&gt;=Debut)*($H8&lt;=Fin)*ROW(Noms))-1),"")</f>
        <v/>
      </c>
      <c r="K8" s="1" t="str">
        <f>IF(SUMPRODUCT((Noms=K$6)*($H8&gt;=Debut)*($H8&lt;=Fin))&gt;0,INDEX(Taches,SUMPRODUCT((Noms=K$6)*($H8&gt;=Debut)*($H8&lt;=Fin)*ROW(Noms))-1),"")</f>
        <v/>
      </c>
      <c r="L8" s="102" t="str">
        <f>IF(COUNTIF(Parametre!$C$17:$C$29,H8)=0,"",INDEX(Parametre!$B$17:$B$29,MATCH(H8,Parametre!$C$17:$C$29,0)))&amp;""&amp;IF(COUNTIF(Parametre!$L$22:$L$36,H8)=0,"",INDEX(Parametre!$M$22:$M$36,MATCH(H8,Parametre!$L$22:$L$36,0)))</f>
        <v/>
      </c>
    </row>
    <row r="9" spans="2:12">
      <c r="B9" s="1">
        <v>2</v>
      </c>
      <c r="C9" s="101">
        <f>C8+1</f>
        <v>43832</v>
      </c>
      <c r="D9" s="1"/>
      <c r="E9" s="64" t="str">
        <f t="shared" si="0"/>
        <v>C</v>
      </c>
      <c r="F9" s="1" t="str">
        <f t="shared" si="0"/>
        <v/>
      </c>
      <c r="G9" s="102" t="str">
        <f>IF(COUNTIF(Parametre!$C$17:$C$29,C9)=0,"",INDEX(Parametre!$B$17:$B$29,MATCH(C9,Parametre!$C$17:$C$29,0)))&amp;""&amp;IF(COUNTIF(Parametre!$H$19:$H$40,C9)=0,"",INDEX(Parametre!$I$19:$I$40,MATCH(C9,Parametre!$H$19:$H$40,0)))</f>
        <v/>
      </c>
      <c r="H9" s="101">
        <f>H8+1</f>
        <v>43863</v>
      </c>
      <c r="I9" s="1"/>
      <c r="J9" s="64" t="str">
        <f t="shared" si="1"/>
        <v/>
      </c>
      <c r="K9" s="1" t="str">
        <f t="shared" si="1"/>
        <v/>
      </c>
      <c r="L9" s="102" t="str">
        <f>IF(COUNTIF(Parametre!$C$17:$C$29,H9)=0,"",INDEX(Parametre!$B$17:$B$29,MATCH(H9,Parametre!$C$17:$C$29,0)))&amp;""&amp;IF(COUNTIF(Parametre!$H$19:$H$40,H9)=0,"",INDEX(Parametre!$I$19:$I$40,MATCH(H9,Parametre!$H$19:$H$40,0)))</f>
        <v>Chandeleur</v>
      </c>
    </row>
    <row r="10" spans="2:12">
      <c r="B10" s="1">
        <v>3</v>
      </c>
      <c r="C10" s="101">
        <f>C9+1</f>
        <v>43833</v>
      </c>
      <c r="D10" s="1"/>
      <c r="E10" s="64" t="str">
        <f t="shared" si="0"/>
        <v>C</v>
      </c>
      <c r="F10" s="1" t="str">
        <f t="shared" si="0"/>
        <v/>
      </c>
      <c r="G10" s="102" t="str">
        <f>IF(COUNTIF(Parametre!$C$17:$C$29,C10)=0,"",INDEX(Parametre!$B$17:$B$29,MATCH(C10,Parametre!$C$17:$C$29,0)))&amp;""&amp;IF(COUNTIF(Parametre!$H$19:$H$40,C10)=0,"",INDEX(Parametre!$I$19:$I$40,MATCH(C10,Parametre!$H$19:$H$40,0)))</f>
        <v/>
      </c>
      <c r="H10" s="101">
        <f t="shared" ref="H10:H35" si="2">H9+1</f>
        <v>43864</v>
      </c>
      <c r="I10" s="1"/>
      <c r="J10" s="64" t="str">
        <f t="shared" si="1"/>
        <v/>
      </c>
      <c r="K10" s="1" t="str">
        <f t="shared" si="1"/>
        <v/>
      </c>
      <c r="L10" s="102" t="str">
        <f>IF(COUNTIF(Parametre!$C$17:$C$29,H10)=0,"",INDEX(Parametre!$B$17:$B$29,MATCH(H10,Parametre!$C$17:$C$29,0)))&amp;""&amp;IF(COUNTIF(Parametre!$H$19:$H$40,H10)=0,"",INDEX(Parametre!$I$19:$I$40,MATCH(H10,Parametre!$H$19:$H$40,0)))</f>
        <v/>
      </c>
    </row>
    <row r="11" spans="2:12">
      <c r="B11" s="1">
        <v>4</v>
      </c>
      <c r="C11" s="101">
        <f t="shared" ref="C11:C35" si="3">C10+1</f>
        <v>43834</v>
      </c>
      <c r="D11" s="1"/>
      <c r="E11" s="64" t="str">
        <f t="shared" si="0"/>
        <v>C</v>
      </c>
      <c r="F11" s="1" t="str">
        <f t="shared" si="0"/>
        <v/>
      </c>
      <c r="G11" s="102" t="str">
        <f>IF(COUNTIF(Parametre!$C$17:$C$29,C11)=0,"",INDEX(Parametre!$B$17:$B$29,MATCH(C11,Parametre!$C$17:$C$29,0)))&amp;""&amp;IF(COUNTIF(Parametre!$H$19:$H$40,C11)=0,"",INDEX(Parametre!$I$19:$I$40,MATCH(C11,Parametre!$H$19:$H$40,0)))</f>
        <v/>
      </c>
      <c r="H11" s="101">
        <f t="shared" si="2"/>
        <v>43865</v>
      </c>
      <c r="I11" s="1"/>
      <c r="J11" s="64" t="str">
        <f t="shared" si="1"/>
        <v/>
      </c>
      <c r="K11" s="1" t="str">
        <f t="shared" si="1"/>
        <v/>
      </c>
      <c r="L11" s="102" t="str">
        <f>IF(COUNTIF(Parametre!$C$17:$C$29,H11)=0,"",INDEX(Parametre!$B$17:$B$29,MATCH(H11,Parametre!$C$17:$C$29,0)))&amp;""&amp;IF(COUNTIF(Parametre!$H$19:$H$40,H11)=0,"",INDEX(Parametre!$I$19:$I$40,MATCH(H11,Parametre!$H$19:$H$40,0)))</f>
        <v/>
      </c>
    </row>
    <row r="12" spans="2:12">
      <c r="B12" s="1">
        <v>5</v>
      </c>
      <c r="C12" s="101">
        <f t="shared" si="3"/>
        <v>43835</v>
      </c>
      <c r="D12" s="1"/>
      <c r="E12" s="64" t="str">
        <f t="shared" si="0"/>
        <v>C</v>
      </c>
      <c r="F12" s="1" t="str">
        <f t="shared" si="0"/>
        <v/>
      </c>
      <c r="G12" s="102" t="str">
        <f>IF(COUNTIF(Parametre!$C$17:$C$29,C12)=0,"",INDEX(Parametre!$B$17:$B$29,MATCH(C12,Parametre!$C$17:$C$29,0)))&amp;""&amp;IF(COUNTIF(Parametre!$H$19:$H$40,C12)=0,"",INDEX(Parametre!$I$19:$I$40,MATCH(C12,Parametre!$H$19:$H$40,0)))</f>
        <v>Ephiphanie</v>
      </c>
      <c r="H12" s="101">
        <f t="shared" si="2"/>
        <v>43866</v>
      </c>
      <c r="I12" s="1"/>
      <c r="J12" s="64" t="str">
        <f t="shared" si="1"/>
        <v/>
      </c>
      <c r="K12" s="1" t="str">
        <f t="shared" si="1"/>
        <v/>
      </c>
      <c r="L12" s="102" t="str">
        <f>IF(COUNTIF(Parametre!$C$17:$C$29,H12)=0,"",INDEX(Parametre!$B$17:$B$29,MATCH(H12,Parametre!$C$17:$C$29,0)))&amp;""&amp;IF(COUNTIF(Parametre!$H$19:$H$40,H12)=0,"",INDEX(Parametre!$I$19:$I$40,MATCH(H12,Parametre!$H$19:$H$40,0)))</f>
        <v/>
      </c>
    </row>
    <row r="13" spans="2:12">
      <c r="B13" s="1">
        <v>6</v>
      </c>
      <c r="C13" s="101">
        <f t="shared" si="3"/>
        <v>43836</v>
      </c>
      <c r="D13" s="1"/>
      <c r="E13" s="64" t="str">
        <f t="shared" si="0"/>
        <v/>
      </c>
      <c r="F13" s="1" t="str">
        <f t="shared" si="0"/>
        <v/>
      </c>
      <c r="G13" s="102" t="str">
        <f>IF(COUNTIF(Parametre!$C$17:$C$29,C13)=0,"",INDEX(Parametre!$B$17:$B$29,MATCH(C13,Parametre!$C$17:$C$29,0)))&amp;""&amp;IF(COUNTIF(Parametre!$H$19:$H$40,C13)=0,"",INDEX(Parametre!$I$19:$I$40,MATCH(C13,Parametre!$H$19:$H$40,0)))</f>
        <v/>
      </c>
      <c r="H13" s="101">
        <f t="shared" si="2"/>
        <v>43867</v>
      </c>
      <c r="I13" s="1"/>
      <c r="J13" s="64" t="str">
        <f t="shared" si="1"/>
        <v/>
      </c>
      <c r="K13" s="1" t="str">
        <f t="shared" si="1"/>
        <v/>
      </c>
      <c r="L13" s="102" t="str">
        <f>IF(COUNTIF(Parametre!$C$17:$C$29,H13)=0,"",INDEX(Parametre!$B$17:$B$29,MATCH(H13,Parametre!$C$17:$C$29,0)))&amp;""&amp;IF(COUNTIF(Parametre!$H$19:$H$40,H13)=0,"",INDEX(Parametre!$I$19:$I$40,MATCH(H13,Parametre!$H$19:$H$40,0)))</f>
        <v/>
      </c>
    </row>
    <row r="14" spans="2:12">
      <c r="B14" s="1">
        <v>7</v>
      </c>
      <c r="C14" s="101">
        <f t="shared" si="3"/>
        <v>43837</v>
      </c>
      <c r="D14" s="1"/>
      <c r="E14" s="64" t="str">
        <f t="shared" si="0"/>
        <v/>
      </c>
      <c r="F14" s="1" t="str">
        <f t="shared" si="0"/>
        <v/>
      </c>
      <c r="G14" s="102" t="str">
        <f>IF(COUNTIF(Parametre!$C$17:$C$29,C14)=0,"",INDEX(Parametre!$B$17:$B$29,MATCH(C14,Parametre!$C$17:$C$29,0)))&amp;""&amp;IF(COUNTIF(Parametre!$H$19:$H$40,C14)=0,"",INDEX(Parametre!$I$19:$I$40,MATCH(C14,Parametre!$H$19:$H$40,0)))</f>
        <v/>
      </c>
      <c r="H14" s="101">
        <f t="shared" si="2"/>
        <v>43868</v>
      </c>
      <c r="I14" s="1"/>
      <c r="J14" s="64" t="str">
        <f t="shared" si="1"/>
        <v/>
      </c>
      <c r="K14" s="1" t="str">
        <f t="shared" si="1"/>
        <v/>
      </c>
      <c r="L14" s="102" t="str">
        <f>IF(COUNTIF(Parametre!$C$17:$C$29,H14)=0,"",INDEX(Parametre!$B$17:$B$29,MATCH(H14,Parametre!$C$17:$C$29,0)))&amp;""&amp;IF(COUNTIF(Parametre!$H$19:$H$40,H14)=0,"",INDEX(Parametre!$I$19:$I$40,MATCH(H14,Parametre!$H$19:$H$40,0)))</f>
        <v/>
      </c>
    </row>
    <row r="15" spans="2:12">
      <c r="B15" s="1">
        <v>8</v>
      </c>
      <c r="C15" s="101">
        <f t="shared" si="3"/>
        <v>43838</v>
      </c>
      <c r="D15" s="1"/>
      <c r="E15" s="64" t="str">
        <f t="shared" si="0"/>
        <v/>
      </c>
      <c r="F15" s="1" t="str">
        <f t="shared" si="0"/>
        <v/>
      </c>
      <c r="G15" s="102" t="str">
        <f>IF(COUNTIF(Parametre!$C$17:$C$29,C15)=0,"",INDEX(Parametre!$B$17:$B$29,MATCH(C15,Parametre!$C$17:$C$29,0)))&amp;""&amp;IF(COUNTIF(Parametre!$H$19:$H$40,C15)=0,"",INDEX(Parametre!$I$19:$I$40,MATCH(C15,Parametre!$H$19:$H$40,0)))</f>
        <v/>
      </c>
      <c r="H15" s="101">
        <f t="shared" si="2"/>
        <v>43869</v>
      </c>
      <c r="I15" s="1"/>
      <c r="J15" s="64" t="str">
        <f t="shared" si="1"/>
        <v>C</v>
      </c>
      <c r="K15" s="1" t="str">
        <f t="shared" si="1"/>
        <v/>
      </c>
      <c r="L15" s="102" t="str">
        <f>IF(COUNTIF(Parametre!$C$17:$C$29,H15)=0,"",INDEX(Parametre!$B$17:$B$29,MATCH(H15,Parametre!$C$17:$C$29,0)))&amp;""&amp;IF(COUNTIF(Parametre!$H$19:$H$40,H15)=0,"",INDEX(Parametre!$I$19:$I$40,MATCH(H15,Parametre!$H$19:$H$40,0)))</f>
        <v/>
      </c>
    </row>
    <row r="16" spans="2:12">
      <c r="B16" s="1">
        <v>9</v>
      </c>
      <c r="C16" s="101">
        <f t="shared" si="3"/>
        <v>43839</v>
      </c>
      <c r="D16" s="1"/>
      <c r="E16" s="64" t="str">
        <f t="shared" si="0"/>
        <v/>
      </c>
      <c r="F16" s="1" t="str">
        <f t="shared" si="0"/>
        <v/>
      </c>
      <c r="G16" s="102" t="str">
        <f>IF(COUNTIF(Parametre!$C$17:$C$29,C16)=0,"",INDEX(Parametre!$B$17:$B$29,MATCH(C16,Parametre!$C$17:$C$29,0)))&amp;""&amp;IF(COUNTIF(Parametre!$H$19:$H$40,C16)=0,"",INDEX(Parametre!$I$19:$I$40,MATCH(C16,Parametre!$H$19:$H$40,0)))</f>
        <v/>
      </c>
      <c r="H16" s="101">
        <f t="shared" si="2"/>
        <v>43870</v>
      </c>
      <c r="I16" s="1"/>
      <c r="J16" s="64" t="str">
        <f t="shared" si="1"/>
        <v>C</v>
      </c>
      <c r="K16" s="1" t="str">
        <f t="shared" si="1"/>
        <v/>
      </c>
      <c r="L16" s="102" t="str">
        <f>IF(COUNTIF(Parametre!$C$17:$C$29,H16)=0,"",INDEX(Parametre!$B$17:$B$29,MATCH(H16,Parametre!$C$17:$C$29,0)))&amp;""&amp;IF(COUNTIF(Parametre!$H$19:$H$40,H16)=0,"",INDEX(Parametre!$I$19:$I$40,MATCH(H16,Parametre!$H$19:$H$40,0)))</f>
        <v>9 ans Maxence</v>
      </c>
    </row>
    <row r="17" spans="2:12">
      <c r="B17" s="1">
        <v>10</v>
      </c>
      <c r="C17" s="101">
        <f t="shared" si="3"/>
        <v>43840</v>
      </c>
      <c r="D17" s="1"/>
      <c r="E17" s="64" t="str">
        <f t="shared" si="0"/>
        <v/>
      </c>
      <c r="F17" s="1" t="str">
        <f t="shared" si="0"/>
        <v>M</v>
      </c>
      <c r="G17" s="102" t="str">
        <f>IF(COUNTIF(Parametre!$C$17:$C$29,C17)=0,"",INDEX(Parametre!$B$17:$B$29,MATCH(C17,Parametre!$C$17:$C$29,0)))&amp;""&amp;IF(COUNTIF(Parametre!$H$19:$H$40,C17)=0,"",INDEX(Parametre!$I$19:$I$40,MATCH(C17,Parametre!$H$19:$H$40,0)))</f>
        <v/>
      </c>
      <c r="H17" s="101">
        <f t="shared" si="2"/>
        <v>43871</v>
      </c>
      <c r="I17" s="1"/>
      <c r="J17" s="64" t="str">
        <f t="shared" si="1"/>
        <v>C</v>
      </c>
      <c r="K17" s="1" t="str">
        <f t="shared" si="1"/>
        <v/>
      </c>
      <c r="L17" s="102" t="str">
        <f>IF(COUNTIF(Parametre!$C$17:$C$29,H17)=0,"",INDEX(Parametre!$B$17:$B$29,MATCH(H17,Parametre!$C$17:$C$29,0)))&amp;""&amp;IF(COUNTIF(Parametre!$H$19:$H$40,H17)=0,"",INDEX(Parametre!$I$19:$I$40,MATCH(H17,Parametre!$H$19:$H$40,0)))</f>
        <v/>
      </c>
    </row>
    <row r="18" spans="2:12">
      <c r="B18" s="1">
        <v>11</v>
      </c>
      <c r="C18" s="101">
        <f t="shared" si="3"/>
        <v>43841</v>
      </c>
      <c r="D18" s="1"/>
      <c r="E18" s="64" t="str">
        <f t="shared" si="0"/>
        <v/>
      </c>
      <c r="F18" s="1" t="str">
        <f t="shared" si="0"/>
        <v>M</v>
      </c>
      <c r="G18" s="102" t="str">
        <f>IF(COUNTIF(Parametre!$C$17:$C$29,C18)=0,"",INDEX(Parametre!$B$17:$B$29,MATCH(C18,Parametre!$C$17:$C$29,0)))&amp;""&amp;IF(COUNTIF(Parametre!$H$19:$H$40,C18)=0,"",INDEX(Parametre!$I$19:$I$40,MATCH(C18,Parametre!$H$19:$H$40,0)))</f>
        <v>68 ans Marie</v>
      </c>
      <c r="H18" s="101">
        <f t="shared" si="2"/>
        <v>43872</v>
      </c>
      <c r="I18" s="1"/>
      <c r="J18" s="64" t="str">
        <f t="shared" si="1"/>
        <v>C</v>
      </c>
      <c r="K18" s="1" t="str">
        <f t="shared" si="1"/>
        <v/>
      </c>
      <c r="L18" s="102" t="str">
        <f>IF(COUNTIF(Parametre!$C$17:$C$29,H18)=0,"",INDEX(Parametre!$B$17:$B$29,MATCH(H18,Parametre!$C$17:$C$29,0)))&amp;""&amp;IF(COUNTIF(Parametre!$H$19:$H$40,H18)=0,"",INDEX(Parametre!$I$19:$I$40,MATCH(H18,Parametre!$H$19:$H$40,0)))</f>
        <v/>
      </c>
    </row>
    <row r="19" spans="2:12">
      <c r="B19" s="1">
        <v>12</v>
      </c>
      <c r="C19" s="101">
        <f t="shared" si="3"/>
        <v>43842</v>
      </c>
      <c r="D19" s="1"/>
      <c r="E19" s="64" t="str">
        <f t="shared" si="0"/>
        <v/>
      </c>
      <c r="F19" s="1" t="str">
        <f t="shared" si="0"/>
        <v>M</v>
      </c>
      <c r="G19" s="102" t="str">
        <f>IF(COUNTIF(Parametre!$C$17:$C$29,C19)=0,"",INDEX(Parametre!$B$17:$B$29,MATCH(C19,Parametre!$C$17:$C$29,0)))&amp;""&amp;IF(COUNTIF(Parametre!$H$19:$H$40,C19)=0,"",INDEX(Parametre!$I$19:$I$40,MATCH(C19,Parametre!$H$19:$H$40,0)))</f>
        <v/>
      </c>
      <c r="H19" s="101">
        <f t="shared" si="2"/>
        <v>43873</v>
      </c>
      <c r="I19" s="1"/>
      <c r="J19" s="64" t="str">
        <f t="shared" si="1"/>
        <v>C</v>
      </c>
      <c r="K19" s="1" t="str">
        <f t="shared" si="1"/>
        <v/>
      </c>
      <c r="L19" s="102" t="str">
        <f>IF(COUNTIF(Parametre!$C$17:$C$29,H19)=0,"",INDEX(Parametre!$B$17:$B$29,MATCH(H19,Parametre!$C$17:$C$29,0)))&amp;""&amp;IF(COUNTIF(Parametre!$H$19:$H$40,H19)=0,"",INDEX(Parametre!$I$19:$I$40,MATCH(H19,Parametre!$H$19:$H$40,0)))</f>
        <v/>
      </c>
    </row>
    <row r="20" spans="2:12">
      <c r="B20" s="1">
        <v>13</v>
      </c>
      <c r="C20" s="101">
        <f t="shared" si="3"/>
        <v>43843</v>
      </c>
      <c r="D20" s="1"/>
      <c r="E20" s="64" t="str">
        <f t="shared" si="0"/>
        <v/>
      </c>
      <c r="F20" s="1" t="str">
        <f t="shared" si="0"/>
        <v>M</v>
      </c>
      <c r="G20" s="102" t="str">
        <f>IF(COUNTIF(Parametre!$C$17:$C$29,C20)=0,"",INDEX(Parametre!$B$17:$B$29,MATCH(C20,Parametre!$C$17:$C$29,0)))&amp;""&amp;IF(COUNTIF(Parametre!$H$19:$H$40,C20)=0,"",INDEX(Parametre!$I$19:$I$40,MATCH(C20,Parametre!$H$19:$H$40,0)))</f>
        <v>69 ans Michel</v>
      </c>
      <c r="H20" s="101">
        <f t="shared" si="2"/>
        <v>43874</v>
      </c>
      <c r="I20" s="1"/>
      <c r="J20" s="64" t="str">
        <f t="shared" si="1"/>
        <v/>
      </c>
      <c r="K20" s="1" t="str">
        <f t="shared" si="1"/>
        <v/>
      </c>
      <c r="L20" s="102" t="str">
        <f>IF(COUNTIF(Parametre!$C$17:$C$29,H20)=0,"",INDEX(Parametre!$B$17:$B$29,MATCH(H20,Parametre!$C$17:$C$29,0)))&amp;""&amp;IF(COUNTIF(Parametre!$H$19:$H$40,H20)=0,"",INDEX(Parametre!$I$19:$I$40,MATCH(H20,Parametre!$H$19:$H$40,0)))</f>
        <v/>
      </c>
    </row>
    <row r="21" spans="2:12">
      <c r="B21" s="1">
        <v>14</v>
      </c>
      <c r="C21" s="101">
        <f t="shared" si="3"/>
        <v>43844</v>
      </c>
      <c r="D21" s="1"/>
      <c r="E21" s="64" t="str">
        <f t="shared" si="0"/>
        <v/>
      </c>
      <c r="F21" s="1" t="str">
        <f t="shared" si="0"/>
        <v>M</v>
      </c>
      <c r="G21" s="102" t="str">
        <f>IF(COUNTIF(Parametre!$C$17:$C$29,C21)=0,"",INDEX(Parametre!$B$17:$B$29,MATCH(C21,Parametre!$C$17:$C$29,0)))&amp;""&amp;IF(COUNTIF(Parametre!$H$19:$H$40,C21)=0,"",INDEX(Parametre!$I$19:$I$40,MATCH(C21,Parametre!$H$19:$H$40,0)))</f>
        <v/>
      </c>
      <c r="H21" s="101">
        <f t="shared" si="2"/>
        <v>43875</v>
      </c>
      <c r="I21" s="1"/>
      <c r="J21" s="64" t="str">
        <f t="shared" si="1"/>
        <v/>
      </c>
      <c r="K21" s="1" t="str">
        <f t="shared" si="1"/>
        <v/>
      </c>
      <c r="L21" s="102" t="str">
        <f>IF(COUNTIF(Parametre!$C$17:$C$29,H21)=0,"",INDEX(Parametre!$B$17:$B$29,MATCH(H21,Parametre!$C$17:$C$29,0)))&amp;""&amp;IF(COUNTIF(Parametre!$H$19:$H$40,H21)=0,"",INDEX(Parametre!$I$19:$I$40,MATCH(H21,Parametre!$H$19:$H$40,0)))</f>
        <v/>
      </c>
    </row>
    <row r="22" spans="2:12">
      <c r="B22" s="1">
        <v>15</v>
      </c>
      <c r="C22" s="101">
        <f t="shared" si="3"/>
        <v>43845</v>
      </c>
      <c r="D22" s="1"/>
      <c r="E22" s="64" t="str">
        <f t="shared" si="0"/>
        <v/>
      </c>
      <c r="F22" s="1" t="str">
        <f t="shared" si="0"/>
        <v>M</v>
      </c>
      <c r="G22" s="102" t="str">
        <f>IF(COUNTIF(Parametre!$C$17:$C$29,C22)=0,"",INDEX(Parametre!$B$17:$B$29,MATCH(C22,Parametre!$C$17:$C$29,0)))&amp;""&amp;IF(COUNTIF(Parametre!$H$19:$H$40,C22)=0,"",INDEX(Parametre!$I$19:$I$40,MATCH(C22,Parametre!$H$19:$H$40,0)))</f>
        <v/>
      </c>
      <c r="H22" s="101">
        <f t="shared" si="2"/>
        <v>43876</v>
      </c>
      <c r="I22" s="1"/>
      <c r="J22" s="64" t="str">
        <f t="shared" si="1"/>
        <v/>
      </c>
      <c r="K22" s="1" t="str">
        <f t="shared" si="1"/>
        <v/>
      </c>
      <c r="L22" s="102" t="str">
        <f>IF(COUNTIF(Parametre!$C$17:$C$29,H22)=0,"",INDEX(Parametre!$B$17:$B$29,MATCH(H22,Parametre!$C$17:$C$29,0)))&amp;""&amp;IF(COUNTIF(Parametre!$H$19:$H$40,H22)=0,"",INDEX(Parametre!$I$19:$I$40,MATCH(H22,Parametre!$H$19:$H$40,0)))</f>
        <v/>
      </c>
    </row>
    <row r="23" spans="2:12">
      <c r="B23" s="1">
        <v>16</v>
      </c>
      <c r="C23" s="101">
        <f t="shared" si="3"/>
        <v>43846</v>
      </c>
      <c r="D23" s="1"/>
      <c r="E23" s="64" t="str">
        <f t="shared" si="0"/>
        <v/>
      </c>
      <c r="F23" s="1" t="str">
        <f t="shared" si="0"/>
        <v/>
      </c>
      <c r="G23" s="102" t="str">
        <f>IF(COUNTIF(Parametre!$C$17:$C$29,C23)=0,"",INDEX(Parametre!$B$17:$B$29,MATCH(C23,Parametre!$C$17:$C$29,0)))&amp;""&amp;IF(COUNTIF(Parametre!$H$19:$H$40,C23)=0,"",INDEX(Parametre!$I$19:$I$40,MATCH(C23,Parametre!$H$19:$H$40,0)))</f>
        <v/>
      </c>
      <c r="H23" s="101">
        <f t="shared" si="2"/>
        <v>43877</v>
      </c>
      <c r="I23" s="1"/>
      <c r="J23" s="64" t="str">
        <f t="shared" si="1"/>
        <v/>
      </c>
      <c r="K23" s="1" t="str">
        <f t="shared" si="1"/>
        <v/>
      </c>
      <c r="L23" s="102" t="str">
        <f>IF(COUNTIF(Parametre!$C$17:$C$29,H23)=0,"",INDEX(Parametre!$B$17:$B$29,MATCH(H23,Parametre!$C$17:$C$29,0)))&amp;""&amp;IF(COUNTIF(Parametre!$H$19:$H$40,H23)=0,"",INDEX(Parametre!$I$19:$I$40,MATCH(H23,Parametre!$H$19:$H$40,0)))</f>
        <v/>
      </c>
    </row>
    <row r="24" spans="2:12">
      <c r="B24" s="1">
        <v>17</v>
      </c>
      <c r="C24" s="101">
        <f t="shared" si="3"/>
        <v>43847</v>
      </c>
      <c r="D24" s="1"/>
      <c r="E24" s="64" t="str">
        <f t="shared" si="0"/>
        <v/>
      </c>
      <c r="F24" s="1" t="str">
        <f t="shared" si="0"/>
        <v/>
      </c>
      <c r="G24" s="102" t="str">
        <f>IF(COUNTIF(Parametre!$C$17:$C$29,C24)=0,"",INDEX(Parametre!$B$17:$B$29,MATCH(C24,Parametre!$C$17:$C$29,0)))&amp;""&amp;IF(COUNTIF(Parametre!$H$19:$H$40,C24)=0,"",INDEX(Parametre!$I$19:$I$40,MATCH(C24,Parametre!$H$19:$H$40,0)))</f>
        <v/>
      </c>
      <c r="H24" s="101">
        <f t="shared" si="2"/>
        <v>43878</v>
      </c>
      <c r="I24" s="1"/>
      <c r="J24" s="64" t="str">
        <f t="shared" si="1"/>
        <v/>
      </c>
      <c r="K24" s="1" t="str">
        <f t="shared" si="1"/>
        <v/>
      </c>
      <c r="L24" s="102" t="str">
        <f>IF(COUNTIF(Parametre!$C$17:$C$29,H24)=0,"",INDEX(Parametre!$B$17:$B$29,MATCH(H24,Parametre!$C$17:$C$29,0)))&amp;""&amp;IF(COUNTIF(Parametre!$H$19:$H$40,H24)=0,"",INDEX(Parametre!$I$19:$I$40,MATCH(H24,Parametre!$H$19:$H$40,0)))</f>
        <v/>
      </c>
    </row>
    <row r="25" spans="2:12">
      <c r="B25" s="1">
        <v>18</v>
      </c>
      <c r="C25" s="101">
        <f t="shared" si="3"/>
        <v>43848</v>
      </c>
      <c r="D25" s="1"/>
      <c r="E25" s="64" t="str">
        <f t="shared" si="0"/>
        <v/>
      </c>
      <c r="F25" s="1" t="str">
        <f t="shared" si="0"/>
        <v/>
      </c>
      <c r="G25" s="102" t="str">
        <f>IF(COUNTIF(Parametre!$C$17:$C$29,C25)=0,"",INDEX(Parametre!$B$17:$B$29,MATCH(C25,Parametre!$C$17:$C$29,0)))&amp;""&amp;IF(COUNTIF(Parametre!$H$19:$H$40,C25)=0,"",INDEX(Parametre!$I$19:$I$40,MATCH(C25,Parametre!$H$19:$H$40,0)))</f>
        <v/>
      </c>
      <c r="H25" s="101">
        <f t="shared" si="2"/>
        <v>43879</v>
      </c>
      <c r="I25" s="1"/>
      <c r="J25" s="64" t="str">
        <f t="shared" si="1"/>
        <v/>
      </c>
      <c r="K25" s="1" t="str">
        <f t="shared" si="1"/>
        <v/>
      </c>
      <c r="L25" s="102" t="str">
        <f>IF(COUNTIF(Parametre!$C$17:$C$29,H25)=0,"",INDEX(Parametre!$B$17:$B$29,MATCH(H25,Parametre!$C$17:$C$29,0)))&amp;""&amp;IF(COUNTIF(Parametre!$H$19:$H$40,H25)=0,"",INDEX(Parametre!$I$19:$I$40,MATCH(H25,Parametre!$H$19:$H$40,0)))</f>
        <v/>
      </c>
    </row>
    <row r="26" spans="2:12">
      <c r="B26" s="1">
        <v>19</v>
      </c>
      <c r="C26" s="101">
        <f t="shared" si="3"/>
        <v>43849</v>
      </c>
      <c r="D26" s="1"/>
      <c r="E26" s="64" t="str">
        <f t="shared" si="0"/>
        <v/>
      </c>
      <c r="F26" s="1" t="str">
        <f t="shared" si="0"/>
        <v/>
      </c>
      <c r="G26" s="102" t="str">
        <f>IF(COUNTIF(Parametre!$C$17:$C$29,C26)=0,"",INDEX(Parametre!$B$17:$B$29,MATCH(C26,Parametre!$C$17:$C$29,0)))&amp;""&amp;IF(COUNTIF(Parametre!$H$19:$H$40,C26)=0,"",INDEX(Parametre!$I$19:$I$40,MATCH(C26,Parametre!$H$19:$H$40,0)))</f>
        <v/>
      </c>
      <c r="H26" s="101">
        <f t="shared" si="2"/>
        <v>43880</v>
      </c>
      <c r="I26" s="1"/>
      <c r="J26" s="64" t="str">
        <f t="shared" si="1"/>
        <v/>
      </c>
      <c r="K26" s="1" t="str">
        <f t="shared" si="1"/>
        <v/>
      </c>
      <c r="L26" s="102" t="str">
        <f>IF(COUNTIF(Parametre!$C$17:$C$29,H26)=0,"",INDEX(Parametre!$B$17:$B$29,MATCH(H26,Parametre!$C$17:$C$29,0)))&amp;""&amp;IF(COUNTIF(Parametre!$H$19:$H$40,H26)=0,"",INDEX(Parametre!$I$19:$I$40,MATCH(H26,Parametre!$H$19:$H$40,0)))</f>
        <v/>
      </c>
    </row>
    <row r="27" spans="2:12">
      <c r="B27" s="1">
        <v>20</v>
      </c>
      <c r="C27" s="101">
        <f t="shared" si="3"/>
        <v>43850</v>
      </c>
      <c r="D27" s="1"/>
      <c r="E27" s="64" t="str">
        <f t="shared" si="0"/>
        <v/>
      </c>
      <c r="F27" s="1" t="str">
        <f t="shared" si="0"/>
        <v/>
      </c>
      <c r="G27" s="102" t="str">
        <f>IF(COUNTIF(Parametre!$C$17:$C$29,C27)=0,"",INDEX(Parametre!$B$17:$B$29,MATCH(C27,Parametre!$C$17:$C$29,0)))&amp;""&amp;IF(COUNTIF(Parametre!$H$19:$H$40,C27)=0,"",INDEX(Parametre!$I$19:$I$40,MATCH(C27,Parametre!$H$19:$H$40,0)))</f>
        <v/>
      </c>
      <c r="H27" s="101">
        <f t="shared" si="2"/>
        <v>43881</v>
      </c>
      <c r="I27" s="1"/>
      <c r="J27" s="64" t="str">
        <f t="shared" si="1"/>
        <v/>
      </c>
      <c r="K27" s="1" t="str">
        <f t="shared" si="1"/>
        <v/>
      </c>
      <c r="L27" s="102" t="str">
        <f>IF(COUNTIF(Parametre!$C$17:$C$29,H27)=0,"",INDEX(Parametre!$B$17:$B$29,MATCH(H27,Parametre!$C$17:$C$29,0)))&amp;""&amp;IF(COUNTIF(Parametre!$H$19:$H$40,H27)=0,"",INDEX(Parametre!$I$19:$I$40,MATCH(H27,Parametre!$H$19:$H$40,0)))</f>
        <v/>
      </c>
    </row>
    <row r="28" spans="2:12">
      <c r="B28" s="1">
        <v>21</v>
      </c>
      <c r="C28" s="101">
        <f t="shared" si="3"/>
        <v>43851</v>
      </c>
      <c r="D28" s="1"/>
      <c r="E28" s="64" t="str">
        <f t="shared" si="0"/>
        <v/>
      </c>
      <c r="F28" s="1" t="str">
        <f t="shared" si="0"/>
        <v/>
      </c>
      <c r="G28" s="102" t="str">
        <f>IF(COUNTIF(Parametre!$C$17:$C$29,C28)=0,"",INDEX(Parametre!$B$17:$B$29,MATCH(C28,Parametre!$C$17:$C$29,0)))&amp;""&amp;IF(COUNTIF(Parametre!$H$19:$H$40,C28)=0,"",INDEX(Parametre!$I$19:$I$40,MATCH(C28,Parametre!$H$19:$H$40,0)))</f>
        <v/>
      </c>
      <c r="H28" s="101">
        <f t="shared" si="2"/>
        <v>43882</v>
      </c>
      <c r="I28" s="1"/>
      <c r="J28" s="64" t="str">
        <f t="shared" si="1"/>
        <v>At</v>
      </c>
      <c r="K28" s="1" t="str">
        <f t="shared" si="1"/>
        <v/>
      </c>
      <c r="L28" s="102" t="str">
        <f>IF(COUNTIF(Parametre!$C$17:$C$29,H28)=0,"",INDEX(Parametre!$B$17:$B$29,MATCH(H28,Parametre!$C$17:$C$29,0)))&amp;""&amp;IF(COUNTIF(Parametre!$H$19:$H$40,H28)=0,"",INDEX(Parametre!$I$19:$I$40,MATCH(H28,Parametre!$H$19:$H$40,0)))</f>
        <v/>
      </c>
    </row>
    <row r="29" spans="2:12">
      <c r="B29" s="1">
        <v>22</v>
      </c>
      <c r="C29" s="101">
        <f t="shared" si="3"/>
        <v>43852</v>
      </c>
      <c r="D29" s="1"/>
      <c r="E29" s="64" t="str">
        <f t="shared" si="0"/>
        <v/>
      </c>
      <c r="F29" s="1" t="str">
        <f t="shared" si="0"/>
        <v/>
      </c>
      <c r="G29" s="102" t="str">
        <f>IF(COUNTIF(Parametre!$C$17:$C$29,C29)=0,"",INDEX(Parametre!$B$17:$B$29,MATCH(C29,Parametre!$C$17:$C$29,0)))&amp;""&amp;IF(COUNTIF(Parametre!$H$19:$H$40,C29)=0,"",INDEX(Parametre!$I$19:$I$40,MATCH(C29,Parametre!$H$19:$H$40,0)))</f>
        <v/>
      </c>
      <c r="H29" s="101">
        <f t="shared" si="2"/>
        <v>43883</v>
      </c>
      <c r="I29" s="1"/>
      <c r="J29" s="64" t="str">
        <f t="shared" si="1"/>
        <v>At</v>
      </c>
      <c r="K29" s="1" t="str">
        <f t="shared" si="1"/>
        <v/>
      </c>
      <c r="L29" s="102" t="str">
        <f>IF(COUNTIF(Parametre!$C$17:$C$29,H29)=0,"",INDEX(Parametre!$B$17:$B$29,MATCH(H29,Parametre!$C$17:$C$29,0)))&amp;""&amp;IF(COUNTIF(Parametre!$H$19:$H$40,H29)=0,"",INDEX(Parametre!$I$19:$I$40,MATCH(H29,Parametre!$H$19:$H$40,0)))</f>
        <v/>
      </c>
    </row>
    <row r="30" spans="2:12">
      <c r="B30" s="1">
        <v>23</v>
      </c>
      <c r="C30" s="101">
        <f t="shared" si="3"/>
        <v>43853</v>
      </c>
      <c r="D30" s="1"/>
      <c r="E30" s="64" t="str">
        <f t="shared" si="0"/>
        <v/>
      </c>
      <c r="F30" s="1" t="str">
        <f t="shared" si="0"/>
        <v/>
      </c>
      <c r="G30" s="102" t="str">
        <f>IF(COUNTIF(Parametre!$C$17:$C$29,C30)=0,"",INDEX(Parametre!$B$17:$B$29,MATCH(C30,Parametre!$C$17:$C$29,0)))&amp;""&amp;IF(COUNTIF(Parametre!$H$19:$H$40,C30)=0,"",INDEX(Parametre!$I$19:$I$40,MATCH(C30,Parametre!$H$19:$H$40,0)))</f>
        <v/>
      </c>
      <c r="H30" s="101">
        <f t="shared" si="2"/>
        <v>43884</v>
      </c>
      <c r="I30" s="1"/>
      <c r="J30" s="64" t="str">
        <f t="shared" si="1"/>
        <v>At</v>
      </c>
      <c r="K30" s="1" t="str">
        <f t="shared" si="1"/>
        <v/>
      </c>
      <c r="L30" s="102" t="str">
        <f>IF(COUNTIF(Parametre!$C$17:$C$29,H30)=0,"",INDEX(Parametre!$B$17:$B$29,MATCH(H30,Parametre!$C$17:$C$29,0)))&amp;""&amp;IF(COUNTIF(Parametre!$H$19:$H$40,H30)=0,"",INDEX(Parametre!$I$19:$I$40,MATCH(H30,Parametre!$H$19:$H$40,0)))</f>
        <v/>
      </c>
    </row>
    <row r="31" spans="2:12">
      <c r="B31" s="1">
        <v>24</v>
      </c>
      <c r="C31" s="101">
        <f t="shared" si="3"/>
        <v>43854</v>
      </c>
      <c r="D31" s="1"/>
      <c r="E31" s="64" t="str">
        <f t="shared" si="0"/>
        <v/>
      </c>
      <c r="F31" s="1" t="str">
        <f t="shared" si="0"/>
        <v/>
      </c>
      <c r="G31" s="102" t="str">
        <f>IF(COUNTIF(Parametre!$C$17:$C$29,C31)=0,"",INDEX(Parametre!$B$17:$B$29,MATCH(C31,Parametre!$C$17:$C$29,0)))&amp;""&amp;IF(COUNTIF(Parametre!$H$19:$H$40,C31)=0,"",INDEX(Parametre!$I$19:$I$40,MATCH(C31,Parametre!$H$19:$H$40,0)))</f>
        <v/>
      </c>
      <c r="H31" s="101">
        <f t="shared" si="2"/>
        <v>43885</v>
      </c>
      <c r="I31" s="1"/>
      <c r="J31" s="64" t="str">
        <f t="shared" si="1"/>
        <v>At</v>
      </c>
      <c r="K31" s="1" t="str">
        <f t="shared" si="1"/>
        <v/>
      </c>
      <c r="L31" s="102" t="str">
        <f>IF(COUNTIF(Parametre!$C$17:$C$29,H31)=0,"",INDEX(Parametre!$B$17:$B$29,MATCH(H31,Parametre!$C$17:$C$29,0)))&amp;""&amp;IF(COUNTIF(Parametre!$H$19:$H$40,H31)=0,"",INDEX(Parametre!$I$19:$I$40,MATCH(H31,Parametre!$H$19:$H$40,0)))</f>
        <v/>
      </c>
    </row>
    <row r="32" spans="2:12">
      <c r="B32" s="1">
        <v>25</v>
      </c>
      <c r="C32" s="101">
        <f t="shared" si="3"/>
        <v>43855</v>
      </c>
      <c r="D32" s="1"/>
      <c r="E32" s="64" t="str">
        <f t="shared" si="0"/>
        <v/>
      </c>
      <c r="F32" s="1" t="str">
        <f t="shared" si="0"/>
        <v/>
      </c>
      <c r="G32" s="102" t="str">
        <f>IF(COUNTIF(Parametre!$C$17:$C$29,C32)=0,"",INDEX(Parametre!$B$17:$B$29,MATCH(C32,Parametre!$C$17:$C$29,0)))&amp;""&amp;IF(COUNTIF(Parametre!$H$19:$H$40,C32)=0,"",INDEX(Parametre!$I$19:$I$40,MATCH(C32,Parametre!$H$19:$H$40,0)))</f>
        <v/>
      </c>
      <c r="H32" s="101">
        <f t="shared" si="2"/>
        <v>43886</v>
      </c>
      <c r="I32" s="1"/>
      <c r="J32" s="64" t="str">
        <f t="shared" si="1"/>
        <v>At</v>
      </c>
      <c r="K32" s="1" t="str">
        <f t="shared" si="1"/>
        <v/>
      </c>
      <c r="L32" s="102" t="str">
        <f>IF(COUNTIF(Parametre!$C$17:$C$29,H32)=0,"",INDEX(Parametre!$B$17:$B$29,MATCH(H32,Parametre!$C$17:$C$29,0)))&amp;""&amp;IF(COUNTIF(Parametre!$H$19:$H$40,H32)=0,"",INDEX(Parametre!$I$19:$I$40,MATCH(H32,Parametre!$H$19:$H$40,0)))</f>
        <v>Mardi gras</v>
      </c>
    </row>
    <row r="33" spans="2:12">
      <c r="B33" s="1">
        <v>26</v>
      </c>
      <c r="C33" s="101">
        <f t="shared" si="3"/>
        <v>43856</v>
      </c>
      <c r="D33" s="1"/>
      <c r="E33" s="64" t="str">
        <f t="shared" si="0"/>
        <v/>
      </c>
      <c r="F33" s="1" t="str">
        <f t="shared" si="0"/>
        <v/>
      </c>
      <c r="G33" s="102" t="str">
        <f>IF(COUNTIF(Parametre!$C$17:$C$29,C33)=0,"",INDEX(Parametre!$B$17:$B$29,MATCH(C33,Parametre!$C$17:$C$29,0)))&amp;""&amp;IF(COUNTIF(Parametre!$H$19:$H$40,C33)=0,"",INDEX(Parametre!$I$19:$I$40,MATCH(C33,Parametre!$H$19:$H$40,0)))</f>
        <v/>
      </c>
      <c r="H33" s="101">
        <f t="shared" si="2"/>
        <v>43887</v>
      </c>
      <c r="I33" s="1"/>
      <c r="J33" s="64" t="str">
        <f t="shared" si="1"/>
        <v/>
      </c>
      <c r="K33" s="1" t="str">
        <f t="shared" si="1"/>
        <v/>
      </c>
      <c r="L33" s="102" t="str">
        <f>IF(COUNTIF(Parametre!$C$17:$C$29,H33)=0,"",INDEX(Parametre!$B$17:$B$29,MATCH(H33,Parametre!$C$17:$C$29,0)))&amp;""&amp;IF(COUNTIF(Parametre!$H$19:$H$40,H33)=0,"",INDEX(Parametre!$I$19:$I$40,MATCH(H33,Parametre!$H$19:$H$40,0)))</f>
        <v>Cendres</v>
      </c>
    </row>
    <row r="34" spans="2:12">
      <c r="B34" s="1">
        <v>27</v>
      </c>
      <c r="C34" s="101">
        <f t="shared" si="3"/>
        <v>43857</v>
      </c>
      <c r="D34" s="1"/>
      <c r="E34" s="64" t="str">
        <f t="shared" si="0"/>
        <v/>
      </c>
      <c r="F34" s="1" t="str">
        <f t="shared" si="0"/>
        <v/>
      </c>
      <c r="G34" s="102" t="str">
        <f>IF(COUNTIF(Parametre!$C$17:$C$29,C34)=0,"",INDEX(Parametre!$B$17:$B$29,MATCH(C34,Parametre!$C$17:$C$29,0)))&amp;""&amp;IF(COUNTIF(Parametre!$H$19:$H$40,C34)=0,"",INDEX(Parametre!$I$19:$I$40,MATCH(C34,Parametre!$H$19:$H$40,0)))</f>
        <v/>
      </c>
      <c r="H34" s="101">
        <f t="shared" si="2"/>
        <v>43888</v>
      </c>
      <c r="I34" s="1"/>
      <c r="J34" s="64" t="str">
        <f t="shared" si="1"/>
        <v/>
      </c>
      <c r="K34" s="1" t="str">
        <f t="shared" si="1"/>
        <v/>
      </c>
      <c r="L34" s="102" t="str">
        <f>IF(COUNTIF(Parametre!$C$17:$C$29,H34)=0,"",INDEX(Parametre!$B$17:$B$29,MATCH(H34,Parametre!$C$17:$C$29,0)))&amp;""&amp;IF(COUNTIF(Parametre!$H$19:$H$40,H34)=0,"",INDEX(Parametre!$I$19:$I$40,MATCH(H34,Parametre!$H$19:$H$40,0)))</f>
        <v/>
      </c>
    </row>
    <row r="35" spans="2:12">
      <c r="B35" s="1">
        <v>28</v>
      </c>
      <c r="C35" s="101">
        <f t="shared" si="3"/>
        <v>43858</v>
      </c>
      <c r="D35" s="1"/>
      <c r="E35" s="64" t="str">
        <f t="shared" si="0"/>
        <v/>
      </c>
      <c r="F35" s="1" t="str">
        <f t="shared" si="0"/>
        <v/>
      </c>
      <c r="G35" s="102" t="str">
        <f>IF(COUNTIF(Parametre!$C$17:$C$29,C35)=0,"",INDEX(Parametre!$B$17:$B$29,MATCH(C35,Parametre!$C$17:$C$29,0)))&amp;""&amp;IF(COUNTIF(Parametre!$H$19:$H$40,C35)=0,"",INDEX(Parametre!$I$19:$I$40,MATCH(C35,Parametre!$H$19:$H$40,0)))</f>
        <v/>
      </c>
      <c r="H35" s="101">
        <f t="shared" si="2"/>
        <v>43889</v>
      </c>
      <c r="I35" s="1"/>
      <c r="J35" s="64" t="str">
        <f t="shared" si="1"/>
        <v/>
      </c>
      <c r="K35" s="1" t="str">
        <f t="shared" si="1"/>
        <v/>
      </c>
      <c r="L35" s="102" t="str">
        <f>IF(COUNTIF(Parametre!$C$17:$C$29,H35)=0,"",INDEX(Parametre!$B$17:$B$29,MATCH(H35,Parametre!$C$17:$C$29,0)))&amp;""&amp;IF(COUNTIF(Parametre!$H$19:$H$40,H35)=0,"",INDEX(Parametre!$I$19:$I$40,MATCH(H35,Parametre!$H$19:$H$40,0)))</f>
        <v/>
      </c>
    </row>
    <row r="36" spans="2:12">
      <c r="B36" s="1">
        <v>29</v>
      </c>
      <c r="C36" s="101">
        <f t="shared" ref="C36:C38" si="4">IF(MONTH(C35+1)=D$4,C35+1,"")</f>
        <v>43859</v>
      </c>
      <c r="D36" s="1"/>
      <c r="E36" s="64" t="str">
        <f t="shared" si="0"/>
        <v/>
      </c>
      <c r="F36" s="1" t="str">
        <f t="shared" si="0"/>
        <v/>
      </c>
      <c r="G36" s="102" t="str">
        <f>IF(COUNTIF(Parametre!$C$17:$C$29,C36)=0,"",INDEX(Parametre!$B$17:$B$29,MATCH(C36,Parametre!$C$17:$C$29,0)))&amp;""&amp;IF(COUNTIF(Parametre!$H$19:$H$40,C36)=0,"",INDEX(Parametre!$I$19:$I$40,MATCH(C36,Parametre!$H$19:$H$40,0)))</f>
        <v/>
      </c>
      <c r="H36" s="104">
        <f t="shared" ref="H36:H38" si="5">IF(H35="","",IF(MONTH(H35+1)=MONTH(H8),H35+1,""))</f>
        <v>43890</v>
      </c>
      <c r="I36" s="1"/>
      <c r="J36" s="64" t="str">
        <f t="shared" si="1"/>
        <v/>
      </c>
      <c r="K36" s="1" t="str">
        <f>IFERROR(IF(SUMPRODUCT((Noms=K$6)*($H36&gt;=Debut)*($H36&lt;=Fin))&gt;0,INDEX(Taches,SUMPRODUCT((Noms=K$6)*($H36&gt;=Debut)*($H36&lt;=Fin)*ROW(Noms))-1),""),"")</f>
        <v/>
      </c>
      <c r="L36" s="102" t="str">
        <f>IF(COUNTIF(Parametre!$C$17:$C$29,H36)=0,"",INDEX(Parametre!$B$17:$B$29,MATCH(H36,Parametre!$C$17:$C$29,0)))&amp;""&amp;IF(COUNTIF(Parametre!$H$19:$H$40,H36)=0,"",INDEX(Parametre!$I$19:$I$40,MATCH(H36,Parametre!$H$19:$H$40,0)))</f>
        <v/>
      </c>
    </row>
    <row r="37" spans="2:12">
      <c r="B37" s="1">
        <v>30</v>
      </c>
      <c r="C37" s="101">
        <f t="shared" si="4"/>
        <v>43860</v>
      </c>
      <c r="D37" s="1"/>
      <c r="E37" s="64" t="str">
        <f t="shared" si="0"/>
        <v/>
      </c>
      <c r="F37" s="1" t="str">
        <f t="shared" si="0"/>
        <v/>
      </c>
      <c r="G37" s="102" t="str">
        <f>IF(COUNTIF(Parametre!$C$17:$C$29,C37)=0,"",INDEX(Parametre!$B$17:$B$29,MATCH(C37,Parametre!$C$17:$C$29,0)))&amp;""&amp;IF(COUNTIF(Parametre!$H$19:$H$40,C37)=0,"",INDEX(Parametre!$I$19:$I$40,MATCH(C37,Parametre!$H$19:$H$40,0)))</f>
        <v/>
      </c>
      <c r="H37" s="104" t="str">
        <f t="shared" si="5"/>
        <v/>
      </c>
      <c r="I37" s="1"/>
      <c r="J37" s="64" t="str">
        <f t="shared" si="1"/>
        <v/>
      </c>
      <c r="K37" s="1" t="str">
        <f>IFERROR(IF(SUMPRODUCT((Noms=K$6)*($H37&gt;=Debut)*($H37&lt;=Fin))&gt;0,INDEX(Taches,SUMPRODUCT((Noms=K$6)*($H37&gt;=Debut)*($H37&lt;=Fin)*ROW(Noms))-1),""),"")</f>
        <v/>
      </c>
      <c r="L37" s="102" t="str">
        <f>IFERROR(IF(COUNTIF(Parametre!$C$17:$C$29,H37)=0,"",INDEX(Parametre!$B$17:$B$29,MATCH(H37,Parametre!$C$17:$C$29,0)))&amp;""&amp;IF(COUNTIF(Parametre!$H$19:$H$40,H37)=0,"",INDEX(Parametre!$I$19:$I$40,MATCH(H37,Parametre!$H$19:$H$40,0))),"")</f>
        <v/>
      </c>
    </row>
    <row r="38" spans="2:12">
      <c r="B38" s="1">
        <v>31</v>
      </c>
      <c r="C38" s="101">
        <f t="shared" si="4"/>
        <v>43861</v>
      </c>
      <c r="D38" s="1"/>
      <c r="E38" s="64" t="str">
        <f t="shared" si="0"/>
        <v/>
      </c>
      <c r="F38" s="1" t="str">
        <f t="shared" si="0"/>
        <v/>
      </c>
      <c r="G38" s="102" t="str">
        <f>IF(COUNTIF(Parametre!$C$17:$C$29,C38)=0,"",INDEX(Parametre!$B$17:$B$29,MATCH(C38,Parametre!$C$17:$C$29,0)))&amp;""&amp;IF(COUNTIF(Parametre!$H$19:$H$40,C38)=0,"",INDEX(Parametre!$I$19:$I$40,MATCH(C38,Parametre!$H$19:$H$40,0)))</f>
        <v/>
      </c>
      <c r="H38" s="104" t="str">
        <f t="shared" si="5"/>
        <v/>
      </c>
      <c r="I38" s="1"/>
      <c r="J38" s="64" t="str">
        <f t="shared" si="1"/>
        <v/>
      </c>
      <c r="K38" s="1" t="str">
        <f>IFERROR(IF(SUMPRODUCT((Noms=K$6)*($H38&gt;=Debut)*($H38&lt;=Fin))&gt;0,INDEX(Taches,SUMPRODUCT((Noms=K$6)*($H38&gt;=Debut)*($H38&lt;=Fin)*ROW(Noms))-1),""),"")</f>
        <v/>
      </c>
      <c r="L38" s="102" t="str">
        <f>IFERROR(IF(COUNTIF(Parametre!$C$17:$C$29,H38)=0,"",INDEX(Parametre!$B$17:$B$29,MATCH(H38,Parametre!$C$17:$C$29,0)))&amp;""&amp;IF(COUNTIF(Parametre!$H$19:$H$40,H38)=0,"",INDEX(Parametre!$I$19:$I$40,MATCH(H38,Parametre!$H$19:$H$40,0))),"")</f>
        <v/>
      </c>
    </row>
    <row r="41" spans="2:12">
      <c r="H41" s="63"/>
    </row>
    <row r="42" spans="2:12" ht="15" customHeight="1"/>
  </sheetData>
  <mergeCells count="2">
    <mergeCell ref="D7:G7"/>
    <mergeCell ref="I7:L7"/>
  </mergeCells>
  <conditionalFormatting sqref="D8:D38">
    <cfRule type="expression" dxfId="25" priority="80">
      <formula>SUMPRODUCT((C8&gt;=DebutVac)*(C8&lt;=FinVac))&gt;0</formula>
    </cfRule>
  </conditionalFormatting>
  <conditionalFormatting sqref="C8:C38 H8:H38">
    <cfRule type="expression" dxfId="24" priority="42" stopIfTrue="1">
      <formula>AND($A$52=1,WEEKDAY(C8,2)=6)</formula>
    </cfRule>
  </conditionalFormatting>
  <conditionalFormatting sqref="C8:C38">
    <cfRule type="timePeriod" dxfId="23" priority="39" stopIfTrue="1" timePeriod="today">
      <formula>FLOOR(C8,1)=TODAY()</formula>
    </cfRule>
    <cfRule type="expression" dxfId="22" priority="40" stopIfTrue="1">
      <formula>VLOOKUP(C8,jourferies,1,FALSE)</formula>
    </cfRule>
    <cfRule type="expression" dxfId="21" priority="41" stopIfTrue="1">
      <formula>MOD(MAX(B8:C8),7)=1</formula>
    </cfRule>
  </conditionalFormatting>
  <conditionalFormatting sqref="G8:G38 L8:L38">
    <cfRule type="expression" dxfId="20" priority="36">
      <formula>MATCH(G8,EvMarie,0)</formula>
    </cfRule>
    <cfRule type="expression" dxfId="19" priority="37">
      <formula>MATCH(G8,EvMichel,0)</formula>
    </cfRule>
  </conditionalFormatting>
  <conditionalFormatting sqref="C8:L38">
    <cfRule type="expression" dxfId="18" priority="31">
      <formula>$C$9&lt;&gt;""</formula>
    </cfRule>
  </conditionalFormatting>
  <conditionalFormatting sqref="I8:I38">
    <cfRule type="expression" dxfId="17" priority="30">
      <formula>SUMPRODUCT((H8&gt;=DebutVac)*(H8&lt;=FinVac))&gt;0</formula>
    </cfRule>
  </conditionalFormatting>
  <conditionalFormatting sqref="H8:H38">
    <cfRule type="timePeriod" dxfId="16" priority="26" stopIfTrue="1" timePeriod="today">
      <formula>FLOOR(H8,1)=TODAY()</formula>
    </cfRule>
    <cfRule type="expression" dxfId="15" priority="27" stopIfTrue="1">
      <formula>VLOOKUP(H8,jourferies,1,FALSE)</formula>
    </cfRule>
    <cfRule type="expression" dxfId="14" priority="28" stopIfTrue="1">
      <formula>MOD(MAX(G8:H8),7)=1</formula>
    </cfRule>
  </conditionalFormatting>
  <conditionalFormatting sqref="H35:H38">
    <cfRule type="timePeriod" dxfId="13" priority="11" stopIfTrue="1" timePeriod="today">
      <formula>FLOOR(H35,1)=TODAY()</formula>
    </cfRule>
    <cfRule type="expression" dxfId="12" priority="12" stopIfTrue="1">
      <formula>VLOOKUP(H35,jourferies,1,FALSE)</formula>
    </cfRule>
    <cfRule type="expression" dxfId="11" priority="13" stopIfTrue="1">
      <formula>MOD(MAX(G35:H35),7)=1</formula>
    </cfRule>
  </conditionalFormatting>
  <conditionalFormatting sqref="H36:H38">
    <cfRule type="timePeriod" dxfId="10" priority="7" timePeriod="today">
      <formula>FLOOR(H36,1)=TODAY()</formula>
    </cfRule>
    <cfRule type="expression" dxfId="9" priority="8">
      <formula>VLOOKUP(H36,jourferies,1,FALSE)</formula>
    </cfRule>
    <cfRule type="expression" dxfId="8" priority="9" stopIfTrue="1">
      <formula>MOD(MAX(G36:H36),7)=1</formula>
    </cfRule>
  </conditionalFormatting>
  <conditionalFormatting sqref="H36:H38">
    <cfRule type="expression" dxfId="7" priority="6">
      <formula>AND($A$44=1,WEEKDAY(H36,2)=6)</formula>
    </cfRule>
  </conditionalFormatting>
  <dataValidations count="2">
    <dataValidation type="list" allowBlank="1" showInputMessage="1" showErrorMessage="1" sqref="G3">
      <formula1>Annee</formula1>
    </dataValidation>
    <dataValidation type="list" allowBlank="1" showInputMessage="1" showErrorMessage="1" sqref="G4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Conges</vt:lpstr>
      <vt:lpstr>Parametre</vt:lpstr>
      <vt:lpstr>Calendar</vt:lpstr>
      <vt:lpstr>Annee</vt:lpstr>
      <vt:lpstr>Debut</vt:lpstr>
      <vt:lpstr>DebutAbs</vt:lpstr>
      <vt:lpstr>DebutVac</vt:lpstr>
      <vt:lpstr>EvMarie</vt:lpstr>
      <vt:lpstr>EvMichel</vt:lpstr>
      <vt:lpstr>Fin</vt:lpstr>
      <vt:lpstr>FinAbs</vt:lpstr>
      <vt:lpstr>FinVac</vt:lpstr>
      <vt:lpstr>jourferies</vt:lpstr>
      <vt:lpstr>JoursSem</vt:lpstr>
      <vt:lpstr>Mois</vt:lpstr>
      <vt:lpstr>Noms</vt:lpstr>
      <vt:lpstr>Taches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Michel</cp:lastModifiedBy>
  <cp:lastPrinted>2020-03-11T13:39:00Z</cp:lastPrinted>
  <dcterms:created xsi:type="dcterms:W3CDTF">2020-03-09T06:58:09Z</dcterms:created>
  <dcterms:modified xsi:type="dcterms:W3CDTF">2020-03-11T17:39:29Z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