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orfait jours" sheetId="1" r:id="rId1"/>
    <sheet name="Fériés" sheetId="2" r:id="rId2"/>
  </sheets>
  <externalReferences>
    <externalReference r:id="rId3"/>
  </externalReferences>
  <definedNames>
    <definedName name="_Annee">[1]Planning!$E$2</definedName>
    <definedName name="_DateDebutPlanning">[1]Planning!$B$5</definedName>
    <definedName name="_DateEntree">'[1]Récap annuel individuel'!$AD$4</definedName>
    <definedName name="_DateFinPlanning">[1]Planning!$B$6</definedName>
    <definedName name="_DateSortie">'[1]Récap annuel individuel'!$AD$5</definedName>
    <definedName name="_Debut_Mois">'[1]CP Acquis'!$G$2:$R$2</definedName>
    <definedName name="_Fin_Mois">'[1]CP Acquis'!$G$3:$R$3</definedName>
    <definedName name="_Fin_Periode_N">'[1]CP Acquis'!$K$3</definedName>
    <definedName name="_Mois">[1]Planning!$E$3</definedName>
    <definedName name="annee">[1]Paramètres!$E$2</definedName>
    <definedName name="Chemin">[1]!TChemin[Chemin]</definedName>
    <definedName name="feries">[1]!TJours_fériés[Dates]</definedName>
    <definedName name="JourSemaine">[1]Planning!#REF!</definedName>
    <definedName name="JoursFeries">[1]Planning!#REF!</definedName>
    <definedName name="LMois">[1]!TMois[Mois]</definedName>
    <definedName name="LNomPrenom">[1]!TSalarie[Nom-Prénom]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Salarie">[1]!TSalarie[Nom]</definedName>
    <definedName name="LSymbole_Absence">[1]!TType_Absence[Symbole]</definedName>
    <definedName name="LType_Absence">[1]!TType_Absence[Type]</definedName>
    <definedName name="SalariésPrésents">[1]!Salariés_actifs[Salariés actifs]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" i="1" l="1" a="1"/>
  <c r="L4" i="1" s="1"/>
  <c r="L5" i="1" a="1"/>
  <c r="L5" i="1" s="1"/>
  <c r="L6" i="1" a="1"/>
  <c r="L6" i="1" s="1"/>
  <c r="L3" i="1" a="1"/>
  <c r="L3" i="1" s="1"/>
  <c r="L1" i="1" l="1" a="1"/>
  <c r="L1" i="1" s="1"/>
  <c r="J5" i="1"/>
  <c r="J6" i="1"/>
  <c r="N6" i="1" s="1"/>
  <c r="J4" i="1"/>
  <c r="M4" i="1" s="1"/>
  <c r="B14" i="2"/>
  <c r="B13" i="2"/>
  <c r="B12" i="2"/>
  <c r="B11" i="2"/>
  <c r="B10" i="2"/>
  <c r="B7" i="2"/>
  <c r="B6" i="2"/>
  <c r="B3" i="2"/>
  <c r="B4" i="2"/>
  <c r="J3" i="1"/>
  <c r="N3" i="1" s="1"/>
  <c r="J1" i="1"/>
  <c r="K4" i="1" a="1"/>
  <c r="K3" i="1" a="1"/>
  <c r="K1" i="1" a="1"/>
  <c r="K5" i="1" a="1"/>
  <c r="K6" i="1" a="1"/>
  <c r="K6" i="1" l="1"/>
  <c r="K5" i="1"/>
  <c r="N5" i="1"/>
  <c r="M6" i="1"/>
  <c r="M5" i="1"/>
  <c r="K4" i="1"/>
  <c r="O4" i="1" s="1"/>
  <c r="N4" i="1"/>
  <c r="B5" i="2"/>
  <c r="B9" i="2"/>
  <c r="B8" i="2"/>
  <c r="K1" i="1"/>
  <c r="O1" i="1" s="1"/>
  <c r="K3" i="1"/>
  <c r="M3" i="1"/>
  <c r="O6" i="1" l="1"/>
  <c r="O5" i="1"/>
  <c r="Q1" i="1"/>
  <c r="O3" i="1"/>
  <c r="Q6" i="1" l="1"/>
  <c r="Q5" i="1"/>
  <c r="R1" i="1"/>
  <c r="Q4" i="1"/>
  <c r="Q3" i="1"/>
  <c r="R5" i="1" l="1"/>
  <c r="D5" i="1" s="1"/>
  <c r="R6" i="1"/>
  <c r="D6" i="1" s="1"/>
  <c r="R3" i="1"/>
  <c r="D3" i="1" s="1"/>
  <c r="R4" i="1"/>
  <c r="D4" i="1" s="1"/>
  <c r="H5" i="1" l="1"/>
  <c r="I5" i="1" s="1"/>
  <c r="H6" i="1"/>
  <c r="I6" i="1" s="1"/>
  <c r="H4" i="1"/>
  <c r="I4" i="1" s="1"/>
  <c r="H3" i="1"/>
  <c r="I3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<sst xmlns="http://schemas.openxmlformats.org/spreadsheetml/2006/main" count="39" uniqueCount="39">
  <si>
    <t>Nom Prénom</t>
  </si>
  <si>
    <t>Date entrée</t>
  </si>
  <si>
    <t>Date sortie</t>
  </si>
  <si>
    <t>Nb  jours restant à travailler</t>
  </si>
  <si>
    <t>CP pris</t>
  </si>
  <si>
    <t>RTT pris</t>
  </si>
  <si>
    <t>Autres jours non travaillés</t>
  </si>
  <si>
    <t>Nb jours travaillés</t>
  </si>
  <si>
    <t>Écart</t>
  </si>
  <si>
    <t>Nb jours an</t>
  </si>
  <si>
    <t>Nb samedi et dimanche</t>
  </si>
  <si>
    <t>Jours fériés en sem.</t>
  </si>
  <si>
    <t>Jours CP an</t>
  </si>
  <si>
    <t>Nb jours ouvrés</t>
  </si>
  <si>
    <t>Forfait jour temps plein</t>
  </si>
  <si>
    <t>Repos légal</t>
  </si>
  <si>
    <t>CP ancienneté cadre et ingénieurs</t>
  </si>
  <si>
    <t/>
  </si>
  <si>
    <t>Année en cours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</si>
  <si>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</si>
  <si>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</si>
  <si>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</si>
  <si>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</si>
  <si>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</si>
  <si>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</si>
  <si>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</si>
  <si>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</si>
  <si>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</si>
  <si>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Fête Nationale</t>
  </si>
  <si>
    <t>Assomption</t>
  </si>
  <si>
    <t>Toussaint</t>
  </si>
  <si>
    <t>Armistice 14/18</t>
  </si>
  <si>
    <t>Noël </t>
  </si>
  <si>
    <t>Jours</t>
  </si>
  <si>
    <t>NOM 1</t>
  </si>
  <si>
    <t>NOM 2</t>
  </si>
  <si>
    <t>NOM 3</t>
  </si>
  <si>
    <t>NOM 4</t>
  </si>
  <si>
    <t>Jours CP CNN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</si>
</sst>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F800]dddd\,\ mmmm\ dd\,\ yyyy"/>
  </numFmts>
  <fonts count="19" x14ac:knownFonts="1">
    <font>
      <sz val="11"/>
      <color theme="1"/>
      <name val="Segoe UI"/>
      <family val="2"/>
    </font>
    <font>
      <sz val="11"/>
      <color theme="1"/>
      <name val="Segoe UI"/>
      <family val="2"/>
    </font>
    <font>
      <sz val="11"/>
      <color rgb="FF00B050"/>
      <name val="Segoe UI"/>
      <family val="2"/>
    </font>
    <font>
      <sz val="11"/>
      <color rgb="FF0070C0"/>
      <name val="Segoe UI"/>
      <family val="2"/>
    </font>
    <font>
      <sz val="11"/>
      <name val="Segoe UI"/>
      <family val="2"/>
    </font>
    <font>
      <sz val="14"/>
      <name val="Segoe UI"/>
      <family val="2"/>
    </font>
    <font>
      <sz val="14"/>
      <color theme="1"/>
      <name val="Segoe UI"/>
      <family val="2"/>
    </font>
    <font>
      <b/>
      <sz val="14"/>
      <name val="Calibri"/>
      <family val="2"/>
    </font>
    <font>
      <sz val="11"/>
      <color theme="0"/>
      <name val="Segoe UI"/>
      <family val="2"/>
    </font>
    <font>
      <sz val="11"/>
      <name val="Calibri"/>
      <family val="2"/>
    </font>
    <font>
      <b/>
      <sz val="11"/>
      <name val="Calibri"/>
      <family val="2"/>
    </font>
    <font>
      <sz val="14"/>
      <name val="Calibri"/>
      <family val="2"/>
    </font>
    <font>
      <sz val="11"/>
      <color rgb="FF00B050"/>
      <name val="Calibri"/>
      <family val="2"/>
    </font>
    <font>
      <sz val="11"/>
      <color rgb="FF0070C0"/>
      <name val="Calibri"/>
      <family val="2"/>
    </font>
    <font>
      <b/>
      <sz val="14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Segoe UI"/>
      <family val="2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14" fontId="0" fillId="2" borderId="0" xfId="0" applyNumberFormat="1" applyFill="1" applyAlignment="1">
      <alignment horizontal="center" vertical="center" wrapText="1"/>
    </xf>
    <xf numFmtId="14" fontId="0" fillId="2" borderId="0" xfId="0" applyNumberFormat="1" applyFill="1"/>
    <xf numFmtId="164" fontId="2" fillId="0" borderId="0" xfId="0" applyNumberFormat="1" applyFont="1" applyAlignment="1">
      <alignment horizontal="right" indent="1"/>
    </xf>
    <xf numFmtId="164" fontId="3" fillId="0" borderId="0" xfId="0" applyNumberFormat="1" applyFont="1" applyAlignment="1">
      <alignment horizontal="right" indent="1"/>
    </xf>
    <xf numFmtId="164" fontId="4" fillId="0" borderId="0" xfId="0" applyNumberFormat="1" applyFont="1" applyAlignment="1">
      <alignment horizontal="right" indent="1"/>
    </xf>
    <xf numFmtId="164" fontId="5" fillId="0" borderId="0" xfId="0" applyNumberFormat="1" applyFont="1" applyAlignment="1">
      <alignment horizontal="right" indent="1"/>
    </xf>
    <xf numFmtId="164" fontId="6" fillId="0" borderId="0" xfId="0" applyNumberFormat="1" applyFont="1" applyAlignment="1">
      <alignment horizontal="right" indent="1"/>
    </xf>
    <xf numFmtId="1" fontId="0" fillId="3" borderId="0" xfId="0" applyNumberFormat="1" applyFill="1" applyAlignment="1">
      <alignment horizontal="center"/>
    </xf>
    <xf numFmtId="1" fontId="0" fillId="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 indent="1"/>
    </xf>
    <xf numFmtId="164" fontId="3" fillId="0" borderId="0" xfId="0" applyNumberFormat="1" applyFont="1" applyAlignment="1">
      <alignment horizontal="right" vertical="center" wrapText="1" indent="1"/>
    </xf>
    <xf numFmtId="164" fontId="8" fillId="0" borderId="0" xfId="0" applyNumberFormat="1" applyFont="1" applyAlignment="1">
      <alignment horizontal="right" vertical="center" wrapText="1" indent="1"/>
    </xf>
    <xf numFmtId="164" fontId="5" fillId="0" borderId="0" xfId="0" applyNumberFormat="1" applyFont="1" applyAlignment="1">
      <alignment horizontal="right" vertical="center" wrapText="1" inden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1" fontId="11" fillId="0" borderId="0" xfId="0" applyNumberFormat="1" applyFont="1" applyAlignment="1">
      <alignment horizontal="center" vertical="center"/>
    </xf>
    <xf numFmtId="164" fontId="12" fillId="0" borderId="0" xfId="0" applyNumberFormat="1" applyFont="1" applyAlignment="1">
      <alignment horizontal="right" vertical="center" indent="1"/>
    </xf>
    <xf numFmtId="164" fontId="13" fillId="0" borderId="0" xfId="0" applyNumberFormat="1" applyFont="1" applyAlignment="1">
      <alignment horizontal="right" vertical="center" indent="1"/>
    </xf>
    <xf numFmtId="164" fontId="9" fillId="0" borderId="0" xfId="0" applyNumberFormat="1" applyFont="1" applyAlignment="1">
      <alignment horizontal="right" vertical="center" indent="1"/>
    </xf>
    <xf numFmtId="164" fontId="11" fillId="0" borderId="0" xfId="0" applyNumberFormat="1" applyFont="1" applyAlignment="1">
      <alignment horizontal="right" vertical="center" indent="1"/>
    </xf>
    <xf numFmtId="1" fontId="9" fillId="0" borderId="0" xfId="0" applyNumberFormat="1" applyFont="1" applyAlignment="1">
      <alignment horizontal="center" vertical="center"/>
    </xf>
    <xf numFmtId="1" fontId="9" fillId="2" borderId="0" xfId="0" applyNumberFormat="1" applyFont="1" applyFill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4" fillId="0" borderId="0" xfId="0" applyFont="1"/>
    <xf numFmtId="0" fontId="16" fillId="0" borderId="0" xfId="0" applyFont="1"/>
    <xf numFmtId="14" fontId="0" fillId="0" borderId="0" xfId="0" applyNumberFormat="1" applyAlignment="1">
      <alignment horizontal="center" vertical="center" wrapText="1"/>
    </xf>
    <xf numFmtId="0" fontId="17" fillId="0" borderId="2" xfId="1" applyFont="1" applyBorder="1"/>
    <xf numFmtId="0" fontId="17" fillId="0" borderId="2" xfId="1" applyFont="1" applyBorder="1" applyAlignment="1">
      <alignment horizontal="center"/>
    </xf>
    <xf numFmtId="0" fontId="1" fillId="0" borderId="0" xfId="1"/>
    <xf numFmtId="164" fontId="12" fillId="0" borderId="0" xfId="0" applyNumberFormat="1" applyFont="1" applyAlignment="1">
      <alignment horizontal="right" vertical="center" indent="2"/>
    </xf>
    <xf numFmtId="164" fontId="13" fillId="0" borderId="0" xfId="0" applyNumberFormat="1" applyFont="1" applyAlignment="1">
      <alignment horizontal="right" vertical="center" indent="2"/>
    </xf>
    <xf numFmtId="164" fontId="9" fillId="0" borderId="0" xfId="0" applyNumberFormat="1" applyFont="1" applyAlignment="1">
      <alignment horizontal="right" vertical="center" indent="2"/>
    </xf>
    <xf numFmtId="0" fontId="0" fillId="0" borderId="0" xfId="0" applyFill="1"/>
    <xf numFmtId="1" fontId="9" fillId="0" borderId="1" xfId="0" applyNumberFormat="1" applyFont="1" applyFill="1" applyBorder="1" applyAlignment="1">
      <alignment horizontal="center" vertical="center"/>
    </xf>
    <xf numFmtId="165" fontId="1" fillId="0" borderId="0" xfId="1" applyNumberFormat="1" applyAlignment="1">
      <alignment horizontal="center"/>
    </xf>
  </cellXfs>
  <cellStyles count="2">
    <cellStyle name="Normal" xfId="0" builtinId="0"/>
    <cellStyle name="Normal 5" xfId="1"/>
  </cellStyles>
  <dxfs count="21">
    <dxf>
      <numFmt numFmtId="165" formatCode="[$-F800]dddd\,\ mmmm\ dd\,\ 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font>
        <color theme="5" tint="-0.24994659260841701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Khairallah/Dropbox%20(VERDEMOBIL%20BIOGAZ)/RH%20-%20Salari&#233;s/1-Suivi%20absences%20personnels/Planning%20absences%202023%20avec%20calcul%20forfait%20j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anning"/>
      <sheetName val="Absences"/>
      <sheetName val="Récap annuel individuel"/>
      <sheetName val="Paramètres"/>
      <sheetName val="Tables Salariés"/>
      <sheetName val="Tables CP-RTT"/>
      <sheetName val="Forfait jours"/>
      <sheetName val="CP Acquis"/>
      <sheetName val="CP Pris"/>
      <sheetName val="RTT Acquis"/>
      <sheetName val="RTT Pris"/>
      <sheetName val="RTT Pris exercice"/>
      <sheetName val="RTT Acquis exercice"/>
      <sheetName val="Planning absences 2023 avec cal"/>
    </sheetNames>
    <sheetDataSet>
      <sheetData sheetId="0"/>
      <sheetData sheetId="1">
        <row r="2">
          <cell r="E2">
            <v>2023</v>
          </cell>
        </row>
        <row r="3">
          <cell r="E3" t="str">
            <v>mars</v>
          </cell>
        </row>
        <row r="5">
          <cell r="B5">
            <v>44986</v>
          </cell>
        </row>
        <row r="6">
          <cell r="B6">
            <v>45016</v>
          </cell>
        </row>
      </sheetData>
      <sheetData sheetId="2"/>
      <sheetData sheetId="3">
        <row r="4">
          <cell r="AD4">
            <v>44452</v>
          </cell>
        </row>
        <row r="5">
          <cell r="AD5" t="str">
            <v/>
          </cell>
        </row>
      </sheetData>
      <sheetData sheetId="4">
        <row r="2">
          <cell r="E2">
            <v>2023</v>
          </cell>
        </row>
      </sheetData>
      <sheetData sheetId="5"/>
      <sheetData sheetId="6"/>
      <sheetData sheetId="7"/>
      <sheetData sheetId="8">
        <row r="2">
          <cell r="G2">
            <v>44927</v>
          </cell>
          <cell r="H2">
            <v>44958</v>
          </cell>
          <cell r="I2">
            <v>44986</v>
          </cell>
          <cell r="J2">
            <v>45017</v>
          </cell>
          <cell r="K2">
            <v>45047</v>
          </cell>
          <cell r="L2">
            <v>45078</v>
          </cell>
          <cell r="M2">
            <v>45108</v>
          </cell>
          <cell r="N2">
            <v>45139</v>
          </cell>
          <cell r="O2">
            <v>45170</v>
          </cell>
          <cell r="P2">
            <v>45200</v>
          </cell>
          <cell r="Q2">
            <v>45231</v>
          </cell>
          <cell r="R2">
            <v>45261</v>
          </cell>
        </row>
        <row r="3">
          <cell r="G3">
            <v>44957</v>
          </cell>
          <cell r="H3">
            <v>44985</v>
          </cell>
          <cell r="I3">
            <v>45016</v>
          </cell>
          <cell r="J3">
            <v>45046</v>
          </cell>
          <cell r="K3">
            <v>45077</v>
          </cell>
          <cell r="L3">
            <v>45107</v>
          </cell>
          <cell r="M3">
            <v>45138</v>
          </cell>
          <cell r="N3">
            <v>45169</v>
          </cell>
          <cell r="O3">
            <v>45199</v>
          </cell>
          <cell r="P3">
            <v>45230</v>
          </cell>
          <cell r="Q3">
            <v>45260</v>
          </cell>
          <cell r="R3">
            <v>45291</v>
          </cell>
        </row>
      </sheetData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tables/table1.xml><?xml version="1.0" encoding="utf-8"?>
<table xmlns="http://schemas.openxmlformats.org/spreadsheetml/2006/main" id="1" name="Forfait_jours" displayName="Forfait_jours" ref="A2:S6" totalsRowShown="0">
  <autoFilter ref="A2:S6"/>
  <tableColumns count="19">
    <tableColumn id="1" name="Nom Prénom"/>
    <tableColumn id="15" name="Date entrée" dataDxfId="18"/>
    <tableColumn id="19" name="Date sortie" dataDxfId="17"/>
    <tableColumn id="2" name="Nb  jours restant à travailler" dataDxfId="16">
      <calculatedColumnFormula>IF(Forfait_jours[[#This Row],[Forfait jour temps plein]]="","",J3-K3-L3-M3-N3-Q3-R3-Forfait_jours[[#This Row],[CP ancienneté cadre et ingénieurs]])</calculatedColumnFormula>
    </tableColumn>
    <tableColumn id="3" name="CP pris" dataDxfId="15"/>
    <tableColumn id="4" name="RTT pris" dataDxfId="14"/>
    <tableColumn id="18" name="Autres jours non travaillés" dataDxfId="13"/>
    <tableColumn id="5" name="Nb jours travaillés" dataDxfId="12">
      <calculatedColumnFormula>IF(Forfait_jours[[#This Row],[Nb  jours restant à travailler]]="","",J3-K3-L3-E3-F3)</calculatedColumnFormula>
    </tableColumn>
    <tableColumn id="6" name="Écart" dataDxfId="11">
      <calculatedColumnFormula>IF(Forfait_jours[[#This Row],[Nb  jours restant à travailler]]="","",H3-D3)</calculatedColumnFormula>
    </tableColumn>
    <tableColumn id="7" name="Nb jours an" dataDxfId="10">
      <calculatedColumnFormula>IF(AND(Forfait_jours[[#This Row],[Date entrée]]&lt;$A$1,Forfait_jours[[#This Row],[Date sortie]]=""),_xlfn.DAYS($B$1,$A$1)+1,
IF(AND(Forfait_jours[[#This Row],[Date entrée]]&gt;$A$1,Forfait_jours[[#This Row],[Date sortie]]=""),_xlfn.DAYS($B$1,Forfait_jours[[#This Row],[Date entrée]])+1,
IF(AND(Forfait_jours[[#This Row],[Date entrée]]&gt;$A$1,Forfait_jours[[#This Row],[Date sortie]]&lt;$B$1),_xlfn.DAYS(Forfait_jours[[#This Row],[Date sortie]],Forfait_jours[[#This Row],[Date entrée]])+1,
IF(AND(Forfait_jours[[#This Row],[Date entrée]]&lt;$A$1,Forfait_jours[[#This Row],[Date sortie]]&lt;$B$1),_xlfn.DAYS(Forfait_jours[[#This Row],[Date sortie]],$A$1)+1))))</calculatedColumnFormula>
    </tableColumn>
    <tableColumn id="8" name="Nb samedi et dimanche" dataDxfId="9">
      <calculatedColumnFormula array="1">IF(AND(Forfait_jours[[#This Row],[Date entrée]]&lt;$A$1,Forfait_jours[[#This Row],[Date sortie]]=""),SUMPRODUCT((WEEKDAY(ROW(INDIRECT($A$1&amp;":"&amp;$B$1)),2)&gt;5)*1),
IF(AND(Forfait_jours[[#This Row],[Date entrée]]&gt;$A$1,Forfait_jours[[#This Row],[Date sortie]]=""),SUMPRODUCT((WEEKDAY(ROW(INDIRECT($B$1&amp;":"&amp;Forfait_jours[[#This Row],[Date entrée]])),2)&gt;5)*1),
IF(AND(Forfait_jours[[#This Row],[Date entrée]]&gt;$A$1,Forfait_jours[[#This Row],[Date sortie]]&lt;$B$1),SUMPRODUCT((WEEKDAY(ROW(INDIRECT(Forfait_jours[[#This Row],[Date entrée]]&amp;":"&amp;Forfait_jours[[#This Row],[Date sortie]])),2)&gt;5)*1),
IF(AND(Forfait_jours[[#This Row],[Date entrée]]&lt;$A$1,Forfait_jours[[#This Row],[Date sortie]]&lt;$B$1),SUMPRODUCT((WEEKDAY(ROW(INDIRECT(Forfait_jours[[#This Row],[Date sortie]]&amp;":"&amp;$A$1)),2)&gt;5)*1)))))</calculatedColumnFormula>
    </tableColumn>
    <tableColumn id="9" name="Jours fériés en sem." dataDxfId="8">
      <calculatedColumnFormula array="1">IF(AND(Forfait_jours[[#This Row],[Date entrée]]&lt;$A$1,Forfait_jours[[#This Row],[Date sortie]]=""),SUMPRODUCT((TJours_fériés[Dates]&gt;=$A$1)*(TJours_fériés[Dates]&lt;=$B$1)*(WEEKDAY(TJours_fériés[Dates],2)&lt;6)),
IF(AND(Forfait_jours[[#This Row],[Date entrée]]&gt;$A$1,Forfait_jours[[#This Row],[Date sortie]]=""),SUMPRODUCT((TJours_fériés[Dates]&gt;=Forfait_jours[[#This Row],[Date entrée]])*(TJours_fériés[Dates]&lt;=$B$1)*(WEEKDAY(TJours_fériés[Dates],2)&lt;6)),
IF(AND(Forfait_jours[[#This Row],[Date entrée]]&gt;$A$1,Forfait_jours[[#This Row],[Date sortie]]&lt;$B$1),SUMPRODUCT((TJours_fériés[Dates]&gt;=Forfait_jours[[#This Row],[Date entrée]])*(TJours_fériés[Dates]&lt;=Forfait_jours[[#This Row],[Date sortie]])*(WEEKDAY(TJours_fériés[Dates],2)&lt;6)),
IF(AND(Forfait_jours[[#This Row],[Date entrée]]&lt;$A$1,Forfait_jours[[#This Row],[Date sortie]]&lt;$B$1),SUMPRODUCT((TJours_fériés[Dates]&gt;=$A$1)*(TJours_fériés[Dates]&lt;=Forfait_jours[[#This Row],[Date sortie]])*(WEEKDAY(TJours_fériés[Dates],2)&lt;6))))))</calculatedColumnFormula>
    </tableColumn>
    <tableColumn id="10" name="Jours CP an" dataDxfId="7">
      <calculatedColumnFormula>25/365*Forfait_jours[[#This Row],[Nb jours an]]</calculatedColumnFormula>
    </tableColumn>
    <tableColumn id="13" name="Jours CP CNN" dataDxfId="6">
      <calculatedColumnFormula>ROUNDUP(2/365*Forfait_jours[[#This Row],[Nb jours an]],0)</calculatedColumnFormula>
    </tableColumn>
    <tableColumn id="11" name="Nb jours ouvrés" dataDxfId="5">
      <calculatedColumnFormula>J3-K3-L3-M3</calculatedColumnFormula>
    </tableColumn>
    <tableColumn id="12" name="Forfait jour temps plein" dataDxfId="4"/>
    <tableColumn id="14" name="Repos légal" dataDxfId="3">
      <calculatedColumnFormula>IF(Forfait_jours[[#This Row],[Forfait jour temps plein]]="","",ROUNDUP(($Q$1/$P$1*Forfait_jours[[#This Row],[Forfait jour temps plein]])/365*Forfait_jours[[#This Row],[Nb jours an]],0))</calculatedColumnFormula>
    </tableColumn>
    <tableColumn id="16" name="Jours" dataDxfId="2">
      <calculatedColumnFormula>IF(Forfait_jours[[#This Row],[Forfait jour temps plein]]="","",ROUNDUP(($R$1/$P$1*Forfait_jours[[#This Row],[Forfait jour temps plein]])/365*Forfait_jours[[#This Row],[Nb jours an]],0))</calculatedColumnFormula>
    </tableColumn>
    <tableColumn id="17" name="CP ancienneté cadre et ingénieurs" dataDxfId="1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id="2" name="TJours_fériés" displayName="TJours_fériés" ref="A2:B14" totalsRowShown="0">
  <autoFilter ref="A2:B14"/>
  <tableColumns count="2">
    <tableColumn id="1" name="Jour férié"/>
    <tableColumn id="3" name="Date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"/>
  <sheetViews>
    <sheetView showGridLines="0" tabSelected="1" workbookViewId="0">
      <selection activeCell="L3" sqref="L3"/>
    </sheetView>
  </sheetViews>
  <sheetFormatPr baseColWidth="10" defaultRowHeight="20.25" x14ac:dyDescent="0.35"/>
  <cols>
    <col min="1" max="1" width="22.625" bestFit="1" customWidth="1"/>
    <col min="2" max="3" width="10.625" style="21" customWidth="1"/>
    <col min="4" max="4" width="10.125" style="29" customWidth="1"/>
    <col min="5" max="5" width="6.375" style="3" customWidth="1"/>
    <col min="6" max="6" width="5.75" style="4" customWidth="1"/>
    <col min="7" max="7" width="10.75" style="5" customWidth="1"/>
    <col min="8" max="8" width="12.625" style="6" bestFit="1" customWidth="1"/>
    <col min="9" max="9" width="9.75" style="7" bestFit="1" customWidth="1"/>
    <col min="10" max="13" width="9.625" customWidth="1"/>
    <col min="14" max="14" width="9.625" style="30" customWidth="1"/>
    <col min="15" max="15" width="9.625" style="31" customWidth="1"/>
    <col min="16" max="16" width="9.625" style="32" customWidth="1"/>
    <col min="17" max="17" width="9.625" customWidth="1"/>
    <col min="18" max="18" width="9.625" style="31" customWidth="1"/>
    <col min="19" max="19" width="9.625" style="30" customWidth="1"/>
    <col min="20" max="20" width="9.5" customWidth="1"/>
  </cols>
  <sheetData>
    <row r="1" spans="1:22" x14ac:dyDescent="0.35">
      <c r="A1" s="1">
        <v>44927</v>
      </c>
      <c r="B1" s="2">
        <v>45291</v>
      </c>
      <c r="C1" s="33"/>
      <c r="J1" s="8">
        <f>_xlfn.DAYS($B$1,$A$1)+1</f>
        <v>365</v>
      </c>
      <c r="K1" s="8" cm="1">
        <f t="array" aca="1" ref="K1" ca="1">SUMPRODUCT((WEEKDAY(ROW(INDIRECT($A$1&amp;":"&amp;$B$1)),2)&gt;5)*1)</f>
        <v>105</v>
      </c>
      <c r="L1" s="9" cm="1">
        <f t="array" ref="L1">SUMPRODUCT((TJours_fériés[Dates]&gt;=$A$1)*(TJours_fériés[Dates]&lt;=$B$1))</f>
        <v>12</v>
      </c>
      <c r="M1" s="8">
        <v>25</v>
      </c>
      <c r="N1" s="8">
        <v>2</v>
      </c>
      <c r="O1" s="8">
        <f ca="1">J1-K1-L1-M1-N1</f>
        <v>221</v>
      </c>
      <c r="P1" s="8">
        <v>218</v>
      </c>
      <c r="Q1" s="8">
        <f ca="1">J1-K1-L1-M1-P1</f>
        <v>5</v>
      </c>
      <c r="R1" s="8">
        <f ca="1">12-Q1</f>
        <v>7</v>
      </c>
      <c r="S1" s="10"/>
    </row>
    <row r="2" spans="1:22" s="20" customFormat="1" ht="75" x14ac:dyDescent="0.3">
      <c r="A2" s="11" t="s">
        <v>0</v>
      </c>
      <c r="B2" s="12" t="s">
        <v>1</v>
      </c>
      <c r="C2" s="12" t="s">
        <v>2</v>
      </c>
      <c r="D2" s="13" t="s">
        <v>3</v>
      </c>
      <c r="E2" s="14" t="s">
        <v>4</v>
      </c>
      <c r="F2" s="15" t="s">
        <v>5</v>
      </c>
      <c r="G2" s="16" t="s">
        <v>6</v>
      </c>
      <c r="H2" s="17" t="s">
        <v>7</v>
      </c>
      <c r="I2" s="17" t="s">
        <v>8</v>
      </c>
      <c r="J2" s="18" t="s">
        <v>9</v>
      </c>
      <c r="K2" s="18" t="s">
        <v>10</v>
      </c>
      <c r="L2" s="18" t="s">
        <v>11</v>
      </c>
      <c r="M2" s="18" t="s">
        <v>12</v>
      </c>
      <c r="N2" s="18" t="s">
        <v>38</v>
      </c>
      <c r="O2" s="18" t="s">
        <v>13</v>
      </c>
      <c r="P2" s="19" t="s">
        <v>14</v>
      </c>
      <c r="Q2" s="18" t="s">
        <v>15</v>
      </c>
      <c r="R2" s="18" t="s">
        <v>33</v>
      </c>
      <c r="S2" s="18" t="s">
        <v>16</v>
      </c>
    </row>
    <row r="3" spans="1:22" ht="18.75" x14ac:dyDescent="0.3">
      <c r="A3" t="s">
        <v>34</v>
      </c>
      <c r="B3" s="21">
        <v>44074</v>
      </c>
      <c r="C3" s="21" t="s">
        <v>17</v>
      </c>
      <c r="D3" s="22">
        <f ca="1">IF(Forfait_jours[[#This Row],[Forfait jour temps plein]]="","",J3-K3-L3-M3-N3-Q3-R3-Forfait_jours[[#This Row],[CP ancienneté cadre et ingénieurs]])</f>
        <v>213</v>
      </c>
      <c r="E3" s="23">
        <v>3</v>
      </c>
      <c r="F3" s="24">
        <v>1</v>
      </c>
      <c r="G3" s="25"/>
      <c r="H3" s="26">
        <f ca="1">IF(Forfait_jours[[#This Row],[Nb  jours restant à travailler]]="","",J3-K3-L3-E3-F3)</f>
        <v>248</v>
      </c>
      <c r="I3" s="26">
        <f ca="1">IF(Forfait_jours[[#This Row],[Nb  jours restant à travailler]]="","",H3-D3)</f>
        <v>35</v>
      </c>
      <c r="J3" s="27">
        <f>IF(AND(Forfait_jours[[#This Row],[Date entrée]]&lt;$A$1,Forfait_jours[[#This Row],[Date sortie]]=""),_xlfn.DAYS($B$1,$A$1)+1,
IF(AND(Forfait_jours[[#This Row],[Date entrée]]&gt;$A$1,Forfait_jours[[#This Row],[Date sortie]]=""),_xlfn.DAYS($B$1,Forfait_jours[[#This Row],[Date entrée]])+1,
IF(AND(Forfait_jours[[#This Row],[Date entrée]]&gt;$A$1,Forfait_jours[[#This Row],[Date sortie]]&lt;$B$1),_xlfn.DAYS(Forfait_jours[[#This Row],[Date sortie]],Forfait_jours[[#This Row],[Date entrée]])+1,
IF(AND(Forfait_jours[[#This Row],[Date entrée]]&lt;$A$1,Forfait_jours[[#This Row],[Date sortie]]&lt;$B$1),_xlfn.DAYS(Forfait_jours[[#This Row],[Date sortie]],$A$1)+1))))</f>
        <v>365</v>
      </c>
      <c r="K3" s="27" cm="1">
        <f t="array" aca="1" ref="K3" ca="1">IF(AND(Forfait_jours[[#This Row],[Date entrée]]&lt;$A$1,Forfait_jours[[#This Row],[Date sortie]]=""),SUMPRODUCT((WEEKDAY(ROW(INDIRECT($A$1&amp;":"&amp;$B$1)),2)&gt;5)*1),
IF(AND(Forfait_jours[[#This Row],[Date entrée]]&gt;$A$1,Forfait_jours[[#This Row],[Date sortie]]=""),SUMPRODUCT((WEEKDAY(ROW(INDIRECT($B$1&amp;":"&amp;Forfait_jours[[#This Row],[Date entrée]])),2)&gt;5)*1),
IF(AND(Forfait_jours[[#This Row],[Date entrée]]&gt;$A$1,Forfait_jours[[#This Row],[Date sortie]]&lt;$B$1),SUMPRODUCT((WEEKDAY(ROW(INDIRECT(Forfait_jours[[#This Row],[Date entrée]]&amp;":"&amp;Forfait_jours[[#This Row],[Date sortie]])),2)&gt;5)*1),
IF(AND(Forfait_jours[[#This Row],[Date entrée]]&lt;$A$1,Forfait_jours[[#This Row],[Date sortie]]&lt;$B$1),SUMPRODUCT((WEEKDAY(ROW(INDIRECT(Forfait_jours[[#This Row],[Date sortie]]&amp;":"&amp;$A$1)),2)&gt;5)*1)))))</f>
        <v>105</v>
      </c>
      <c r="L3" s="28">
        <f t="array" ref="L3">IF(AND(Forfait_jours[[#This Row],[Date entrée]]&lt;$A$1,Forfait_jours[[#This Row],[Date sortie]]=""),SUMPRODUCT((TJours_fériés[Dates]&gt;=$A$1)*(TJours_fériés[Dates]&lt;=$B$1)*(WEEKDAY(TJours_fériés[Dates],2)&lt;6)),
IF(AND(Forfait_jours[[#This Row],[Date entrée]]&gt;$A$1,Forfait_jours[[#This Row],[Date sortie]]=""),SUMPRODUCT((TJours_fériés[Dates]&gt;=Forfait_jours[[#This Row],[Date entrée]])*(TJours_fériés[Dates]&lt;=$B$1)*(WEEKDAY(TJours_fériés[Dates],2)&lt;6)),
IF(AND(Forfait_jours[[#This Row],[Date entrée]]&gt;$A$1,Forfait_jours[[#This Row],[Date sortie]]&lt;$B$1),SUMPRODUCT((TJours_fériés[Dates]&gt;=Forfait_jours[[#This Row],[Date entrée]])*(TJours_fériés[Dates]&lt;=Forfait_jours[[#This Row],[Date sortie]])*(WEEKDAY(TJours_fériés[Dates],2)&lt;6)),
IF(AND(Forfait_jours[[#This Row],[Date entrée]]&lt;$A$1,Forfait_jours[[#This Row],[Date sortie]]&lt;$B$1),SUMPRODUCT((TJours_fériés[Dates]&gt;=$A$1)*(TJours_fériés[Dates]&lt;=Forfait_jours[[#This Row],[Date sortie]])*(WEEKDAY(TJours_fériés[Dates],2)&lt;6))))))</f>
        <v>8</v>
      </c>
      <c r="M3" s="27">
        <f>25/365*Forfait_jours[[#This Row],[Nb jours an]]</f>
        <v>25</v>
      </c>
      <c r="N3" s="27">
        <f>ROUNDUP(2/365*Forfait_jours[[#This Row],[Nb jours an]],0)</f>
        <v>2</v>
      </c>
      <c r="O3" s="27">
        <f ca="1">J3-K3-L3-M3</f>
        <v>227</v>
      </c>
      <c r="P3" s="27">
        <v>218</v>
      </c>
      <c r="Q3" s="27">
        <f ca="1">IF(Forfait_jours[[#This Row],[Forfait jour temps plein]]="","",ROUNDUP(($Q$1/$P$1*Forfait_jours[[#This Row],[Forfait jour temps plein]])/365*Forfait_jours[[#This Row],[Nb jours an]],0))</f>
        <v>5</v>
      </c>
      <c r="R3" s="27">
        <f ca="1">IF(Forfait_jours[[#This Row],[Forfait jour temps plein]]="","",ROUNDUP(($R$1/$P$1*Forfait_jours[[#This Row],[Forfait jour temps plein]])/365*Forfait_jours[[#This Row],[Nb jours an]],0))</f>
        <v>7</v>
      </c>
      <c r="S3" s="27"/>
      <c r="U3" s="40"/>
      <c r="V3" s="41"/>
    </row>
    <row r="4" spans="1:22" ht="18.75" x14ac:dyDescent="0.3">
      <c r="A4" t="s">
        <v>35</v>
      </c>
      <c r="B4" s="21">
        <v>45000</v>
      </c>
      <c r="D4" s="22">
        <f ca="1">IF(Forfait_jours[[#This Row],[Forfait jour temps plein]]="","",J4-K4-L4-M4-N4-Q4-R4-Forfait_jours[[#This Row],[CP ancienneté cadre et ingénieurs]])</f>
        <v>168</v>
      </c>
      <c r="E4" s="37"/>
      <c r="F4" s="38"/>
      <c r="G4" s="39"/>
      <c r="H4" s="26">
        <f ca="1">IF(Forfait_jours[[#This Row],[Nb  jours restant à travailler]]="","",J4-K4-L4-E4-F4)</f>
        <v>200</v>
      </c>
      <c r="I4" s="26">
        <f ca="1">IF(Forfait_jours[[#This Row],[Nb  jours restant à travailler]]="","",H4-D4)</f>
        <v>32</v>
      </c>
      <c r="J4" s="27">
        <f>IF(AND(Forfait_jours[[#This Row],[Date entrée]]&lt;$A$1,Forfait_jours[[#This Row],[Date sortie]]=""),_xlfn.DAYS($B$1,$A$1)+1,
IF(AND(Forfait_jours[[#This Row],[Date entrée]]&gt;$A$1,Forfait_jours[[#This Row],[Date sortie]]=""),_xlfn.DAYS($B$1,Forfait_jours[[#This Row],[Date entrée]])+1,
IF(AND(Forfait_jours[[#This Row],[Date entrée]]&gt;$A$1,Forfait_jours[[#This Row],[Date sortie]]&lt;$B$1),_xlfn.DAYS(Forfait_jours[[#This Row],[Date sortie]],Forfait_jours[[#This Row],[Date entrée]])+1,
IF(AND(Forfait_jours[[#This Row],[Date entrée]]&lt;$A$1,Forfait_jours[[#This Row],[Date sortie]]&lt;$B$1),_xlfn.DAYS(Forfait_jours[[#This Row],[Date sortie]],$A$1)+1))))</f>
        <v>292</v>
      </c>
      <c r="K4" s="27" cm="1">
        <f t="array" aca="1" ref="K4" ca="1">IF(AND(Forfait_jours[[#This Row],[Date entrée]]&lt;$A$1,Forfait_jours[[#This Row],[Date sortie]]=""),SUMPRODUCT((WEEKDAY(ROW(INDIRECT($A$1&amp;":"&amp;$B$1)),2)&gt;5)*1),
IF(AND(Forfait_jours[[#This Row],[Date entrée]]&gt;$A$1,Forfait_jours[[#This Row],[Date sortie]]=""),SUMPRODUCT((WEEKDAY(ROW(INDIRECT($B$1&amp;":"&amp;Forfait_jours[[#This Row],[Date entrée]])),2)&gt;5)*1),
IF(AND(Forfait_jours[[#This Row],[Date entrée]]&gt;$A$1,Forfait_jours[[#This Row],[Date sortie]]&lt;$B$1),SUMPRODUCT((WEEKDAY(ROW(INDIRECT(Forfait_jours[[#This Row],[Date entrée]]&amp;":"&amp;Forfait_jours[[#This Row],[Date sortie]])),2)&gt;5)*1),
IF(AND(Forfait_jours[[#This Row],[Date entrée]]&lt;$A$1,Forfait_jours[[#This Row],[Date sortie]]&lt;$B$1),SUMPRODUCT((WEEKDAY(ROW(INDIRECT(Forfait_jours[[#This Row],[Date sortie]]&amp;":"&amp;$A$1)),2)&gt;5)*1)))))</f>
        <v>84</v>
      </c>
      <c r="L4" s="28">
        <f t="array" ref="L4">IF(AND(Forfait_jours[[#This Row],[Date entrée]]&lt;$A$1,Forfait_jours[[#This Row],[Date sortie]]=""),SUMPRODUCT((TJours_fériés[Dates]&gt;=$A$1)*(TJours_fériés[Dates]&lt;=$B$1)*(WEEKDAY(TJours_fériés[Dates],2)&lt;6)),
IF(AND(Forfait_jours[[#This Row],[Date entrée]]&gt;$A$1,Forfait_jours[[#This Row],[Date sortie]]=""),SUMPRODUCT((TJours_fériés[Dates]&gt;=Forfait_jours[[#This Row],[Date entrée]])*(TJours_fériés[Dates]&lt;=$B$1)*(WEEKDAY(TJours_fériés[Dates],2)&lt;6)),
IF(AND(Forfait_jours[[#This Row],[Date entrée]]&gt;$A$1,Forfait_jours[[#This Row],[Date sortie]]&lt;$B$1),SUMPRODUCT((TJours_fériés[Dates]&gt;=Forfait_jours[[#This Row],[Date entrée]])*(TJours_fériés[Dates]&lt;=Forfait_jours[[#This Row],[Date sortie]])*(WEEKDAY(TJours_fériés[Dates],2)&lt;6)),
IF(AND(Forfait_jours[[#This Row],[Date entrée]]&lt;$A$1,Forfait_jours[[#This Row],[Date sortie]]&lt;$B$1),SUMPRODUCT((TJours_fériés[Dates]&gt;=$A$1)*(TJours_fériés[Dates]&lt;=Forfait_jours[[#This Row],[Date sortie]])*(WEEKDAY(TJours_fériés[Dates],2)&lt;6))))))</f>
        <v>8</v>
      </c>
      <c r="M4" s="27">
        <f>25/365*Forfait_jours[[#This Row],[Nb jours an]]</f>
        <v>20</v>
      </c>
      <c r="N4" s="27">
        <f>ROUNDUP(2/365*Forfait_jours[[#This Row],[Nb jours an]],0)</f>
        <v>2</v>
      </c>
      <c r="O4" s="27">
        <f ca="1">J4-K4-L4-M4</f>
        <v>180</v>
      </c>
      <c r="P4" s="27">
        <v>218</v>
      </c>
      <c r="Q4" s="27">
        <f ca="1">IF(Forfait_jours[[#This Row],[Forfait jour temps plein]]="","",ROUNDUP(($Q$1/$P$1*Forfait_jours[[#This Row],[Forfait jour temps plein]])/365*Forfait_jours[[#This Row],[Nb jours an]],0))</f>
        <v>4</v>
      </c>
      <c r="R4" s="27">
        <f ca="1">IF(Forfait_jours[[#This Row],[Forfait jour temps plein]]="","",ROUNDUP(($R$1/$P$1*Forfait_jours[[#This Row],[Forfait jour temps plein]])/365*Forfait_jours[[#This Row],[Nb jours an]],0))</f>
        <v>6</v>
      </c>
      <c r="S4" s="27"/>
    </row>
    <row r="5" spans="1:22" ht="18.75" x14ac:dyDescent="0.3">
      <c r="A5" t="s">
        <v>36</v>
      </c>
      <c r="B5" s="21">
        <v>45108</v>
      </c>
      <c r="D5" s="22">
        <f ca="1">IF(Forfait_jours[[#This Row],[Forfait jour temps plein]]="","",J5-K5-L5-M5-N5-Q5-R5-Forfait_jours[[#This Row],[CP ancienneté cadre et ingénieurs]])</f>
        <v>104.39726027397261</v>
      </c>
      <c r="E5" s="37"/>
      <c r="F5" s="38"/>
      <c r="G5" s="39"/>
      <c r="H5" s="26">
        <f ca="1">IF(Forfait_jours[[#This Row],[Nb  jours restant à travailler]]="","",J5-K5-L5-E5-F5)</f>
        <v>126</v>
      </c>
      <c r="I5" s="26">
        <f ca="1">IF(Forfait_jours[[#This Row],[Nb  jours restant à travailler]]="","",H5-D5)</f>
        <v>21.602739726027394</v>
      </c>
      <c r="J5" s="27">
        <f>IF(AND(Forfait_jours[[#This Row],[Date entrée]]&lt;$A$1,Forfait_jours[[#This Row],[Date sortie]]=""),_xlfn.DAYS($B$1,$A$1)+1,
IF(AND(Forfait_jours[[#This Row],[Date entrée]]&gt;$A$1,Forfait_jours[[#This Row],[Date sortie]]=""),_xlfn.DAYS($B$1,Forfait_jours[[#This Row],[Date entrée]])+1,
IF(AND(Forfait_jours[[#This Row],[Date entrée]]&gt;$A$1,Forfait_jours[[#This Row],[Date sortie]]&lt;$B$1),_xlfn.DAYS(Forfait_jours[[#This Row],[Date sortie]],Forfait_jours[[#This Row],[Date entrée]])+1,
IF(AND(Forfait_jours[[#This Row],[Date entrée]]&lt;$A$1,Forfait_jours[[#This Row],[Date sortie]]&lt;$B$1),_xlfn.DAYS(Forfait_jours[[#This Row],[Date sortie]],$A$1)+1))))</f>
        <v>184</v>
      </c>
      <c r="K5" s="27" cm="1">
        <f t="array" aca="1" ref="K5" ca="1">IF(AND(Forfait_jours[[#This Row],[Date entrée]]&lt;$A$1,Forfait_jours[[#This Row],[Date sortie]]=""),SUMPRODUCT((WEEKDAY(ROW(INDIRECT($A$1&amp;":"&amp;$B$1)),2)&gt;5)*1),
IF(AND(Forfait_jours[[#This Row],[Date entrée]]&gt;$A$1,Forfait_jours[[#This Row],[Date sortie]]=""),SUMPRODUCT((WEEKDAY(ROW(INDIRECT($B$1&amp;":"&amp;Forfait_jours[[#This Row],[Date entrée]])),2)&gt;5)*1),
IF(AND(Forfait_jours[[#This Row],[Date entrée]]&gt;$A$1,Forfait_jours[[#This Row],[Date sortie]]&lt;$B$1),SUMPRODUCT((WEEKDAY(ROW(INDIRECT(Forfait_jours[[#This Row],[Date entrée]]&amp;":"&amp;Forfait_jours[[#This Row],[Date sortie]])),2)&gt;5)*1),
IF(AND(Forfait_jours[[#This Row],[Date entrée]]&lt;$A$1,Forfait_jours[[#This Row],[Date sortie]]&lt;$B$1),SUMPRODUCT((WEEKDAY(ROW(INDIRECT(Forfait_jours[[#This Row],[Date sortie]]&amp;":"&amp;$A$1)),2)&gt;5)*1)))))</f>
        <v>54</v>
      </c>
      <c r="L5" s="28">
        <f t="array" ref="L5">IF(AND(Forfait_jours[[#This Row],[Date entrée]]&lt;$A$1,Forfait_jours[[#This Row],[Date sortie]]=""),SUMPRODUCT((TJours_fériés[Dates]&gt;=$A$1)*(TJours_fériés[Dates]&lt;=$B$1)*(WEEKDAY(TJours_fériés[Dates],2)&lt;6)),
IF(AND(Forfait_jours[[#This Row],[Date entrée]]&gt;$A$1,Forfait_jours[[#This Row],[Date sortie]]=""),SUMPRODUCT((TJours_fériés[Dates]&gt;=Forfait_jours[[#This Row],[Date entrée]])*(TJours_fériés[Dates]&lt;=$B$1)*(WEEKDAY(TJours_fériés[Dates],2)&lt;6)),
IF(AND(Forfait_jours[[#This Row],[Date entrée]]&gt;$A$1,Forfait_jours[[#This Row],[Date sortie]]&lt;$B$1),SUMPRODUCT((TJours_fériés[Dates]&gt;=Forfait_jours[[#This Row],[Date entrée]])*(TJours_fériés[Dates]&lt;=Forfait_jours[[#This Row],[Date sortie]])*(WEEKDAY(TJours_fériés[Dates],2)&lt;6)),
IF(AND(Forfait_jours[[#This Row],[Date entrée]]&lt;$A$1,Forfait_jours[[#This Row],[Date sortie]]&lt;$B$1),SUMPRODUCT((TJours_fériés[Dates]&gt;=$A$1)*(TJours_fériés[Dates]&lt;=Forfait_jours[[#This Row],[Date sortie]])*(WEEKDAY(TJours_fériés[Dates],2)&lt;6))))))</f>
        <v>4</v>
      </c>
      <c r="M5" s="27">
        <f>25/365*Forfait_jours[[#This Row],[Nb jours an]]</f>
        <v>12.602739726027396</v>
      </c>
      <c r="N5" s="27">
        <f>ROUNDUP(2/365*Forfait_jours[[#This Row],[Nb jours an]],0)</f>
        <v>2</v>
      </c>
      <c r="O5" s="27">
        <f t="shared" ref="O5:O6" ca="1" si="0">J5-K5-L5-M5</f>
        <v>113.39726027397261</v>
      </c>
      <c r="P5" s="27">
        <v>218</v>
      </c>
      <c r="Q5" s="27">
        <f ca="1">IF(Forfait_jours[[#This Row],[Forfait jour temps plein]]="","",ROUNDUP(($Q$1/$P$1*Forfait_jours[[#This Row],[Forfait jour temps plein]])/365*Forfait_jours[[#This Row],[Nb jours an]],0))</f>
        <v>3</v>
      </c>
      <c r="R5" s="27">
        <f ca="1">IF(Forfait_jours[[#This Row],[Forfait jour temps plein]]="","",ROUNDUP(($R$1/$P$1*Forfait_jours[[#This Row],[Forfait jour temps plein]])/365*Forfait_jours[[#This Row],[Nb jours an]],0))</f>
        <v>4</v>
      </c>
      <c r="S5" s="27"/>
    </row>
    <row r="6" spans="1:22" ht="18.75" x14ac:dyDescent="0.3">
      <c r="A6" t="s">
        <v>37</v>
      </c>
      <c r="B6" s="21">
        <v>44865</v>
      </c>
      <c r="D6" s="22">
        <f ca="1">IF(Forfait_jours[[#This Row],[Forfait jour temps plein]]="","",J6-K6-L6-M6-N6-Q6-R6-Forfait_jours[[#This Row],[CP ancienneté cadre et ingénieurs]])</f>
        <v>213</v>
      </c>
      <c r="E6" s="37"/>
      <c r="F6" s="38"/>
      <c r="G6" s="39"/>
      <c r="H6" s="26">
        <f ca="1">IF(Forfait_jours[[#This Row],[Nb  jours restant à travailler]]="","",J6-K6-L6-E6-F6)</f>
        <v>252</v>
      </c>
      <c r="I6" s="26">
        <f ca="1">IF(Forfait_jours[[#This Row],[Nb  jours restant à travailler]]="","",H6-D6)</f>
        <v>39</v>
      </c>
      <c r="J6" s="27">
        <f>IF(AND(Forfait_jours[[#This Row],[Date entrée]]&lt;$A$1,Forfait_jours[[#This Row],[Date sortie]]=""),_xlfn.DAYS($B$1,$A$1)+1,
IF(AND(Forfait_jours[[#This Row],[Date entrée]]&gt;$A$1,Forfait_jours[[#This Row],[Date sortie]]=""),_xlfn.DAYS($B$1,Forfait_jours[[#This Row],[Date entrée]])+1,
IF(AND(Forfait_jours[[#This Row],[Date entrée]]&gt;$A$1,Forfait_jours[[#This Row],[Date sortie]]&lt;$B$1),_xlfn.DAYS(Forfait_jours[[#This Row],[Date sortie]],Forfait_jours[[#This Row],[Date entrée]])+1,
IF(AND(Forfait_jours[[#This Row],[Date entrée]]&lt;$A$1,Forfait_jours[[#This Row],[Date sortie]]&lt;$B$1),_xlfn.DAYS(Forfait_jours[[#This Row],[Date sortie]],$A$1)+1))))</f>
        <v>365</v>
      </c>
      <c r="K6" s="27" cm="1">
        <f t="array" aca="1" ref="K6" ca="1">IF(AND(Forfait_jours[[#This Row],[Date entrée]]&lt;$A$1,Forfait_jours[[#This Row],[Date sortie]]=""),SUMPRODUCT((WEEKDAY(ROW(INDIRECT($A$1&amp;":"&amp;$B$1)),2)&gt;5)*1),
IF(AND(Forfait_jours[[#This Row],[Date entrée]]&gt;$A$1,Forfait_jours[[#This Row],[Date sortie]]=""),SUMPRODUCT((WEEKDAY(ROW(INDIRECT($B$1&amp;":"&amp;Forfait_jours[[#This Row],[Date entrée]])),2)&gt;5)*1),
IF(AND(Forfait_jours[[#This Row],[Date entrée]]&gt;$A$1,Forfait_jours[[#This Row],[Date sortie]]&lt;$B$1),SUMPRODUCT((WEEKDAY(ROW(INDIRECT(Forfait_jours[[#This Row],[Date entrée]]&amp;":"&amp;Forfait_jours[[#This Row],[Date sortie]])),2)&gt;5)*1),
IF(AND(Forfait_jours[[#This Row],[Date entrée]]&lt;$A$1,Forfait_jours[[#This Row],[Date sortie]]&lt;$B$1),SUMPRODUCT((WEEKDAY(ROW(INDIRECT(Forfait_jours[[#This Row],[Date sortie]]&amp;":"&amp;$A$1)),2)&gt;5)*1)))))</f>
        <v>105</v>
      </c>
      <c r="L6" s="28">
        <f t="array" ref="L6">IF(AND(Forfait_jours[[#This Row],[Date entrée]]&lt;$A$1,Forfait_jours[[#This Row],[Date sortie]]=""),SUMPRODUCT((TJours_fériés[Dates]&gt;=$A$1)*(TJours_fériés[Dates]&lt;=$B$1)*(WEEKDAY(TJours_fériés[Dates],2)&lt;6)),
IF(AND(Forfait_jours[[#This Row],[Date entrée]]&gt;$A$1,Forfait_jours[[#This Row],[Date sortie]]=""),SUMPRODUCT((TJours_fériés[Dates]&gt;=Forfait_jours[[#This Row],[Date entrée]])*(TJours_fériés[Dates]&lt;=$B$1)*(WEEKDAY(TJours_fériés[Dates],2)&lt;6)),
IF(AND(Forfait_jours[[#This Row],[Date entrée]]&gt;$A$1,Forfait_jours[[#This Row],[Date sortie]]&lt;$B$1),SUMPRODUCT((TJours_fériés[Dates]&gt;=Forfait_jours[[#This Row],[Date entrée]])*(TJours_fériés[Dates]&lt;=Forfait_jours[[#This Row],[Date sortie]])*(WEEKDAY(TJours_fériés[Dates],2)&lt;6)),
IF(AND(Forfait_jours[[#This Row],[Date entrée]]&lt;$A$1,Forfait_jours[[#This Row],[Date sortie]]&lt;$B$1),SUMPRODUCT((TJours_fériés[Dates]&gt;=$A$1)*(TJours_fériés[Dates]&lt;=Forfait_jours[[#This Row],[Date sortie]])*(WEEKDAY(TJours_fériés[Dates],2)&lt;6))))))</f>
        <v>8</v>
      </c>
      <c r="M6" s="27">
        <f>25/365*Forfait_jours[[#This Row],[Nb jours an]]</f>
        <v>25</v>
      </c>
      <c r="N6" s="27">
        <f>ROUNDUP(2/365*Forfait_jours[[#This Row],[Nb jours an]],0)</f>
        <v>2</v>
      </c>
      <c r="O6" s="27">
        <f t="shared" ca="1" si="0"/>
        <v>227</v>
      </c>
      <c r="P6" s="27">
        <v>218</v>
      </c>
      <c r="Q6" s="27">
        <f ca="1">IF(Forfait_jours[[#This Row],[Forfait jour temps plein]]="","",ROUNDUP(($Q$1/$P$1*Forfait_jours[[#This Row],[Forfait jour temps plein]])/365*Forfait_jours[[#This Row],[Nb jours an]],0))</f>
        <v>5</v>
      </c>
      <c r="R6" s="27">
        <f ca="1">IF(Forfait_jours[[#This Row],[Forfait jour temps plein]]="","",ROUNDUP(($R$1/$P$1*Forfait_jours[[#This Row],[Forfait jour temps plein]])/365*Forfait_jours[[#This Row],[Nb jours an]],0))</f>
        <v>7</v>
      </c>
      <c r="S6" s="27"/>
    </row>
  </sheetData>
  <phoneticPr fontId="18" type="noConversion"/>
  <conditionalFormatting sqref="I3:I6">
    <cfRule type="cellIs" dxfId="20" priority="1" operator="lessThan">
      <formula>0</formula>
    </cfRule>
    <cfRule type="cellIs" dxfId="19" priority="2" operator="greaterThan">
      <formula>0</formula>
    </cfRule>
  </conditionalFormatting>
  <pageMargins left="0.7" right="0.7" top="0.75" bottom="0.75" header="0.3" footer="0.3"/>
  <pageSetup paperSize="9" scale="36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3" sqref="B3:B14"/>
    </sheetView>
  </sheetViews>
  <sheetFormatPr baseColWidth="10" defaultRowHeight="16.5" x14ac:dyDescent="0.3"/>
  <cols>
    <col min="1" max="1" width="14.625" bestFit="1" customWidth="1"/>
    <col min="2" max="2" width="23.375" bestFit="1" customWidth="1"/>
  </cols>
  <sheetData>
    <row r="1" spans="1:2" x14ac:dyDescent="0.3">
      <c r="A1" s="34" t="s">
        <v>18</v>
      </c>
      <c r="B1" s="35">
        <v>2023</v>
      </c>
    </row>
    <row r="2" spans="1:2" x14ac:dyDescent="0.3">
      <c r="A2" s="36" t="s">
        <v>19</v>
      </c>
      <c r="B2" s="42" t="s">
        <v>20</v>
      </c>
    </row>
    <row r="3" spans="1:2" x14ac:dyDescent="0.3">
      <c r="A3" s="36" t="s">
        <v>21</v>
      </c>
      <c r="B3" s="42">
        <f>DATE(annee,1,1)</f>
        <v>44927</v>
      </c>
    </row>
    <row r="4" spans="1:2" x14ac:dyDescent="0.3">
      <c r="A4" s="36" t="s">
        <v>22</v>
      </c>
      <c r="B4" s="42">
        <f>FLOOR(DAY(MINUTE(B1/38)/2+56)&amp;"/5/"&amp;B1,7)-34</f>
        <v>45025</v>
      </c>
    </row>
    <row r="5" spans="1:2" x14ac:dyDescent="0.3">
      <c r="A5" s="36" t="s">
        <v>23</v>
      </c>
      <c r="B5" s="42">
        <f>B4+1</f>
        <v>45026</v>
      </c>
    </row>
    <row r="6" spans="1:2" x14ac:dyDescent="0.3">
      <c r="A6" s="36" t="s">
        <v>24</v>
      </c>
      <c r="B6" s="42">
        <f>DATE(annee,5,1)</f>
        <v>45047</v>
      </c>
    </row>
    <row r="7" spans="1:2" x14ac:dyDescent="0.3">
      <c r="A7" s="36" t="s">
        <v>25</v>
      </c>
      <c r="B7" s="42">
        <f>DATE(annee,5,8)</f>
        <v>45054</v>
      </c>
    </row>
    <row r="8" spans="1:2" x14ac:dyDescent="0.3">
      <c r="A8" s="36" t="s">
        <v>26</v>
      </c>
      <c r="B8" s="42">
        <f>B4+39</f>
        <v>45064</v>
      </c>
    </row>
    <row r="9" spans="1:2" x14ac:dyDescent="0.3">
      <c r="A9" s="36" t="s">
        <v>27</v>
      </c>
      <c r="B9" s="42">
        <f>B4+49</f>
        <v>45074</v>
      </c>
    </row>
    <row r="10" spans="1:2" x14ac:dyDescent="0.3">
      <c r="A10" s="36" t="s">
        <v>28</v>
      </c>
      <c r="B10" s="42">
        <f>DATE(annee,7,14)</f>
        <v>45121</v>
      </c>
    </row>
    <row r="11" spans="1:2" x14ac:dyDescent="0.3">
      <c r="A11" s="36" t="s">
        <v>29</v>
      </c>
      <c r="B11" s="42">
        <f>DATE(annee,8,15)</f>
        <v>45153</v>
      </c>
    </row>
    <row r="12" spans="1:2" x14ac:dyDescent="0.3">
      <c r="A12" s="36" t="s">
        <v>30</v>
      </c>
      <c r="B12" s="42">
        <f>DATE(annee,11,1)</f>
        <v>45231</v>
      </c>
    </row>
    <row r="13" spans="1:2" x14ac:dyDescent="0.3">
      <c r="A13" s="36" t="s">
        <v>31</v>
      </c>
      <c r="B13" s="42">
        <f>DATE(annee,11,11)</f>
        <v>45241</v>
      </c>
    </row>
    <row r="14" spans="1:2" x14ac:dyDescent="0.3">
      <c r="A14" s="36" t="s">
        <v>32</v>
      </c>
      <c r="B14" s="42">
        <f>DATE(annee,12,25)</f>
        <v>45285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Forfait jours</vt:lpstr>
      <vt:lpstr>Fériés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Khairallah</dc:creator>
  <cp:lastModifiedBy>Michel</cp:lastModifiedBy>
  <cp:lastPrinted>2023-03-08T07:58:54Z</cp:lastPrinted>
  <dcterms:created xsi:type="dcterms:W3CDTF">2023-03-07T16:36:36Z</dcterms:created>
  <dcterms:modified xsi:type="dcterms:W3CDTF">2023-03-08T08:21:43Z</dcterms:modified>
</cp:coreProperties>
</file>