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60" windowWidth="24915" windowHeight="12855" activeTab="1"/>
  </bookViews>
  <sheets>
    <sheet name="2022" sheetId="1" r:id="rId1"/>
    <sheet name="expl 2022" sheetId="2" r:id="rId2"/>
  </sheets>
  <externalReferences>
    <externalReference r:id="rId3"/>
  </externalReferences>
  <definedNames>
    <definedName name="_xlnm._FilterDatabase" localSheetId="0" hidden="1">'2022'!$A$5:$O$213</definedName>
    <definedName name="Clients">[1]clients!$C$2:$W$98</definedName>
    <definedName name="_xlnm.Print_Titles" localSheetId="0">'2022'!$3:$4</definedName>
    <definedName name="rubriques">[1]rubriques!$B$5:$I$53</definedName>
  </definedNames>
  <calcPr calcId="152511"/>
</workbook>
</file>

<file path=xl/calcChain.xml><?xml version="1.0" encoding="utf-8"?>
<calcChain xmlns="http://schemas.openxmlformats.org/spreadsheetml/2006/main">
  <c r="E32" i="2" l="1"/>
  <c r="E24" i="2"/>
  <c r="E28" i="2"/>
  <c r="E31" i="2"/>
  <c r="E25" i="2"/>
  <c r="E26" i="2"/>
  <c r="E29" i="2"/>
  <c r="E30" i="2"/>
  <c r="E27" i="2"/>
  <c r="E23" i="2"/>
  <c r="E12" i="2"/>
  <c r="E15" i="2"/>
  <c r="E16" i="2"/>
  <c r="E17" i="2"/>
  <c r="E18" i="2"/>
  <c r="E19" i="2"/>
  <c r="E13" i="2"/>
  <c r="E14" i="2"/>
  <c r="E11" i="2"/>
  <c r="E7" i="2"/>
  <c r="C12" i="1" l="1"/>
  <c r="B12" i="1" s="1"/>
  <c r="D12" i="1"/>
  <c r="E12" i="1"/>
  <c r="F12" i="1"/>
  <c r="G12" i="1"/>
  <c r="H12" i="1"/>
  <c r="I12" i="1"/>
  <c r="J12" i="1"/>
  <c r="K12" i="1"/>
  <c r="L12" i="1"/>
  <c r="M12" i="1" s="1"/>
  <c r="N12" i="1"/>
  <c r="C13" i="1"/>
  <c r="B13" i="1" s="1"/>
  <c r="D13" i="1"/>
  <c r="E13" i="1"/>
  <c r="F13" i="1"/>
  <c r="G13" i="1"/>
  <c r="H13" i="1"/>
  <c r="I13" i="1"/>
  <c r="J13" i="1"/>
  <c r="K13" i="1"/>
  <c r="L13" i="1"/>
  <c r="O13" i="1" s="1"/>
  <c r="N13" i="1"/>
  <c r="B14" i="1"/>
  <c r="C14" i="1"/>
  <c r="D14" i="1"/>
  <c r="E14" i="1"/>
  <c r="F14" i="1"/>
  <c r="G14" i="1"/>
  <c r="H14" i="1"/>
  <c r="I14" i="1"/>
  <c r="J14" i="1"/>
  <c r="K14" i="1"/>
  <c r="L14" i="1"/>
  <c r="M14" i="1" s="1"/>
  <c r="N14" i="1"/>
  <c r="C15" i="1"/>
  <c r="B15" i="1" s="1"/>
  <c r="D15" i="1"/>
  <c r="E15" i="1"/>
  <c r="F15" i="1"/>
  <c r="G15" i="1"/>
  <c r="H15" i="1"/>
  <c r="I15" i="1"/>
  <c r="J15" i="1"/>
  <c r="K15" i="1"/>
  <c r="L15" i="1"/>
  <c r="N15" i="1"/>
  <c r="E3" i="2"/>
  <c r="E21" i="2" s="1"/>
  <c r="N41" i="1"/>
  <c r="L41" i="1"/>
  <c r="K41" i="1"/>
  <c r="J41" i="1"/>
  <c r="I41" i="1"/>
  <c r="H41" i="1"/>
  <c r="G41" i="1"/>
  <c r="F41" i="1"/>
  <c r="E41" i="1"/>
  <c r="D41" i="1"/>
  <c r="C41" i="1"/>
  <c r="B41" i="1" s="1"/>
  <c r="N40" i="1"/>
  <c r="L40" i="1"/>
  <c r="K40" i="1"/>
  <c r="J40" i="1"/>
  <c r="I40" i="1"/>
  <c r="H40" i="1"/>
  <c r="G40" i="1"/>
  <c r="F40" i="1"/>
  <c r="E40" i="1"/>
  <c r="D40" i="1"/>
  <c r="C40" i="1"/>
  <c r="B40" i="1" s="1"/>
  <c r="N39" i="1"/>
  <c r="L39" i="1"/>
  <c r="K39" i="1"/>
  <c r="J39" i="1"/>
  <c r="I39" i="1"/>
  <c r="H39" i="1"/>
  <c r="G39" i="1"/>
  <c r="F39" i="1"/>
  <c r="E39" i="1"/>
  <c r="D39" i="1"/>
  <c r="C39" i="1"/>
  <c r="B39" i="1" s="1"/>
  <c r="N38" i="1"/>
  <c r="L38" i="1"/>
  <c r="K38" i="1"/>
  <c r="J38" i="1"/>
  <c r="I38" i="1"/>
  <c r="H38" i="1"/>
  <c r="G38" i="1"/>
  <c r="F38" i="1"/>
  <c r="E38" i="1"/>
  <c r="D38" i="1"/>
  <c r="C38" i="1"/>
  <c r="B38" i="1" s="1"/>
  <c r="N37" i="1"/>
  <c r="L37" i="1"/>
  <c r="K37" i="1"/>
  <c r="J37" i="1"/>
  <c r="I37" i="1"/>
  <c r="H37" i="1"/>
  <c r="G37" i="1"/>
  <c r="F37" i="1"/>
  <c r="E37" i="1"/>
  <c r="D37" i="1"/>
  <c r="C37" i="1"/>
  <c r="B37" i="1" s="1"/>
  <c r="N36" i="1"/>
  <c r="L36" i="1"/>
  <c r="K36" i="1"/>
  <c r="J36" i="1"/>
  <c r="I36" i="1"/>
  <c r="H36" i="1"/>
  <c r="G36" i="1"/>
  <c r="F36" i="1"/>
  <c r="E36" i="1"/>
  <c r="D36" i="1"/>
  <c r="C36" i="1"/>
  <c r="B36" i="1" s="1"/>
  <c r="N35" i="1"/>
  <c r="L35" i="1"/>
  <c r="K35" i="1"/>
  <c r="J35" i="1"/>
  <c r="I35" i="1"/>
  <c r="H35" i="1"/>
  <c r="G35" i="1"/>
  <c r="F35" i="1"/>
  <c r="E35" i="1"/>
  <c r="D35" i="1"/>
  <c r="C35" i="1"/>
  <c r="B35" i="1" s="1"/>
  <c r="N34" i="1"/>
  <c r="L34" i="1"/>
  <c r="K34" i="1"/>
  <c r="J34" i="1"/>
  <c r="I34" i="1"/>
  <c r="H34" i="1"/>
  <c r="G34" i="1"/>
  <c r="F34" i="1"/>
  <c r="E34" i="1"/>
  <c r="D34" i="1"/>
  <c r="C34" i="1"/>
  <c r="B34" i="1" s="1"/>
  <c r="N33" i="1"/>
  <c r="L33" i="1"/>
  <c r="K33" i="1"/>
  <c r="J33" i="1"/>
  <c r="I33" i="1"/>
  <c r="H33" i="1"/>
  <c r="G33" i="1"/>
  <c r="F33" i="1"/>
  <c r="E33" i="1"/>
  <c r="D33" i="1"/>
  <c r="C33" i="1"/>
  <c r="B33" i="1" s="1"/>
  <c r="N32" i="1"/>
  <c r="L32" i="1"/>
  <c r="K32" i="1"/>
  <c r="J32" i="1"/>
  <c r="I32" i="1"/>
  <c r="H32" i="1"/>
  <c r="G32" i="1"/>
  <c r="F32" i="1"/>
  <c r="E32" i="1"/>
  <c r="D32" i="1"/>
  <c r="C32" i="1"/>
  <c r="B32" i="1" s="1"/>
  <c r="N31" i="1"/>
  <c r="L31" i="1"/>
  <c r="K31" i="1"/>
  <c r="J31" i="1"/>
  <c r="I31" i="1"/>
  <c r="H31" i="1"/>
  <c r="G31" i="1"/>
  <c r="F31" i="1"/>
  <c r="E31" i="1"/>
  <c r="D31" i="1"/>
  <c r="C31" i="1"/>
  <c r="B31" i="1" s="1"/>
  <c r="N30" i="1"/>
  <c r="L30" i="1"/>
  <c r="K30" i="1"/>
  <c r="J30" i="1"/>
  <c r="I30" i="1"/>
  <c r="H30" i="1"/>
  <c r="G30" i="1"/>
  <c r="F30" i="1"/>
  <c r="E30" i="1"/>
  <c r="D30" i="1"/>
  <c r="C30" i="1"/>
  <c r="B30" i="1" s="1"/>
  <c r="N29" i="1"/>
  <c r="L29" i="1"/>
  <c r="K29" i="1"/>
  <c r="J29" i="1"/>
  <c r="I29" i="1"/>
  <c r="H29" i="1"/>
  <c r="G29" i="1"/>
  <c r="F29" i="1"/>
  <c r="E29" i="1"/>
  <c r="D29" i="1"/>
  <c r="C29" i="1"/>
  <c r="B29" i="1" s="1"/>
  <c r="N28" i="1"/>
  <c r="L28" i="1"/>
  <c r="K28" i="1"/>
  <c r="J28" i="1"/>
  <c r="I28" i="1"/>
  <c r="H28" i="1"/>
  <c r="G28" i="1"/>
  <c r="F28" i="1"/>
  <c r="E28" i="1"/>
  <c r="D28" i="1"/>
  <c r="C28" i="1"/>
  <c r="B28" i="1" s="1"/>
  <c r="N27" i="1"/>
  <c r="L27" i="1"/>
  <c r="K27" i="1"/>
  <c r="J27" i="1"/>
  <c r="I27" i="1"/>
  <c r="H27" i="1"/>
  <c r="G27" i="1"/>
  <c r="F27" i="1"/>
  <c r="E27" i="1"/>
  <c r="D27" i="1"/>
  <c r="C27" i="1"/>
  <c r="B27" i="1" s="1"/>
  <c r="N26" i="1"/>
  <c r="L26" i="1"/>
  <c r="K26" i="1"/>
  <c r="J26" i="1"/>
  <c r="I26" i="1"/>
  <c r="H26" i="1"/>
  <c r="G26" i="1"/>
  <c r="F26" i="1"/>
  <c r="E26" i="1"/>
  <c r="D26" i="1"/>
  <c r="C26" i="1"/>
  <c r="B26" i="1" s="1"/>
  <c r="N25" i="1"/>
  <c r="L25" i="1"/>
  <c r="K25" i="1"/>
  <c r="J25" i="1"/>
  <c r="I25" i="1"/>
  <c r="H25" i="1"/>
  <c r="G25" i="1"/>
  <c r="F25" i="1"/>
  <c r="E25" i="1"/>
  <c r="D25" i="1"/>
  <c r="C25" i="1"/>
  <c r="B25" i="1" s="1"/>
  <c r="N24" i="1"/>
  <c r="L24" i="1"/>
  <c r="K24" i="1"/>
  <c r="J24" i="1"/>
  <c r="I24" i="1"/>
  <c r="H24" i="1"/>
  <c r="G24" i="1"/>
  <c r="F24" i="1"/>
  <c r="E24" i="1"/>
  <c r="D24" i="1"/>
  <c r="C24" i="1"/>
  <c r="B24" i="1" s="1"/>
  <c r="N23" i="1"/>
  <c r="L23" i="1"/>
  <c r="K23" i="1"/>
  <c r="J23" i="1"/>
  <c r="I23" i="1"/>
  <c r="H23" i="1"/>
  <c r="G23" i="1"/>
  <c r="F23" i="1"/>
  <c r="E23" i="1"/>
  <c r="D23" i="1"/>
  <c r="C23" i="1"/>
  <c r="B23" i="1" s="1"/>
  <c r="N22" i="1"/>
  <c r="L22" i="1"/>
  <c r="K22" i="1"/>
  <c r="J22" i="1"/>
  <c r="I22" i="1"/>
  <c r="H22" i="1"/>
  <c r="G22" i="1"/>
  <c r="F22" i="1"/>
  <c r="E22" i="1"/>
  <c r="D22" i="1"/>
  <c r="C22" i="1"/>
  <c r="B22" i="1" s="1"/>
  <c r="N21" i="1"/>
  <c r="L21" i="1"/>
  <c r="K21" i="1"/>
  <c r="J21" i="1"/>
  <c r="I21" i="1"/>
  <c r="H21" i="1"/>
  <c r="G21" i="1"/>
  <c r="F21" i="1"/>
  <c r="E21" i="1"/>
  <c r="D21" i="1"/>
  <c r="C21" i="1"/>
  <c r="B21" i="1" s="1"/>
  <c r="N20" i="1"/>
  <c r="L20" i="1"/>
  <c r="K20" i="1"/>
  <c r="J20" i="1"/>
  <c r="I20" i="1"/>
  <c r="H20" i="1"/>
  <c r="G20" i="1"/>
  <c r="F20" i="1"/>
  <c r="E20" i="1"/>
  <c r="D20" i="1"/>
  <c r="C20" i="1"/>
  <c r="B20" i="1" s="1"/>
  <c r="N19" i="1"/>
  <c r="L19" i="1"/>
  <c r="K19" i="1"/>
  <c r="J19" i="1"/>
  <c r="I19" i="1"/>
  <c r="H19" i="1"/>
  <c r="G19" i="1"/>
  <c r="F19" i="1"/>
  <c r="E19" i="1"/>
  <c r="D19" i="1"/>
  <c r="C19" i="1"/>
  <c r="B19" i="1" s="1"/>
  <c r="N18" i="1"/>
  <c r="L18" i="1"/>
  <c r="O18" i="1" s="1"/>
  <c r="K18" i="1"/>
  <c r="J18" i="1"/>
  <c r="I18" i="1"/>
  <c r="H18" i="1"/>
  <c r="G18" i="1"/>
  <c r="F18" i="1"/>
  <c r="E18" i="1"/>
  <c r="D18" i="1"/>
  <c r="C18" i="1"/>
  <c r="B18" i="1" s="1"/>
  <c r="N17" i="1"/>
  <c r="L17" i="1"/>
  <c r="K17" i="1"/>
  <c r="J17" i="1"/>
  <c r="I17" i="1"/>
  <c r="H17" i="1"/>
  <c r="G17" i="1"/>
  <c r="F17" i="1"/>
  <c r="E17" i="1"/>
  <c r="D17" i="1"/>
  <c r="C17" i="1"/>
  <c r="B17" i="1" s="1"/>
  <c r="N16" i="1"/>
  <c r="L16" i="1"/>
  <c r="O16" i="1" s="1"/>
  <c r="K16" i="1"/>
  <c r="J16" i="1"/>
  <c r="I16" i="1"/>
  <c r="H16" i="1"/>
  <c r="G16" i="1"/>
  <c r="F16" i="1"/>
  <c r="E16" i="1"/>
  <c r="D16" i="1"/>
  <c r="C16" i="1"/>
  <c r="B16" i="1" s="1"/>
  <c r="P40" i="1"/>
  <c r="P39" i="1"/>
  <c r="V39" i="1" s="1"/>
  <c r="P38" i="1"/>
  <c r="V38" i="1" s="1"/>
  <c r="P37" i="1"/>
  <c r="V37" i="1" s="1"/>
  <c r="P36" i="1"/>
  <c r="V36" i="1" s="1"/>
  <c r="P35" i="1"/>
  <c r="V34" i="1"/>
  <c r="P33" i="1"/>
  <c r="V33" i="1" s="1"/>
  <c r="P32" i="1"/>
  <c r="V32" i="1" s="1"/>
  <c r="P31" i="1"/>
  <c r="V31" i="1" s="1"/>
  <c r="P30" i="1"/>
  <c r="V30" i="1" s="1"/>
  <c r="P29" i="1"/>
  <c r="V28" i="1"/>
  <c r="P28" i="1"/>
  <c r="P27" i="1"/>
  <c r="V27" i="1" s="1"/>
  <c r="P26" i="1"/>
  <c r="V26" i="1" s="1"/>
  <c r="P25" i="1"/>
  <c r="V25" i="1" s="1"/>
  <c r="P24" i="1"/>
  <c r="V24" i="1" s="1"/>
  <c r="P23" i="1"/>
  <c r="V23" i="1" s="1"/>
  <c r="P22" i="1"/>
  <c r="V22" i="1" s="1"/>
  <c r="P21" i="1"/>
  <c r="V21" i="1" s="1"/>
  <c r="P20" i="1"/>
  <c r="V20" i="1" s="1"/>
  <c r="P19" i="1"/>
  <c r="V19" i="1" s="1"/>
  <c r="P18" i="1"/>
  <c r="V18" i="1" s="1"/>
  <c r="P17" i="1"/>
  <c r="V17" i="1" s="1"/>
  <c r="V16" i="1"/>
  <c r="P16" i="1"/>
  <c r="P15" i="1"/>
  <c r="V15" i="1" s="1"/>
  <c r="P14" i="1"/>
  <c r="P13" i="1"/>
  <c r="V13" i="1" s="1"/>
  <c r="P12" i="1"/>
  <c r="N11" i="1"/>
  <c r="L11" i="1"/>
  <c r="K11" i="1"/>
  <c r="J11" i="1"/>
  <c r="I11" i="1"/>
  <c r="H11" i="1"/>
  <c r="G11" i="1"/>
  <c r="F11" i="1"/>
  <c r="E11" i="1"/>
  <c r="D11" i="1"/>
  <c r="C11" i="1"/>
  <c r="B11" i="1" s="1"/>
  <c r="P11" i="1"/>
  <c r="V11" i="1" s="1"/>
  <c r="N10" i="1"/>
  <c r="L10" i="1"/>
  <c r="K10" i="1"/>
  <c r="J10" i="1"/>
  <c r="I10" i="1"/>
  <c r="H10" i="1"/>
  <c r="G10" i="1"/>
  <c r="F10" i="1"/>
  <c r="E10" i="1"/>
  <c r="D10" i="1"/>
  <c r="C10" i="1"/>
  <c r="B10" i="1"/>
  <c r="N9" i="1"/>
  <c r="L9" i="1"/>
  <c r="K9" i="1"/>
  <c r="J9" i="1"/>
  <c r="I9" i="1"/>
  <c r="H9" i="1"/>
  <c r="G9" i="1"/>
  <c r="F9" i="1"/>
  <c r="E9" i="1"/>
  <c r="D9" i="1"/>
  <c r="C9" i="1"/>
  <c r="B9" i="1" s="1"/>
  <c r="N8" i="1"/>
  <c r="L8" i="1"/>
  <c r="K8" i="1"/>
  <c r="J8" i="1"/>
  <c r="I8" i="1"/>
  <c r="H8" i="1"/>
  <c r="G8" i="1"/>
  <c r="F8" i="1"/>
  <c r="E8" i="1"/>
  <c r="D8" i="1"/>
  <c r="C8" i="1"/>
  <c r="B8" i="1"/>
  <c r="N7" i="1"/>
  <c r="L7" i="1"/>
  <c r="O7" i="1" s="1"/>
  <c r="K7" i="1"/>
  <c r="J7" i="1"/>
  <c r="I7" i="1"/>
  <c r="H7" i="1"/>
  <c r="H2" i="1" s="1"/>
  <c r="G7" i="1"/>
  <c r="F7" i="1"/>
  <c r="E7" i="1"/>
  <c r="D7" i="1"/>
  <c r="C7" i="1"/>
  <c r="B7" i="1" s="1"/>
  <c r="N6" i="1"/>
  <c r="L6" i="1"/>
  <c r="K6" i="1"/>
  <c r="K2" i="1" s="1"/>
  <c r="J6" i="1"/>
  <c r="I6" i="1"/>
  <c r="H6" i="1"/>
  <c r="G6" i="1"/>
  <c r="F6" i="1"/>
  <c r="E6" i="1"/>
  <c r="D6" i="1"/>
  <c r="C6" i="1"/>
  <c r="B6" i="1" s="1"/>
  <c r="S3" i="1"/>
  <c r="Q3" i="1"/>
  <c r="P1" i="1"/>
  <c r="M7" i="1" l="1"/>
  <c r="M18" i="1"/>
  <c r="O15" i="1"/>
  <c r="M15" i="1"/>
  <c r="O14" i="1"/>
  <c r="M13" i="1"/>
  <c r="O12" i="1"/>
  <c r="M16" i="1"/>
  <c r="O9" i="1"/>
  <c r="M9" i="1"/>
  <c r="I2" i="1"/>
  <c r="I1" i="1" s="1"/>
  <c r="M8" i="1"/>
  <c r="O8" i="1"/>
  <c r="O11" i="1"/>
  <c r="M11" i="1"/>
  <c r="V29" i="1"/>
  <c r="M10" i="1"/>
  <c r="O10" i="1"/>
  <c r="M6" i="1"/>
  <c r="O6" i="1"/>
  <c r="V12" i="1"/>
  <c r="V14" i="1"/>
  <c r="V35" i="1"/>
  <c r="V40" i="1"/>
  <c r="O19" i="1"/>
  <c r="M19" i="1"/>
  <c r="M20" i="1"/>
  <c r="O20" i="1"/>
  <c r="O21" i="1"/>
  <c r="M21" i="1"/>
  <c r="M22" i="1"/>
  <c r="O22" i="1"/>
  <c r="O23" i="1"/>
  <c r="M23" i="1"/>
  <c r="M24" i="1"/>
  <c r="O24" i="1"/>
  <c r="M25" i="1"/>
  <c r="O25" i="1"/>
  <c r="O26" i="1"/>
  <c r="M26" i="1"/>
  <c r="M27" i="1"/>
  <c r="O27" i="1"/>
  <c r="O28" i="1"/>
  <c r="M28" i="1"/>
  <c r="M29" i="1"/>
  <c r="O29" i="1"/>
  <c r="O30" i="1"/>
  <c r="M30" i="1"/>
  <c r="M31" i="1"/>
  <c r="O31" i="1"/>
  <c r="O32" i="1"/>
  <c r="M32" i="1"/>
  <c r="O17" i="1"/>
  <c r="M17" i="1"/>
  <c r="M33" i="1"/>
  <c r="O33" i="1"/>
  <c r="O34" i="1"/>
  <c r="M34" i="1"/>
  <c r="M35" i="1"/>
  <c r="O35" i="1"/>
  <c r="M36" i="1"/>
  <c r="O36" i="1"/>
  <c r="O37" i="1"/>
  <c r="M37" i="1"/>
  <c r="M38" i="1"/>
  <c r="O38" i="1"/>
  <c r="M39" i="1"/>
  <c r="O39" i="1"/>
  <c r="O40" i="1"/>
  <c r="M40" i="1"/>
  <c r="M41" i="1"/>
  <c r="O41" i="1"/>
  <c r="U43" i="1" l="1"/>
  <c r="T4" i="1" l="1"/>
  <c r="R4" i="1"/>
  <c r="Q4" i="1"/>
  <c r="S4" i="1"/>
  <c r="J2" i="1"/>
  <c r="N5" i="1"/>
  <c r="P42" i="1" s="1"/>
  <c r="U42" i="1" s="1"/>
  <c r="K1" i="1" l="1"/>
  <c r="L1" i="1" s="1"/>
  <c r="S5" i="1"/>
  <c r="S6" i="1" s="1"/>
  <c r="U6" i="1" s="1"/>
  <c r="Q5" i="1"/>
  <c r="Q6" i="1" s="1"/>
  <c r="S30" i="1" l="1"/>
  <c r="S11" i="1"/>
  <c r="S10" i="1" s="1"/>
  <c r="S34" i="1"/>
  <c r="U34" i="1" s="1"/>
  <c r="R23" i="1"/>
  <c r="T21" i="1"/>
  <c r="T11" i="1"/>
  <c r="T10" i="1" s="1"/>
  <c r="T29" i="1"/>
  <c r="Q22" i="1"/>
  <c r="Q38" i="1"/>
  <c r="S28" i="1"/>
  <c r="U28" i="1" s="1"/>
  <c r="R14" i="1"/>
  <c r="Q26" i="1"/>
  <c r="Q30" i="1"/>
  <c r="T19" i="1"/>
  <c r="T34" i="1"/>
  <c r="R13" i="1"/>
  <c r="U13" i="1" s="1"/>
  <c r="Q13" i="1"/>
  <c r="T33" i="1"/>
  <c r="S40" i="1"/>
  <c r="U40" i="1" s="1"/>
  <c r="R11" i="1"/>
  <c r="S16" i="1"/>
  <c r="T17" i="1"/>
  <c r="T26" i="1"/>
  <c r="Q35" i="1"/>
  <c r="U35" i="1" s="1"/>
  <c r="S13" i="1"/>
  <c r="R38" i="1"/>
  <c r="Q19" i="1"/>
  <c r="Q40" i="1"/>
  <c r="T22" i="1"/>
  <c r="S39" i="1"/>
  <c r="U39" i="1" s="1"/>
  <c r="T16" i="1"/>
  <c r="Q27" i="1"/>
  <c r="U27" i="1" s="1"/>
  <c r="T24" i="1"/>
  <c r="T20" i="1"/>
  <c r="Q33" i="1"/>
  <c r="R21" i="1"/>
  <c r="T36" i="1"/>
  <c r="R37" i="1"/>
  <c r="R33" i="1"/>
  <c r="R22" i="1"/>
  <c r="S37" i="1"/>
  <c r="Q11" i="1"/>
  <c r="U11" i="1" s="1"/>
  <c r="Q25" i="1"/>
  <c r="R27" i="1"/>
  <c r="R31" i="1"/>
  <c r="T35" i="1"/>
  <c r="S21" i="1"/>
  <c r="Q32" i="1"/>
  <c r="U32" i="1" s="1"/>
  <c r="S20" i="1"/>
  <c r="T39" i="1"/>
  <c r="T15" i="1"/>
  <c r="R12" i="1"/>
  <c r="T31" i="1"/>
  <c r="T40" i="1"/>
  <c r="Q23" i="1"/>
  <c r="S22" i="1"/>
  <c r="Q14" i="1"/>
  <c r="S25" i="1"/>
  <c r="R34" i="1"/>
  <c r="Q31" i="1"/>
  <c r="R40" i="1"/>
  <c r="Q17" i="1"/>
  <c r="U17" i="1" s="1"/>
  <c r="R17" i="1"/>
  <c r="T18" i="1"/>
  <c r="S18" i="1"/>
  <c r="S15" i="1"/>
  <c r="Q24" i="1"/>
  <c r="T13" i="1"/>
  <c r="T14" i="1"/>
  <c r="S12" i="1"/>
  <c r="R29" i="1"/>
  <c r="T12" i="1"/>
  <c r="T32" i="1"/>
  <c r="Q18" i="1"/>
  <c r="Q12" i="1"/>
  <c r="Q10" i="1" s="1"/>
  <c r="S33" i="1"/>
  <c r="S29" i="1"/>
  <c r="T38" i="1"/>
  <c r="T25" i="1"/>
  <c r="R20" i="1"/>
  <c r="U20" i="1" s="1"/>
  <c r="S38" i="1"/>
  <c r="Q16" i="1"/>
  <c r="U16" i="1" s="1"/>
  <c r="S27" i="1"/>
  <c r="S36" i="1"/>
  <c r="T28" i="1"/>
  <c r="S17" i="1"/>
  <c r="T27" i="1"/>
  <c r="R32" i="1"/>
  <c r="Q39" i="1"/>
  <c r="Q20" i="1"/>
  <c r="R35" i="1"/>
  <c r="R30" i="1"/>
  <c r="Q15" i="1"/>
  <c r="R18" i="1"/>
  <c r="U18" i="1" s="1"/>
  <c r="S19" i="1"/>
  <c r="U19" i="1" s="1"/>
  <c r="R19" i="1"/>
  <c r="Q34" i="1"/>
  <c r="T37" i="1"/>
  <c r="S14" i="1"/>
  <c r="U14" i="1" s="1"/>
  <c r="S31" i="1"/>
  <c r="R36" i="1"/>
  <c r="S23" i="1"/>
  <c r="Q21" i="1"/>
  <c r="U21" i="1" s="1"/>
  <c r="T30" i="1"/>
  <c r="U30" i="1" s="1"/>
  <c r="Q28" i="1"/>
  <c r="T23" i="1"/>
  <c r="Q37" i="1"/>
  <c r="S24" i="1"/>
  <c r="S32" i="1"/>
  <c r="R16" i="1"/>
  <c r="Q36" i="1"/>
  <c r="U36" i="1" s="1"/>
  <c r="S26" i="1"/>
  <c r="U26" i="1" s="1"/>
  <c r="R26" i="1"/>
  <c r="R39" i="1"/>
  <c r="Q29" i="1"/>
  <c r="R28" i="1"/>
  <c r="S35" i="1"/>
  <c r="R15" i="1"/>
  <c r="U15" i="1" s="1"/>
  <c r="R24" i="1"/>
  <c r="R25" i="1"/>
  <c r="U25" i="1" s="1"/>
  <c r="U38" i="1"/>
  <c r="U22" i="1"/>
  <c r="U23" i="1"/>
  <c r="U31" i="1"/>
  <c r="U29" i="1"/>
  <c r="U24" i="1"/>
  <c r="U37" i="1"/>
  <c r="U33" i="1"/>
  <c r="R8" i="1" l="1"/>
  <c r="U12" i="1"/>
  <c r="R10" i="1"/>
  <c r="T8" i="1"/>
  <c r="D26" i="2"/>
  <c r="E5" i="2"/>
  <c r="U9" i="1"/>
  <c r="E10" i="2" l="1"/>
  <c r="H42" i="2"/>
</calcChain>
</file>

<file path=xl/comments1.xml><?xml version="1.0" encoding="utf-8"?>
<comments xmlns="http://schemas.openxmlformats.org/spreadsheetml/2006/main">
  <authors>
    <author>Jean-Charles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noter le montant a la cloture de l'année précédente</t>
        </r>
      </text>
    </comment>
    <comment ref="P3" authorId="0" shapeId="0">
      <text>
        <r>
          <rPr>
            <sz val="9"/>
            <color indexed="81"/>
            <rFont val="Tahoma"/>
            <family val="2"/>
          </rPr>
          <t>année précedente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année encour</t>
        </r>
      </text>
    </comment>
    <comment ref="A6" authorId="0" shapeId="0">
      <text>
        <r>
          <rPr>
            <sz val="9"/>
            <color indexed="81"/>
            <rFont val="Tahoma"/>
            <family val="2"/>
          </rPr>
          <t xml:space="preserve">N° de ligne de la 1er opération de l'année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changer le n° de ligne a chaque formule de la colonne C jusqu’à N
et tirer les formules
de A a N vers le bas</t>
        </r>
      </text>
    </comment>
    <comment ref="P42" authorId="0" shapeId="0">
      <text>
        <r>
          <rPr>
            <b/>
            <sz val="9"/>
            <color indexed="81"/>
            <rFont val="Tahoma"/>
            <family val="2"/>
          </rPr>
          <t>+N5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B13" authorId="0" shapeId="0">
      <text>
        <r>
          <rPr>
            <b/>
            <sz val="9"/>
            <color indexed="81"/>
            <rFont val="Tahoma"/>
            <family val="2"/>
          </rPr>
          <t>Rue du Onze Novembre, 73
   Horion-Hozémont</t>
        </r>
      </text>
    </comment>
  </commentList>
</comments>
</file>

<file path=xl/sharedStrings.xml><?xml version="1.0" encoding="utf-8"?>
<sst xmlns="http://schemas.openxmlformats.org/spreadsheetml/2006/main" count="97" uniqueCount="80">
  <si>
    <t>Journal</t>
  </si>
  <si>
    <t>caisse</t>
  </si>
  <si>
    <t>Banque</t>
  </si>
  <si>
    <t>cloture 2022</t>
  </si>
  <si>
    <t>entrée</t>
  </si>
  <si>
    <t>sortie</t>
  </si>
  <si>
    <t>Prêt</t>
  </si>
  <si>
    <t>cloture 2021</t>
  </si>
  <si>
    <t xml:space="preserve"> cloture 2021</t>
  </si>
  <si>
    <t>N°</t>
  </si>
  <si>
    <t>Caisse</t>
  </si>
  <si>
    <t>Km</t>
  </si>
  <si>
    <t>*22</t>
  </si>
  <si>
    <t>Date</t>
  </si>
  <si>
    <t>pièce</t>
  </si>
  <si>
    <t>Tiers</t>
  </si>
  <si>
    <t>Libellé</t>
  </si>
  <si>
    <t>rubriques</t>
  </si>
  <si>
    <t>cloture année</t>
  </si>
  <si>
    <t>Total=&gt;</t>
  </si>
  <si>
    <t>banque</t>
  </si>
  <si>
    <t>lien extérieur rubrique</t>
  </si>
  <si>
    <t>entrées</t>
  </si>
  <si>
    <t>sorties</t>
  </si>
  <si>
    <t xml:space="preserve"> rubrique</t>
  </si>
  <si>
    <t>balance</t>
  </si>
  <si>
    <t>code</t>
  </si>
  <si>
    <t>F14</t>
  </si>
  <si>
    <t>taxes</t>
  </si>
  <si>
    <t>taux</t>
  </si>
  <si>
    <t>montant</t>
  </si>
  <si>
    <t>(Voir Trajet)</t>
  </si>
  <si>
    <t>F15</t>
  </si>
  <si>
    <t>lessive</t>
  </si>
  <si>
    <t>cout reel (voir cout lessive)</t>
  </si>
  <si>
    <t>clôturé</t>
  </si>
  <si>
    <t>R1</t>
  </si>
  <si>
    <t xml:space="preserve">Suivant livre de recettes </t>
  </si>
  <si>
    <t>F01</t>
  </si>
  <si>
    <t>Frais locatifs (enregistrement bail, petits aménagements, entretiens…)</t>
  </si>
  <si>
    <t>F02</t>
  </si>
  <si>
    <t xml:space="preserve">Charges locatives (électricité, chauffage, eau) </t>
  </si>
  <si>
    <t>F03</t>
  </si>
  <si>
    <r>
      <rPr>
        <sz val="10"/>
        <color rgb="FFFF0000"/>
        <rFont val="Arial"/>
        <family val="2"/>
      </rPr>
      <t>2022</t>
    </r>
    <r>
      <rPr>
        <sz val="10"/>
        <color theme="1"/>
        <rFont val="Arial"/>
        <family val="2"/>
      </rPr>
      <t xml:space="preserve"> fait référence a une feuille (onglet)</t>
    </r>
  </si>
  <si>
    <t>F04</t>
  </si>
  <si>
    <t>Inscription / Frais d'adhésion / cotisations</t>
  </si>
  <si>
    <t>Est-il possible que cet élément de la formule soit repris d'une référence fixe dans la feuille</t>
  </si>
  <si>
    <t>F05</t>
  </si>
  <si>
    <t>Assurance RC professionnelle</t>
  </si>
  <si>
    <t>Afin que quand je fais glisser ma formule elle s'adapte?</t>
  </si>
  <si>
    <t>F06</t>
  </si>
  <si>
    <t>Formations-conférences</t>
  </si>
  <si>
    <t>F07</t>
  </si>
  <si>
    <t>Frais publicitaires</t>
  </si>
  <si>
    <t>F08</t>
  </si>
  <si>
    <t>Frais de téléphone</t>
  </si>
  <si>
    <t>F09</t>
  </si>
  <si>
    <t>Petit mobilier, matériel de bureau,consomable</t>
  </si>
  <si>
    <t>Forfait frais de bureau 2020</t>
  </si>
  <si>
    <t>(Administratif)</t>
  </si>
  <si>
    <t>F10</t>
  </si>
  <si>
    <t>Petit matériel de travail</t>
  </si>
  <si>
    <t>F11</t>
  </si>
  <si>
    <t>Frais de parking</t>
  </si>
  <si>
    <t>F12</t>
  </si>
  <si>
    <t>Cadeaux :</t>
  </si>
  <si>
    <t>F13</t>
  </si>
  <si>
    <t xml:space="preserve">Frais de restaurants :  </t>
  </si>
  <si>
    <t>frais lessive</t>
  </si>
  <si>
    <t>Frais de voiture (Km)</t>
  </si>
  <si>
    <t>F16</t>
  </si>
  <si>
    <t>Frais bancaires</t>
  </si>
  <si>
    <t>F17</t>
  </si>
  <si>
    <t>Frais de vêtements</t>
  </si>
  <si>
    <t>F18</t>
  </si>
  <si>
    <t>CS</t>
  </si>
  <si>
    <t>COTISATIONS SOCIALES - code 2656</t>
  </si>
  <si>
    <t>E11 =&gt;</t>
  </si>
  <si>
    <r>
      <t>dans cet exemple</t>
    </r>
    <r>
      <rPr>
        <sz val="10"/>
        <color rgb="FFFF0000"/>
        <rFont val="Arial"/>
        <family val="2"/>
      </rPr>
      <t xml:space="preserve"> E2</t>
    </r>
  </si>
  <si>
    <r>
      <t>=SI(A11&lt;&gt;"";-SOMME.SI('</t>
    </r>
    <r>
      <rPr>
        <sz val="10"/>
        <color rgb="FFFF0000"/>
        <rFont val="Arial"/>
        <family val="2"/>
      </rPr>
      <t>2022</t>
    </r>
    <r>
      <rPr>
        <sz val="10"/>
        <color theme="1"/>
        <rFont val="Arial"/>
        <family val="2"/>
      </rPr>
      <t>'!$V$11:$V$43;'expl 2022'!$A11;'</t>
    </r>
    <r>
      <rPr>
        <sz val="10"/>
        <color rgb="FFFF0000"/>
        <rFont val="Arial"/>
        <family val="2"/>
      </rPr>
      <t>2022</t>
    </r>
    <r>
      <rPr>
        <sz val="10"/>
        <color theme="1"/>
        <rFont val="Arial"/>
        <family val="2"/>
      </rPr>
      <t>'!$U$11:$U$43);".")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</si>
</sst>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€_-;\-* #,##0.00\ _€_-;_-* &quot;-&quot;??\ _€_-;_-@_-"/>
    <numFmt numFmtId="164" formatCode="_-* #,##0\ _€_-;\-* #,##0\ _€_-;_-* &quot;-&quot;??\ _€_-;_-@_-"/>
    <numFmt numFmtId="165" formatCode="0.0000"/>
    <numFmt numFmtId="166" formatCode="d/m/yy;@"/>
    <numFmt numFmtId="167" formatCode="\+#,##0.00\ ;[Red]\-#,##0.00"/>
    <numFmt numFmtId="168" formatCode="0.00000"/>
    <numFmt numFmtId="169" formatCode="0.000"/>
    <numFmt numFmtId="170" formatCode="0.0000\ &quot;€&quot;"/>
    <numFmt numFmtId="171" formatCode="General&quot; mois&quot;"/>
    <numFmt numFmtId="172" formatCode="0.0"/>
    <numFmt numFmtId="173" formatCode="00&quot; ml&quot;"/>
    <numFmt numFmtId="174" formatCode="0.00&quot; L&quot;"/>
    <numFmt numFmtId="175" formatCode="0.00\ &quot;€&quot;"/>
    <numFmt numFmtId="176" formatCode="0.0&quot; L&quot;"/>
    <numFmt numFmtId="177" formatCode="00.0&quot; ml&quot;"/>
    <numFmt numFmtId="178" formatCode="0.000&quot; L&quot;"/>
    <numFmt numFmtId="179" formatCode="0.000&quot; Kg&quot;"/>
    <numFmt numFmtId="180" formatCode="0\ &quot;€&quot;"/>
    <numFmt numFmtId="181" formatCode="0.00&quot; KgL&quot;"/>
    <numFmt numFmtId="182" formatCode="00&quot; gr&quot;"/>
    <numFmt numFmtId="183" formatCode="0.000\ &quot;€&quot;"/>
    <numFmt numFmtId="184" formatCode="0&quot; L&quot;"/>
    <numFmt numFmtId="185" formatCode="General\ &quot;mois&quot;"/>
    <numFmt numFmtId="186" formatCode="_ * #,##0.00_ ;_ * \-#,##0.00_ ;_ * &quot;-&quot;??_ ;_ @_ "/>
    <numFmt numFmtId="187" formatCode="#,##0;[Red]\-#,##0"/>
  </numFmts>
  <fonts count="4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rgb="FF00B0F0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12"/>
      <color theme="1"/>
      <name val="Times New Roman"/>
      <family val="1"/>
    </font>
    <font>
      <sz val="9"/>
      <color rgb="FF000000"/>
      <name val="Arial"/>
      <family val="2"/>
    </font>
    <font>
      <b/>
      <sz val="8"/>
      <name val="Segoe UI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u/>
      <sz val="10"/>
      <color theme="10"/>
      <name val="Arial"/>
      <family val="2"/>
    </font>
    <font>
      <sz val="9"/>
      <name val="Arial"/>
      <family val="2"/>
    </font>
    <font>
      <b/>
      <sz val="10"/>
      <color theme="6"/>
      <name val="Arial"/>
      <family val="2"/>
    </font>
    <font>
      <sz val="9"/>
      <color theme="0" tint="-0.49998474074526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b/>
      <sz val="8"/>
      <color rgb="FFC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i/>
      <sz val="10"/>
      <color theme="0" tint="-0.34998626667073579"/>
      <name val="Arial"/>
      <family val="2"/>
    </font>
    <font>
      <b/>
      <i/>
      <sz val="10"/>
      <name val="Arial"/>
      <family val="2"/>
    </font>
    <font>
      <i/>
      <sz val="10"/>
      <color theme="1" tint="0.499984740745262"/>
      <name val="Arial"/>
      <family val="2"/>
    </font>
    <font>
      <i/>
      <sz val="8"/>
      <color theme="1" tint="0.499984740745262"/>
      <name val="Arial"/>
      <family val="2"/>
    </font>
    <font>
      <b/>
      <sz val="10"/>
      <color rgb="FF00B050"/>
      <name val="Arial"/>
      <family val="2"/>
    </font>
    <font>
      <b/>
      <i/>
      <sz val="10"/>
      <color theme="0" tint="-0.499984740745262"/>
      <name val="Arial"/>
      <family val="2"/>
    </font>
    <font>
      <i/>
      <sz val="10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1" fillId="0" borderId="0">
      <alignment vertical="center"/>
    </xf>
    <xf numFmtId="0" fontId="18" fillId="0" borderId="0" applyNumberFormat="0" applyFill="0" applyBorder="0" applyAlignment="0" applyProtection="0"/>
    <xf numFmtId="0" fontId="31" fillId="0" borderId="0"/>
    <xf numFmtId="186" fontId="31" fillId="0" borderId="0" applyFont="0" applyFill="0" applyBorder="0" applyAlignment="0" applyProtection="0"/>
    <xf numFmtId="0" fontId="11" fillId="0" borderId="0"/>
    <xf numFmtId="0" fontId="11" fillId="0" borderId="0"/>
  </cellStyleXfs>
  <cellXfs count="283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43" fontId="3" fillId="0" borderId="2" xfId="0" applyNumberFormat="1" applyFont="1" applyBorder="1" applyAlignment="1">
      <alignment horizontal="center" vertical="center"/>
    </xf>
    <xf numFmtId="43" fontId="0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2" borderId="0" xfId="0" applyFont="1" applyFill="1" applyAlignment="1">
      <alignment horizontal="right" vertical="center"/>
    </xf>
    <xf numFmtId="164" fontId="0" fillId="0" borderId="9" xfId="0" applyNumberFormat="1" applyFont="1" applyBorder="1" applyAlignment="1">
      <alignment horizontal="center" vertical="center"/>
    </xf>
    <xf numFmtId="43" fontId="0" fillId="0" borderId="9" xfId="0" applyNumberFormat="1" applyFont="1" applyBorder="1" applyAlignment="1">
      <alignment horizontal="center" vertical="center"/>
    </xf>
    <xf numFmtId="43" fontId="10" fillId="0" borderId="0" xfId="0" applyNumberFormat="1" applyFont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164" fontId="0" fillId="0" borderId="14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43" fontId="0" fillId="0" borderId="14" xfId="0" applyNumberFormat="1" applyFont="1" applyBorder="1" applyAlignment="1">
      <alignment horizontal="center" vertical="center"/>
    </xf>
    <xf numFmtId="43" fontId="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2" borderId="10" xfId="0" applyFont="1" applyFill="1" applyBorder="1" applyAlignment="1">
      <alignment horizontal="right" vertical="center"/>
    </xf>
    <xf numFmtId="2" fontId="6" fillId="0" borderId="15" xfId="0" quotePrefix="1" applyNumberFormat="1" applyFont="1" applyBorder="1" applyAlignment="1">
      <alignment vertical="center"/>
    </xf>
    <xf numFmtId="2" fontId="6" fillId="0" borderId="16" xfId="0" quotePrefix="1" applyNumberFormat="1" applyFont="1" applyBorder="1" applyAlignment="1">
      <alignment vertical="center"/>
    </xf>
    <xf numFmtId="2" fontId="6" fillId="0" borderId="15" xfId="0" applyNumberFormat="1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3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2" fontId="14" fillId="0" borderId="21" xfId="1" quotePrefix="1" applyNumberFormat="1" applyFont="1" applyBorder="1" applyAlignment="1">
      <alignment vertical="center" wrapText="1"/>
    </xf>
    <xf numFmtId="2" fontId="14" fillId="0" borderId="22" xfId="1" quotePrefix="1" applyNumberFormat="1" applyFont="1" applyBorder="1" applyAlignment="1">
      <alignment vertical="center" wrapText="1"/>
    </xf>
    <xf numFmtId="2" fontId="14" fillId="0" borderId="23" xfId="1" quotePrefix="1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3" borderId="8" xfId="0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2" fontId="6" fillId="0" borderId="8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6" fillId="3" borderId="17" xfId="1" applyFont="1" applyFill="1" applyBorder="1" applyAlignment="1">
      <alignment vertical="center" wrapText="1"/>
    </xf>
    <xf numFmtId="0" fontId="7" fillId="0" borderId="0" xfId="0" applyFont="1" applyBorder="1"/>
    <xf numFmtId="2" fontId="3" fillId="0" borderId="8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2" fontId="3" fillId="0" borderId="8" xfId="0" applyNumberFormat="1" applyFont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166" fontId="16" fillId="3" borderId="24" xfId="1" applyNumberFormat="1" applyFont="1" applyFill="1" applyBorder="1" applyAlignment="1">
      <alignment vertical="center" wrapText="1"/>
    </xf>
    <xf numFmtId="0" fontId="16" fillId="3" borderId="17" xfId="1" applyNumberFormat="1" applyFont="1" applyFill="1" applyBorder="1" applyAlignment="1">
      <alignment vertical="center" wrapText="1"/>
    </xf>
    <xf numFmtId="166" fontId="16" fillId="3" borderId="17" xfId="1" applyNumberFormat="1" applyFont="1" applyFill="1" applyBorder="1" applyAlignment="1">
      <alignment vertical="center" wrapText="1"/>
    </xf>
    <xf numFmtId="17" fontId="16" fillId="3" borderId="17" xfId="1" applyNumberFormat="1" applyFont="1" applyFill="1" applyBorder="1" applyAlignment="1">
      <alignment vertical="center" wrapText="1"/>
    </xf>
    <xf numFmtId="0" fontId="1" fillId="3" borderId="17" xfId="0" quotePrefix="1" applyFont="1" applyFill="1" applyBorder="1" applyAlignment="1">
      <alignment horizontal="left" vertical="center"/>
    </xf>
    <xf numFmtId="17" fontId="19" fillId="0" borderId="3" xfId="1" applyNumberFormat="1" applyFont="1" applyBorder="1" applyAlignment="1">
      <alignment horizontal="center" vertical="center" wrapText="1"/>
    </xf>
    <xf numFmtId="0" fontId="17" fillId="0" borderId="4" xfId="1" applyFont="1" applyBorder="1" applyAlignment="1">
      <alignment vertical="center"/>
    </xf>
    <xf numFmtId="0" fontId="6" fillId="0" borderId="8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2" fontId="6" fillId="0" borderId="8" xfId="0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67" fontId="7" fillId="0" borderId="3" xfId="0" applyNumberFormat="1" applyFont="1" applyBorder="1" applyAlignment="1">
      <alignment vertical="center"/>
    </xf>
    <xf numFmtId="165" fontId="7" fillId="0" borderId="0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19" fillId="0" borderId="9" xfId="1" applyFont="1" applyBorder="1" applyAlignment="1">
      <alignment horizontal="center" vertical="center"/>
    </xf>
    <xf numFmtId="17" fontId="19" fillId="0" borderId="17" xfId="1" quotePrefix="1" applyNumberFormat="1" applyFont="1" applyBorder="1" applyAlignment="1">
      <alignment vertical="center" wrapText="1"/>
    </xf>
    <xf numFmtId="0" fontId="19" fillId="0" borderId="17" xfId="1" quotePrefix="1" applyFont="1" applyBorder="1" applyAlignment="1">
      <alignment vertical="center" wrapText="1"/>
    </xf>
    <xf numFmtId="0" fontId="19" fillId="3" borderId="26" xfId="0" applyFont="1" applyFill="1" applyBorder="1" applyAlignment="1">
      <alignment vertical="center"/>
    </xf>
    <xf numFmtId="169" fontId="2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9" fontId="7" fillId="0" borderId="0" xfId="0" applyNumberFormat="1" applyFont="1" applyBorder="1" applyAlignment="1">
      <alignment horizontal="center" vertical="center"/>
    </xf>
    <xf numFmtId="2" fontId="0" fillId="0" borderId="0" xfId="0" applyNumberFormat="1" applyBorder="1"/>
    <xf numFmtId="1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8" fontId="6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19" fillId="0" borderId="8" xfId="1" quotePrefix="1" applyFont="1" applyBorder="1" applyAlignment="1">
      <alignment vertical="center" wrapText="1"/>
    </xf>
    <xf numFmtId="0" fontId="26" fillId="0" borderId="0" xfId="0" quotePrefix="1" applyFont="1" applyAlignment="1">
      <alignment horizontal="center" vertical="center"/>
    </xf>
    <xf numFmtId="0" fontId="19" fillId="3" borderId="6" xfId="1" quotePrefix="1" applyFont="1" applyFill="1" applyBorder="1" applyAlignment="1">
      <alignment vertical="center" wrapText="1"/>
    </xf>
    <xf numFmtId="0" fontId="19" fillId="0" borderId="24" xfId="1" quotePrefix="1" applyFont="1" applyBorder="1" applyAlignment="1">
      <alignment horizontal="center" vertical="center" wrapText="1"/>
    </xf>
    <xf numFmtId="0" fontId="19" fillId="0" borderId="24" xfId="1" quotePrefix="1" applyFont="1" applyBorder="1" applyAlignment="1">
      <alignment vertical="center" wrapText="1"/>
    </xf>
    <xf numFmtId="0" fontId="0" fillId="0" borderId="26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8" xfId="0" applyBorder="1" applyAlignment="1">
      <alignment vertical="center"/>
    </xf>
    <xf numFmtId="0" fontId="11" fillId="0" borderId="29" xfId="0" applyFont="1" applyBorder="1" applyAlignment="1">
      <alignment vertical="center"/>
    </xf>
    <xf numFmtId="0" fontId="19" fillId="0" borderId="30" xfId="1" quotePrefix="1" applyFont="1" applyBorder="1" applyAlignment="1">
      <alignment vertical="center" wrapText="1"/>
    </xf>
    <xf numFmtId="2" fontId="19" fillId="3" borderId="29" xfId="0" quotePrefix="1" applyNumberFormat="1" applyFont="1" applyFill="1" applyBorder="1" applyAlignment="1">
      <alignment vertical="center"/>
    </xf>
    <xf numFmtId="177" fontId="7" fillId="0" borderId="0" xfId="0" applyNumberFormat="1" applyFont="1" applyBorder="1" applyAlignment="1">
      <alignment horizontal="center" vertical="center"/>
    </xf>
    <xf numFmtId="174" fontId="7" fillId="0" borderId="0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170" fontId="7" fillId="0" borderId="0" xfId="0" applyNumberFormat="1" applyFont="1" applyBorder="1" applyAlignment="1">
      <alignment horizontal="center" vertical="center"/>
    </xf>
    <xf numFmtId="179" fontId="7" fillId="0" borderId="0" xfId="0" applyNumberFormat="1" applyFont="1" applyBorder="1" applyAlignment="1">
      <alignment horizontal="center" vertical="center"/>
    </xf>
    <xf numFmtId="175" fontId="28" fillId="0" borderId="0" xfId="0" applyNumberFormat="1" applyFont="1" applyBorder="1" applyAlignment="1">
      <alignment horizontal="center" vertical="center"/>
    </xf>
    <xf numFmtId="182" fontId="7" fillId="0" borderId="0" xfId="0" applyNumberFormat="1" applyFont="1" applyBorder="1" applyAlignment="1">
      <alignment horizontal="center" vertical="center"/>
    </xf>
    <xf numFmtId="0" fontId="1" fillId="0" borderId="0" xfId="3" applyFont="1"/>
    <xf numFmtId="0" fontId="0" fillId="0" borderId="0" xfId="3" applyFont="1" applyAlignment="1">
      <alignment horizontal="right" vertical="center"/>
    </xf>
    <xf numFmtId="14" fontId="11" fillId="0" borderId="8" xfId="3" applyNumberFormat="1" applyFont="1" applyBorder="1" applyAlignment="1">
      <alignment horizontal="center" vertical="center"/>
    </xf>
    <xf numFmtId="0" fontId="32" fillId="0" borderId="0" xfId="3" applyFont="1"/>
    <xf numFmtId="185" fontId="1" fillId="0" borderId="8" xfId="0" applyNumberFormat="1" applyFont="1" applyBorder="1" applyAlignment="1">
      <alignment horizontal="center" vertical="center"/>
    </xf>
    <xf numFmtId="0" fontId="33" fillId="0" borderId="0" xfId="3" applyFont="1"/>
    <xf numFmtId="1" fontId="33" fillId="0" borderId="0" xfId="3" applyNumberFormat="1" applyFont="1"/>
    <xf numFmtId="0" fontId="34" fillId="0" borderId="6" xfId="3" applyFont="1" applyBorder="1"/>
    <xf numFmtId="0" fontId="1" fillId="0" borderId="25" xfId="3" applyFont="1" applyBorder="1"/>
    <xf numFmtId="0" fontId="1" fillId="0" borderId="13" xfId="3" applyFont="1" applyBorder="1"/>
    <xf numFmtId="186" fontId="27" fillId="0" borderId="17" xfId="4" applyFont="1" applyBorder="1"/>
    <xf numFmtId="0" fontId="11" fillId="0" borderId="26" xfId="3" applyFont="1" applyBorder="1"/>
    <xf numFmtId="186" fontId="11" fillId="0" borderId="17" xfId="4" quotePrefix="1" applyFont="1" applyFill="1" applyBorder="1"/>
    <xf numFmtId="186" fontId="2" fillId="0" borderId="17" xfId="4" quotePrefix="1" applyFont="1" applyFill="1" applyBorder="1"/>
    <xf numFmtId="0" fontId="0" fillId="0" borderId="0" xfId="3" quotePrefix="1" applyFont="1"/>
    <xf numFmtId="0" fontId="11" fillId="0" borderId="26" xfId="0" applyFont="1" applyBorder="1" applyAlignment="1">
      <alignment horizontal="left" vertical="center" wrapText="1"/>
    </xf>
    <xf numFmtId="0" fontId="34" fillId="0" borderId="6" xfId="3" applyFont="1" applyBorder="1" applyAlignment="1">
      <alignment vertical="center"/>
    </xf>
    <xf numFmtId="0" fontId="34" fillId="0" borderId="25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6" fontId="27" fillId="0" borderId="8" xfId="4" applyFont="1" applyBorder="1" applyAlignment="1">
      <alignment vertical="center"/>
    </xf>
    <xf numFmtId="0" fontId="1" fillId="0" borderId="0" xfId="3" applyFont="1" applyAlignment="1">
      <alignment vertical="center"/>
    </xf>
    <xf numFmtId="186" fontId="11" fillId="0" borderId="24" xfId="4" quotePrefix="1" applyFont="1" applyFill="1" applyBorder="1"/>
    <xf numFmtId="0" fontId="0" fillId="0" borderId="0" xfId="3" applyFont="1"/>
    <xf numFmtId="0" fontId="11" fillId="0" borderId="0" xfId="3" applyFont="1" applyBorder="1"/>
    <xf numFmtId="0" fontId="11" fillId="0" borderId="0" xfId="0" applyFont="1" applyBorder="1" applyAlignment="1">
      <alignment horizontal="left" vertical="center" wrapText="1"/>
    </xf>
    <xf numFmtId="0" fontId="11" fillId="0" borderId="26" xfId="3" applyFont="1" applyBorder="1" applyAlignment="1">
      <alignment wrapText="1"/>
    </xf>
    <xf numFmtId="0" fontId="11" fillId="0" borderId="31" xfId="0" applyFont="1" applyBorder="1" applyAlignment="1">
      <alignment horizontal="left" vertical="center" wrapText="1"/>
    </xf>
    <xf numFmtId="0" fontId="11" fillId="0" borderId="31" xfId="3" applyFont="1" applyBorder="1"/>
    <xf numFmtId="0" fontId="11" fillId="0" borderId="15" xfId="0" applyFont="1" applyBorder="1" applyAlignment="1">
      <alignment horizontal="left" vertical="center" wrapText="1"/>
    </xf>
    <xf numFmtId="0" fontId="35" fillId="0" borderId="32" xfId="3" applyFont="1" applyBorder="1"/>
    <xf numFmtId="0" fontId="11" fillId="0" borderId="32" xfId="3" applyFont="1" applyBorder="1"/>
    <xf numFmtId="0" fontId="11" fillId="0" borderId="32" xfId="0" applyFont="1" applyBorder="1" applyAlignment="1">
      <alignment horizontal="left" vertical="center" wrapText="1"/>
    </xf>
    <xf numFmtId="186" fontId="11" fillId="0" borderId="18" xfId="4" quotePrefix="1" applyFont="1" applyFill="1" applyBorder="1"/>
    <xf numFmtId="0" fontId="11" fillId="0" borderId="33" xfId="0" applyFont="1" applyBorder="1" applyAlignment="1">
      <alignment horizontal="left" vertical="center" wrapText="1"/>
    </xf>
    <xf numFmtId="0" fontId="36" fillId="0" borderId="26" xfId="3" applyFont="1" applyBorder="1"/>
    <xf numFmtId="186" fontId="11" fillId="0" borderId="19" xfId="4" quotePrefix="1" applyFont="1" applyFill="1" applyBorder="1"/>
    <xf numFmtId="0" fontId="11" fillId="0" borderId="34" xfId="0" applyFont="1" applyBorder="1" applyAlignment="1">
      <alignment horizontal="left" vertical="center" wrapText="1"/>
    </xf>
    <xf numFmtId="0" fontId="35" fillId="0" borderId="35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186" fontId="11" fillId="0" borderId="27" xfId="4" quotePrefix="1" applyFont="1" applyFill="1" applyBorder="1"/>
    <xf numFmtId="0" fontId="11" fillId="0" borderId="30" xfId="0" applyFont="1" applyBorder="1" applyAlignment="1">
      <alignment horizontal="left" vertical="center" wrapText="1"/>
    </xf>
    <xf numFmtId="0" fontId="11" fillId="0" borderId="30" xfId="3" applyFont="1" applyBorder="1"/>
    <xf numFmtId="0" fontId="27" fillId="0" borderId="26" xfId="0" applyFont="1" applyBorder="1" applyAlignment="1">
      <alignment horizontal="left" vertical="center" wrapText="1"/>
    </xf>
    <xf numFmtId="2" fontId="11" fillId="0" borderId="26" xfId="3" applyNumberFormat="1" applyFont="1" applyBorder="1" applyAlignment="1">
      <alignment horizontal="center"/>
    </xf>
    <xf numFmtId="186" fontId="1" fillId="0" borderId="0" xfId="3" applyNumberFormat="1" applyFont="1"/>
    <xf numFmtId="0" fontId="37" fillId="0" borderId="26" xfId="0" applyFont="1" applyBorder="1" applyAlignment="1">
      <alignment horizontal="left" vertical="center" wrapText="1"/>
    </xf>
    <xf numFmtId="0" fontId="34" fillId="0" borderId="25" xfId="3" applyFont="1" applyBorder="1"/>
    <xf numFmtId="0" fontId="3" fillId="0" borderId="13" xfId="3" applyFont="1" applyBorder="1"/>
    <xf numFmtId="0" fontId="10" fillId="0" borderId="0" xfId="3" applyFont="1"/>
    <xf numFmtId="1" fontId="10" fillId="0" borderId="0" xfId="3" applyNumberFormat="1" applyFont="1"/>
    <xf numFmtId="166" fontId="16" fillId="3" borderId="0" xfId="1" applyNumberFormat="1" applyFont="1" applyFill="1" applyBorder="1" applyAlignment="1">
      <alignment vertical="center" wrapText="1"/>
    </xf>
    <xf numFmtId="17" fontId="16" fillId="3" borderId="0" xfId="1" applyNumberFormat="1" applyFont="1" applyFill="1" applyBorder="1" applyAlignment="1">
      <alignment vertical="center" wrapText="1"/>
    </xf>
    <xf numFmtId="0" fontId="16" fillId="3" borderId="0" xfId="1" applyNumberFormat="1" applyFont="1" applyFill="1" applyBorder="1" applyAlignment="1">
      <alignment vertical="center" wrapText="1"/>
    </xf>
    <xf numFmtId="0" fontId="10" fillId="0" borderId="0" xfId="3" applyFont="1" applyBorder="1"/>
    <xf numFmtId="0" fontId="1" fillId="0" borderId="0" xfId="3" applyFont="1" applyBorder="1"/>
    <xf numFmtId="0" fontId="10" fillId="0" borderId="0" xfId="3" applyFont="1" applyBorder="1" applyAlignment="1">
      <alignment horizontal="right"/>
    </xf>
    <xf numFmtId="0" fontId="38" fillId="0" borderId="0" xfId="3" applyFont="1" applyBorder="1" applyAlignment="1">
      <alignment horizontal="right"/>
    </xf>
    <xf numFmtId="43" fontId="38" fillId="0" borderId="0" xfId="3" applyNumberFormat="1" applyFont="1" applyBorder="1"/>
    <xf numFmtId="0" fontId="1" fillId="0" borderId="0" xfId="3" applyFont="1" applyBorder="1" applyAlignment="1">
      <alignment horizontal="right"/>
    </xf>
    <xf numFmtId="2" fontId="39" fillId="0" borderId="0" xfId="3" applyNumberFormat="1" applyFont="1" applyBorder="1"/>
    <xf numFmtId="10" fontId="10" fillId="0" borderId="0" xfId="3" applyNumberFormat="1" applyFont="1" applyBorder="1"/>
    <xf numFmtId="9" fontId="10" fillId="0" borderId="0" xfId="3" applyNumberFormat="1" applyFont="1" applyBorder="1"/>
    <xf numFmtId="185" fontId="1" fillId="0" borderId="0" xfId="3" applyNumberFormat="1" applyFont="1" applyBorder="1"/>
    <xf numFmtId="0" fontId="38" fillId="0" borderId="0" xfId="3" applyFont="1" applyBorder="1" applyAlignment="1">
      <alignment horizontal="left"/>
    </xf>
    <xf numFmtId="2" fontId="10" fillId="0" borderId="0" xfId="3" applyNumberFormat="1" applyFont="1" applyBorder="1"/>
    <xf numFmtId="186" fontId="10" fillId="0" borderId="0" xfId="4" quotePrefix="1" applyFont="1" applyFill="1" applyBorder="1"/>
    <xf numFmtId="187" fontId="10" fillId="0" borderId="0" xfId="3" quotePrefix="1" applyNumberFormat="1" applyFont="1" applyBorder="1"/>
    <xf numFmtId="187" fontId="10" fillId="0" borderId="0" xfId="3" applyNumberFormat="1" applyFont="1" applyBorder="1"/>
    <xf numFmtId="0" fontId="0" fillId="0" borderId="0" xfId="3" applyFont="1" applyBorder="1"/>
    <xf numFmtId="2" fontId="1" fillId="0" borderId="0" xfId="3" applyNumberFormat="1" applyFont="1" applyBorder="1"/>
    <xf numFmtId="0" fontId="20" fillId="0" borderId="4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3" borderId="26" xfId="0" applyFont="1" applyFill="1" applyBorder="1" applyAlignment="1">
      <alignment vertical="center"/>
    </xf>
    <xf numFmtId="0" fontId="0" fillId="3" borderId="26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17" fontId="0" fillId="0" borderId="0" xfId="0" applyNumberForma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0" fillId="3" borderId="0" xfId="0" applyFill="1" applyBorder="1" applyAlignment="1">
      <alignment vertical="center"/>
    </xf>
    <xf numFmtId="2" fontId="11" fillId="3" borderId="0" xfId="1" applyNumberFormat="1" applyFont="1" applyFill="1" applyBorder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165" fontId="12" fillId="4" borderId="0" xfId="0" applyNumberFormat="1" applyFont="1" applyFill="1" applyBorder="1" applyAlignment="1">
      <alignment horizontal="center" vertical="center"/>
    </xf>
    <xf numFmtId="9" fontId="0" fillId="0" borderId="0" xfId="0" applyNumberFormat="1" applyBorder="1" applyAlignment="1">
      <alignment vertical="center"/>
    </xf>
    <xf numFmtId="0" fontId="17" fillId="0" borderId="0" xfId="0" applyFont="1" applyBorder="1" applyAlignment="1">
      <alignment horizontal="center" vertical="center" wrapText="1"/>
    </xf>
    <xf numFmtId="0" fontId="18" fillId="0" borderId="0" xfId="2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168" fontId="12" fillId="3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165" fontId="1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169" fontId="9" fillId="0" borderId="0" xfId="0" applyNumberFormat="1" applyFont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right" vertical="center"/>
    </xf>
    <xf numFmtId="2" fontId="8" fillId="0" borderId="0" xfId="0" applyNumberFormat="1" applyFont="1" applyBorder="1" applyAlignment="1">
      <alignment horizontal="center" vertical="center"/>
    </xf>
    <xf numFmtId="171" fontId="7" fillId="3" borderId="0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2" fontId="25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172" fontId="7" fillId="0" borderId="0" xfId="0" applyNumberFormat="1" applyFont="1" applyBorder="1" applyAlignment="1">
      <alignment horizontal="center" vertical="center"/>
    </xf>
    <xf numFmtId="173" fontId="7" fillId="0" borderId="0" xfId="0" applyNumberFormat="1" applyFont="1" applyBorder="1" applyAlignment="1">
      <alignment horizontal="center" vertical="center"/>
    </xf>
    <xf numFmtId="175" fontId="7" fillId="0" borderId="0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8" fontId="7" fillId="0" borderId="0" xfId="0" applyNumberFormat="1" applyFont="1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180" fontId="28" fillId="0" borderId="0" xfId="0" applyNumberFormat="1" applyFont="1" applyBorder="1" applyAlignment="1">
      <alignment horizontal="center" vertical="center"/>
    </xf>
    <xf numFmtId="181" fontId="0" fillId="0" borderId="0" xfId="0" applyNumberFormat="1" applyBorder="1" applyAlignment="1">
      <alignment vertical="center"/>
    </xf>
    <xf numFmtId="183" fontId="12" fillId="0" borderId="0" xfId="0" applyNumberFormat="1" applyFont="1" applyBorder="1" applyAlignment="1">
      <alignment horizontal="center" vertical="center"/>
    </xf>
    <xf numFmtId="184" fontId="7" fillId="0" borderId="0" xfId="0" applyNumberFormat="1" applyFont="1" applyBorder="1" applyAlignment="1">
      <alignment horizontal="center" vertical="center"/>
    </xf>
    <xf numFmtId="184" fontId="0" fillId="0" borderId="0" xfId="0" applyNumberFormat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2" fontId="11" fillId="3" borderId="0" xfId="0" applyNumberFormat="1" applyFont="1" applyFill="1" applyBorder="1" applyAlignment="1">
      <alignment vertical="center"/>
    </xf>
    <xf numFmtId="17" fontId="0" fillId="3" borderId="0" xfId="0" applyNumberFormat="1" applyFill="1" applyBorder="1"/>
    <xf numFmtId="0" fontId="11" fillId="3" borderId="0" xfId="0" applyFont="1" applyFill="1" applyBorder="1" applyAlignment="1">
      <alignment vertical="center"/>
    </xf>
    <xf numFmtId="2" fontId="0" fillId="3" borderId="0" xfId="0" applyNumberFormat="1" applyFill="1" applyBorder="1" applyAlignment="1">
      <alignment vertical="center"/>
    </xf>
    <xf numFmtId="0" fontId="0" fillId="3" borderId="0" xfId="0" applyFill="1" applyBorder="1" applyAlignment="1">
      <alignment horizontal="right" vertical="center"/>
    </xf>
    <xf numFmtId="0" fontId="19" fillId="3" borderId="0" xfId="1" applyFont="1" applyFill="1" applyBorder="1" applyAlignment="1">
      <alignment vertical="center"/>
    </xf>
    <xf numFmtId="0" fontId="6" fillId="3" borderId="0" xfId="0" applyFont="1" applyFill="1" applyBorder="1" applyAlignment="1">
      <alignment horizontal="right" vertical="center"/>
    </xf>
    <xf numFmtId="2" fontId="21" fillId="3" borderId="0" xfId="0" applyNumberFormat="1" applyFont="1" applyFill="1" applyBorder="1" applyAlignment="1">
      <alignment vertical="center"/>
    </xf>
    <xf numFmtId="2" fontId="19" fillId="3" borderId="0" xfId="0" applyNumberFormat="1" applyFont="1" applyFill="1" applyBorder="1" applyAlignment="1">
      <alignment vertical="center"/>
    </xf>
    <xf numFmtId="0" fontId="19" fillId="3" borderId="0" xfId="1" applyFont="1" applyFill="1" applyBorder="1" applyAlignment="1">
      <alignment horizontal="center" vertical="center"/>
    </xf>
    <xf numFmtId="0" fontId="22" fillId="3" borderId="0" xfId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6" fillId="3" borderId="0" xfId="0" quotePrefix="1" applyFont="1" applyFill="1" applyBorder="1" applyAlignment="1">
      <alignment horizontal="center" vertical="center"/>
    </xf>
    <xf numFmtId="2" fontId="6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/>
    <xf numFmtId="0" fontId="16" fillId="3" borderId="0" xfId="1" quotePrefix="1" applyFont="1" applyFill="1" applyBorder="1" applyAlignment="1">
      <alignment horizontal="center" vertical="center" wrapText="1"/>
    </xf>
    <xf numFmtId="2" fontId="16" fillId="3" borderId="0" xfId="1" applyNumberFormat="1" applyFont="1" applyFill="1" applyBorder="1" applyAlignment="1">
      <alignment vertical="center" wrapText="1"/>
    </xf>
    <xf numFmtId="2" fontId="11" fillId="3" borderId="0" xfId="1" applyNumberFormat="1" applyFont="1" applyFill="1" applyBorder="1">
      <alignment vertical="center"/>
    </xf>
    <xf numFmtId="2" fontId="19" fillId="3" borderId="0" xfId="1" applyNumberFormat="1" applyFont="1" applyFill="1" applyBorder="1">
      <alignment vertical="center"/>
    </xf>
    <xf numFmtId="2" fontId="19" fillId="3" borderId="0" xfId="1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vertical="center"/>
    </xf>
    <xf numFmtId="0" fontId="16" fillId="3" borderId="0" xfId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17" fontId="3" fillId="3" borderId="0" xfId="0" applyNumberFormat="1" applyFont="1" applyFill="1" applyBorder="1"/>
    <xf numFmtId="0" fontId="3" fillId="3" borderId="0" xfId="0" applyFont="1" applyFill="1" applyBorder="1" applyAlignment="1">
      <alignment horizontal="center"/>
    </xf>
    <xf numFmtId="0" fontId="25" fillId="0" borderId="0" xfId="3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</cellXfs>
  <cellStyles count="7">
    <cellStyle name="Lien hypertexte" xfId="2" builtinId="8"/>
    <cellStyle name="Milliers 2" xfId="4"/>
    <cellStyle name="Normal" xfId="0" builtinId="0"/>
    <cellStyle name="Normal 2" xfId="1"/>
    <cellStyle name="Normal 2 2" xfId="5"/>
    <cellStyle name="Normal 3" xfId="6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Data%20Tour/odette%20psychomot/gestion%20comptable%20cabin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nal de caisse"/>
      <sheetName val="patient"/>
      <sheetName val="rubriques"/>
      <sheetName val="clients"/>
      <sheetName val="2022"/>
      <sheetName val="Cpte expl 2022"/>
      <sheetName val="2023"/>
      <sheetName val="Cpte expl 2023"/>
      <sheetName val="Cpte expl global"/>
      <sheetName val="planning 2023"/>
      <sheetName val="distance"/>
      <sheetName val="cout lessive"/>
      <sheetName val="prix de l'eau et electricité"/>
      <sheetName val="désistement"/>
      <sheetName val="Feuil1"/>
      <sheetName val="Feuil2"/>
    </sheetNames>
    <sheetDataSet>
      <sheetData sheetId="0">
        <row r="452">
          <cell r="B452">
            <v>44565</v>
          </cell>
          <cell r="C452">
            <v>1</v>
          </cell>
          <cell r="D452" t="str">
            <v>voo</v>
          </cell>
          <cell r="E452" t="str">
            <v>abonnement tél</v>
          </cell>
          <cell r="F452">
            <v>44531</v>
          </cell>
          <cell r="J452">
            <v>12</v>
          </cell>
          <cell r="K452" t="str">
            <v>abonnement tél</v>
          </cell>
        </row>
        <row r="453">
          <cell r="B453">
            <v>44565</v>
          </cell>
          <cell r="C453">
            <v>2</v>
          </cell>
          <cell r="D453" t="str">
            <v>UPBPF</v>
          </cell>
          <cell r="E453" t="str">
            <v>cotisation 2022</v>
          </cell>
          <cell r="F453">
            <v>44562</v>
          </cell>
          <cell r="J453">
            <v>80</v>
          </cell>
          <cell r="K453" t="str">
            <v>adhésion</v>
          </cell>
        </row>
        <row r="454">
          <cell r="B454">
            <v>44565</v>
          </cell>
          <cell r="C454">
            <v>3</v>
          </cell>
          <cell r="D454" t="str">
            <v>lessive</v>
          </cell>
          <cell r="E454" t="str">
            <v>coût lessive 2021</v>
          </cell>
          <cell r="F454">
            <v>44197</v>
          </cell>
          <cell r="J454">
            <v>1131.58</v>
          </cell>
          <cell r="K454" t="str">
            <v>lessive</v>
          </cell>
        </row>
        <row r="455">
          <cell r="B455">
            <v>44565</v>
          </cell>
          <cell r="C455">
            <v>4</v>
          </cell>
          <cell r="D455" t="str">
            <v>trajet</v>
          </cell>
          <cell r="E455" t="str">
            <v>coût trajet 2021</v>
          </cell>
          <cell r="F455">
            <v>44197</v>
          </cell>
          <cell r="J455">
            <v>118.41</v>
          </cell>
          <cell r="K455" t="str">
            <v>Km</v>
          </cell>
        </row>
        <row r="456">
          <cell r="B456">
            <v>44565</v>
          </cell>
          <cell r="C456" t="str">
            <v>-</v>
          </cell>
          <cell r="D456" t="str">
            <v>cabinet</v>
          </cell>
          <cell r="E456" t="str">
            <v>consultation</v>
          </cell>
          <cell r="G456">
            <v>40</v>
          </cell>
          <cell r="K456" t="str">
            <v>recette</v>
          </cell>
        </row>
        <row r="457">
          <cell r="B457">
            <v>44567</v>
          </cell>
          <cell r="C457" t="str">
            <v>-</v>
          </cell>
          <cell r="D457" t="str">
            <v>cabinet</v>
          </cell>
          <cell r="E457" t="str">
            <v>consultation</v>
          </cell>
          <cell r="G457">
            <v>70</v>
          </cell>
          <cell r="K457" t="str">
            <v>recette</v>
          </cell>
        </row>
        <row r="476">
          <cell r="B476">
            <v>44593</v>
          </cell>
          <cell r="C476">
            <v>7</v>
          </cell>
          <cell r="D476" t="str">
            <v>voo</v>
          </cell>
          <cell r="E476" t="str">
            <v>abonnement tél</v>
          </cell>
          <cell r="F476">
            <v>44562</v>
          </cell>
          <cell r="J476">
            <v>12</v>
          </cell>
          <cell r="K476" t="str">
            <v>abonnement tél</v>
          </cell>
        </row>
        <row r="477">
          <cell r="B477">
            <v>44600</v>
          </cell>
          <cell r="C477" t="str">
            <v>-</v>
          </cell>
          <cell r="D477" t="str">
            <v>cabinet</v>
          </cell>
          <cell r="E477" t="str">
            <v>consultation</v>
          </cell>
          <cell r="G477">
            <v>40</v>
          </cell>
          <cell r="K477" t="str">
            <v>recette</v>
          </cell>
        </row>
        <row r="478">
          <cell r="B478">
            <v>44601</v>
          </cell>
          <cell r="C478">
            <v>8</v>
          </cell>
          <cell r="D478" t="str">
            <v>electrabel</v>
          </cell>
          <cell r="E478" t="str">
            <v>gaz électricité Fac inter</v>
          </cell>
          <cell r="F478">
            <v>44562</v>
          </cell>
          <cell r="J478">
            <v>50.17</v>
          </cell>
          <cell r="K478" t="str">
            <v>electrabel</v>
          </cell>
        </row>
        <row r="479">
          <cell r="B479">
            <v>44601</v>
          </cell>
          <cell r="C479" t="str">
            <v>-</v>
          </cell>
          <cell r="D479" t="str">
            <v>cabinet</v>
          </cell>
          <cell r="E479" t="str">
            <v>consultation</v>
          </cell>
          <cell r="G479">
            <v>80</v>
          </cell>
          <cell r="K479" t="str">
            <v>recette</v>
          </cell>
        </row>
        <row r="514">
          <cell r="B514">
            <v>44650</v>
          </cell>
          <cell r="C514" t="str">
            <v>-</v>
          </cell>
          <cell r="D514" t="str">
            <v>cabinet</v>
          </cell>
          <cell r="E514" t="str">
            <v>consultation</v>
          </cell>
          <cell r="G514">
            <v>40</v>
          </cell>
          <cell r="K514" t="str">
            <v>recette</v>
          </cell>
        </row>
        <row r="515">
          <cell r="B515">
            <v>44651</v>
          </cell>
          <cell r="C515">
            <v>18</v>
          </cell>
          <cell r="D515" t="str">
            <v>Aldi</v>
          </cell>
          <cell r="E515" t="str">
            <v>toilette hygiène</v>
          </cell>
          <cell r="J515">
            <v>31.11</v>
          </cell>
          <cell r="K515" t="str">
            <v>consomable</v>
          </cell>
        </row>
        <row r="516">
          <cell r="B516">
            <v>44651</v>
          </cell>
          <cell r="C516" t="str">
            <v>-</v>
          </cell>
          <cell r="D516" t="str">
            <v>cabinet</v>
          </cell>
          <cell r="E516" t="str">
            <v>consultation</v>
          </cell>
          <cell r="G516">
            <v>80</v>
          </cell>
          <cell r="K516" t="str">
            <v>recette</v>
          </cell>
        </row>
        <row r="534">
          <cell r="B534">
            <v>44679</v>
          </cell>
          <cell r="C534" t="str">
            <v>-</v>
          </cell>
          <cell r="D534" t="str">
            <v>cabinet</v>
          </cell>
          <cell r="E534" t="str">
            <v>consultation</v>
          </cell>
          <cell r="G534">
            <v>40</v>
          </cell>
          <cell r="K534" t="str">
            <v>recette</v>
          </cell>
        </row>
        <row r="535">
          <cell r="B535">
            <v>44680</v>
          </cell>
          <cell r="C535" t="str">
            <v>-</v>
          </cell>
          <cell r="D535" t="str">
            <v>cabinet</v>
          </cell>
          <cell r="E535" t="str">
            <v>consultation</v>
          </cell>
          <cell r="G535">
            <v>120</v>
          </cell>
          <cell r="K535" t="str">
            <v>recette</v>
          </cell>
        </row>
        <row r="552">
          <cell r="B552">
            <v>44712</v>
          </cell>
          <cell r="C552" t="str">
            <v>-</v>
          </cell>
          <cell r="D552" t="str">
            <v>cabinet</v>
          </cell>
          <cell r="E552" t="str">
            <v>consultation</v>
          </cell>
          <cell r="G552">
            <v>40</v>
          </cell>
          <cell r="K552" t="str">
            <v>recette</v>
          </cell>
        </row>
        <row r="553">
          <cell r="B553">
            <v>44713</v>
          </cell>
          <cell r="C553">
            <v>30</v>
          </cell>
          <cell r="D553" t="str">
            <v>voo</v>
          </cell>
          <cell r="E553" t="str">
            <v>abonnement tél</v>
          </cell>
          <cell r="F553">
            <v>44682</v>
          </cell>
          <cell r="J553">
            <v>13</v>
          </cell>
          <cell r="K553" t="str">
            <v>abonnement tél</v>
          </cell>
        </row>
        <row r="554">
          <cell r="B554">
            <v>44713</v>
          </cell>
          <cell r="C554" t="str">
            <v>-</v>
          </cell>
          <cell r="D554" t="str">
            <v>cabinet</v>
          </cell>
          <cell r="E554" t="str">
            <v>consultation</v>
          </cell>
          <cell r="G554">
            <v>40</v>
          </cell>
          <cell r="K554" t="str">
            <v>recette</v>
          </cell>
        </row>
        <row r="555">
          <cell r="B555">
            <v>44715</v>
          </cell>
          <cell r="C555" t="str">
            <v>-</v>
          </cell>
          <cell r="D555" t="str">
            <v>cabinet</v>
          </cell>
          <cell r="E555" t="str">
            <v>consultation</v>
          </cell>
          <cell r="G555">
            <v>40</v>
          </cell>
          <cell r="K555" t="str">
            <v>recette</v>
          </cell>
        </row>
        <row r="569">
          <cell r="B569">
            <v>44747</v>
          </cell>
          <cell r="C569">
            <v>36</v>
          </cell>
          <cell r="D569" t="str">
            <v>voo</v>
          </cell>
          <cell r="E569" t="str">
            <v>abonnement tél</v>
          </cell>
          <cell r="F569">
            <v>44713</v>
          </cell>
          <cell r="J569">
            <v>13</v>
          </cell>
          <cell r="K569" t="str">
            <v>abonnement tél</v>
          </cell>
        </row>
        <row r="570">
          <cell r="B570">
            <v>44747</v>
          </cell>
          <cell r="C570" t="str">
            <v>-</v>
          </cell>
          <cell r="D570" t="str">
            <v>cabinet</v>
          </cell>
          <cell r="E570" t="str">
            <v>consultation</v>
          </cell>
          <cell r="G570">
            <v>40</v>
          </cell>
          <cell r="K570" t="str">
            <v>recette</v>
          </cell>
        </row>
        <row r="571">
          <cell r="B571">
            <v>44748</v>
          </cell>
          <cell r="C571" t="str">
            <v>-</v>
          </cell>
          <cell r="D571" t="str">
            <v>cabinet</v>
          </cell>
          <cell r="E571" t="str">
            <v>consultation</v>
          </cell>
          <cell r="G571">
            <v>120</v>
          </cell>
          <cell r="K571" t="str">
            <v>recette</v>
          </cell>
        </row>
        <row r="581">
          <cell r="B581">
            <v>44783</v>
          </cell>
          <cell r="C581">
            <v>43</v>
          </cell>
          <cell r="D581" t="str">
            <v>spotify</v>
          </cell>
          <cell r="E581" t="str">
            <v>musique Visa</v>
          </cell>
          <cell r="F581">
            <v>44743</v>
          </cell>
          <cell r="J581">
            <v>9.99</v>
          </cell>
          <cell r="K581" t="str">
            <v>matériel de travail</v>
          </cell>
        </row>
        <row r="582">
          <cell r="B582">
            <v>44783</v>
          </cell>
          <cell r="C582">
            <v>44</v>
          </cell>
          <cell r="D582" t="str">
            <v>electrabel</v>
          </cell>
          <cell r="E582" t="str">
            <v>gaz électricité Fac inter</v>
          </cell>
          <cell r="F582">
            <v>44743</v>
          </cell>
          <cell r="J582">
            <v>43.9</v>
          </cell>
          <cell r="K582" t="str">
            <v>electrabel</v>
          </cell>
        </row>
        <row r="583">
          <cell r="B583">
            <v>44792</v>
          </cell>
          <cell r="C583" t="str">
            <v>-</v>
          </cell>
          <cell r="D583" t="str">
            <v>cabinet</v>
          </cell>
          <cell r="E583" t="str">
            <v>consultation</v>
          </cell>
          <cell r="G583">
            <v>40</v>
          </cell>
          <cell r="K583" t="str">
            <v>recette</v>
          </cell>
        </row>
        <row r="588">
          <cell r="B588">
            <v>44805</v>
          </cell>
          <cell r="C588">
            <v>45</v>
          </cell>
          <cell r="D588" t="str">
            <v>voo</v>
          </cell>
          <cell r="E588" t="str">
            <v>abonnement tél</v>
          </cell>
          <cell r="F588">
            <v>44774</v>
          </cell>
          <cell r="J588">
            <v>13</v>
          </cell>
          <cell r="K588" t="str">
            <v>abonnement tél</v>
          </cell>
        </row>
        <row r="589">
          <cell r="B589">
            <v>44806</v>
          </cell>
          <cell r="C589" t="str">
            <v>-</v>
          </cell>
          <cell r="D589" t="str">
            <v>cabinet</v>
          </cell>
          <cell r="E589" t="str">
            <v>consultation</v>
          </cell>
          <cell r="G589">
            <v>60</v>
          </cell>
          <cell r="K589" t="str">
            <v>recette</v>
          </cell>
        </row>
        <row r="604">
          <cell r="B604">
            <v>44830</v>
          </cell>
          <cell r="C604">
            <v>51</v>
          </cell>
          <cell r="D604" t="str">
            <v>Aldi</v>
          </cell>
          <cell r="E604" t="str">
            <v>toilette hygiène + traj fact</v>
          </cell>
          <cell r="J604">
            <v>9.84</v>
          </cell>
          <cell r="K604" t="str">
            <v>consomable</v>
          </cell>
          <cell r="M604">
            <v>12.4</v>
          </cell>
        </row>
        <row r="605">
          <cell r="B605">
            <v>44834</v>
          </cell>
          <cell r="C605" t="str">
            <v>-</v>
          </cell>
          <cell r="D605" t="str">
            <v>cabinet</v>
          </cell>
          <cell r="E605" t="str">
            <v>consultation</v>
          </cell>
          <cell r="G605">
            <v>50</v>
          </cell>
          <cell r="K605" t="str">
            <v>recette</v>
          </cell>
        </row>
        <row r="606">
          <cell r="B606">
            <v>44837</v>
          </cell>
          <cell r="C606" t="str">
            <v>-</v>
          </cell>
          <cell r="D606" t="str">
            <v>privé</v>
          </cell>
          <cell r="E606" t="str">
            <v>recup consultation 1/10/22</v>
          </cell>
          <cell r="I606">
            <v>70</v>
          </cell>
          <cell r="K606" t="str">
            <v>recette</v>
          </cell>
        </row>
        <row r="620">
          <cell r="B620">
            <v>44853</v>
          </cell>
          <cell r="C620" t="str">
            <v>-</v>
          </cell>
          <cell r="D620" t="str">
            <v>cabinet</v>
          </cell>
          <cell r="E620" t="str">
            <v>consutation</v>
          </cell>
          <cell r="G620">
            <v>50</v>
          </cell>
          <cell r="K620" t="str">
            <v>recette</v>
          </cell>
        </row>
        <row r="621">
          <cell r="B621">
            <v>44855</v>
          </cell>
          <cell r="C621" t="str">
            <v>-</v>
          </cell>
          <cell r="D621" t="str">
            <v>cabinet</v>
          </cell>
          <cell r="E621" t="str">
            <v>consutation</v>
          </cell>
          <cell r="G621">
            <v>100</v>
          </cell>
          <cell r="K621" t="str">
            <v>recette</v>
          </cell>
        </row>
        <row r="622">
          <cell r="B622">
            <v>44866</v>
          </cell>
          <cell r="C622">
            <v>57</v>
          </cell>
          <cell r="D622" t="str">
            <v>voo</v>
          </cell>
          <cell r="E622" t="str">
            <v>abonnement tél</v>
          </cell>
          <cell r="F622">
            <v>44835</v>
          </cell>
          <cell r="J622">
            <v>13</v>
          </cell>
          <cell r="K622" t="str">
            <v>abonnement tél</v>
          </cell>
        </row>
        <row r="636">
          <cell r="B636">
            <v>44896</v>
          </cell>
          <cell r="C636">
            <v>61</v>
          </cell>
          <cell r="D636" t="str">
            <v>voo</v>
          </cell>
          <cell r="E636" t="str">
            <v>abonnement tél</v>
          </cell>
          <cell r="F636">
            <v>44866</v>
          </cell>
          <cell r="J636">
            <v>13</v>
          </cell>
          <cell r="K636" t="str">
            <v>abonnement tél</v>
          </cell>
        </row>
        <row r="637">
          <cell r="B637">
            <v>44897</v>
          </cell>
          <cell r="C637" t="str">
            <v>-</v>
          </cell>
          <cell r="D637" t="str">
            <v>cabinet</v>
          </cell>
          <cell r="E637" t="str">
            <v>consultation</v>
          </cell>
          <cell r="G637">
            <v>100</v>
          </cell>
          <cell r="K637" t="str">
            <v>recette</v>
          </cell>
        </row>
        <row r="638">
          <cell r="B638">
            <v>44902</v>
          </cell>
          <cell r="C638">
            <v>62</v>
          </cell>
          <cell r="D638" t="str">
            <v>AVA</v>
          </cell>
          <cell r="E638" t="str">
            <v>papier</v>
          </cell>
          <cell r="J638">
            <v>12.48</v>
          </cell>
          <cell r="K638" t="str">
            <v>consomable</v>
          </cell>
          <cell r="M638">
            <v>9</v>
          </cell>
        </row>
      </sheetData>
      <sheetData sheetId="1"/>
      <sheetData sheetId="2">
        <row r="5">
          <cell r="B5" t="str">
            <v>rubriques</v>
          </cell>
          <cell r="C5" t="str">
            <v>entrées</v>
          </cell>
          <cell r="D5" t="str">
            <v>sorties</v>
          </cell>
          <cell r="E5" t="str">
            <v>entrées</v>
          </cell>
          <cell r="F5" t="str">
            <v>sorties</v>
          </cell>
          <cell r="G5" t="str">
            <v>balance</v>
          </cell>
          <cell r="H5" t="str">
            <v>code</v>
          </cell>
        </row>
        <row r="6">
          <cell r="B6" t="str">
            <v>abonnement tél</v>
          </cell>
          <cell r="C6">
            <v>0</v>
          </cell>
          <cell r="D6">
            <v>0</v>
          </cell>
          <cell r="E6">
            <v>0</v>
          </cell>
          <cell r="F6">
            <v>538.68000000000006</v>
          </cell>
          <cell r="G6">
            <v>-538.68000000000006</v>
          </cell>
          <cell r="H6" t="str">
            <v>F08</v>
          </cell>
          <cell r="I6" t="str">
            <v>v</v>
          </cell>
        </row>
        <row r="7">
          <cell r="B7" t="str">
            <v>adhésion</v>
          </cell>
          <cell r="C7">
            <v>0</v>
          </cell>
          <cell r="D7">
            <v>0</v>
          </cell>
          <cell r="E7">
            <v>0</v>
          </cell>
          <cell r="F7">
            <v>401.1</v>
          </cell>
          <cell r="G7">
            <v>-401.1</v>
          </cell>
          <cell r="H7" t="str">
            <v>F04</v>
          </cell>
          <cell r="I7" t="str">
            <v>v</v>
          </cell>
        </row>
        <row r="8">
          <cell r="B8" t="str">
            <v>aménagement</v>
          </cell>
          <cell r="C8">
            <v>0</v>
          </cell>
          <cell r="D8">
            <v>90</v>
          </cell>
          <cell r="E8">
            <v>0</v>
          </cell>
          <cell r="F8">
            <v>818.16000000000008</v>
          </cell>
          <cell r="G8">
            <v>-908.16000000000008</v>
          </cell>
          <cell r="H8" t="str">
            <v>F01</v>
          </cell>
          <cell r="I8" t="str">
            <v>v</v>
          </cell>
        </row>
        <row r="9">
          <cell r="B9" t="str">
            <v>assurance</v>
          </cell>
          <cell r="C9">
            <v>0</v>
          </cell>
          <cell r="D9">
            <v>0</v>
          </cell>
          <cell r="E9">
            <v>62.73</v>
          </cell>
          <cell r="F9">
            <v>296.55</v>
          </cell>
          <cell r="G9">
            <v>-233.82000000000002</v>
          </cell>
          <cell r="H9" t="str">
            <v>F05</v>
          </cell>
          <cell r="I9" t="str">
            <v>v</v>
          </cell>
        </row>
        <row r="10">
          <cell r="B10" t="str">
            <v>banque frais</v>
          </cell>
          <cell r="C10">
            <v>0</v>
          </cell>
          <cell r="D10">
            <v>0</v>
          </cell>
          <cell r="E10">
            <v>0</v>
          </cell>
          <cell r="F10">
            <v>90</v>
          </cell>
          <cell r="G10">
            <v>-90</v>
          </cell>
          <cell r="H10" t="str">
            <v>F16</v>
          </cell>
          <cell r="I10" t="str">
            <v>v</v>
          </cell>
        </row>
        <row r="11">
          <cell r="B11" t="str">
            <v>Cadeaux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 t="str">
            <v>F12</v>
          </cell>
          <cell r="I11" t="str">
            <v>v</v>
          </cell>
        </row>
        <row r="12">
          <cell r="B12" t="str">
            <v>chauffage</v>
          </cell>
          <cell r="C12">
            <v>0</v>
          </cell>
          <cell r="D12">
            <v>0</v>
          </cell>
          <cell r="E12">
            <v>0</v>
          </cell>
          <cell r="F12">
            <v>291.5</v>
          </cell>
          <cell r="G12">
            <v>-291.5</v>
          </cell>
          <cell r="H12" t="str">
            <v>F02</v>
          </cell>
          <cell r="I12" t="str">
            <v>v</v>
          </cell>
        </row>
        <row r="13">
          <cell r="B13" t="str">
            <v>comptable</v>
          </cell>
          <cell r="C13">
            <v>0</v>
          </cell>
          <cell r="D13">
            <v>0</v>
          </cell>
          <cell r="E13">
            <v>0</v>
          </cell>
          <cell r="F13">
            <v>570.47</v>
          </cell>
          <cell r="G13">
            <v>-570.47</v>
          </cell>
          <cell r="H13" t="str">
            <v>F03</v>
          </cell>
          <cell r="I13" t="str">
            <v>v</v>
          </cell>
        </row>
        <row r="14">
          <cell r="B14" t="str">
            <v>conférence</v>
          </cell>
          <cell r="C14">
            <v>0</v>
          </cell>
          <cell r="D14">
            <v>30</v>
          </cell>
          <cell r="E14">
            <v>0</v>
          </cell>
          <cell r="F14">
            <v>584</v>
          </cell>
          <cell r="G14">
            <v>-614</v>
          </cell>
          <cell r="H14" t="str">
            <v>F06</v>
          </cell>
          <cell r="I14" t="str">
            <v>v</v>
          </cell>
        </row>
        <row r="15">
          <cell r="B15" t="str">
            <v>consomable</v>
          </cell>
          <cell r="C15">
            <v>0</v>
          </cell>
          <cell r="D15">
            <v>0</v>
          </cell>
          <cell r="E15">
            <v>0</v>
          </cell>
          <cell r="F15">
            <v>409.33</v>
          </cell>
          <cell r="G15">
            <v>-409.33</v>
          </cell>
          <cell r="H15" t="str">
            <v>F09</v>
          </cell>
          <cell r="I15" t="str">
            <v>v</v>
          </cell>
        </row>
        <row r="16">
          <cell r="B16" t="str">
            <v>eau</v>
          </cell>
          <cell r="C16">
            <v>0</v>
          </cell>
          <cell r="D16">
            <v>0</v>
          </cell>
          <cell r="E16">
            <v>33.76</v>
          </cell>
          <cell r="F16">
            <v>505.70000000000005</v>
          </cell>
          <cell r="G16">
            <v>-471.94000000000005</v>
          </cell>
          <cell r="H16" t="str">
            <v>F02</v>
          </cell>
          <cell r="I16" t="str">
            <v>v</v>
          </cell>
        </row>
        <row r="17">
          <cell r="B17" t="str">
            <v>Electrabel</v>
          </cell>
          <cell r="C17">
            <v>0</v>
          </cell>
          <cell r="D17">
            <v>0</v>
          </cell>
          <cell r="E17">
            <v>56.1</v>
          </cell>
          <cell r="F17">
            <v>1846.8200000000011</v>
          </cell>
          <cell r="G17">
            <v>-1790.7200000000012</v>
          </cell>
          <cell r="H17" t="str">
            <v>F02</v>
          </cell>
          <cell r="I17" t="str">
            <v>v</v>
          </cell>
        </row>
        <row r="18">
          <cell r="B18" t="str">
            <v>enregistrement</v>
          </cell>
          <cell r="C18">
            <v>0</v>
          </cell>
          <cell r="D18">
            <v>0</v>
          </cell>
          <cell r="E18">
            <v>0</v>
          </cell>
          <cell r="F18">
            <v>50</v>
          </cell>
          <cell r="G18">
            <v>-50</v>
          </cell>
          <cell r="H18" t="str">
            <v>F01</v>
          </cell>
          <cell r="I18" t="str">
            <v>v</v>
          </cell>
        </row>
        <row r="19">
          <cell r="B19" t="str">
            <v>entretien</v>
          </cell>
          <cell r="C19">
            <v>0</v>
          </cell>
          <cell r="D19">
            <v>0</v>
          </cell>
          <cell r="E19">
            <v>0</v>
          </cell>
          <cell r="F19">
            <v>247.14999999999998</v>
          </cell>
          <cell r="G19">
            <v>-247.14999999999998</v>
          </cell>
          <cell r="H19" t="str">
            <v>F01</v>
          </cell>
          <cell r="I19" t="str">
            <v>v</v>
          </cell>
        </row>
        <row r="20">
          <cell r="B20" t="str">
            <v>Frais bureau</v>
          </cell>
          <cell r="C20">
            <v>0</v>
          </cell>
          <cell r="D20">
            <v>0</v>
          </cell>
          <cell r="E20">
            <v>0</v>
          </cell>
          <cell r="F20">
            <v>141.38</v>
          </cell>
          <cell r="G20">
            <v>-141.38</v>
          </cell>
          <cell r="H20" t="str">
            <v>F09</v>
          </cell>
          <cell r="I20" t="str">
            <v>v</v>
          </cell>
        </row>
        <row r="21">
          <cell r="B21" t="str">
            <v>Publicité</v>
          </cell>
          <cell r="C21">
            <v>0</v>
          </cell>
          <cell r="D21">
            <v>0</v>
          </cell>
          <cell r="E21">
            <v>0</v>
          </cell>
          <cell r="F21">
            <v>314.60000000000002</v>
          </cell>
          <cell r="G21">
            <v>-314.60000000000002</v>
          </cell>
          <cell r="H21" t="str">
            <v>F07</v>
          </cell>
          <cell r="I21" t="str">
            <v>v</v>
          </cell>
        </row>
        <row r="22">
          <cell r="B22" t="str">
            <v>librairie</v>
          </cell>
          <cell r="C22">
            <v>0</v>
          </cell>
          <cell r="D22">
            <v>0</v>
          </cell>
          <cell r="E22">
            <v>0</v>
          </cell>
          <cell r="F22">
            <v>440.34000000000003</v>
          </cell>
          <cell r="G22">
            <v>-440.34000000000003</v>
          </cell>
          <cell r="H22" t="str">
            <v>F06</v>
          </cell>
          <cell r="I22" t="str">
            <v>v</v>
          </cell>
        </row>
        <row r="23">
          <cell r="B23" t="str">
            <v>matériel de travail</v>
          </cell>
          <cell r="C23">
            <v>35</v>
          </cell>
          <cell r="D23">
            <v>25</v>
          </cell>
          <cell r="E23">
            <v>0</v>
          </cell>
          <cell r="F23">
            <v>1953.6900000000003</v>
          </cell>
          <cell r="G23">
            <v>-1943.6900000000003</v>
          </cell>
          <cell r="H23" t="str">
            <v>F10</v>
          </cell>
          <cell r="I23" t="str">
            <v>v</v>
          </cell>
        </row>
        <row r="24">
          <cell r="B24" t="str">
            <v>mobilier</v>
          </cell>
          <cell r="C24">
            <v>0</v>
          </cell>
          <cell r="D24">
            <v>0</v>
          </cell>
          <cell r="E24">
            <v>0</v>
          </cell>
          <cell r="F24">
            <v>272.40999999999997</v>
          </cell>
          <cell r="G24">
            <v>-272.40999999999997</v>
          </cell>
          <cell r="H24" t="str">
            <v>F09</v>
          </cell>
          <cell r="I24" t="str">
            <v>v</v>
          </cell>
        </row>
        <row r="25">
          <cell r="B25" t="str">
            <v>parking</v>
          </cell>
          <cell r="C25">
            <v>0</v>
          </cell>
          <cell r="D25">
            <v>0</v>
          </cell>
          <cell r="E25">
            <v>0</v>
          </cell>
          <cell r="F25">
            <v>6.6</v>
          </cell>
          <cell r="G25">
            <v>-6.6</v>
          </cell>
          <cell r="H25" t="str">
            <v>F11</v>
          </cell>
          <cell r="I25" t="str">
            <v>v</v>
          </cell>
        </row>
        <row r="26">
          <cell r="B26" t="str">
            <v>restaurant</v>
          </cell>
          <cell r="C26">
            <v>0</v>
          </cell>
          <cell r="D26">
            <v>10</v>
          </cell>
          <cell r="E26">
            <v>0</v>
          </cell>
          <cell r="F26">
            <v>420.5</v>
          </cell>
          <cell r="G26">
            <v>-430.5</v>
          </cell>
          <cell r="H26" t="str">
            <v>F13</v>
          </cell>
          <cell r="I26" t="str">
            <v>v</v>
          </cell>
        </row>
        <row r="27">
          <cell r="B27" t="str">
            <v>téléphone</v>
          </cell>
          <cell r="C27">
            <v>0</v>
          </cell>
          <cell r="D27">
            <v>0</v>
          </cell>
          <cell r="E27">
            <v>0</v>
          </cell>
          <cell r="F27">
            <v>230.42000000000002</v>
          </cell>
          <cell r="G27">
            <v>-230.42000000000002</v>
          </cell>
          <cell r="H27" t="str">
            <v>F08</v>
          </cell>
          <cell r="I27" t="str">
            <v>v</v>
          </cell>
        </row>
        <row r="28">
          <cell r="B28" t="str">
            <v>Taxes</v>
          </cell>
          <cell r="C28">
            <v>0</v>
          </cell>
          <cell r="D28">
            <v>0</v>
          </cell>
          <cell r="E28">
            <v>0</v>
          </cell>
          <cell r="F28">
            <v>130</v>
          </cell>
          <cell r="G28">
            <v>-130</v>
          </cell>
          <cell r="H28" t="str">
            <v>F01</v>
          </cell>
          <cell r="I28" t="str">
            <v>v</v>
          </cell>
        </row>
        <row r="29">
          <cell r="B29" t="str">
            <v>vêtements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>F17</v>
          </cell>
          <cell r="I29" t="str">
            <v>v</v>
          </cell>
        </row>
        <row r="30">
          <cell r="B30" t="str">
            <v>lessive</v>
          </cell>
          <cell r="C30">
            <v>0</v>
          </cell>
          <cell r="D30">
            <v>0</v>
          </cell>
          <cell r="E30">
            <v>0</v>
          </cell>
          <cell r="F30">
            <v>1801.48</v>
          </cell>
          <cell r="G30">
            <v>-1493.2814964411284</v>
          </cell>
          <cell r="H30" t="str">
            <v>F14</v>
          </cell>
          <cell r="I30" t="str">
            <v>v</v>
          </cell>
        </row>
        <row r="31">
          <cell r="B31" t="str">
            <v>x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>F18</v>
          </cell>
          <cell r="I31" t="str">
            <v>v</v>
          </cell>
        </row>
        <row r="32">
          <cell r="B32" t="str">
            <v>x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>F19</v>
          </cell>
          <cell r="I32" t="str">
            <v>v</v>
          </cell>
        </row>
        <row r="33">
          <cell r="B33" t="str">
            <v>x</v>
          </cell>
          <cell r="H33" t="str">
            <v>F20</v>
          </cell>
          <cell r="I33" t="str">
            <v>v</v>
          </cell>
        </row>
        <row r="34">
          <cell r="B34" t="str">
            <v>cotisation</v>
          </cell>
          <cell r="C34">
            <v>0</v>
          </cell>
          <cell r="D34">
            <v>0</v>
          </cell>
          <cell r="E34">
            <v>0</v>
          </cell>
          <cell r="F34">
            <v>1267.1299999999999</v>
          </cell>
          <cell r="G34">
            <v>-1267.1299999999999</v>
          </cell>
          <cell r="H34" t="str">
            <v>CS</v>
          </cell>
          <cell r="I34" t="str">
            <v>v</v>
          </cell>
        </row>
        <row r="35">
          <cell r="B35" t="str">
            <v>recette</v>
          </cell>
          <cell r="C35">
            <v>17690</v>
          </cell>
          <cell r="D35">
            <v>0</v>
          </cell>
          <cell r="E35">
            <v>1212.0900000000001</v>
          </cell>
          <cell r="F35">
            <v>0</v>
          </cell>
          <cell r="G35">
            <v>18902.09</v>
          </cell>
          <cell r="H35" t="str">
            <v>R1</v>
          </cell>
          <cell r="I35" t="str">
            <v>v</v>
          </cell>
        </row>
        <row r="36">
          <cell r="B36" t="str">
            <v>prêt</v>
          </cell>
          <cell r="C36">
            <v>150</v>
          </cell>
          <cell r="D36">
            <v>150</v>
          </cell>
          <cell r="E36">
            <v>3863.49</v>
          </cell>
          <cell r="F36">
            <v>3863.49</v>
          </cell>
          <cell r="G36">
            <v>0</v>
          </cell>
          <cell r="H36" t="str">
            <v>Dette</v>
          </cell>
          <cell r="I36" t="str">
            <v>v</v>
          </cell>
        </row>
        <row r="37">
          <cell r="B37" t="str">
            <v>dépôt</v>
          </cell>
          <cell r="C37">
            <v>0</v>
          </cell>
          <cell r="D37">
            <v>17340</v>
          </cell>
          <cell r="E37">
            <v>17340</v>
          </cell>
          <cell r="F37">
            <v>0</v>
          </cell>
          <cell r="G37">
            <v>0</v>
          </cell>
          <cell r="H37" t="str">
            <v>Transf</v>
          </cell>
          <cell r="I37" t="str">
            <v>v</v>
          </cell>
        </row>
        <row r="38">
          <cell r="B38" t="str">
            <v>Km</v>
          </cell>
          <cell r="C38">
            <v>0</v>
          </cell>
          <cell r="D38">
            <v>0</v>
          </cell>
          <cell r="E38">
            <v>0</v>
          </cell>
          <cell r="F38">
            <v>434.33999999999992</v>
          </cell>
          <cell r="G38">
            <v>-434.33999999999992</v>
          </cell>
          <cell r="H38" t="str">
            <v>F15</v>
          </cell>
          <cell r="I38" t="str">
            <v>v</v>
          </cell>
        </row>
        <row r="39">
          <cell r="B39" t="str">
            <v>Remb impôt</v>
          </cell>
          <cell r="C39">
            <v>0</v>
          </cell>
          <cell r="D39">
            <v>0</v>
          </cell>
          <cell r="E39">
            <v>0</v>
          </cell>
          <cell r="F39">
            <v>596</v>
          </cell>
          <cell r="G39">
            <v>-596</v>
          </cell>
          <cell r="H39" t="str">
            <v>F40</v>
          </cell>
          <cell r="I39" t="str">
            <v>v</v>
          </cell>
        </row>
        <row r="40">
          <cell r="B40" t="str">
            <v>.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I40" t="str">
            <v>v</v>
          </cell>
        </row>
        <row r="41">
          <cell r="B41" t="str">
            <v>.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I41" t="str">
            <v>v</v>
          </cell>
        </row>
        <row r="42">
          <cell r="B42" t="str">
            <v>.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I42" t="str">
            <v>v</v>
          </cell>
        </row>
        <row r="43">
          <cell r="B43" t="str">
            <v>.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I43" t="str">
            <v>v</v>
          </cell>
        </row>
        <row r="44">
          <cell r="B44" t="str">
            <v>.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I44" t="str">
            <v>v</v>
          </cell>
        </row>
        <row r="45">
          <cell r="B45" t="str">
            <v>.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 t="str">
            <v>v</v>
          </cell>
        </row>
        <row r="46">
          <cell r="B46" t="str">
            <v>.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 t="str">
            <v>v</v>
          </cell>
        </row>
        <row r="47">
          <cell r="B47" t="str">
            <v>.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 t="str">
            <v>v</v>
          </cell>
        </row>
        <row r="48">
          <cell r="B48" t="str">
            <v>.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 t="str">
            <v>v</v>
          </cell>
        </row>
        <row r="49">
          <cell r="B49" t="str">
            <v>.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 t="str">
            <v>v</v>
          </cell>
        </row>
        <row r="50">
          <cell r="B50" t="str">
            <v>.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 t="str">
            <v>v</v>
          </cell>
        </row>
        <row r="51">
          <cell r="B51" t="str">
            <v>.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 t="str">
            <v>v</v>
          </cell>
        </row>
      </sheetData>
      <sheetData sheetId="3">
        <row r="2">
          <cell r="C2" t="str">
            <v>Nom</v>
          </cell>
          <cell r="D2" t="str">
            <v>Prénom</v>
          </cell>
          <cell r="E2" t="str">
            <v>Nom
Enfant</v>
          </cell>
          <cell r="F2" t="str">
            <v>Prénom</v>
          </cell>
          <cell r="G2">
            <v>6</v>
          </cell>
          <cell r="H2" t="str">
            <v>naiss</v>
          </cell>
          <cell r="I2" t="str">
            <v>Mois</v>
          </cell>
          <cell r="J2" t="str">
            <v>années</v>
          </cell>
          <cell r="K2" t="str">
            <v>Téléphone</v>
          </cell>
          <cell r="L2" t="str">
            <v>adresse</v>
          </cell>
          <cell r="M2" t="str">
            <v>cp</v>
          </cell>
          <cell r="O2" t="str">
            <v>@</v>
          </cell>
          <cell r="P2" t="str">
            <v>introduit par</v>
          </cell>
          <cell r="Q2" t="str">
            <v>qualité</v>
          </cell>
          <cell r="R2" t="str">
            <v>école</v>
          </cell>
          <cell r="S2">
            <v>455</v>
          </cell>
          <cell r="U2" t="str">
            <v>mutuelle</v>
          </cell>
        </row>
        <row r="3">
          <cell r="C3" t="str">
            <v>Werels</v>
          </cell>
          <cell r="D3" t="str">
            <v>Sylvie</v>
          </cell>
          <cell r="E3" t="str">
            <v>Cocilovo</v>
          </cell>
          <cell r="F3" t="str">
            <v>Eva1</v>
          </cell>
          <cell r="G3" t="str">
            <v>Ab</v>
          </cell>
          <cell r="H3">
            <v>41700</v>
          </cell>
          <cell r="I3">
            <v>106</v>
          </cell>
          <cell r="J3">
            <v>8.8333333333333339</v>
          </cell>
          <cell r="K3" t="str">
            <v>0497 06 35 23</v>
          </cell>
          <cell r="L3" t="str">
            <v>rue Léopold Thonon 34</v>
          </cell>
          <cell r="M3">
            <v>4042</v>
          </cell>
          <cell r="N3" t="str">
            <v>Herstal</v>
          </cell>
          <cell r="P3" t="str">
            <v xml:space="preserve">Dr Boute Mélissa </v>
          </cell>
          <cell r="Q3" t="str">
            <v>CHC
0492/91 94 47</v>
          </cell>
          <cell r="R3" t="str">
            <v>école de l'enfant Jesus</v>
          </cell>
          <cell r="S3">
            <v>8</v>
          </cell>
          <cell r="U3" t="str">
            <v>Solidaris</v>
          </cell>
        </row>
        <row r="4">
          <cell r="C4" t="str">
            <v>Lenaerts</v>
          </cell>
          <cell r="D4" t="str">
            <v>Carine</v>
          </cell>
          <cell r="E4" t="str">
            <v>Hancq</v>
          </cell>
          <cell r="F4" t="str">
            <v>Dylan2</v>
          </cell>
          <cell r="G4" t="str">
            <v>F</v>
          </cell>
          <cell r="H4">
            <v>42772</v>
          </cell>
          <cell r="I4">
            <v>70</v>
          </cell>
          <cell r="J4">
            <v>5.833333333333333</v>
          </cell>
          <cell r="K4" t="str">
            <v>0474 09 80 45</v>
          </cell>
          <cell r="L4" t="str">
            <v>rue Sous le Bois 57</v>
          </cell>
          <cell r="M4">
            <v>4430</v>
          </cell>
          <cell r="N4" t="str">
            <v>Ans</v>
          </cell>
          <cell r="O4" t="str">
            <v>carine_lenaerts_10@hotmail.com</v>
          </cell>
          <cell r="P4" t="str">
            <v>Danielle Fortemps</v>
          </cell>
          <cell r="Q4" t="str">
            <v>collègue</v>
          </cell>
          <cell r="R4" t="str">
            <v>ecole du Parc ans</v>
          </cell>
          <cell r="S4">
            <v>47</v>
          </cell>
          <cell r="U4" t="str">
            <v>Part&amp;naMut</v>
          </cell>
        </row>
        <row r="5">
          <cell r="C5" t="str">
            <v>Van Baelen</v>
          </cell>
          <cell r="D5" t="str">
            <v>Valérie</v>
          </cell>
          <cell r="E5" t="str">
            <v>Doubels</v>
          </cell>
          <cell r="F5" t="str">
            <v>Milo3</v>
          </cell>
          <cell r="G5" t="str">
            <v>F</v>
          </cell>
          <cell r="H5">
            <v>41564</v>
          </cell>
          <cell r="I5">
            <v>110</v>
          </cell>
          <cell r="J5">
            <v>9.1666666666666661</v>
          </cell>
          <cell r="K5" t="str">
            <v>0475 92 00 05</v>
          </cell>
          <cell r="L5" t="str">
            <v xml:space="preserve">rue Jean Volders 108 </v>
          </cell>
          <cell r="M5">
            <v>4683</v>
          </cell>
          <cell r="N5" t="str">
            <v>Oupeye</v>
          </cell>
          <cell r="O5" t="str">
            <v>Mulouse@msn.com</v>
          </cell>
          <cell r="P5" t="str">
            <v>Ecole</v>
          </cell>
          <cell r="R5" t="str">
            <v>Place Saint-Christophe 4, 4000 Liège</v>
          </cell>
          <cell r="S5">
            <v>15</v>
          </cell>
          <cell r="U5" t="str">
            <v>HR Railcare</v>
          </cell>
        </row>
        <row r="6">
          <cell r="C6" t="str">
            <v>Fal Laghzaoui</v>
          </cell>
          <cell r="F6" t="str">
            <v>Mohamed
Adam4</v>
          </cell>
          <cell r="G6" t="str">
            <v>F</v>
          </cell>
          <cell r="H6">
            <v>41547</v>
          </cell>
          <cell r="I6">
            <v>111</v>
          </cell>
          <cell r="J6">
            <v>9.25</v>
          </cell>
          <cell r="K6" t="str">
            <v>0465 57 07 18 M
0485 54 63 02 tan</v>
          </cell>
          <cell r="L6" t="str">
            <v>Bd d'Avroy 34/1B</v>
          </cell>
          <cell r="M6">
            <v>4000</v>
          </cell>
          <cell r="N6" t="str">
            <v>Liège</v>
          </cell>
          <cell r="P6" t="str">
            <v xml:space="preserve">dr Petit Céline </v>
          </cell>
          <cell r="Q6" t="str">
            <v>CHC</v>
          </cell>
          <cell r="R6" t="str">
            <v>Jardin Botanique lg</v>
          </cell>
          <cell r="S6">
            <v>19</v>
          </cell>
          <cell r="U6" t="str">
            <v>solidaris</v>
          </cell>
        </row>
        <row r="7">
          <cell r="C7" t="str">
            <v>Hachez</v>
          </cell>
          <cell r="D7" t="str">
            <v>Anizée</v>
          </cell>
          <cell r="E7" t="str">
            <v>Hachez 
Graziano</v>
          </cell>
          <cell r="F7" t="str">
            <v>Iouri5</v>
          </cell>
          <cell r="G7" t="str">
            <v>F</v>
          </cell>
          <cell r="H7">
            <v>42257</v>
          </cell>
          <cell r="I7">
            <v>87</v>
          </cell>
          <cell r="J7">
            <v>7.25</v>
          </cell>
          <cell r="K7" t="str">
            <v>0494/03 35 71 M
0497/08 06 03 P</v>
          </cell>
          <cell r="L7" t="str">
            <v>rue Haute 38 A/001</v>
          </cell>
          <cell r="M7">
            <v>4000</v>
          </cell>
          <cell r="N7" t="str">
            <v>Liège</v>
          </cell>
          <cell r="P7" t="str">
            <v>PMS école</v>
          </cell>
          <cell r="Q7" t="str">
            <v>PMS</v>
          </cell>
          <cell r="R7" t="str">
            <v>ecole communale Laveu</v>
          </cell>
          <cell r="S7">
            <v>20</v>
          </cell>
          <cell r="U7" t="str">
            <v>Solidaris</v>
          </cell>
        </row>
        <row r="8">
          <cell r="C8" t="str">
            <v>Danthinne</v>
          </cell>
          <cell r="D8" t="str">
            <v>Annie6</v>
          </cell>
          <cell r="E8" t="str">
            <v>a domicile</v>
          </cell>
          <cell r="F8" t="str">
            <v>Annie6</v>
          </cell>
          <cell r="G8" t="str">
            <v>Ab</v>
          </cell>
          <cell r="H8">
            <v>19461</v>
          </cell>
          <cell r="I8">
            <v>836</v>
          </cell>
          <cell r="J8">
            <v>69.666666666666671</v>
          </cell>
          <cell r="K8" t="str">
            <v>042 72 47 68</v>
          </cell>
          <cell r="L8" t="str">
            <v xml:space="preserve">rue du Cimetière 230 </v>
          </cell>
          <cell r="M8">
            <v>4430</v>
          </cell>
          <cell r="N8" t="str">
            <v>Ans</v>
          </cell>
          <cell r="P8" t="str">
            <v>pub Colruyt</v>
          </cell>
          <cell r="S8">
            <v>2</v>
          </cell>
          <cell r="U8" t="str">
            <v>Chrétienne</v>
          </cell>
        </row>
        <row r="9">
          <cell r="C9" t="str">
            <v>Dupont</v>
          </cell>
          <cell r="F9" t="str">
            <v>Jeanne7</v>
          </cell>
          <cell r="G9" t="str">
            <v>F</v>
          </cell>
          <cell r="H9">
            <v>43011</v>
          </cell>
          <cell r="I9">
            <v>62</v>
          </cell>
          <cell r="J9">
            <v>5.166666666666667</v>
          </cell>
          <cell r="K9" t="str">
            <v>0495 79 60 64 M
0496 31 95 62</v>
          </cell>
          <cell r="L9" t="str">
            <v>rue des Héros 45</v>
          </cell>
          <cell r="M9">
            <v>4000</v>
          </cell>
          <cell r="N9" t="str">
            <v>Liège</v>
          </cell>
          <cell r="P9" t="str">
            <v>jeanne minibulle</v>
          </cell>
          <cell r="Q9" t="str">
            <v>collègue</v>
          </cell>
          <cell r="S9">
            <v>15</v>
          </cell>
          <cell r="U9" t="str">
            <v>Solidaris</v>
          </cell>
        </row>
        <row r="10">
          <cell r="C10" t="str">
            <v>Mayowa</v>
          </cell>
          <cell r="F10" t="str">
            <v>Temidore8</v>
          </cell>
          <cell r="G10" t="str">
            <v>Ab</v>
          </cell>
          <cell r="H10">
            <v>42447</v>
          </cell>
          <cell r="I10">
            <v>81</v>
          </cell>
          <cell r="J10">
            <v>6.75</v>
          </cell>
          <cell r="K10" t="str">
            <v>0495 81 59 35 M</v>
          </cell>
          <cell r="L10" t="str">
            <v>rue Jean Volders 14</v>
          </cell>
          <cell r="M10">
            <v>4040</v>
          </cell>
          <cell r="N10" t="str">
            <v>Herstal</v>
          </cell>
          <cell r="P10" t="str">
            <v>Anne Françoise BAYARD</v>
          </cell>
          <cell r="Q10" t="str">
            <v>PMS lg</v>
          </cell>
          <cell r="R10" t="str">
            <v>hors château immersion</v>
          </cell>
          <cell r="S10">
            <v>5</v>
          </cell>
          <cell r="U10" t="str">
            <v>Chrétienne</v>
          </cell>
        </row>
        <row r="11">
          <cell r="C11" t="str">
            <v>Elstner</v>
          </cell>
          <cell r="D11" t="str">
            <v>Betina
Guillaume</v>
          </cell>
          <cell r="F11" t="str">
            <v>Misha9</v>
          </cell>
          <cell r="G11" t="str">
            <v>F</v>
          </cell>
          <cell r="H11">
            <v>43363</v>
          </cell>
          <cell r="I11">
            <v>51</v>
          </cell>
          <cell r="J11">
            <v>4.25</v>
          </cell>
          <cell r="K11" t="str">
            <v>0491 08 03 16 M
0495 46 14 66 P</v>
          </cell>
          <cell r="L11" t="str">
            <v>rue Général Charles Collyns 83</v>
          </cell>
          <cell r="M11">
            <v>4000</v>
          </cell>
          <cell r="N11" t="str">
            <v>Liège</v>
          </cell>
          <cell r="O11" t="str">
            <v>bodartbettina@gmail.com</v>
          </cell>
          <cell r="P11" t="str">
            <v>Mamie Boket</v>
          </cell>
          <cell r="Q11" t="str">
            <v xml:space="preserve"> crêche</v>
          </cell>
          <cell r="R11" t="str">
            <v>Naniot</v>
          </cell>
          <cell r="S11">
            <v>28</v>
          </cell>
          <cell r="U11" t="str">
            <v>Solidaris</v>
          </cell>
        </row>
        <row r="12">
          <cell r="C12" t="str">
            <v>Tokam</v>
          </cell>
          <cell r="D12" t="str">
            <v>Gabriella</v>
          </cell>
          <cell r="F12" t="str">
            <v>Raphaêl10</v>
          </cell>
          <cell r="G12" t="str">
            <v>Ab</v>
          </cell>
          <cell r="H12">
            <v>42893</v>
          </cell>
          <cell r="I12">
            <v>66</v>
          </cell>
          <cell r="J12">
            <v>5.5</v>
          </cell>
          <cell r="K12" t="str">
            <v>0486/11 53 87 M</v>
          </cell>
          <cell r="L12" t="str">
            <v>rue des genêts 7/43</v>
          </cell>
          <cell r="M12">
            <v>4000</v>
          </cell>
          <cell r="N12" t="str">
            <v>Liège</v>
          </cell>
          <cell r="P12" t="str">
            <v>Serlez Virginie</v>
          </cell>
          <cell r="Q12" t="str">
            <v xml:space="preserve"> institutrice</v>
          </cell>
          <cell r="S12">
            <v>2</v>
          </cell>
          <cell r="U12" t="str">
            <v>Solidaris</v>
          </cell>
        </row>
        <row r="13">
          <cell r="C13" t="str">
            <v>Dirick</v>
          </cell>
          <cell r="D13" t="str">
            <v>Amelie
Gregory</v>
          </cell>
          <cell r="F13" t="str">
            <v>Victoria11</v>
          </cell>
          <cell r="G13" t="str">
            <v>Ab</v>
          </cell>
          <cell r="H13">
            <v>42653</v>
          </cell>
          <cell r="I13">
            <v>74</v>
          </cell>
          <cell r="J13">
            <v>6.166666666666667</v>
          </cell>
          <cell r="K13" t="str">
            <v>0475/73 62 56 M
0475/58 53 92 P</v>
          </cell>
          <cell r="L13" t="str">
            <v>rue de Campine 297</v>
          </cell>
          <cell r="M13">
            <v>4000</v>
          </cell>
          <cell r="N13" t="str">
            <v>Liège</v>
          </cell>
          <cell r="P13" t="str">
            <v>Cecile Vanmansart</v>
          </cell>
          <cell r="S13">
            <v>11</v>
          </cell>
          <cell r="U13" t="str">
            <v>Part&amp;naMut</v>
          </cell>
        </row>
        <row r="14">
          <cell r="C14" t="str">
            <v>Paramjit</v>
          </cell>
          <cell r="F14" t="str">
            <v>Sanaya13</v>
          </cell>
          <cell r="G14" t="str">
            <v>Ab</v>
          </cell>
          <cell r="H14">
            <v>42851</v>
          </cell>
          <cell r="I14">
            <v>68</v>
          </cell>
          <cell r="J14">
            <v>5.666666666666667</v>
          </cell>
          <cell r="K14" t="str">
            <v>0495/82 11 16 M
0496/67 67 84 P</v>
          </cell>
          <cell r="L14" t="str">
            <v>rue de Campine 415</v>
          </cell>
          <cell r="M14">
            <v>4000</v>
          </cell>
          <cell r="N14" t="str">
            <v>Liège</v>
          </cell>
          <cell r="O14" t="str">
            <v>nourzebidi@hotmail.com</v>
          </cell>
          <cell r="P14" t="str">
            <v>Elstner Betina</v>
          </cell>
          <cell r="Q14" t="str">
            <v>bouche oreille</v>
          </cell>
          <cell r="R14" t="str">
            <v>Ecole St Rémy</v>
          </cell>
          <cell r="S14">
            <v>13</v>
          </cell>
          <cell r="U14" t="str">
            <v>mutualité Neutre</v>
          </cell>
        </row>
        <row r="15">
          <cell r="C15" t="str">
            <v>Willems</v>
          </cell>
          <cell r="F15" t="str">
            <v>Thomas12</v>
          </cell>
          <cell r="G15" t="str">
            <v>Ab</v>
          </cell>
          <cell r="H15">
            <v>43228</v>
          </cell>
          <cell r="I15">
            <v>55</v>
          </cell>
          <cell r="J15">
            <v>4.583333333333333</v>
          </cell>
          <cell r="K15" t="str">
            <v>0474/74 06 30 M
0492/50 89 56 P</v>
          </cell>
          <cell r="L15" t="str">
            <v>rue Aux cailloux 128</v>
          </cell>
          <cell r="M15">
            <v>4420</v>
          </cell>
          <cell r="N15" t="str">
            <v>Montegnée</v>
          </cell>
          <cell r="O15" t="str">
            <v>karinhors@gmail.com</v>
          </cell>
          <cell r="P15" t="str">
            <v>collègue-école</v>
          </cell>
          <cell r="Q15" t="str">
            <v>bouche oreille</v>
          </cell>
          <cell r="R15" t="str">
            <v>Hors Château Immersion</v>
          </cell>
          <cell r="S15">
            <v>17</v>
          </cell>
          <cell r="U15" t="str">
            <v>Solidaris</v>
          </cell>
        </row>
        <row r="16">
          <cell r="C16" t="str">
            <v>Maréchal</v>
          </cell>
          <cell r="D16" t="str">
            <v>Laurence
Olivier</v>
          </cell>
          <cell r="F16" t="str">
            <v>Louise14</v>
          </cell>
          <cell r="G16" t="str">
            <v>Ab</v>
          </cell>
          <cell r="H16">
            <v>42979</v>
          </cell>
          <cell r="I16">
            <v>64</v>
          </cell>
          <cell r="J16">
            <v>5.333333333333333</v>
          </cell>
          <cell r="K16" t="str">
            <v>0494/89 18 48 M
0495/55 75 83 P</v>
          </cell>
          <cell r="L16" t="str">
            <v>rue de Rieux 43</v>
          </cell>
          <cell r="M16">
            <v>4420</v>
          </cell>
          <cell r="N16" t="str">
            <v>Montegnée, Saint-Nicolas</v>
          </cell>
          <cell r="P16" t="str">
            <v>Dr Carichon Tiffen</v>
          </cell>
          <cell r="Q16" t="str">
            <v>pédiatre</v>
          </cell>
          <cell r="R16" t="str">
            <v>st Sébastien Cour st Gilles</v>
          </cell>
          <cell r="S16">
            <v>9</v>
          </cell>
          <cell r="U16" t="str">
            <v>Chrétienne</v>
          </cell>
        </row>
        <row r="17">
          <cell r="C17" t="str">
            <v xml:space="preserve">Detraux </v>
          </cell>
          <cell r="D17" t="str">
            <v>Lapin A</v>
          </cell>
          <cell r="G17" t="str">
            <v>?</v>
          </cell>
          <cell r="I17" t="str">
            <v>.</v>
          </cell>
          <cell r="J17" t="str">
            <v>.</v>
          </cell>
          <cell r="K17" t="str">
            <v>0483/84 97 20</v>
          </cell>
          <cell r="L17" t="str">
            <v>rue sainte Walburge</v>
          </cell>
          <cell r="M17">
            <v>4000</v>
          </cell>
          <cell r="N17" t="str">
            <v>Liège</v>
          </cell>
          <cell r="P17" t="str">
            <v>pub Colruyt</v>
          </cell>
          <cell r="S17" t="str">
            <v>.</v>
          </cell>
        </row>
        <row r="18">
          <cell r="C18" t="str">
            <v>GOKSU</v>
          </cell>
          <cell r="D18" t="str">
            <v>Ilhan    P
Ilknur   M</v>
          </cell>
          <cell r="F18" t="str">
            <v>Bayram15</v>
          </cell>
          <cell r="G18" t="str">
            <v>E</v>
          </cell>
          <cell r="H18">
            <v>41646</v>
          </cell>
          <cell r="I18">
            <v>107</v>
          </cell>
          <cell r="J18">
            <v>8.9166666666666661</v>
          </cell>
          <cell r="K18" t="str">
            <v>0484/90 77 81 P
0465/58 32 17 M</v>
          </cell>
          <cell r="L18" t="str">
            <v>rue Joseph Joset 5/11</v>
          </cell>
          <cell r="M18">
            <v>4000</v>
          </cell>
          <cell r="N18" t="str">
            <v>Liège</v>
          </cell>
          <cell r="O18" t="str">
            <v>ilhan.g@hotmail.be</v>
          </cell>
          <cell r="P18" t="str">
            <v>recherche</v>
          </cell>
          <cell r="R18" t="str">
            <v>Ecole buenville</v>
          </cell>
          <cell r="S18">
            <v>72</v>
          </cell>
          <cell r="T18" t="str">
            <v>F</v>
          </cell>
          <cell r="U18" t="str">
            <v>solidaris</v>
          </cell>
        </row>
        <row r="19">
          <cell r="C19" t="str">
            <v>Mumuni</v>
          </cell>
          <cell r="D19" t="str">
            <v>Samina</v>
          </cell>
          <cell r="F19" t="str">
            <v>Fareed16</v>
          </cell>
          <cell r="G19" t="str">
            <v>?</v>
          </cell>
          <cell r="H19">
            <v>43245</v>
          </cell>
          <cell r="I19">
            <v>55</v>
          </cell>
          <cell r="J19">
            <v>4.583333333333333</v>
          </cell>
          <cell r="K19" t="str">
            <v>0499/19 17 90 M</v>
          </cell>
          <cell r="L19" t="str">
            <v xml:space="preserve">rue Sergent Merx 103/22 </v>
          </cell>
          <cell r="M19">
            <v>4000</v>
          </cell>
          <cell r="N19" t="str">
            <v>Liège</v>
          </cell>
          <cell r="O19" t="str">
            <v>mumunisamira@gmail.com</v>
          </cell>
          <cell r="P19" t="str">
            <v>ONE rocourt</v>
          </cell>
          <cell r="R19" t="str">
            <v>communale de Rocourt</v>
          </cell>
          <cell r="S19">
            <v>15</v>
          </cell>
          <cell r="U19" t="str">
            <v>solidaris</v>
          </cell>
        </row>
        <row r="20">
          <cell r="C20" t="str">
            <v>Bahcivan</v>
          </cell>
          <cell r="D20" t="str">
            <v>Muge M
Cebrail P</v>
          </cell>
          <cell r="F20" t="str">
            <v>Aras17</v>
          </cell>
          <cell r="G20" t="str">
            <v>Ab</v>
          </cell>
          <cell r="H20">
            <v>43319</v>
          </cell>
          <cell r="I20">
            <v>52</v>
          </cell>
          <cell r="J20">
            <v>4.333333333333333</v>
          </cell>
          <cell r="K20" t="str">
            <v>0487/26 77 74 M
0495/93 71 49 P</v>
          </cell>
          <cell r="L20" t="str">
            <v>rue des Champs 59</v>
          </cell>
          <cell r="M20">
            <v>4460</v>
          </cell>
          <cell r="N20" t="str">
            <v>Grâce-Hollogne</v>
          </cell>
          <cell r="O20" t="str">
            <v>onalmuge28@hotmail.cm</v>
          </cell>
          <cell r="P20" t="str">
            <v>Bayram</v>
          </cell>
          <cell r="Q20" t="str">
            <v>bouche oreille</v>
          </cell>
          <cell r="R20" t="str">
            <v>Ecole Tanin Grâce hollogne</v>
          </cell>
          <cell r="S20">
            <v>4</v>
          </cell>
          <cell r="U20" t="str">
            <v>Part&amp;naMut</v>
          </cell>
        </row>
        <row r="21">
          <cell r="C21" t="str">
            <v>Lesceux</v>
          </cell>
          <cell r="D21" t="str">
            <v>Mélanie M
Benjamin P</v>
          </cell>
          <cell r="F21" t="str">
            <v>Hector18</v>
          </cell>
          <cell r="G21" t="str">
            <v>Ab</v>
          </cell>
          <cell r="H21">
            <v>43555</v>
          </cell>
          <cell r="I21">
            <v>45</v>
          </cell>
          <cell r="J21">
            <v>3.75</v>
          </cell>
          <cell r="K21" t="str">
            <v>0494/87 39 54 M
0494/25 51 33 P</v>
          </cell>
          <cell r="L21" t="str">
            <v>rue de la Vallée 15 A</v>
          </cell>
          <cell r="M21">
            <v>4458</v>
          </cell>
          <cell r="N21" t="str">
            <v>Fexe Slins</v>
          </cell>
          <cell r="O21" t="str">
            <v>mela.massa@live.be</v>
          </cell>
          <cell r="P21" t="str">
            <v>Dr Carichon Tiffen</v>
          </cell>
          <cell r="Q21" t="str">
            <v>pédiatre</v>
          </cell>
          <cell r="R21" t="str">
            <v>Ecole St Pierre Aleur</v>
          </cell>
          <cell r="S21">
            <v>5</v>
          </cell>
          <cell r="U21" t="str">
            <v>Chrétienne</v>
          </cell>
        </row>
        <row r="22">
          <cell r="C22" t="str">
            <v>Dubois</v>
          </cell>
          <cell r="D22" t="str">
            <v>Olivia M
Cedric P</v>
          </cell>
          <cell r="F22" t="str">
            <v>Célia19</v>
          </cell>
          <cell r="G22" t="str">
            <v>Ab</v>
          </cell>
          <cell r="H22">
            <v>43099</v>
          </cell>
          <cell r="I22">
            <v>60</v>
          </cell>
          <cell r="J22">
            <v>5</v>
          </cell>
          <cell r="K22" t="str">
            <v>0470/82 50 07 M
0493/98 83 05</v>
          </cell>
          <cell r="L22" t="str">
            <v>rue de la Paix 84</v>
          </cell>
          <cell r="M22">
            <v>4420</v>
          </cell>
          <cell r="N22" t="str">
            <v>Saint Nicolas</v>
          </cell>
          <cell r="O22" t="str">
            <v>miss_alouette@hotmail.com</v>
          </cell>
          <cell r="P22" t="str">
            <v>Dr Carichon Tiffen</v>
          </cell>
          <cell r="Q22" t="str">
            <v>pédiatre</v>
          </cell>
          <cell r="R22" t="str">
            <v>Ecole Tout va bien</v>
          </cell>
          <cell r="S22">
            <v>12</v>
          </cell>
          <cell r="U22" t="str">
            <v>solidaris</v>
          </cell>
        </row>
        <row r="23">
          <cell r="C23" t="str">
            <v>Artico Raick</v>
          </cell>
          <cell r="D23" t="str">
            <v>Marie-Ange
Jean-Francois</v>
          </cell>
          <cell r="F23" t="str">
            <v>Ilyana20</v>
          </cell>
          <cell r="G23" t="str">
            <v>E</v>
          </cell>
          <cell r="H23">
            <v>42105</v>
          </cell>
          <cell r="I23">
            <v>92</v>
          </cell>
          <cell r="J23">
            <v>7.666666666666667</v>
          </cell>
          <cell r="K23" t="str">
            <v>0498/06 77 49 M
0494/58 37 98 P</v>
          </cell>
          <cell r="L23" t="str">
            <v>rue Longue 50</v>
          </cell>
          <cell r="M23">
            <v>4000</v>
          </cell>
          <cell r="N23" t="str">
            <v>Liège</v>
          </cell>
          <cell r="O23" t="str">
            <v>marieangeraick@gmail.com</v>
          </cell>
          <cell r="P23" t="str">
            <v>Dr Gille</v>
          </cell>
          <cell r="Q23" t="str">
            <v>généraliste</v>
          </cell>
          <cell r="R23" t="str">
            <v>Ecole des Erables</v>
          </cell>
          <cell r="S23">
            <v>19</v>
          </cell>
          <cell r="T23" t="str">
            <v>M</v>
          </cell>
          <cell r="U23" t="str">
            <v>Part&amp;naMut</v>
          </cell>
        </row>
        <row r="24">
          <cell r="C24" t="str">
            <v>Doudou</v>
          </cell>
          <cell r="D24" t="str">
            <v>Panadda
Jean-Raymond</v>
          </cell>
          <cell r="F24" t="str">
            <v>Elisabeth21</v>
          </cell>
          <cell r="G24" t="str">
            <v>Ab</v>
          </cell>
          <cell r="H24">
            <v>43047</v>
          </cell>
          <cell r="I24">
            <v>61</v>
          </cell>
          <cell r="J24">
            <v>5.083333333333333</v>
          </cell>
          <cell r="K24" t="str">
            <v>0474/06 75 96 M
0494/81 92 96 P</v>
          </cell>
          <cell r="L24" t="str">
            <v>rue de Bruxelles 90</v>
          </cell>
          <cell r="M24">
            <v>4340</v>
          </cell>
          <cell r="N24" t="str">
            <v>Awans</v>
          </cell>
          <cell r="O24" t="str">
            <v>docdoudou2004@hotmail.com</v>
          </cell>
          <cell r="P24" t="str">
            <v>Dr Carichon Tiffen</v>
          </cell>
          <cell r="Q24" t="str">
            <v>pédiatre</v>
          </cell>
          <cell r="R24" t="str">
            <v>Maternelle de FOOZ</v>
          </cell>
          <cell r="S24">
            <v>26</v>
          </cell>
          <cell r="U24" t="str">
            <v>Part&amp;naMut</v>
          </cell>
        </row>
        <row r="25">
          <cell r="C25" t="str">
            <v>Navarra</v>
          </cell>
          <cell r="D25" t="str">
            <v>Anais</v>
          </cell>
          <cell r="F25" t="str">
            <v>Mattia22</v>
          </cell>
          <cell r="G25" t="str">
            <v>Ab</v>
          </cell>
          <cell r="H25">
            <v>42797</v>
          </cell>
          <cell r="I25">
            <v>69</v>
          </cell>
          <cell r="J25">
            <v>5.75</v>
          </cell>
          <cell r="K25" t="str">
            <v>0495/305400 M</v>
          </cell>
          <cell r="L25" t="str">
            <v>rue Hubert Halet 5</v>
          </cell>
          <cell r="M25">
            <v>4860</v>
          </cell>
          <cell r="N25" t="str">
            <v>Pepinster</v>
          </cell>
          <cell r="O25" t="str">
            <v>iphanaishendricks@yahoo.fr</v>
          </cell>
          <cell r="P25" t="str">
            <v>Misha</v>
          </cell>
          <cell r="Q25" t="str">
            <v>bouche oreille</v>
          </cell>
          <cell r="R25" t="str">
            <v>ecole sacré cœur Petit Rechain</v>
          </cell>
          <cell r="S25">
            <v>5</v>
          </cell>
          <cell r="U25" t="str">
            <v>Chrétienne</v>
          </cell>
        </row>
        <row r="26">
          <cell r="C26" t="str">
            <v>Delsipée</v>
          </cell>
          <cell r="D26" t="str">
            <v>Stéphanie
Sébastien</v>
          </cell>
          <cell r="F26" t="str">
            <v>Léane23</v>
          </cell>
          <cell r="G26" t="str">
            <v>F</v>
          </cell>
          <cell r="H26">
            <v>40745</v>
          </cell>
          <cell r="I26">
            <v>137</v>
          </cell>
          <cell r="J26">
            <v>11.416666666666666</v>
          </cell>
          <cell r="K26" t="str">
            <v>0498/71 34 46 M
0497/23 11 22 P</v>
          </cell>
          <cell r="L26" t="str">
            <v>rue Joseph Walin 34</v>
          </cell>
          <cell r="M26">
            <v>4430</v>
          </cell>
          <cell r="N26" t="str">
            <v>Ans</v>
          </cell>
          <cell r="O26" t="str">
            <v>stephanielicata210977@gmail.com</v>
          </cell>
          <cell r="P26" t="str">
            <v>Dr Gilles Dominique</v>
          </cell>
          <cell r="Q26" t="str">
            <v>généraliste</v>
          </cell>
          <cell r="R26" t="str">
            <v>école du tilleul à Loncin immersion anglais</v>
          </cell>
          <cell r="S26">
            <v>10</v>
          </cell>
          <cell r="U26" t="str">
            <v>Solidaris</v>
          </cell>
        </row>
        <row r="27">
          <cell r="C27" t="str">
            <v>Artico Raick24</v>
          </cell>
          <cell r="D27" t="str">
            <v>Marie-Ange
Jean-Francois</v>
          </cell>
          <cell r="F27" t="str">
            <v>Gaël24</v>
          </cell>
          <cell r="G27" t="str">
            <v>E</v>
          </cell>
          <cell r="H27">
            <v>43391</v>
          </cell>
          <cell r="I27">
            <v>50</v>
          </cell>
          <cell r="J27">
            <v>4.166666666666667</v>
          </cell>
          <cell r="K27" t="str">
            <v>0498/06 77 49 M
0494/58 37 98 P</v>
          </cell>
          <cell r="L27" t="str">
            <v>rue Longue 50</v>
          </cell>
          <cell r="M27">
            <v>4000</v>
          </cell>
          <cell r="N27" t="str">
            <v>Liège</v>
          </cell>
          <cell r="O27" t="str">
            <v>marieangeraick@gmail.com</v>
          </cell>
          <cell r="P27" t="str">
            <v>Artico Raick</v>
          </cell>
          <cell r="Q27" t="str">
            <v>Parent</v>
          </cell>
          <cell r="R27" t="str">
            <v>Ecole des Erables</v>
          </cell>
          <cell r="S27">
            <v>21</v>
          </cell>
          <cell r="T27" t="str">
            <v>M</v>
          </cell>
          <cell r="U27" t="str">
            <v>Part&amp;naMut</v>
          </cell>
        </row>
        <row r="28">
          <cell r="C28" t="str">
            <v>Théologos</v>
          </cell>
          <cell r="D28" t="str">
            <v>Nathalie
Ioanis</v>
          </cell>
          <cell r="F28" t="str">
            <v>Thiago25</v>
          </cell>
          <cell r="G28" t="str">
            <v>F</v>
          </cell>
          <cell r="H28">
            <v>42899</v>
          </cell>
          <cell r="I28">
            <v>66</v>
          </cell>
          <cell r="J28">
            <v>5.5</v>
          </cell>
          <cell r="K28" t="str">
            <v>0495/37 66 24 M
0498/ 73 29 45 P</v>
          </cell>
          <cell r="L28" t="str">
            <v>rue Léon Classens 4</v>
          </cell>
          <cell r="M28">
            <v>4420</v>
          </cell>
          <cell r="N28" t="str">
            <v>Saint Nicolas</v>
          </cell>
          <cell r="O28" t="str">
            <v>nathalie.miceli@hotmail.com</v>
          </cell>
          <cell r="P28" t="str">
            <v>Dr Hoyoux Marie</v>
          </cell>
          <cell r="Q28" t="str">
            <v>pédiatre</v>
          </cell>
          <cell r="R28" t="str">
            <v>ecole St Maur Cointe</v>
          </cell>
          <cell r="S28">
            <v>20</v>
          </cell>
          <cell r="T28" t="str">
            <v>M</v>
          </cell>
          <cell r="U28" t="str">
            <v>Solidaris</v>
          </cell>
        </row>
        <row r="29">
          <cell r="C29" t="str">
            <v>Salloui</v>
          </cell>
          <cell r="D29" t="str">
            <v>Madinfi Rania</v>
          </cell>
          <cell r="F29" t="str">
            <v>Sofian26</v>
          </cell>
          <cell r="G29" t="str">
            <v>?</v>
          </cell>
          <cell r="H29">
            <v>43651</v>
          </cell>
          <cell r="I29">
            <v>41</v>
          </cell>
          <cell r="J29">
            <v>3.4166666666666665</v>
          </cell>
          <cell r="K29" t="str">
            <v>0487/25 20 92</v>
          </cell>
          <cell r="L29" t="str">
            <v>rue de la Goffe 16</v>
          </cell>
          <cell r="M29">
            <v>4000</v>
          </cell>
          <cell r="N29" t="str">
            <v>Liège</v>
          </cell>
          <cell r="O29" t="str">
            <v>madinfi05@gmail.com</v>
          </cell>
          <cell r="P29" t="str">
            <v>ONE</v>
          </cell>
          <cell r="Q29" t="str">
            <v>Pédiatre</v>
          </cell>
          <cell r="R29" t="str">
            <v>école St Remy</v>
          </cell>
          <cell r="S29">
            <v>2</v>
          </cell>
          <cell r="U29" t="str">
            <v>Solidaris</v>
          </cell>
        </row>
        <row r="30">
          <cell r="C30" t="str">
            <v>MalempréG</v>
          </cell>
          <cell r="D30" t="str">
            <v>Anne-Michel
Marc</v>
          </cell>
          <cell r="F30" t="str">
            <v>Gaspard27</v>
          </cell>
          <cell r="G30" t="str">
            <v>Ab</v>
          </cell>
          <cell r="H30">
            <v>41221</v>
          </cell>
          <cell r="I30">
            <v>121</v>
          </cell>
          <cell r="J30">
            <v>10.083333333333334</v>
          </cell>
          <cell r="K30" t="str">
            <v>0476/74 27 46
0495/79 84 45</v>
          </cell>
          <cell r="L30" t="str">
            <v>rue Dausoigne Méhul 29</v>
          </cell>
          <cell r="M30">
            <v>4000</v>
          </cell>
          <cell r="N30" t="str">
            <v>Liège</v>
          </cell>
          <cell r="O30" t="str">
            <v>latraviata_88@hotmail.com</v>
          </cell>
          <cell r="P30" t="str">
            <v>recherche</v>
          </cell>
          <cell r="R30" t="str">
            <v>Ecole du Laveu</v>
          </cell>
          <cell r="S30">
            <v>1</v>
          </cell>
          <cell r="U30" t="str">
            <v>transit</v>
          </cell>
        </row>
        <row r="31">
          <cell r="C31" t="str">
            <v>MalempréA</v>
          </cell>
          <cell r="D31" t="str">
            <v>Anne-Michel
Marc</v>
          </cell>
          <cell r="F31" t="str">
            <v>Augustin28</v>
          </cell>
          <cell r="G31" t="str">
            <v>Ab</v>
          </cell>
          <cell r="H31">
            <v>42074</v>
          </cell>
          <cell r="I31">
            <v>93</v>
          </cell>
          <cell r="J31">
            <v>7.75</v>
          </cell>
          <cell r="K31" t="str">
            <v>0476/74 27 46
0495/79 84 45</v>
          </cell>
          <cell r="L31" t="str">
            <v>rue Dausoigne Méhul 29</v>
          </cell>
          <cell r="M31">
            <v>4000</v>
          </cell>
          <cell r="N31" t="str">
            <v>Liège</v>
          </cell>
          <cell r="O31" t="str">
            <v>latraviata_88@hotmail.com</v>
          </cell>
          <cell r="P31" t="str">
            <v>recherche</v>
          </cell>
          <cell r="R31" t="str">
            <v>Ecole du Laveu</v>
          </cell>
          <cell r="S31">
            <v>3</v>
          </cell>
          <cell r="U31" t="str">
            <v>transit</v>
          </cell>
        </row>
        <row r="32">
          <cell r="C32" t="str">
            <v>Huynen Maigrie</v>
          </cell>
          <cell r="D32" t="str">
            <v>"mamy"</v>
          </cell>
          <cell r="F32" t="str">
            <v>Alessio29</v>
          </cell>
          <cell r="G32" t="str">
            <v>E</v>
          </cell>
          <cell r="H32">
            <v>43623</v>
          </cell>
          <cell r="I32">
            <v>42</v>
          </cell>
          <cell r="J32">
            <v>3.5</v>
          </cell>
          <cell r="K32" t="str">
            <v>04/235 96 24</v>
          </cell>
          <cell r="L32" t="str">
            <v>rue St Walburge 279</v>
          </cell>
          <cell r="M32">
            <v>4000</v>
          </cell>
          <cell r="N32" t="str">
            <v>Liège</v>
          </cell>
          <cell r="O32" t="str">
            <v>coralieschroeders.transition@gmail.com</v>
          </cell>
          <cell r="P32" t="str">
            <v>Coralie</v>
          </cell>
          <cell r="Q32" t="str">
            <v>assis sociale</v>
          </cell>
          <cell r="R32" t="str">
            <v>04/223 56 40</v>
          </cell>
          <cell r="S32">
            <v>14</v>
          </cell>
          <cell r="T32" t="str">
            <v>F</v>
          </cell>
          <cell r="U32" t="str">
            <v>solidaris</v>
          </cell>
        </row>
        <row r="33">
          <cell r="C33" t="str">
            <v>Ramirez-Janssens</v>
          </cell>
          <cell r="D33" t="str">
            <v>Audrey
David</v>
          </cell>
          <cell r="F33" t="str">
            <v>Théo30</v>
          </cell>
          <cell r="G33" t="str">
            <v>E</v>
          </cell>
          <cell r="H33">
            <v>42509</v>
          </cell>
          <cell r="I33">
            <v>79</v>
          </cell>
          <cell r="J33">
            <v>6.583333333333333</v>
          </cell>
          <cell r="K33" t="str">
            <v>0495/12 09 21 M
0495/23 86 46 P</v>
          </cell>
          <cell r="L33" t="str">
            <v>rue Fond du Chat 48</v>
          </cell>
          <cell r="M33">
            <v>4020</v>
          </cell>
          <cell r="N33" t="str">
            <v>Jupille</v>
          </cell>
          <cell r="O33" t="str">
            <v>audreymoreau@hotmail.be</v>
          </cell>
          <cell r="P33" t="str">
            <v>Thiago</v>
          </cell>
          <cell r="Q33" t="str">
            <v>bouche oreille</v>
          </cell>
          <cell r="R33" t="str">
            <v>école du Bac Fléron</v>
          </cell>
          <cell r="S33">
            <v>12</v>
          </cell>
          <cell r="T33" t="str">
            <v>M</v>
          </cell>
          <cell r="U33" t="str">
            <v>solidaris</v>
          </cell>
        </row>
        <row r="34">
          <cell r="C34" t="str">
            <v>Max FA</v>
          </cell>
          <cell r="D34" t="str">
            <v>Benjamin</v>
          </cell>
          <cell r="E34" t="str">
            <v>Akli Koku</v>
          </cell>
          <cell r="F34" t="str">
            <v>Anaël31</v>
          </cell>
          <cell r="G34" t="str">
            <v>E</v>
          </cell>
          <cell r="H34">
            <v>42922</v>
          </cell>
          <cell r="I34">
            <v>65</v>
          </cell>
          <cell r="J34">
            <v>5.416666666666667</v>
          </cell>
          <cell r="K34" t="str">
            <v>0497/03 33 23
fam d'acceuil</v>
          </cell>
          <cell r="L34" t="str">
            <v>rue de la Tour 9/21</v>
          </cell>
          <cell r="M34">
            <v>4020</v>
          </cell>
          <cell r="N34" t="str">
            <v>Liège</v>
          </cell>
          <cell r="P34" t="str">
            <v>Serv transition liège
priv 0470/20 69 20
Priv 0495/23 25 11</v>
          </cell>
          <cell r="Q34" t="str">
            <v>'0498/53 96 62
'Parent transition Lg
Catherine Piron Psycho
Célestine Meert Ass soc</v>
          </cell>
          <cell r="R34" t="str">
            <v>St Ambroise
rue Richard Heintz 16 lg</v>
          </cell>
          <cell r="S34">
            <v>3</v>
          </cell>
          <cell r="T34" t="str">
            <v>F</v>
          </cell>
          <cell r="U34" t="str">
            <v>solidaris</v>
          </cell>
        </row>
        <row r="35">
          <cell r="F35">
            <v>32</v>
          </cell>
          <cell r="I35" t="str">
            <v>.</v>
          </cell>
          <cell r="J35" t="str">
            <v>.</v>
          </cell>
          <cell r="S35" t="str">
            <v>.</v>
          </cell>
        </row>
        <row r="36">
          <cell r="F36">
            <v>33</v>
          </cell>
          <cell r="I36" t="str">
            <v>.</v>
          </cell>
          <cell r="J36" t="str">
            <v>.</v>
          </cell>
          <cell r="S36" t="str">
            <v>.</v>
          </cell>
        </row>
        <row r="37">
          <cell r="F37">
            <v>34</v>
          </cell>
          <cell r="I37" t="str">
            <v>.</v>
          </cell>
          <cell r="J37" t="str">
            <v>.</v>
          </cell>
          <cell r="S37" t="str">
            <v>.</v>
          </cell>
        </row>
        <row r="38">
          <cell r="F38">
            <v>35</v>
          </cell>
          <cell r="I38" t="str">
            <v>.</v>
          </cell>
          <cell r="J38" t="str">
            <v>.</v>
          </cell>
          <cell r="S38" t="str">
            <v>.</v>
          </cell>
        </row>
        <row r="39">
          <cell r="F39">
            <v>36</v>
          </cell>
          <cell r="I39" t="str">
            <v>.</v>
          </cell>
          <cell r="J39" t="str">
            <v>.</v>
          </cell>
          <cell r="S39" t="str">
            <v>.</v>
          </cell>
        </row>
        <row r="40">
          <cell r="F40">
            <v>37</v>
          </cell>
          <cell r="I40" t="str">
            <v>.</v>
          </cell>
          <cell r="J40" t="str">
            <v>.</v>
          </cell>
          <cell r="S40" t="str">
            <v>.</v>
          </cell>
        </row>
        <row r="41">
          <cell r="F41">
            <v>38</v>
          </cell>
          <cell r="I41" t="str">
            <v>.</v>
          </cell>
          <cell r="J41" t="str">
            <v>.</v>
          </cell>
          <cell r="S41" t="str">
            <v>.</v>
          </cell>
        </row>
        <row r="42">
          <cell r="F42">
            <v>39</v>
          </cell>
          <cell r="I42" t="str">
            <v>.</v>
          </cell>
          <cell r="J42" t="str">
            <v>.</v>
          </cell>
          <cell r="S42" t="str">
            <v>.</v>
          </cell>
        </row>
        <row r="43">
          <cell r="F43">
            <v>40</v>
          </cell>
          <cell r="I43" t="str">
            <v>.</v>
          </cell>
          <cell r="J43" t="str">
            <v>.</v>
          </cell>
          <cell r="S43" t="str">
            <v>.</v>
          </cell>
        </row>
        <row r="45">
          <cell r="Q45" t="str">
            <v xml:space="preserve">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BP79"/>
  <sheetViews>
    <sheetView showZeros="0" zoomScaleNormal="100" workbookViewId="0">
      <selection activeCell="U47" sqref="U47"/>
    </sheetView>
  </sheetViews>
  <sheetFormatPr baseColWidth="10" defaultColWidth="1.7109375" defaultRowHeight="12.75" customHeight="1" x14ac:dyDescent="0.2"/>
  <cols>
    <col min="1" max="1" width="3.7109375" style="1" customWidth="1"/>
    <col min="2" max="2" width="5.5703125" style="10" bestFit="1" customWidth="1"/>
    <col min="3" max="3" width="8.5703125" style="10" customWidth="1"/>
    <col min="4" max="4" width="4.28515625" style="64" customWidth="1"/>
    <col min="5" max="5" width="15" style="10" bestFit="1" customWidth="1"/>
    <col min="6" max="6" width="22.85546875" style="10" bestFit="1" customWidth="1"/>
    <col min="7" max="7" width="11.140625" style="10" bestFit="1" customWidth="1"/>
    <col min="8" max="8" width="9" style="10" customWidth="1"/>
    <col min="9" max="9" width="8.85546875" style="10" bestFit="1" customWidth="1"/>
    <col min="10" max="11" width="10.85546875" style="10" customWidth="1"/>
    <col min="12" max="12" width="14.85546875" style="10" customWidth="1"/>
    <col min="13" max="13" width="1.7109375" style="10" bestFit="1" customWidth="1"/>
    <col min="14" max="14" width="5.5703125" style="10" customWidth="1"/>
    <col min="15" max="15" width="4.5703125" style="10" bestFit="1" customWidth="1"/>
    <col min="16" max="16" width="15.7109375" style="10" bestFit="1" customWidth="1"/>
    <col min="17" max="17" width="7.42578125" style="10" customWidth="1"/>
    <col min="18" max="18" width="7.5703125" style="10" customWidth="1"/>
    <col min="19" max="19" width="8.85546875" style="10" bestFit="1" customWidth="1"/>
    <col min="20" max="20" width="9.42578125" style="10" bestFit="1" customWidth="1"/>
    <col min="21" max="21" width="8.28515625" style="10" bestFit="1" customWidth="1"/>
    <col min="22" max="22" width="6" style="10" bestFit="1" customWidth="1"/>
    <col min="23" max="23" width="1.42578125" style="100" customWidth="1"/>
    <col min="24" max="24" width="10" style="202" customWidth="1"/>
    <col min="25" max="25" width="7.42578125" style="202" customWidth="1"/>
    <col min="26" max="26" width="9.42578125" style="202" bestFit="1" customWidth="1"/>
    <col min="27" max="27" width="10.28515625" style="202" customWidth="1"/>
    <col min="28" max="28" width="8.42578125" style="202" bestFit="1" customWidth="1"/>
    <col min="29" max="29" width="8.140625" style="202" bestFit="1" customWidth="1"/>
    <col min="30" max="30" width="1.42578125" style="202" customWidth="1"/>
    <col min="31" max="31" width="6.7109375" style="202" customWidth="1"/>
    <col min="32" max="32" width="9.140625" style="202" bestFit="1" customWidth="1"/>
    <col min="33" max="33" width="10" style="202" bestFit="1" customWidth="1"/>
    <col min="34" max="34" width="1.42578125" style="202" customWidth="1"/>
    <col min="35" max="35" width="5.140625" style="202" customWidth="1"/>
    <col min="36" max="36" width="9" style="202" bestFit="1" customWidth="1"/>
    <col min="37" max="37" width="6.5703125" style="202" bestFit="1" customWidth="1"/>
    <col min="38" max="38" width="8" style="202" bestFit="1" customWidth="1"/>
    <col min="39" max="39" width="7" style="202" bestFit="1" customWidth="1"/>
    <col min="40" max="40" width="10" style="100" bestFit="1" customWidth="1"/>
    <col min="41" max="41" width="12.140625" style="100" bestFit="1" customWidth="1"/>
    <col min="42" max="42" width="11.140625" style="100" bestFit="1" customWidth="1"/>
    <col min="43" max="43" width="1.140625" style="100" customWidth="1"/>
    <col min="44" max="44" width="9.140625" style="100" bestFit="1" customWidth="1"/>
    <col min="45" max="45" width="9.7109375" style="100" bestFit="1" customWidth="1"/>
    <col min="46" max="46" width="8" style="100" bestFit="1" customWidth="1"/>
    <col min="47" max="47" width="7" style="100" bestFit="1" customWidth="1"/>
    <col min="48" max="48" width="10" style="100" bestFit="1" customWidth="1"/>
    <col min="49" max="49" width="11.85546875" style="100" bestFit="1" customWidth="1"/>
    <col min="50" max="50" width="11.140625" style="100" bestFit="1" customWidth="1"/>
    <col min="51" max="51" width="5" style="100" customWidth="1"/>
    <col min="52" max="52" width="12.5703125" style="100" bestFit="1" customWidth="1"/>
    <col min="53" max="53" width="7.85546875" style="100" bestFit="1" customWidth="1"/>
    <col min="54" max="54" width="9.7109375" style="100" bestFit="1" customWidth="1"/>
    <col min="55" max="55" width="6.5703125" style="100" bestFit="1" customWidth="1"/>
    <col min="56" max="56" width="10.85546875" style="100" bestFit="1" customWidth="1"/>
    <col min="57" max="57" width="9.85546875" style="100" bestFit="1" customWidth="1"/>
    <col min="58" max="58" width="14.5703125" style="100" bestFit="1" customWidth="1"/>
    <col min="59" max="59" width="10.85546875" style="100" bestFit="1" customWidth="1"/>
    <col min="60" max="60" width="14.5703125" style="100" bestFit="1" customWidth="1"/>
    <col min="61" max="61" width="3.7109375" style="100" bestFit="1" customWidth="1"/>
    <col min="62" max="62" width="26.7109375" style="100" customWidth="1"/>
    <col min="63" max="63" width="18.140625" style="100" customWidth="1"/>
    <col min="64" max="64" width="8.42578125" style="100" bestFit="1" customWidth="1"/>
    <col min="65" max="65" width="8.140625" style="100" bestFit="1" customWidth="1"/>
    <col min="66" max="66" width="8.5703125" style="100" customWidth="1"/>
    <col min="67" max="67" width="7.85546875" style="100" bestFit="1" customWidth="1"/>
    <col min="68" max="68" width="9.7109375" style="100" bestFit="1" customWidth="1"/>
    <col min="69" max="69" width="13.28515625" style="10" bestFit="1" customWidth="1"/>
    <col min="70" max="70" width="7" style="10" bestFit="1" customWidth="1"/>
    <col min="71" max="16384" width="1.7109375" style="10"/>
  </cols>
  <sheetData>
    <row r="1" spans="1:63" ht="12.75" customHeight="1" x14ac:dyDescent="0.2">
      <c r="B1" s="2"/>
      <c r="C1" s="2"/>
      <c r="D1" s="3"/>
      <c r="E1" s="4" t="s">
        <v>0</v>
      </c>
      <c r="F1" s="5">
        <v>2022</v>
      </c>
      <c r="G1" s="2"/>
      <c r="H1" s="6" t="s">
        <v>1</v>
      </c>
      <c r="I1" s="7">
        <f>+H2-I2+H3</f>
        <v>1240</v>
      </c>
      <c r="J1" s="6" t="s">
        <v>2</v>
      </c>
      <c r="K1" s="8">
        <f>+J2-K2+J3</f>
        <v>-1050.48</v>
      </c>
      <c r="L1" s="9">
        <f>+I1+K1</f>
        <v>189.51999999999998</v>
      </c>
      <c r="M1" s="2"/>
      <c r="P1" s="11">
        <f>+F1</f>
        <v>2022</v>
      </c>
      <c r="Q1" s="12" t="s">
        <v>1</v>
      </c>
      <c r="R1" s="13"/>
      <c r="S1" s="12" t="s">
        <v>2</v>
      </c>
      <c r="T1" s="13"/>
      <c r="AI1" s="246"/>
      <c r="AJ1" s="247"/>
      <c r="AK1" s="248"/>
      <c r="AL1" s="248"/>
      <c r="AM1" s="248"/>
      <c r="AN1" s="38"/>
      <c r="AO1" s="38"/>
      <c r="AP1" s="38"/>
      <c r="AQ1" s="38"/>
      <c r="AS1" s="14"/>
      <c r="AT1" s="14"/>
      <c r="AU1" s="14"/>
      <c r="AV1" s="14"/>
      <c r="AW1" s="14"/>
      <c r="AX1" s="14"/>
      <c r="AZ1" s="59"/>
      <c r="BA1" s="59"/>
      <c r="BB1" s="195"/>
      <c r="BC1" s="195"/>
      <c r="BD1" s="195"/>
      <c r="BE1" s="195"/>
      <c r="BF1" s="195"/>
      <c r="BG1" s="195"/>
      <c r="BH1" s="15"/>
      <c r="BI1" s="59"/>
      <c r="BJ1" s="196"/>
      <c r="BK1" s="99"/>
    </row>
    <row r="2" spans="1:63" ht="12.75" customHeight="1" x14ac:dyDescent="0.2">
      <c r="B2" s="2"/>
      <c r="C2" s="16"/>
      <c r="D2" s="2"/>
      <c r="E2" s="2"/>
      <c r="F2" s="2"/>
      <c r="G2" s="17" t="s">
        <v>3</v>
      </c>
      <c r="H2" s="18">
        <f>SUM(H7:H100)</f>
        <v>1190</v>
      </c>
      <c r="I2" s="18">
        <f>SUM(I7:I227)</f>
        <v>0</v>
      </c>
      <c r="J2" s="19">
        <f>SUM(J7:J227)</f>
        <v>70</v>
      </c>
      <c r="K2" s="19">
        <f>SUM(K6:K100)</f>
        <v>1576.48</v>
      </c>
      <c r="L2" s="20"/>
      <c r="M2" s="2"/>
      <c r="P2" s="21"/>
      <c r="Q2" s="22" t="s">
        <v>4</v>
      </c>
      <c r="R2" s="23" t="s">
        <v>5</v>
      </c>
      <c r="S2" s="22" t="s">
        <v>4</v>
      </c>
      <c r="T2" s="24" t="s">
        <v>5</v>
      </c>
      <c r="U2" s="25" t="s">
        <v>6</v>
      </c>
      <c r="Y2" s="249"/>
      <c r="Z2" s="203"/>
      <c r="AC2" s="250"/>
      <c r="AI2" s="251"/>
      <c r="AJ2" s="252"/>
      <c r="AK2" s="252"/>
      <c r="AL2" s="253"/>
      <c r="AM2" s="253"/>
      <c r="AN2" s="197"/>
      <c r="AO2" s="197"/>
      <c r="AP2" s="197"/>
      <c r="AQ2" s="26"/>
      <c r="AS2" s="26"/>
      <c r="AT2" s="197"/>
      <c r="AU2" s="197"/>
      <c r="AV2" s="197"/>
      <c r="AW2" s="197"/>
      <c r="AX2" s="197"/>
      <c r="AZ2" s="198"/>
      <c r="BA2" s="52"/>
      <c r="BB2" s="52"/>
      <c r="BC2" s="52"/>
      <c r="BD2" s="52"/>
      <c r="BE2" s="52"/>
      <c r="BF2" s="52"/>
      <c r="BG2" s="52"/>
      <c r="BH2" s="15"/>
      <c r="BI2" s="59"/>
      <c r="BJ2" s="199"/>
      <c r="BK2" s="99"/>
    </row>
    <row r="3" spans="1:63" ht="12.75" customHeight="1" x14ac:dyDescent="0.2">
      <c r="B3" s="2"/>
      <c r="C3" s="16"/>
      <c r="D3" s="2"/>
      <c r="E3" s="2"/>
      <c r="F3" s="2"/>
      <c r="G3" s="17" t="s">
        <v>7</v>
      </c>
      <c r="H3" s="28">
        <v>50</v>
      </c>
      <c r="I3" s="29"/>
      <c r="J3" s="30">
        <v>456</v>
      </c>
      <c r="K3" s="31"/>
      <c r="L3" s="20"/>
      <c r="M3" s="2"/>
      <c r="N3" s="32"/>
      <c r="P3" s="33" t="s">
        <v>8</v>
      </c>
      <c r="Q3" s="34">
        <f>+H3</f>
        <v>50</v>
      </c>
      <c r="R3" s="35"/>
      <c r="S3" s="36">
        <f>+J3</f>
        <v>456</v>
      </c>
      <c r="T3" s="35"/>
      <c r="U3" s="37"/>
      <c r="Z3" s="203"/>
      <c r="AC3" s="254"/>
      <c r="AJ3" s="255"/>
      <c r="AK3" s="248"/>
      <c r="AQ3" s="38"/>
      <c r="AR3" s="200"/>
      <c r="AS3" s="38"/>
      <c r="AT3" s="38"/>
      <c r="AU3" s="38"/>
      <c r="AV3" s="38"/>
      <c r="AW3" s="38"/>
      <c r="AX3" s="38"/>
      <c r="AZ3" s="198"/>
      <c r="BA3" s="52"/>
      <c r="BB3" s="52"/>
      <c r="BC3" s="52"/>
      <c r="BD3" s="52"/>
      <c r="BE3" s="52"/>
      <c r="BF3" s="52"/>
      <c r="BG3" s="52"/>
      <c r="BH3" s="15"/>
      <c r="BI3" s="59"/>
      <c r="BJ3" s="201"/>
      <c r="BK3" s="201"/>
    </row>
    <row r="4" spans="1:63" ht="12.75" customHeight="1" x14ac:dyDescent="0.2">
      <c r="A4" s="39"/>
      <c r="B4" s="40"/>
      <c r="C4" s="41"/>
      <c r="D4" s="41" t="s">
        <v>9</v>
      </c>
      <c r="E4" s="42"/>
      <c r="F4" s="43"/>
      <c r="G4" s="44"/>
      <c r="H4" s="45" t="s">
        <v>10</v>
      </c>
      <c r="I4" s="46"/>
      <c r="J4" s="45" t="s">
        <v>2</v>
      </c>
      <c r="K4" s="46"/>
      <c r="L4" s="41"/>
      <c r="M4" s="47"/>
      <c r="N4" s="10" t="s">
        <v>11</v>
      </c>
      <c r="P4" s="48" t="s">
        <v>12</v>
      </c>
      <c r="Q4" s="49">
        <f>SUMIF($B:$B,$P4,$H:$H)</f>
        <v>1190</v>
      </c>
      <c r="R4" s="49">
        <f>SUMIF($B:$B,$P4,$I:$I)</f>
        <v>0</v>
      </c>
      <c r="S4" s="50">
        <f>SUMIF($B:$B,$P4,$J:$J)</f>
        <v>70</v>
      </c>
      <c r="T4" s="51">
        <f>SUMIF($B:$B,$P4,$K:$K)</f>
        <v>1576.48</v>
      </c>
      <c r="Y4" s="256"/>
      <c r="Z4" s="203"/>
      <c r="AB4" s="257"/>
      <c r="AJ4" s="255"/>
      <c r="AK4" s="248"/>
      <c r="AQ4" s="38"/>
      <c r="AR4" s="200"/>
      <c r="AS4" s="38"/>
      <c r="AT4" s="38"/>
      <c r="AU4" s="38"/>
      <c r="AV4" s="38"/>
      <c r="AW4" s="38"/>
      <c r="AX4" s="38"/>
      <c r="AZ4" s="52"/>
      <c r="BA4" s="52"/>
      <c r="BB4" s="52"/>
      <c r="BC4" s="52"/>
      <c r="BD4" s="52"/>
      <c r="BE4" s="15"/>
      <c r="BF4" s="15"/>
      <c r="BG4" s="15"/>
      <c r="BH4" s="15"/>
      <c r="BI4" s="59"/>
      <c r="BJ4" s="201"/>
      <c r="BK4" s="201"/>
    </row>
    <row r="5" spans="1:63" ht="12.75" customHeight="1" x14ac:dyDescent="0.2">
      <c r="A5" s="53">
        <v>2022</v>
      </c>
      <c r="B5" s="23"/>
      <c r="C5" s="23" t="s">
        <v>13</v>
      </c>
      <c r="D5" s="23" t="s">
        <v>14</v>
      </c>
      <c r="E5" s="42" t="s">
        <v>15</v>
      </c>
      <c r="F5" s="54" t="s">
        <v>16</v>
      </c>
      <c r="G5" s="24"/>
      <c r="H5" s="22" t="s">
        <v>4</v>
      </c>
      <c r="I5" s="23" t="s">
        <v>5</v>
      </c>
      <c r="J5" s="22" t="s">
        <v>4</v>
      </c>
      <c r="K5" s="23" t="s">
        <v>5</v>
      </c>
      <c r="L5" s="55" t="s">
        <v>17</v>
      </c>
      <c r="M5" s="2"/>
      <c r="N5" s="56">
        <f>SUM(N6:N216)</f>
        <v>21.4</v>
      </c>
      <c r="O5" s="57"/>
      <c r="P5" s="37"/>
      <c r="Q5" s="58">
        <f>+Q4-R4+Q3</f>
        <v>1240</v>
      </c>
      <c r="R5" s="58"/>
      <c r="S5" s="58">
        <f>+S4-T4+S3</f>
        <v>-1050.48</v>
      </c>
      <c r="T5" s="58"/>
      <c r="Z5" s="203"/>
      <c r="AC5" s="257"/>
      <c r="AJ5" s="255"/>
      <c r="AK5" s="248"/>
      <c r="AQ5" s="38"/>
      <c r="AR5" s="200"/>
      <c r="AS5" s="38"/>
      <c r="AT5" s="38"/>
      <c r="AU5" s="38"/>
      <c r="AV5" s="38"/>
      <c r="AW5" s="38"/>
      <c r="AX5" s="38"/>
      <c r="AZ5" s="204"/>
      <c r="BA5" s="204"/>
      <c r="BB5" s="59"/>
      <c r="BC5" s="59"/>
      <c r="BD5" s="59"/>
      <c r="BE5" s="59"/>
      <c r="BF5" s="205"/>
      <c r="BG5" s="81"/>
      <c r="BH5" s="59"/>
      <c r="BI5" s="59"/>
      <c r="BJ5" s="201"/>
      <c r="BK5" s="201"/>
    </row>
    <row r="6" spans="1:63" ht="12.75" customHeight="1" x14ac:dyDescent="0.2">
      <c r="A6" s="66">
        <v>452</v>
      </c>
      <c r="B6" s="60" t="str">
        <f t="shared" ref="B6:B41" si="0">IF(C6,TEXT(C6,"MM-AA"),".")</f>
        <v>01-22</v>
      </c>
      <c r="C6" s="67">
        <f>+'[1]journal de caisse'!B452</f>
        <v>44565</v>
      </c>
      <c r="D6" s="68">
        <f>IF(ISNUMBER(+'[1]journal de caisse'!C452),+'[1]journal de caisse'!C452,"-")</f>
        <v>1</v>
      </c>
      <c r="E6" s="169" t="str">
        <f>IF(ISTEXT(+'[1]journal de caisse'!D452),+'[1]journal de caisse'!D452,".")</f>
        <v>voo</v>
      </c>
      <c r="F6" s="169" t="str">
        <f>IF(ISTEXT(+'[1]journal de caisse'!E452),+'[1]journal de caisse'!E452,".")</f>
        <v>abonnement tél</v>
      </c>
      <c r="G6" s="170">
        <f>IF(+'[1]journal de caisse'!F452,+'[1]journal de caisse'!F452,".")</f>
        <v>44531</v>
      </c>
      <c r="H6" s="171" t="str">
        <f>IF(+'[1]journal de caisse'!G452,+'[1]journal de caisse'!G452,".")</f>
        <v>.</v>
      </c>
      <c r="I6" s="171" t="str">
        <f>IF(+'[1]journal de caisse'!H452,+'[1]journal de caisse'!H452,".")</f>
        <v>.</v>
      </c>
      <c r="J6" s="68" t="str">
        <f>IF(+'[1]journal de caisse'!I452,+'[1]journal de caisse'!I452,".")</f>
        <v>.</v>
      </c>
      <c r="K6" s="171">
        <f>IF(+'[1]journal de caisse'!J452,+'[1]journal de caisse'!J452,".")</f>
        <v>12</v>
      </c>
      <c r="L6" s="169" t="str">
        <f>IF(ISTEXT(+'[1]journal de caisse'!K452),+'[1]journal de caisse'!K452,".")</f>
        <v>abonnement tél</v>
      </c>
      <c r="M6" s="71" t="str">
        <f t="shared" ref="M6:M41" si="1">IF(ISTEXT(L6),IF(ISERROR(VLOOKUP(L6,rubriques,8,FALSE)),"Nouv",VLOOKUP(L6,rubriques,8,FALSE)),".")</f>
        <v>v</v>
      </c>
      <c r="N6" s="60">
        <f>+'[1]journal de caisse'!M452</f>
        <v>0</v>
      </c>
      <c r="O6" s="61" t="str">
        <f>IF(ISTEXT(L6),VLOOKUP(L6,[1]rubriques!$B$6:$H$51,7,FALSE),".")</f>
        <v>F08</v>
      </c>
      <c r="P6" s="10" t="s">
        <v>18</v>
      </c>
      <c r="Q6" s="62">
        <f>+Q5-R5</f>
        <v>1240</v>
      </c>
      <c r="S6" s="63">
        <f>+S5-T5</f>
        <v>-1050.48</v>
      </c>
      <c r="T6" s="64" t="s">
        <v>19</v>
      </c>
      <c r="U6" s="65">
        <f>SUM(Q6:S6)</f>
        <v>189.51999999999998</v>
      </c>
      <c r="W6" s="206"/>
      <c r="X6" s="251"/>
      <c r="Z6" s="203"/>
      <c r="AB6" s="257"/>
      <c r="AJ6" s="255"/>
      <c r="AK6" s="248"/>
      <c r="AQ6" s="38"/>
      <c r="AR6" s="200"/>
      <c r="AS6" s="38"/>
      <c r="AT6" s="38"/>
      <c r="AU6" s="38"/>
      <c r="AV6" s="38"/>
      <c r="AW6" s="38"/>
      <c r="AX6" s="38"/>
      <c r="AZ6" s="59"/>
      <c r="BA6" s="59"/>
      <c r="BB6" s="52"/>
      <c r="BC6" s="52"/>
      <c r="BD6" s="52"/>
      <c r="BE6" s="52"/>
      <c r="BF6" s="52"/>
      <c r="BG6" s="52"/>
      <c r="BH6" s="52"/>
      <c r="BI6" s="59"/>
      <c r="BJ6" s="201"/>
      <c r="BK6" s="201"/>
    </row>
    <row r="7" spans="1:63" ht="12.75" customHeight="1" x14ac:dyDescent="0.2">
      <c r="A7" s="66">
        <v>453</v>
      </c>
      <c r="B7" s="60" t="str">
        <f t="shared" si="0"/>
        <v>01-22</v>
      </c>
      <c r="C7" s="67">
        <f>+'[1]journal de caisse'!B453</f>
        <v>44565</v>
      </c>
      <c r="D7" s="68">
        <f>IF(ISNUMBER(+'[1]journal de caisse'!C453),+'[1]journal de caisse'!C453,"-")</f>
        <v>2</v>
      </c>
      <c r="E7" s="69" t="str">
        <f>IF(ISTEXT(+'[1]journal de caisse'!D453),+'[1]journal de caisse'!D453,".")</f>
        <v>UPBPF</v>
      </c>
      <c r="F7" s="69" t="str">
        <f>IF(ISTEXT(+'[1]journal de caisse'!E453),+'[1]journal de caisse'!E453,".")</f>
        <v>cotisation 2022</v>
      </c>
      <c r="G7" s="70">
        <f>IF(+'[1]journal de caisse'!F453,+'[1]journal de caisse'!F453,".")</f>
        <v>44562</v>
      </c>
      <c r="H7" s="68" t="str">
        <f>IF(+'[1]journal de caisse'!G453,+'[1]journal de caisse'!G453,".")</f>
        <v>.</v>
      </c>
      <c r="I7" s="68" t="str">
        <f>IF(+'[1]journal de caisse'!H453,+'[1]journal de caisse'!H453,".")</f>
        <v>.</v>
      </c>
      <c r="J7" s="68" t="str">
        <f>IF(+'[1]journal de caisse'!I453,+'[1]journal de caisse'!I453,".")</f>
        <v>.</v>
      </c>
      <c r="K7" s="68">
        <f>IF(+'[1]journal de caisse'!J453,+'[1]journal de caisse'!J453,".")</f>
        <v>80</v>
      </c>
      <c r="L7" s="69" t="str">
        <f>IF(ISTEXT(+'[1]journal de caisse'!K453),+'[1]journal de caisse'!K453,".")</f>
        <v>adhésion</v>
      </c>
      <c r="M7" s="71" t="str">
        <f t="shared" si="1"/>
        <v>v</v>
      </c>
      <c r="N7" s="60">
        <f>+'[1]journal de caisse'!M453</f>
        <v>0</v>
      </c>
      <c r="O7" s="61" t="str">
        <f>IF(ISTEXT(L7),VLOOKUP(L7,[1]rubriques!$B$6:$H$51,7,FALSE),".")</f>
        <v>F04</v>
      </c>
      <c r="AJ7" s="255"/>
      <c r="AK7" s="248"/>
      <c r="AQ7" s="38"/>
      <c r="AR7" s="200"/>
      <c r="AS7" s="38"/>
      <c r="AT7" s="38"/>
      <c r="AU7" s="38"/>
      <c r="AV7" s="38"/>
      <c r="AW7" s="38"/>
      <c r="AX7" s="38"/>
      <c r="AZ7" s="207"/>
      <c r="BA7" s="207"/>
      <c r="BB7" s="52"/>
      <c r="BC7" s="52"/>
      <c r="BD7" s="52"/>
      <c r="BE7" s="52"/>
      <c r="BF7" s="52"/>
      <c r="BG7" s="52"/>
      <c r="BH7" s="52"/>
      <c r="BI7" s="59"/>
      <c r="BJ7" s="201"/>
      <c r="BK7" s="208"/>
    </row>
    <row r="8" spans="1:63" ht="12.75" customHeight="1" x14ac:dyDescent="0.2">
      <c r="A8" s="66">
        <v>454</v>
      </c>
      <c r="B8" s="60" t="str">
        <f t="shared" si="0"/>
        <v>01-22</v>
      </c>
      <c r="C8" s="67">
        <f>+'[1]journal de caisse'!B454</f>
        <v>44565</v>
      </c>
      <c r="D8" s="68">
        <f>IF(ISNUMBER(+'[1]journal de caisse'!C454),+'[1]journal de caisse'!C454,"-")</f>
        <v>3</v>
      </c>
      <c r="E8" s="69" t="str">
        <f>IF(ISTEXT(+'[1]journal de caisse'!D454),+'[1]journal de caisse'!D454,".")</f>
        <v>lessive</v>
      </c>
      <c r="F8" s="69" t="str">
        <f>IF(ISTEXT(+'[1]journal de caisse'!E454),+'[1]journal de caisse'!E454,".")</f>
        <v>coût lessive 2021</v>
      </c>
      <c r="G8" s="70">
        <f>IF(+'[1]journal de caisse'!F454,+'[1]journal de caisse'!F454,".")</f>
        <v>44197</v>
      </c>
      <c r="H8" s="68" t="str">
        <f>IF(+'[1]journal de caisse'!G454,+'[1]journal de caisse'!G454,".")</f>
        <v>.</v>
      </c>
      <c r="I8" s="68" t="str">
        <f>IF(+'[1]journal de caisse'!H454,+'[1]journal de caisse'!H454,".")</f>
        <v>.</v>
      </c>
      <c r="J8" s="68" t="str">
        <f>IF(+'[1]journal de caisse'!I454,+'[1]journal de caisse'!I454,".")</f>
        <v>.</v>
      </c>
      <c r="K8" s="68">
        <f>IF(+'[1]journal de caisse'!J454,+'[1]journal de caisse'!J454,".")</f>
        <v>1131.58</v>
      </c>
      <c r="L8" s="69" t="str">
        <f>IF(ISTEXT(+'[1]journal de caisse'!K454),+'[1]journal de caisse'!K454,".")</f>
        <v>lessive</v>
      </c>
      <c r="M8" s="71" t="str">
        <f t="shared" si="1"/>
        <v>v</v>
      </c>
      <c r="N8" s="60">
        <f>+'[1]journal de caisse'!M454</f>
        <v>0</v>
      </c>
      <c r="O8" s="61" t="str">
        <f>IF(ISTEXT(L8),VLOOKUP(L8,[1]rubriques!$B$6:$H$51,7,FALSE),".")</f>
        <v>F14</v>
      </c>
      <c r="P8" s="72" t="s">
        <v>7</v>
      </c>
      <c r="Q8" s="73" t="s">
        <v>1</v>
      </c>
      <c r="R8" s="74">
        <f>+Q10-R10</f>
        <v>1190</v>
      </c>
      <c r="S8" s="75" t="s">
        <v>20</v>
      </c>
      <c r="T8" s="76">
        <f>+S10-T10</f>
        <v>-256.49</v>
      </c>
      <c r="U8" s="77"/>
      <c r="AJ8" s="255"/>
      <c r="AK8" s="248"/>
      <c r="AQ8" s="38"/>
      <c r="AR8" s="200"/>
      <c r="AS8" s="38"/>
      <c r="AT8" s="38"/>
      <c r="AU8" s="38"/>
      <c r="AV8" s="38"/>
      <c r="AW8" s="38"/>
      <c r="AX8" s="38"/>
      <c r="AZ8" s="52"/>
      <c r="BA8" s="52"/>
      <c r="BB8" s="59"/>
      <c r="BC8" s="59"/>
      <c r="BD8" s="209"/>
      <c r="BE8" s="209"/>
      <c r="BF8" s="209"/>
      <c r="BG8" s="209"/>
      <c r="BH8" s="209"/>
      <c r="BI8" s="59"/>
      <c r="BJ8" s="201"/>
      <c r="BK8" s="208"/>
    </row>
    <row r="9" spans="1:63" ht="12.75" customHeight="1" x14ac:dyDescent="0.2">
      <c r="A9" s="66">
        <v>455</v>
      </c>
      <c r="B9" s="60" t="str">
        <f t="shared" si="0"/>
        <v>01-22</v>
      </c>
      <c r="C9" s="67">
        <f>+'[1]journal de caisse'!B455</f>
        <v>44565</v>
      </c>
      <c r="D9" s="68">
        <f>IF(ISNUMBER(+'[1]journal de caisse'!C455),+'[1]journal de caisse'!C455,"-")</f>
        <v>4</v>
      </c>
      <c r="E9" s="69" t="str">
        <f>IF(ISTEXT(+'[1]journal de caisse'!D455),+'[1]journal de caisse'!D455,".")</f>
        <v>trajet</v>
      </c>
      <c r="F9" s="69" t="str">
        <f>IF(ISTEXT(+'[1]journal de caisse'!E455),+'[1]journal de caisse'!E455,".")</f>
        <v>coût trajet 2021</v>
      </c>
      <c r="G9" s="70">
        <f>IF(+'[1]journal de caisse'!F455,+'[1]journal de caisse'!F455,".")</f>
        <v>44197</v>
      </c>
      <c r="H9" s="68" t="str">
        <f>IF(+'[1]journal de caisse'!G455,+'[1]journal de caisse'!G455,".")</f>
        <v>.</v>
      </c>
      <c r="I9" s="68" t="str">
        <f>IF(+'[1]journal de caisse'!H455,+'[1]journal de caisse'!H455,".")</f>
        <v>.</v>
      </c>
      <c r="J9" s="68" t="str">
        <f>IF(+'[1]journal de caisse'!I455,+'[1]journal de caisse'!I455,".")</f>
        <v>.</v>
      </c>
      <c r="K9" s="68">
        <f>IF(+'[1]journal de caisse'!J455,+'[1]journal de caisse'!J455,".")</f>
        <v>118.41</v>
      </c>
      <c r="L9" s="69" t="str">
        <f>IF(ISTEXT(+'[1]journal de caisse'!K455),+'[1]journal de caisse'!K455,".")</f>
        <v>Km</v>
      </c>
      <c r="M9" s="71" t="str">
        <f t="shared" si="1"/>
        <v>v</v>
      </c>
      <c r="N9" s="60">
        <f>+'[1]journal de caisse'!M455</f>
        <v>0</v>
      </c>
      <c r="O9" s="61" t="str">
        <f>IF(ISTEXT(L9),VLOOKUP(L9,[1]rubriques!$B$6:$H$51,7,FALSE),".")</f>
        <v>F15</v>
      </c>
      <c r="P9" s="78" t="s">
        <v>21</v>
      </c>
      <c r="Q9" s="77" t="s">
        <v>22</v>
      </c>
      <c r="R9" s="79" t="s">
        <v>23</v>
      </c>
      <c r="S9" s="77" t="s">
        <v>22</v>
      </c>
      <c r="T9" s="79" t="s">
        <v>23</v>
      </c>
      <c r="U9" s="80">
        <f>SUM(U11:U42)</f>
        <v>930.3</v>
      </c>
      <c r="V9" s="189" t="s">
        <v>24</v>
      </c>
      <c r="Y9" s="258"/>
      <c r="AA9" s="257"/>
      <c r="AB9" s="256"/>
      <c r="AC9" s="254"/>
      <c r="AE9" s="259"/>
      <c r="AF9" s="259"/>
      <c r="AJ9" s="255"/>
      <c r="AK9" s="248"/>
      <c r="AQ9" s="38"/>
      <c r="AR9" s="200"/>
      <c r="AS9" s="38"/>
      <c r="AT9" s="38"/>
      <c r="AU9" s="38"/>
      <c r="AV9" s="38"/>
      <c r="AW9" s="38"/>
      <c r="AX9" s="38"/>
      <c r="AZ9" s="204"/>
      <c r="BA9" s="204"/>
      <c r="BB9" s="59"/>
      <c r="BC9" s="59"/>
      <c r="BD9" s="59"/>
      <c r="BE9" s="59"/>
      <c r="BF9" s="210"/>
      <c r="BG9" s="81"/>
      <c r="BH9" s="81"/>
      <c r="BI9" s="59"/>
      <c r="BJ9" s="201"/>
      <c r="BK9" s="201"/>
    </row>
    <row r="10" spans="1:63" ht="12.75" customHeight="1" x14ac:dyDescent="0.2">
      <c r="A10" s="66">
        <v>456</v>
      </c>
      <c r="B10" s="60" t="str">
        <f t="shared" si="0"/>
        <v>01-22</v>
      </c>
      <c r="C10" s="67">
        <f>+'[1]journal de caisse'!B456</f>
        <v>44565</v>
      </c>
      <c r="D10" s="68" t="str">
        <f>IF(ISNUMBER(+'[1]journal de caisse'!C456),+'[1]journal de caisse'!C456,"-")</f>
        <v>-</v>
      </c>
      <c r="E10" s="69" t="str">
        <f>IF(ISTEXT(+'[1]journal de caisse'!D456),+'[1]journal de caisse'!D456,".")</f>
        <v>cabinet</v>
      </c>
      <c r="F10" s="69" t="str">
        <f>IF(ISTEXT(+'[1]journal de caisse'!E456),+'[1]journal de caisse'!E456,".")</f>
        <v>consultation</v>
      </c>
      <c r="G10" s="70" t="str">
        <f>IF(+'[1]journal de caisse'!F456,+'[1]journal de caisse'!F456,".")</f>
        <v>.</v>
      </c>
      <c r="H10" s="68">
        <f>IF(+'[1]journal de caisse'!G456,+'[1]journal de caisse'!G456,".")</f>
        <v>40</v>
      </c>
      <c r="I10" s="68" t="str">
        <f>IF(+'[1]journal de caisse'!H456,+'[1]journal de caisse'!H456,".")</f>
        <v>.</v>
      </c>
      <c r="J10" s="68" t="str">
        <f>IF(+'[1]journal de caisse'!I456,+'[1]journal de caisse'!I456,".")</f>
        <v>.</v>
      </c>
      <c r="K10" s="68" t="str">
        <f>IF(+'[1]journal de caisse'!J456,+'[1]journal de caisse'!J456,".")</f>
        <v>.</v>
      </c>
      <c r="L10" s="69" t="str">
        <f>IF(ISTEXT(+'[1]journal de caisse'!K456),+'[1]journal de caisse'!K456,".")</f>
        <v>recette</v>
      </c>
      <c r="M10" s="71" t="str">
        <f t="shared" si="1"/>
        <v>v</v>
      </c>
      <c r="N10" s="60">
        <f>+'[1]journal de caisse'!M456</f>
        <v>0</v>
      </c>
      <c r="O10" s="61" t="str">
        <f>IF(ISTEXT(L10),VLOOKUP(L10,[1]rubriques!$B$6:$H$51,7,FALSE),".")</f>
        <v>R1</v>
      </c>
      <c r="P10" s="82" t="s">
        <v>17</v>
      </c>
      <c r="Q10" s="83">
        <f>SUM(Q11:Q41)</f>
        <v>1190</v>
      </c>
      <c r="R10" s="83">
        <f>SUM(R11:R42)</f>
        <v>0</v>
      </c>
      <c r="S10" s="83">
        <f>SUM(S11:S42)</f>
        <v>70</v>
      </c>
      <c r="T10" s="83">
        <f>SUM(T11:T42)</f>
        <v>326.49</v>
      </c>
      <c r="U10" s="84" t="s">
        <v>25</v>
      </c>
      <c r="V10" s="27" t="s">
        <v>26</v>
      </c>
      <c r="X10" s="260"/>
      <c r="Y10" s="257"/>
      <c r="Z10" s="261"/>
      <c r="AA10" s="261"/>
      <c r="AB10" s="261"/>
      <c r="AC10" s="262"/>
      <c r="AE10" s="263"/>
      <c r="AF10" s="263"/>
      <c r="AG10" s="264"/>
      <c r="AJ10" s="255"/>
      <c r="AK10" s="248"/>
      <c r="AQ10" s="38"/>
      <c r="AR10" s="200"/>
      <c r="AS10" s="38"/>
      <c r="AT10" s="38"/>
      <c r="AU10" s="38"/>
      <c r="AV10" s="38"/>
      <c r="AW10" s="38"/>
      <c r="AX10" s="38"/>
      <c r="AZ10" s="52"/>
      <c r="BA10" s="52"/>
      <c r="BB10" s="59"/>
      <c r="BC10" s="59"/>
      <c r="BD10" s="59"/>
      <c r="BE10" s="59"/>
      <c r="BF10" s="209"/>
      <c r="BG10" s="59"/>
      <c r="BH10" s="59"/>
      <c r="BI10" s="59"/>
      <c r="BJ10" s="199"/>
      <c r="BK10" s="99"/>
    </row>
    <row r="11" spans="1:63" ht="12.75" customHeight="1" x14ac:dyDescent="0.2">
      <c r="A11" s="66">
        <v>457</v>
      </c>
      <c r="B11" s="60" t="str">
        <f t="shared" si="0"/>
        <v>01-22</v>
      </c>
      <c r="C11" s="67">
        <f>+'[1]journal de caisse'!B457</f>
        <v>44567</v>
      </c>
      <c r="D11" s="68" t="str">
        <f>IF(ISNUMBER(+'[1]journal de caisse'!C457),+'[1]journal de caisse'!C457,"-")</f>
        <v>-</v>
      </c>
      <c r="E11" s="69" t="str">
        <f>IF(ISTEXT(+'[1]journal de caisse'!D457),+'[1]journal de caisse'!D457,".")</f>
        <v>cabinet</v>
      </c>
      <c r="F11" s="69" t="str">
        <f>IF(ISTEXT(+'[1]journal de caisse'!E457),+'[1]journal de caisse'!E457,".")</f>
        <v>consultation</v>
      </c>
      <c r="G11" s="70" t="str">
        <f>IF(+'[1]journal de caisse'!F457,+'[1]journal de caisse'!F457,".")</f>
        <v>.</v>
      </c>
      <c r="H11" s="68">
        <f>IF(+'[1]journal de caisse'!G457,+'[1]journal de caisse'!G457,".")</f>
        <v>70</v>
      </c>
      <c r="I11" s="68" t="str">
        <f>IF(+'[1]journal de caisse'!H457,+'[1]journal de caisse'!H457,".")</f>
        <v>.</v>
      </c>
      <c r="J11" s="68" t="str">
        <f>IF(+'[1]journal de caisse'!I457,+'[1]journal de caisse'!I457,".")</f>
        <v>.</v>
      </c>
      <c r="K11" s="68" t="str">
        <f>IF(+'[1]journal de caisse'!J457,+'[1]journal de caisse'!J457,".")</f>
        <v>.</v>
      </c>
      <c r="L11" s="69" t="str">
        <f>IF(ISTEXT(+'[1]journal de caisse'!K457),+'[1]journal de caisse'!K457,".")</f>
        <v>recette</v>
      </c>
      <c r="M11" s="71" t="str">
        <f t="shared" si="1"/>
        <v>v</v>
      </c>
      <c r="N11" s="60">
        <f>+'[1]journal de caisse'!M457</f>
        <v>0</v>
      </c>
      <c r="O11" s="61" t="str">
        <f>IF(ISTEXT(L11),VLOOKUP(L11,[1]rubriques!$B$6:$H$51,7,FALSE),".")</f>
        <v>R1</v>
      </c>
      <c r="P11" s="85" t="str">
        <f>+[1]rubriques!B6</f>
        <v>abonnement tél</v>
      </c>
      <c r="Q11" s="86">
        <f t="shared" ref="Q11:T17" si="2">IF(ISTEXT($P11),SUMIF($L:$L,$P11,H:H),".")</f>
        <v>0</v>
      </c>
      <c r="R11" s="86">
        <f t="shared" si="2"/>
        <v>0</v>
      </c>
      <c r="S11" s="86">
        <f t="shared" si="2"/>
        <v>0</v>
      </c>
      <c r="T11" s="86">
        <f>IF(ISTEXT($P11),SUMIF($L:$L,$P11,K:K),".")</f>
        <v>89</v>
      </c>
      <c r="U11" s="87">
        <f>IF(ISTEXT(P11),+(Q11+S11)-(+R11+T11),".")</f>
        <v>-89</v>
      </c>
      <c r="V11" s="190" t="str">
        <f>IF(P11="x",".",VLOOKUP(P11,rubriques,7,FALSE))</f>
        <v>F08</v>
      </c>
      <c r="X11" s="265"/>
      <c r="Y11" s="265"/>
      <c r="Z11" s="266"/>
      <c r="AA11" s="266"/>
      <c r="AB11" s="266"/>
      <c r="AC11" s="266"/>
      <c r="AE11" s="267"/>
      <c r="AF11" s="267"/>
      <c r="AG11" s="268"/>
      <c r="AJ11" s="255"/>
      <c r="AK11" s="248"/>
      <c r="AQ11" s="38"/>
      <c r="AR11" s="200"/>
      <c r="AS11" s="38"/>
      <c r="AT11" s="38"/>
      <c r="AU11" s="38"/>
      <c r="AV11" s="38"/>
      <c r="AW11" s="38"/>
      <c r="AX11" s="38"/>
      <c r="AZ11" s="204"/>
      <c r="BA11" s="204"/>
      <c r="BB11" s="59"/>
      <c r="BC11" s="59"/>
      <c r="BD11" s="59"/>
      <c r="BE11" s="211"/>
      <c r="BF11" s="212"/>
      <c r="BG11" s="81"/>
      <c r="BH11" s="81"/>
      <c r="BI11" s="59"/>
      <c r="BJ11" s="199"/>
      <c r="BK11" s="99"/>
    </row>
    <row r="12" spans="1:63" ht="12.75" customHeight="1" x14ac:dyDescent="0.2">
      <c r="A12" s="66">
        <v>476</v>
      </c>
      <c r="B12" s="60" t="str">
        <f t="shared" si="0"/>
        <v>02-22</v>
      </c>
      <c r="C12" s="67">
        <f>+'[1]journal de caisse'!B476</f>
        <v>44593</v>
      </c>
      <c r="D12" s="68">
        <f>IF(ISNUMBER(+'[1]journal de caisse'!C476),+'[1]journal de caisse'!C476,"-")</f>
        <v>7</v>
      </c>
      <c r="E12" s="69" t="str">
        <f>IF(ISTEXT(+'[1]journal de caisse'!D476),+'[1]journal de caisse'!D476,".")</f>
        <v>voo</v>
      </c>
      <c r="F12" s="69" t="str">
        <f>IF(ISTEXT(+'[1]journal de caisse'!E476),+'[1]journal de caisse'!E476,".")</f>
        <v>abonnement tél</v>
      </c>
      <c r="G12" s="70">
        <f>IF(+'[1]journal de caisse'!F476,+'[1]journal de caisse'!F476,".")</f>
        <v>44562</v>
      </c>
      <c r="H12" s="68" t="str">
        <f>IF(+'[1]journal de caisse'!G476,+'[1]journal de caisse'!G476,".")</f>
        <v>.</v>
      </c>
      <c r="I12" s="68" t="str">
        <f>IF(+'[1]journal de caisse'!H476,+'[1]journal de caisse'!H476,".")</f>
        <v>.</v>
      </c>
      <c r="J12" s="68" t="str">
        <f>IF(+'[1]journal de caisse'!I476,+'[1]journal de caisse'!I476,".")</f>
        <v>.</v>
      </c>
      <c r="K12" s="68">
        <f>IF(+'[1]journal de caisse'!J476,+'[1]journal de caisse'!J476,".")</f>
        <v>12</v>
      </c>
      <c r="L12" s="69" t="str">
        <f>IF(ISTEXT(+'[1]journal de caisse'!K476),+'[1]journal de caisse'!K476,".")</f>
        <v>abonnement tél</v>
      </c>
      <c r="M12" s="71" t="str">
        <f t="shared" si="1"/>
        <v>v</v>
      </c>
      <c r="N12" s="60">
        <f>+'[1]journal de caisse'!M476</f>
        <v>0</v>
      </c>
      <c r="O12" s="61" t="str">
        <f>IF(ISTEXT(L12),VLOOKUP(L12,[1]rubriques!$B$6:$H$51,7,FALSE),".")</f>
        <v>F08</v>
      </c>
      <c r="P12" s="85" t="str">
        <f>+[1]rubriques!B7</f>
        <v>adhésion</v>
      </c>
      <c r="Q12" s="86">
        <f t="shared" si="2"/>
        <v>0</v>
      </c>
      <c r="R12" s="86">
        <f t="shared" si="2"/>
        <v>0</v>
      </c>
      <c r="S12" s="86">
        <f t="shared" si="2"/>
        <v>0</v>
      </c>
      <c r="T12" s="86">
        <f t="shared" si="2"/>
        <v>80</v>
      </c>
      <c r="U12" s="87">
        <f>IF(ISTEXT(P12),+(Q12+S12)-(+R12+T12),".")</f>
        <v>-80</v>
      </c>
      <c r="V12" s="191" t="str">
        <f t="shared" ref="V12:V40" si="3">IF(P12="x",".",VLOOKUP(P12,rubriques,7,FALSE))</f>
        <v>F04</v>
      </c>
      <c r="X12" s="170"/>
      <c r="Y12" s="269"/>
      <c r="Z12" s="270"/>
      <c r="AA12" s="270"/>
      <c r="AB12" s="270"/>
      <c r="AC12" s="270"/>
      <c r="AD12" s="257"/>
      <c r="AE12" s="271"/>
      <c r="AF12" s="271"/>
      <c r="AG12" s="268"/>
      <c r="AJ12" s="255"/>
      <c r="AK12" s="248"/>
      <c r="AQ12" s="38"/>
      <c r="AR12" s="200"/>
      <c r="AS12" s="38"/>
      <c r="AT12" s="38"/>
      <c r="AU12" s="38"/>
      <c r="AV12" s="38"/>
      <c r="AW12" s="38"/>
      <c r="AX12" s="38"/>
      <c r="AZ12" s="52"/>
      <c r="BA12" s="52"/>
      <c r="BB12" s="59"/>
      <c r="BC12" s="59"/>
      <c r="BD12" s="59"/>
      <c r="BE12" s="59"/>
      <c r="BF12" s="98"/>
      <c r="BG12" s="88"/>
      <c r="BH12" s="88"/>
      <c r="BI12" s="59"/>
      <c r="BJ12" s="199"/>
      <c r="BK12" s="99"/>
    </row>
    <row r="13" spans="1:63" ht="12.75" customHeight="1" x14ac:dyDescent="0.2">
      <c r="A13" s="66">
        <v>477</v>
      </c>
      <c r="B13" s="60" t="str">
        <f t="shared" si="0"/>
        <v>02-22</v>
      </c>
      <c r="C13" s="67">
        <f>+'[1]journal de caisse'!B477</f>
        <v>44600</v>
      </c>
      <c r="D13" s="68" t="str">
        <f>IF(ISNUMBER(+'[1]journal de caisse'!C477),+'[1]journal de caisse'!C477,"-")</f>
        <v>-</v>
      </c>
      <c r="E13" s="69" t="str">
        <f>IF(ISTEXT(+'[1]journal de caisse'!D477),+'[1]journal de caisse'!D477,".")</f>
        <v>cabinet</v>
      </c>
      <c r="F13" s="69" t="str">
        <f>IF(ISTEXT(+'[1]journal de caisse'!E477),+'[1]journal de caisse'!E477,".")</f>
        <v>consultation</v>
      </c>
      <c r="G13" s="70" t="str">
        <f>IF(+'[1]journal de caisse'!F477,+'[1]journal de caisse'!F477,".")</f>
        <v>.</v>
      </c>
      <c r="H13" s="68">
        <f>IF(+'[1]journal de caisse'!G477,+'[1]journal de caisse'!G477,".")</f>
        <v>40</v>
      </c>
      <c r="I13" s="68" t="str">
        <f>IF(+'[1]journal de caisse'!H477,+'[1]journal de caisse'!H477,".")</f>
        <v>.</v>
      </c>
      <c r="J13" s="68" t="str">
        <f>IF(+'[1]journal de caisse'!I477,+'[1]journal de caisse'!I477,".")</f>
        <v>.</v>
      </c>
      <c r="K13" s="68" t="str">
        <f>IF(+'[1]journal de caisse'!J477,+'[1]journal de caisse'!J477,".")</f>
        <v>.</v>
      </c>
      <c r="L13" s="69" t="str">
        <f>IF(ISTEXT(+'[1]journal de caisse'!K477),+'[1]journal de caisse'!K477,".")</f>
        <v>recette</v>
      </c>
      <c r="M13" s="71" t="str">
        <f t="shared" si="1"/>
        <v>v</v>
      </c>
      <c r="N13" s="60">
        <f>+'[1]journal de caisse'!M477</f>
        <v>0</v>
      </c>
      <c r="O13" s="61" t="str">
        <f>IF(ISTEXT(L13),VLOOKUP(L13,[1]rubriques!$B$6:$H$51,7,FALSE),".")</f>
        <v>R1</v>
      </c>
      <c r="P13" s="85" t="str">
        <f>+[1]rubriques!B8</f>
        <v>aménagement</v>
      </c>
      <c r="Q13" s="86">
        <f t="shared" si="2"/>
        <v>0</v>
      </c>
      <c r="R13" s="86">
        <f>IF(ISTEXT($P13),SUMIF($L:$L,$P13,I:I),".")</f>
        <v>0</v>
      </c>
      <c r="S13" s="86">
        <f t="shared" si="2"/>
        <v>0</v>
      </c>
      <c r="T13" s="86">
        <f t="shared" si="2"/>
        <v>0</v>
      </c>
      <c r="U13" s="87">
        <f>IF(ISTEXT(P13),+(Q13+S13)-(+R13+T13),".")</f>
        <v>0</v>
      </c>
      <c r="V13" s="192" t="str">
        <f t="shared" si="3"/>
        <v>F01</v>
      </c>
      <c r="X13" s="170"/>
      <c r="Y13" s="269"/>
      <c r="Z13" s="270"/>
      <c r="AA13" s="270"/>
      <c r="AB13" s="270"/>
      <c r="AC13" s="270"/>
      <c r="AD13" s="257"/>
      <c r="AE13" s="271"/>
      <c r="AF13" s="271"/>
      <c r="AG13" s="268"/>
      <c r="AJ13" s="255"/>
      <c r="AK13" s="248"/>
      <c r="AQ13" s="38"/>
      <c r="AR13" s="200"/>
      <c r="AS13" s="38"/>
      <c r="AT13" s="38"/>
      <c r="AU13" s="38"/>
      <c r="AV13" s="38"/>
      <c r="AW13" s="38"/>
      <c r="AX13" s="38"/>
      <c r="AZ13" s="59"/>
      <c r="BA13" s="59"/>
      <c r="BB13" s="59"/>
      <c r="BC13" s="59"/>
      <c r="BD13" s="59"/>
      <c r="BE13" s="59"/>
      <c r="BF13" s="98"/>
      <c r="BG13" s="88"/>
      <c r="BH13" s="88"/>
      <c r="BI13" s="59"/>
      <c r="BJ13" s="199"/>
      <c r="BK13" s="199"/>
    </row>
    <row r="14" spans="1:63" ht="12.75" customHeight="1" x14ac:dyDescent="0.2">
      <c r="A14" s="66">
        <v>478</v>
      </c>
      <c r="B14" s="60" t="str">
        <f t="shared" si="0"/>
        <v>02-22</v>
      </c>
      <c r="C14" s="67">
        <f>+'[1]journal de caisse'!B478</f>
        <v>44601</v>
      </c>
      <c r="D14" s="68">
        <f>IF(ISNUMBER(+'[1]journal de caisse'!C478),+'[1]journal de caisse'!C478,"-")</f>
        <v>8</v>
      </c>
      <c r="E14" s="69" t="str">
        <f>IF(ISTEXT(+'[1]journal de caisse'!D478),+'[1]journal de caisse'!D478,".")</f>
        <v>electrabel</v>
      </c>
      <c r="F14" s="69" t="str">
        <f>IF(ISTEXT(+'[1]journal de caisse'!E478),+'[1]journal de caisse'!E478,".")</f>
        <v>gaz électricité Fac inter</v>
      </c>
      <c r="G14" s="70">
        <f>IF(+'[1]journal de caisse'!F478,+'[1]journal de caisse'!F478,".")</f>
        <v>44562</v>
      </c>
      <c r="H14" s="68" t="str">
        <f>IF(+'[1]journal de caisse'!G478,+'[1]journal de caisse'!G478,".")</f>
        <v>.</v>
      </c>
      <c r="I14" s="68" t="str">
        <f>IF(+'[1]journal de caisse'!H478,+'[1]journal de caisse'!H478,".")</f>
        <v>.</v>
      </c>
      <c r="J14" s="68" t="str">
        <f>IF(+'[1]journal de caisse'!I478,+'[1]journal de caisse'!I478,".")</f>
        <v>.</v>
      </c>
      <c r="K14" s="68">
        <f>IF(+'[1]journal de caisse'!J478,+'[1]journal de caisse'!J478,".")</f>
        <v>50.17</v>
      </c>
      <c r="L14" s="69" t="str">
        <f>IF(ISTEXT(+'[1]journal de caisse'!K478),+'[1]journal de caisse'!K478,".")</f>
        <v>electrabel</v>
      </c>
      <c r="M14" s="71" t="str">
        <f t="shared" si="1"/>
        <v>v</v>
      </c>
      <c r="N14" s="60">
        <f>+'[1]journal de caisse'!M478</f>
        <v>0</v>
      </c>
      <c r="O14" s="61" t="str">
        <f>IF(ISTEXT(L14),VLOOKUP(L14,[1]rubriques!$B$6:$H$51,7,FALSE),".")</f>
        <v>F02</v>
      </c>
      <c r="P14" s="85" t="str">
        <f>+[1]rubriques!B9</f>
        <v>assurance</v>
      </c>
      <c r="Q14" s="86">
        <f t="shared" si="2"/>
        <v>0</v>
      </c>
      <c r="R14" s="86">
        <f t="shared" si="2"/>
        <v>0</v>
      </c>
      <c r="S14" s="86">
        <f t="shared" si="2"/>
        <v>0</v>
      </c>
      <c r="T14" s="86">
        <f t="shared" si="2"/>
        <v>0</v>
      </c>
      <c r="U14" s="87">
        <f>IF(ISTEXT(P14),+(Q14+S14)-(+R14+T14),".")</f>
        <v>0</v>
      </c>
      <c r="V14" s="192" t="str">
        <f t="shared" si="3"/>
        <v>F05</v>
      </c>
      <c r="X14" s="170"/>
      <c r="Y14" s="269"/>
      <c r="Z14" s="270"/>
      <c r="AA14" s="270"/>
      <c r="AB14" s="270"/>
      <c r="AC14" s="270"/>
      <c r="AD14" s="257"/>
      <c r="AE14" s="271"/>
      <c r="AF14" s="271"/>
      <c r="AG14" s="268"/>
      <c r="AJ14" s="255"/>
      <c r="AK14" s="248"/>
      <c r="AQ14" s="38"/>
      <c r="AR14" s="200"/>
      <c r="AS14" s="38"/>
      <c r="AT14" s="38"/>
      <c r="AU14" s="38"/>
      <c r="AV14" s="38"/>
      <c r="AW14" s="38"/>
      <c r="AX14" s="38"/>
      <c r="AZ14" s="96"/>
      <c r="BA14" s="59"/>
      <c r="BB14" s="195"/>
      <c r="BC14" s="195"/>
      <c r="BD14" s="195"/>
      <c r="BE14" s="195"/>
      <c r="BF14" s="195"/>
      <c r="BG14" s="59"/>
      <c r="BH14" s="59"/>
      <c r="BI14" s="59"/>
      <c r="BJ14" s="199"/>
      <c r="BK14" s="99"/>
    </row>
    <row r="15" spans="1:63" ht="12.75" customHeight="1" x14ac:dyDescent="0.2">
      <c r="A15" s="66">
        <v>479</v>
      </c>
      <c r="B15" s="60" t="str">
        <f t="shared" si="0"/>
        <v>02-22</v>
      </c>
      <c r="C15" s="67">
        <f>+'[1]journal de caisse'!B479</f>
        <v>44601</v>
      </c>
      <c r="D15" s="68" t="str">
        <f>IF(ISNUMBER(+'[1]journal de caisse'!C479),+'[1]journal de caisse'!C479,"-")</f>
        <v>-</v>
      </c>
      <c r="E15" s="69" t="str">
        <f>IF(ISTEXT(+'[1]journal de caisse'!D479),+'[1]journal de caisse'!D479,".")</f>
        <v>cabinet</v>
      </c>
      <c r="F15" s="69" t="str">
        <f>IF(ISTEXT(+'[1]journal de caisse'!E479),+'[1]journal de caisse'!E479,".")</f>
        <v>consultation</v>
      </c>
      <c r="G15" s="70" t="str">
        <f>IF(+'[1]journal de caisse'!F479,+'[1]journal de caisse'!F479,".")</f>
        <v>.</v>
      </c>
      <c r="H15" s="68">
        <f>IF(+'[1]journal de caisse'!G479,+'[1]journal de caisse'!G479,".")</f>
        <v>80</v>
      </c>
      <c r="I15" s="68" t="str">
        <f>IF(+'[1]journal de caisse'!H479,+'[1]journal de caisse'!H479,".")</f>
        <v>.</v>
      </c>
      <c r="J15" s="68" t="str">
        <f>IF(+'[1]journal de caisse'!I479,+'[1]journal de caisse'!I479,".")</f>
        <v>.</v>
      </c>
      <c r="K15" s="68" t="str">
        <f>IF(+'[1]journal de caisse'!J479,+'[1]journal de caisse'!J479,".")</f>
        <v>.</v>
      </c>
      <c r="L15" s="69" t="str">
        <f>IF(ISTEXT(+'[1]journal de caisse'!K479),+'[1]journal de caisse'!K479,".")</f>
        <v>recette</v>
      </c>
      <c r="M15" s="71" t="str">
        <f t="shared" si="1"/>
        <v>v</v>
      </c>
      <c r="N15" s="60">
        <f>+'[1]journal de caisse'!M479</f>
        <v>0</v>
      </c>
      <c r="O15" s="61" t="str">
        <f>IF(ISTEXT(L15),VLOOKUP(L15,[1]rubriques!$B$6:$H$51,7,FALSE),".")</f>
        <v>R1</v>
      </c>
      <c r="P15" s="85" t="str">
        <f>+[1]rubriques!B10</f>
        <v>banque frais</v>
      </c>
      <c r="Q15" s="86">
        <f t="shared" si="2"/>
        <v>0</v>
      </c>
      <c r="R15" s="86">
        <f t="shared" si="2"/>
        <v>0</v>
      </c>
      <c r="S15" s="86">
        <f t="shared" si="2"/>
        <v>0</v>
      </c>
      <c r="T15" s="86">
        <f t="shared" si="2"/>
        <v>0</v>
      </c>
      <c r="U15" s="87">
        <f t="shared" ref="U15:U36" si="4">IF(ISTEXT(P15),+(Q15+S15)-(+R15+T15),".")</f>
        <v>0</v>
      </c>
      <c r="V15" s="192" t="str">
        <f t="shared" si="3"/>
        <v>F16</v>
      </c>
      <c r="X15" s="170"/>
      <c r="Y15" s="269"/>
      <c r="Z15" s="270"/>
      <c r="AA15" s="270"/>
      <c r="AB15" s="270"/>
      <c r="AC15" s="270"/>
      <c r="AD15" s="257"/>
      <c r="AE15" s="271"/>
      <c r="AF15" s="272"/>
      <c r="AG15" s="268"/>
      <c r="AJ15" s="255"/>
      <c r="AK15" s="248"/>
      <c r="AQ15" s="38"/>
      <c r="AR15" s="213"/>
      <c r="AS15" s="89"/>
      <c r="AT15" s="214"/>
      <c r="AU15" s="89"/>
      <c r="AV15" s="89"/>
      <c r="AW15" s="89"/>
      <c r="AX15" s="89"/>
      <c r="AZ15" s="59"/>
      <c r="BA15" s="52"/>
      <c r="BB15" s="52"/>
      <c r="BC15" s="52"/>
      <c r="BD15" s="215"/>
      <c r="BE15" s="215"/>
      <c r="BF15" s="52"/>
      <c r="BG15" s="59"/>
      <c r="BH15" s="59"/>
      <c r="BI15" s="59"/>
      <c r="BJ15" s="199"/>
      <c r="BK15" s="199"/>
    </row>
    <row r="16" spans="1:63" ht="12.75" customHeight="1" x14ac:dyDescent="0.2">
      <c r="A16" s="66">
        <v>514</v>
      </c>
      <c r="B16" s="60" t="str">
        <f t="shared" si="0"/>
        <v>03-22</v>
      </c>
      <c r="C16" s="67">
        <f>+'[1]journal de caisse'!B514</f>
        <v>44650</v>
      </c>
      <c r="D16" s="68" t="str">
        <f>IF(ISNUMBER(+'[1]journal de caisse'!C514),+'[1]journal de caisse'!C514,"-")</f>
        <v>-</v>
      </c>
      <c r="E16" s="69" t="str">
        <f>IF(ISTEXT(+'[1]journal de caisse'!D514),+'[1]journal de caisse'!D514,".")</f>
        <v>cabinet</v>
      </c>
      <c r="F16" s="69" t="str">
        <f>IF(ISTEXT(+'[1]journal de caisse'!E514),+'[1]journal de caisse'!E514,".")</f>
        <v>consultation</v>
      </c>
      <c r="G16" s="70" t="str">
        <f>IF(+'[1]journal de caisse'!F514,+'[1]journal de caisse'!F514,".")</f>
        <v>.</v>
      </c>
      <c r="H16" s="68">
        <f>IF(+'[1]journal de caisse'!G514,+'[1]journal de caisse'!G514,".")</f>
        <v>40</v>
      </c>
      <c r="I16" s="68" t="str">
        <f>IF(+'[1]journal de caisse'!H514,+'[1]journal de caisse'!H514,".")</f>
        <v>.</v>
      </c>
      <c r="J16" s="68" t="str">
        <f>IF(+'[1]journal de caisse'!I514,+'[1]journal de caisse'!I514,".")</f>
        <v>.</v>
      </c>
      <c r="K16" s="68" t="str">
        <f>IF(+'[1]journal de caisse'!J514,+'[1]journal de caisse'!J514,".")</f>
        <v>.</v>
      </c>
      <c r="L16" s="69" t="str">
        <f>IF(ISTEXT(+'[1]journal de caisse'!K514),+'[1]journal de caisse'!K514,".")</f>
        <v>recette</v>
      </c>
      <c r="M16" s="71" t="str">
        <f t="shared" si="1"/>
        <v>v</v>
      </c>
      <c r="N16" s="60">
        <f>+'[1]journal de caisse'!M514</f>
        <v>0</v>
      </c>
      <c r="O16" s="61" t="str">
        <f>IF(ISTEXT(L16),VLOOKUP(L16,[1]rubriques!$B$6:$H$51,7,FALSE),".")</f>
        <v>R1</v>
      </c>
      <c r="P16" s="85" t="str">
        <f>+[1]rubriques!B11</f>
        <v>Cadeaux</v>
      </c>
      <c r="Q16" s="86">
        <f t="shared" si="2"/>
        <v>0</v>
      </c>
      <c r="R16" s="86">
        <f t="shared" si="2"/>
        <v>0</v>
      </c>
      <c r="S16" s="86">
        <f t="shared" si="2"/>
        <v>0</v>
      </c>
      <c r="T16" s="86">
        <f t="shared" si="2"/>
        <v>0</v>
      </c>
      <c r="U16" s="87">
        <f t="shared" si="4"/>
        <v>0</v>
      </c>
      <c r="V16" s="192" t="str">
        <f t="shared" si="3"/>
        <v>F12</v>
      </c>
      <c r="X16" s="170"/>
      <c r="Y16" s="269"/>
      <c r="Z16" s="270"/>
      <c r="AA16" s="270"/>
      <c r="AB16" s="270"/>
      <c r="AC16" s="270"/>
      <c r="AD16" s="257"/>
      <c r="AE16" s="271"/>
      <c r="AF16" s="272"/>
      <c r="AG16" s="268"/>
      <c r="AJ16" s="255"/>
      <c r="AK16" s="248"/>
      <c r="AQ16" s="38"/>
      <c r="AR16" s="213"/>
      <c r="AS16" s="89"/>
      <c r="AT16" s="89"/>
      <c r="AU16" s="89"/>
      <c r="AV16" s="89"/>
      <c r="AW16" s="89"/>
      <c r="AX16" s="89"/>
      <c r="AZ16" s="59"/>
      <c r="BA16" s="96"/>
      <c r="BB16" s="216"/>
      <c r="BC16" s="216"/>
      <c r="BD16" s="216"/>
      <c r="BE16" s="216"/>
      <c r="BF16" s="216"/>
      <c r="BG16" s="59"/>
      <c r="BH16" s="59"/>
      <c r="BI16" s="59"/>
      <c r="BJ16" s="199"/>
      <c r="BK16" s="99"/>
    </row>
    <row r="17" spans="1:63" ht="12.75" customHeight="1" x14ac:dyDescent="0.2">
      <c r="A17" s="66">
        <v>515</v>
      </c>
      <c r="B17" s="60" t="str">
        <f t="shared" si="0"/>
        <v>03-22</v>
      </c>
      <c r="C17" s="67">
        <f>+'[1]journal de caisse'!B515</f>
        <v>44651</v>
      </c>
      <c r="D17" s="68">
        <f>IF(ISNUMBER(+'[1]journal de caisse'!C515),+'[1]journal de caisse'!C515,"-")</f>
        <v>18</v>
      </c>
      <c r="E17" s="69" t="str">
        <f>IF(ISTEXT(+'[1]journal de caisse'!D515),+'[1]journal de caisse'!D515,".")</f>
        <v>Aldi</v>
      </c>
      <c r="F17" s="69" t="str">
        <f>IF(ISTEXT(+'[1]journal de caisse'!E515),+'[1]journal de caisse'!E515,".")</f>
        <v>toilette hygiène</v>
      </c>
      <c r="G17" s="70" t="str">
        <f>IF(+'[1]journal de caisse'!F515,+'[1]journal de caisse'!F515,".")</f>
        <v>.</v>
      </c>
      <c r="H17" s="68" t="str">
        <f>IF(+'[1]journal de caisse'!G515,+'[1]journal de caisse'!G515,".")</f>
        <v>.</v>
      </c>
      <c r="I17" s="68" t="str">
        <f>IF(+'[1]journal de caisse'!H515,+'[1]journal de caisse'!H515,".")</f>
        <v>.</v>
      </c>
      <c r="J17" s="68" t="str">
        <f>IF(+'[1]journal de caisse'!I515,+'[1]journal de caisse'!I515,".")</f>
        <v>.</v>
      </c>
      <c r="K17" s="68">
        <f>IF(+'[1]journal de caisse'!J515,+'[1]journal de caisse'!J515,".")</f>
        <v>31.11</v>
      </c>
      <c r="L17" s="69" t="str">
        <f>IF(ISTEXT(+'[1]journal de caisse'!K515),+'[1]journal de caisse'!K515,".")</f>
        <v>consomable</v>
      </c>
      <c r="M17" s="71" t="str">
        <f t="shared" si="1"/>
        <v>v</v>
      </c>
      <c r="N17" s="60">
        <f>+'[1]journal de caisse'!M515</f>
        <v>0</v>
      </c>
      <c r="O17" s="61" t="str">
        <f>IF(ISTEXT(L17),VLOOKUP(L17,[1]rubriques!$B$6:$H$51,7,FALSE),".")</f>
        <v>F09</v>
      </c>
      <c r="P17" s="85" t="str">
        <f>+[1]rubriques!B12</f>
        <v>chauffage</v>
      </c>
      <c r="Q17" s="86">
        <f t="shared" si="2"/>
        <v>0</v>
      </c>
      <c r="R17" s="86">
        <f t="shared" si="2"/>
        <v>0</v>
      </c>
      <c r="S17" s="86">
        <f t="shared" si="2"/>
        <v>0</v>
      </c>
      <c r="T17" s="86">
        <f t="shared" si="2"/>
        <v>0</v>
      </c>
      <c r="U17" s="87">
        <f t="shared" si="4"/>
        <v>0</v>
      </c>
      <c r="V17" s="192" t="str">
        <f t="shared" si="3"/>
        <v>F02</v>
      </c>
      <c r="X17" s="170"/>
      <c r="Y17" s="269"/>
      <c r="Z17" s="270"/>
      <c r="AA17" s="270"/>
      <c r="AB17" s="270"/>
      <c r="AC17" s="270"/>
      <c r="AD17" s="257"/>
      <c r="AE17" s="271"/>
      <c r="AF17" s="272"/>
      <c r="AG17" s="268"/>
      <c r="AJ17" s="255"/>
      <c r="AK17" s="248"/>
      <c r="AQ17" s="38"/>
      <c r="AR17" s="213"/>
      <c r="AS17" s="90"/>
      <c r="AT17" s="90"/>
      <c r="AU17" s="90"/>
      <c r="AV17" s="90"/>
      <c r="AW17" s="90"/>
      <c r="AX17" s="90"/>
      <c r="AZ17" s="59"/>
      <c r="BA17" s="115"/>
      <c r="BB17" s="59"/>
      <c r="BC17" s="59"/>
      <c r="BD17" s="59"/>
      <c r="BE17" s="91"/>
      <c r="BF17" s="91"/>
      <c r="BG17" s="91"/>
      <c r="BH17" s="91"/>
      <c r="BI17" s="59"/>
      <c r="BJ17" s="199"/>
      <c r="BK17" s="199"/>
    </row>
    <row r="18" spans="1:63" ht="12.75" customHeight="1" x14ac:dyDescent="0.2">
      <c r="A18" s="66">
        <v>516</v>
      </c>
      <c r="B18" s="60" t="str">
        <f t="shared" si="0"/>
        <v>03-22</v>
      </c>
      <c r="C18" s="67">
        <f>+'[1]journal de caisse'!B516</f>
        <v>44651</v>
      </c>
      <c r="D18" s="68" t="str">
        <f>IF(ISNUMBER(+'[1]journal de caisse'!C516),+'[1]journal de caisse'!C516,"-")</f>
        <v>-</v>
      </c>
      <c r="E18" s="69" t="str">
        <f>IF(ISTEXT(+'[1]journal de caisse'!D516),+'[1]journal de caisse'!D516,".")</f>
        <v>cabinet</v>
      </c>
      <c r="F18" s="69" t="str">
        <f>IF(ISTEXT(+'[1]journal de caisse'!E516),+'[1]journal de caisse'!E516,".")</f>
        <v>consultation</v>
      </c>
      <c r="G18" s="70" t="str">
        <f>IF(+'[1]journal de caisse'!F516,+'[1]journal de caisse'!F516,".")</f>
        <v>.</v>
      </c>
      <c r="H18" s="68">
        <f>IF(+'[1]journal de caisse'!G516,+'[1]journal de caisse'!G516,".")</f>
        <v>80</v>
      </c>
      <c r="I18" s="68" t="str">
        <f>IF(+'[1]journal de caisse'!H516,+'[1]journal de caisse'!H516,".")</f>
        <v>.</v>
      </c>
      <c r="J18" s="68" t="str">
        <f>IF(+'[1]journal de caisse'!I516,+'[1]journal de caisse'!I516,".")</f>
        <v>.</v>
      </c>
      <c r="K18" s="68" t="str">
        <f>IF(+'[1]journal de caisse'!J516,+'[1]journal de caisse'!J516,".")</f>
        <v>.</v>
      </c>
      <c r="L18" s="69" t="str">
        <f>IF(ISTEXT(+'[1]journal de caisse'!K516),+'[1]journal de caisse'!K516,".")</f>
        <v>recette</v>
      </c>
      <c r="M18" s="71" t="str">
        <f t="shared" si="1"/>
        <v>v</v>
      </c>
      <c r="N18" s="60">
        <f>+'[1]journal de caisse'!M516</f>
        <v>0</v>
      </c>
      <c r="O18" s="61" t="str">
        <f>IF(ISTEXT(L18),VLOOKUP(L18,[1]rubriques!$B$6:$H$51,7,FALSE),".")</f>
        <v>R1</v>
      </c>
      <c r="P18" s="85" t="str">
        <f>+[1]rubriques!B13</f>
        <v>comptable</v>
      </c>
      <c r="Q18" s="86">
        <f t="shared" ref="Q18:Q40" si="5">IF(ISTEXT($P18),SUMIF($L:$L,$P18,H:H),".")</f>
        <v>0</v>
      </c>
      <c r="R18" s="86">
        <f t="shared" ref="R18:R40" si="6">IF(ISTEXT($P18),SUMIF($L:$L,$P18,I:I),".")</f>
        <v>0</v>
      </c>
      <c r="S18" s="86">
        <f t="shared" ref="S18:S40" si="7">IF(ISTEXT($P18),SUMIF($L:$L,$P18,J:J),".")</f>
        <v>0</v>
      </c>
      <c r="T18" s="86">
        <f t="shared" ref="T18:T40" si="8">IF(ISTEXT($P18),SUMIF($L:$L,$P18,K:K),".")</f>
        <v>0</v>
      </c>
      <c r="U18" s="87">
        <f t="shared" si="4"/>
        <v>0</v>
      </c>
      <c r="V18" s="192" t="str">
        <f t="shared" si="3"/>
        <v>F03</v>
      </c>
      <c r="X18" s="170"/>
      <c r="Y18" s="269"/>
      <c r="Z18" s="270"/>
      <c r="AA18" s="270"/>
      <c r="AB18" s="270"/>
      <c r="AC18" s="270"/>
      <c r="AD18" s="257"/>
      <c r="AE18" s="271"/>
      <c r="AF18" s="272"/>
      <c r="AG18" s="268"/>
      <c r="AJ18" s="255"/>
      <c r="AK18" s="248"/>
      <c r="AQ18" s="38"/>
      <c r="AR18" s="99"/>
      <c r="AS18" s="99"/>
      <c r="AT18" s="99"/>
      <c r="AU18" s="99"/>
      <c r="AV18" s="99"/>
      <c r="AW18" s="99"/>
      <c r="AX18" s="99"/>
      <c r="AZ18" s="59"/>
      <c r="BA18" s="115"/>
      <c r="BB18" s="59"/>
      <c r="BC18" s="91"/>
      <c r="BD18" s="91"/>
      <c r="BE18" s="59"/>
      <c r="BF18" s="59"/>
      <c r="BG18" s="59"/>
      <c r="BH18" s="59"/>
      <c r="BI18" s="59"/>
      <c r="BJ18" s="199"/>
      <c r="BK18" s="199"/>
    </row>
    <row r="19" spans="1:63" ht="12.75" customHeight="1" x14ac:dyDescent="0.2">
      <c r="A19" s="66">
        <v>534</v>
      </c>
      <c r="B19" s="60" t="str">
        <f t="shared" si="0"/>
        <v>04-22</v>
      </c>
      <c r="C19" s="67">
        <f>+'[1]journal de caisse'!B534</f>
        <v>44679</v>
      </c>
      <c r="D19" s="68" t="str">
        <f>IF(ISNUMBER(+'[1]journal de caisse'!C534),+'[1]journal de caisse'!C534,"-")</f>
        <v>-</v>
      </c>
      <c r="E19" s="69" t="str">
        <f>IF(ISTEXT(+'[1]journal de caisse'!D534),+'[1]journal de caisse'!D534,".")</f>
        <v>cabinet</v>
      </c>
      <c r="F19" s="69" t="str">
        <f>IF(ISTEXT(+'[1]journal de caisse'!E534),+'[1]journal de caisse'!E534,".")</f>
        <v>consultation</v>
      </c>
      <c r="G19" s="70" t="str">
        <f>IF(+'[1]journal de caisse'!F534,+'[1]journal de caisse'!F534,".")</f>
        <v>.</v>
      </c>
      <c r="H19" s="68">
        <f>IF(+'[1]journal de caisse'!G534,+'[1]journal de caisse'!G534,".")</f>
        <v>40</v>
      </c>
      <c r="I19" s="68" t="str">
        <f>IF(+'[1]journal de caisse'!H534,+'[1]journal de caisse'!H534,".")</f>
        <v>.</v>
      </c>
      <c r="J19" s="68" t="str">
        <f>IF(+'[1]journal de caisse'!I534,+'[1]journal de caisse'!I534,".")</f>
        <v>.</v>
      </c>
      <c r="K19" s="68" t="str">
        <f>IF(+'[1]journal de caisse'!J534,+'[1]journal de caisse'!J534,".")</f>
        <v>.</v>
      </c>
      <c r="L19" s="69" t="str">
        <f>IF(ISTEXT(+'[1]journal de caisse'!K534),+'[1]journal de caisse'!K534,".")</f>
        <v>recette</v>
      </c>
      <c r="M19" s="71" t="str">
        <f t="shared" si="1"/>
        <v>v</v>
      </c>
      <c r="N19" s="60">
        <f>+'[1]journal de caisse'!M534</f>
        <v>0</v>
      </c>
      <c r="O19" s="61" t="str">
        <f>IF(ISTEXT(L19),VLOOKUP(L19,[1]rubriques!$B$6:$H$51,7,FALSE),".")</f>
        <v>R1</v>
      </c>
      <c r="P19" s="85" t="str">
        <f>+[1]rubriques!B14</f>
        <v>conférence</v>
      </c>
      <c r="Q19" s="86">
        <f t="shared" si="5"/>
        <v>0</v>
      </c>
      <c r="R19" s="86">
        <f t="shared" si="6"/>
        <v>0</v>
      </c>
      <c r="S19" s="86">
        <f t="shared" si="7"/>
        <v>0</v>
      </c>
      <c r="T19" s="86">
        <f t="shared" si="8"/>
        <v>0</v>
      </c>
      <c r="U19" s="87">
        <f t="shared" si="4"/>
        <v>0</v>
      </c>
      <c r="V19" s="192" t="str">
        <f t="shared" si="3"/>
        <v>F06</v>
      </c>
      <c r="X19" s="170"/>
      <c r="Y19" s="269"/>
      <c r="Z19" s="270"/>
      <c r="AA19" s="270"/>
      <c r="AB19" s="270"/>
      <c r="AC19" s="270"/>
      <c r="AD19" s="257"/>
      <c r="AE19" s="271"/>
      <c r="AF19" s="272"/>
      <c r="AG19" s="268"/>
      <c r="AJ19" s="255"/>
      <c r="AK19" s="248"/>
      <c r="AQ19" s="38"/>
      <c r="AR19" s="99"/>
      <c r="AS19" s="92"/>
      <c r="AT19" s="92"/>
      <c r="AU19" s="92"/>
      <c r="AV19" s="92"/>
      <c r="AW19" s="92"/>
      <c r="AX19" s="92"/>
      <c r="AZ19" s="59"/>
      <c r="BA19" s="115"/>
      <c r="BB19" s="59"/>
      <c r="BC19" s="91"/>
      <c r="BD19" s="59"/>
      <c r="BE19" s="59"/>
      <c r="BF19" s="59"/>
      <c r="BG19" s="59"/>
      <c r="BH19" s="59"/>
      <c r="BI19" s="59"/>
      <c r="BJ19" s="199"/>
      <c r="BK19" s="99"/>
    </row>
    <row r="20" spans="1:63" ht="12.75" customHeight="1" x14ac:dyDescent="0.2">
      <c r="A20" s="66">
        <v>535</v>
      </c>
      <c r="B20" s="60" t="str">
        <f t="shared" si="0"/>
        <v>04-22</v>
      </c>
      <c r="C20" s="67">
        <f>+'[1]journal de caisse'!B535</f>
        <v>44680</v>
      </c>
      <c r="D20" s="68" t="str">
        <f>IF(ISNUMBER(+'[1]journal de caisse'!C535),+'[1]journal de caisse'!C535,"-")</f>
        <v>-</v>
      </c>
      <c r="E20" s="69" t="str">
        <f>IF(ISTEXT(+'[1]journal de caisse'!D535),+'[1]journal de caisse'!D535,".")</f>
        <v>cabinet</v>
      </c>
      <c r="F20" s="69" t="str">
        <f>IF(ISTEXT(+'[1]journal de caisse'!E535),+'[1]journal de caisse'!E535,".")</f>
        <v>consultation</v>
      </c>
      <c r="G20" s="70" t="str">
        <f>IF(+'[1]journal de caisse'!F535,+'[1]journal de caisse'!F535,".")</f>
        <v>.</v>
      </c>
      <c r="H20" s="68">
        <f>IF(+'[1]journal de caisse'!G535,+'[1]journal de caisse'!G535,".")</f>
        <v>120</v>
      </c>
      <c r="I20" s="68" t="str">
        <f>IF(+'[1]journal de caisse'!H535,+'[1]journal de caisse'!H535,".")</f>
        <v>.</v>
      </c>
      <c r="J20" s="68" t="str">
        <f>IF(+'[1]journal de caisse'!I535,+'[1]journal de caisse'!I535,".")</f>
        <v>.</v>
      </c>
      <c r="K20" s="68" t="str">
        <f>IF(+'[1]journal de caisse'!J535,+'[1]journal de caisse'!J535,".")</f>
        <v>.</v>
      </c>
      <c r="L20" s="69" t="str">
        <f>IF(ISTEXT(+'[1]journal de caisse'!K535),+'[1]journal de caisse'!K535,".")</f>
        <v>recette</v>
      </c>
      <c r="M20" s="71" t="str">
        <f t="shared" si="1"/>
        <v>v</v>
      </c>
      <c r="N20" s="60">
        <f>+'[1]journal de caisse'!M535</f>
        <v>0</v>
      </c>
      <c r="O20" s="61" t="str">
        <f>IF(ISTEXT(L20),VLOOKUP(L20,[1]rubriques!$B$6:$H$51,7,FALSE),".")</f>
        <v>R1</v>
      </c>
      <c r="P20" s="85" t="str">
        <f>+[1]rubriques!B15</f>
        <v>consomable</v>
      </c>
      <c r="Q20" s="86">
        <f t="shared" si="5"/>
        <v>0</v>
      </c>
      <c r="R20" s="86">
        <f t="shared" si="6"/>
        <v>0</v>
      </c>
      <c r="S20" s="86">
        <f t="shared" si="7"/>
        <v>0</v>
      </c>
      <c r="T20" s="86">
        <f t="shared" si="8"/>
        <v>53.430000000000007</v>
      </c>
      <c r="U20" s="87">
        <f t="shared" si="4"/>
        <v>-53.430000000000007</v>
      </c>
      <c r="V20" s="192" t="str">
        <f t="shared" si="3"/>
        <v>F09</v>
      </c>
      <c r="X20" s="170"/>
      <c r="Y20" s="269"/>
      <c r="Z20" s="270"/>
      <c r="AA20" s="270"/>
      <c r="AB20" s="270"/>
      <c r="AC20" s="270"/>
      <c r="AD20" s="257"/>
      <c r="AE20" s="271"/>
      <c r="AF20" s="272"/>
      <c r="AG20" s="268"/>
      <c r="AJ20" s="255"/>
      <c r="AK20" s="248"/>
      <c r="AQ20" s="38"/>
      <c r="AR20" s="99"/>
      <c r="AS20" s="92"/>
      <c r="AT20" s="92"/>
      <c r="AU20" s="92"/>
      <c r="AV20" s="92"/>
      <c r="AW20" s="92"/>
      <c r="AX20" s="92"/>
      <c r="AZ20" s="59"/>
      <c r="BA20" s="115"/>
      <c r="BB20" s="91"/>
      <c r="BC20" s="59"/>
      <c r="BD20" s="59"/>
      <c r="BE20" s="59"/>
      <c r="BF20" s="59"/>
      <c r="BG20" s="59"/>
      <c r="BH20" s="59"/>
      <c r="BI20" s="59"/>
      <c r="BJ20" s="199"/>
      <c r="BK20" s="99"/>
    </row>
    <row r="21" spans="1:63" ht="12.75" customHeight="1" x14ac:dyDescent="0.2">
      <c r="A21" s="66">
        <v>552</v>
      </c>
      <c r="B21" s="60" t="str">
        <f t="shared" si="0"/>
        <v>05-22</v>
      </c>
      <c r="C21" s="67">
        <f>+'[1]journal de caisse'!B552</f>
        <v>44712</v>
      </c>
      <c r="D21" s="68" t="str">
        <f>IF(ISNUMBER(+'[1]journal de caisse'!C552),+'[1]journal de caisse'!C552,"-")</f>
        <v>-</v>
      </c>
      <c r="E21" s="69" t="str">
        <f>IF(ISTEXT(+'[1]journal de caisse'!D552),+'[1]journal de caisse'!D552,".")</f>
        <v>cabinet</v>
      </c>
      <c r="F21" s="69" t="str">
        <f>IF(ISTEXT(+'[1]journal de caisse'!E552),+'[1]journal de caisse'!E552,".")</f>
        <v>consultation</v>
      </c>
      <c r="G21" s="70" t="str">
        <f>IF(+'[1]journal de caisse'!F552,+'[1]journal de caisse'!F552,".")</f>
        <v>.</v>
      </c>
      <c r="H21" s="68">
        <f>IF(+'[1]journal de caisse'!G552,+'[1]journal de caisse'!G552,".")</f>
        <v>40</v>
      </c>
      <c r="I21" s="68" t="str">
        <f>IF(+'[1]journal de caisse'!H552,+'[1]journal de caisse'!H552,".")</f>
        <v>.</v>
      </c>
      <c r="J21" s="68" t="str">
        <f>IF(+'[1]journal de caisse'!I552,+'[1]journal de caisse'!I552,".")</f>
        <v>.</v>
      </c>
      <c r="K21" s="68" t="str">
        <f>IF(+'[1]journal de caisse'!J552,+'[1]journal de caisse'!J552,".")</f>
        <v>.</v>
      </c>
      <c r="L21" s="69" t="str">
        <f>IF(ISTEXT(+'[1]journal de caisse'!K552),+'[1]journal de caisse'!K552,".")</f>
        <v>recette</v>
      </c>
      <c r="M21" s="71" t="str">
        <f t="shared" si="1"/>
        <v>v</v>
      </c>
      <c r="N21" s="60">
        <f>+'[1]journal de caisse'!M552</f>
        <v>0</v>
      </c>
      <c r="O21" s="61" t="str">
        <f>IF(ISTEXT(L21),VLOOKUP(L21,[1]rubriques!$B$6:$H$51,7,FALSE),".")</f>
        <v>R1</v>
      </c>
      <c r="P21" s="85" t="str">
        <f>+[1]rubriques!B16</f>
        <v>eau</v>
      </c>
      <c r="Q21" s="86">
        <f t="shared" si="5"/>
        <v>0</v>
      </c>
      <c r="R21" s="86">
        <f t="shared" si="6"/>
        <v>0</v>
      </c>
      <c r="S21" s="86">
        <f t="shared" si="7"/>
        <v>0</v>
      </c>
      <c r="T21" s="86">
        <f t="shared" si="8"/>
        <v>0</v>
      </c>
      <c r="U21" s="87">
        <f t="shared" si="4"/>
        <v>0</v>
      </c>
      <c r="V21" s="192" t="str">
        <f t="shared" si="3"/>
        <v>F02</v>
      </c>
      <c r="X21" s="170"/>
      <c r="Y21" s="269"/>
      <c r="Z21" s="270"/>
      <c r="AA21" s="270"/>
      <c r="AB21" s="270"/>
      <c r="AC21" s="270"/>
      <c r="AD21" s="257"/>
      <c r="AE21" s="271"/>
      <c r="AF21" s="272"/>
      <c r="AG21" s="268"/>
      <c r="AJ21" s="255"/>
      <c r="AK21" s="248"/>
      <c r="AQ21" s="38"/>
      <c r="AZ21" s="59"/>
      <c r="BA21" s="115"/>
      <c r="BB21" s="91"/>
      <c r="BC21" s="59"/>
      <c r="BD21" s="59"/>
      <c r="BE21" s="91"/>
      <c r="BF21" s="91"/>
      <c r="BG21" s="91"/>
      <c r="BH21" s="91"/>
      <c r="BI21" s="59"/>
      <c r="BJ21" s="199"/>
      <c r="BK21" s="217"/>
    </row>
    <row r="22" spans="1:63" ht="12.75" customHeight="1" x14ac:dyDescent="0.2">
      <c r="A22" s="66">
        <v>553</v>
      </c>
      <c r="B22" s="60" t="str">
        <f t="shared" si="0"/>
        <v>06-22</v>
      </c>
      <c r="C22" s="67">
        <f>+'[1]journal de caisse'!B553</f>
        <v>44713</v>
      </c>
      <c r="D22" s="68">
        <f>IF(ISNUMBER(+'[1]journal de caisse'!C553),+'[1]journal de caisse'!C553,"-")</f>
        <v>30</v>
      </c>
      <c r="E22" s="69" t="str">
        <f>IF(ISTEXT(+'[1]journal de caisse'!D553),+'[1]journal de caisse'!D553,".")</f>
        <v>voo</v>
      </c>
      <c r="F22" s="69" t="str">
        <f>IF(ISTEXT(+'[1]journal de caisse'!E553),+'[1]journal de caisse'!E553,".")</f>
        <v>abonnement tél</v>
      </c>
      <c r="G22" s="70">
        <f>IF(+'[1]journal de caisse'!F553,+'[1]journal de caisse'!F553,".")</f>
        <v>44682</v>
      </c>
      <c r="H22" s="68" t="str">
        <f>IF(+'[1]journal de caisse'!G553,+'[1]journal de caisse'!G553,".")</f>
        <v>.</v>
      </c>
      <c r="I22" s="68" t="str">
        <f>IF(+'[1]journal de caisse'!H553,+'[1]journal de caisse'!H553,".")</f>
        <v>.</v>
      </c>
      <c r="J22" s="68" t="str">
        <f>IF(+'[1]journal de caisse'!I553,+'[1]journal de caisse'!I553,".")</f>
        <v>.</v>
      </c>
      <c r="K22" s="68">
        <f>IF(+'[1]journal de caisse'!J553,+'[1]journal de caisse'!J553,".")</f>
        <v>13</v>
      </c>
      <c r="L22" s="69" t="str">
        <f>IF(ISTEXT(+'[1]journal de caisse'!K553),+'[1]journal de caisse'!K553,".")</f>
        <v>abonnement tél</v>
      </c>
      <c r="M22" s="71" t="str">
        <f t="shared" si="1"/>
        <v>v</v>
      </c>
      <c r="N22" s="60">
        <f>+'[1]journal de caisse'!M553</f>
        <v>0</v>
      </c>
      <c r="O22" s="61" t="str">
        <f>IF(ISTEXT(L22),VLOOKUP(L22,[1]rubriques!$B$6:$H$51,7,FALSE),".")</f>
        <v>F08</v>
      </c>
      <c r="P22" s="85" t="str">
        <f>+[1]rubriques!B17</f>
        <v>Electrabel</v>
      </c>
      <c r="Q22" s="86">
        <f t="shared" si="5"/>
        <v>0</v>
      </c>
      <c r="R22" s="86">
        <f t="shared" si="6"/>
        <v>0</v>
      </c>
      <c r="S22" s="86">
        <f t="shared" si="7"/>
        <v>0</v>
      </c>
      <c r="T22" s="86">
        <f t="shared" si="8"/>
        <v>94.07</v>
      </c>
      <c r="U22" s="87">
        <f t="shared" si="4"/>
        <v>-94.07</v>
      </c>
      <c r="V22" s="192" t="str">
        <f t="shared" si="3"/>
        <v>F02</v>
      </c>
      <c r="X22" s="170"/>
      <c r="Y22" s="269"/>
      <c r="Z22" s="270"/>
      <c r="AA22" s="270"/>
      <c r="AB22" s="270"/>
      <c r="AC22" s="270"/>
      <c r="AD22" s="257"/>
      <c r="AE22" s="271"/>
      <c r="AF22" s="272"/>
      <c r="AG22" s="268"/>
      <c r="AJ22" s="255"/>
      <c r="AK22" s="248"/>
      <c r="AQ22" s="38"/>
      <c r="AR22" s="99"/>
      <c r="AS22" s="99"/>
      <c r="AT22" s="99"/>
      <c r="AU22" s="99"/>
      <c r="AV22" s="99"/>
      <c r="AW22" s="99"/>
      <c r="AX22" s="99"/>
      <c r="AZ22" s="59"/>
      <c r="BA22" s="115"/>
      <c r="BB22" s="59"/>
      <c r="BC22" s="91"/>
      <c r="BD22" s="91"/>
      <c r="BE22" s="59"/>
      <c r="BF22" s="59"/>
      <c r="BG22" s="59"/>
      <c r="BH22" s="59"/>
      <c r="BI22" s="59"/>
      <c r="BJ22" s="199"/>
      <c r="BK22" s="217"/>
    </row>
    <row r="23" spans="1:63" ht="12.75" customHeight="1" x14ac:dyDescent="0.2">
      <c r="A23" s="66">
        <v>554</v>
      </c>
      <c r="B23" s="60" t="str">
        <f t="shared" si="0"/>
        <v>06-22</v>
      </c>
      <c r="C23" s="67">
        <f>+'[1]journal de caisse'!B554</f>
        <v>44713</v>
      </c>
      <c r="D23" s="68" t="str">
        <f>IF(ISNUMBER(+'[1]journal de caisse'!C554),+'[1]journal de caisse'!C554,"-")</f>
        <v>-</v>
      </c>
      <c r="E23" s="69" t="str">
        <f>IF(ISTEXT(+'[1]journal de caisse'!D554),+'[1]journal de caisse'!D554,".")</f>
        <v>cabinet</v>
      </c>
      <c r="F23" s="69" t="str">
        <f>IF(ISTEXT(+'[1]journal de caisse'!E554),+'[1]journal de caisse'!E554,".")</f>
        <v>consultation</v>
      </c>
      <c r="G23" s="70" t="str">
        <f>IF(+'[1]journal de caisse'!F554,+'[1]journal de caisse'!F554,".")</f>
        <v>.</v>
      </c>
      <c r="H23" s="68">
        <f>IF(+'[1]journal de caisse'!G554,+'[1]journal de caisse'!G554,".")</f>
        <v>40</v>
      </c>
      <c r="I23" s="68" t="str">
        <f>IF(+'[1]journal de caisse'!H554,+'[1]journal de caisse'!H554,".")</f>
        <v>.</v>
      </c>
      <c r="J23" s="68" t="str">
        <f>IF(+'[1]journal de caisse'!I554,+'[1]journal de caisse'!I554,".")</f>
        <v>.</v>
      </c>
      <c r="K23" s="68" t="str">
        <f>IF(+'[1]journal de caisse'!J554,+'[1]journal de caisse'!J554,".")</f>
        <v>.</v>
      </c>
      <c r="L23" s="69" t="str">
        <f>IF(ISTEXT(+'[1]journal de caisse'!K554),+'[1]journal de caisse'!K554,".")</f>
        <v>recette</v>
      </c>
      <c r="M23" s="71" t="str">
        <f t="shared" si="1"/>
        <v>v</v>
      </c>
      <c r="N23" s="60">
        <f>+'[1]journal de caisse'!M554</f>
        <v>0</v>
      </c>
      <c r="O23" s="61" t="str">
        <f>IF(ISTEXT(L23),VLOOKUP(L23,[1]rubriques!$B$6:$H$51,7,FALSE),".")</f>
        <v>R1</v>
      </c>
      <c r="P23" s="85" t="str">
        <f>+[1]rubriques!B18</f>
        <v>enregistrement</v>
      </c>
      <c r="Q23" s="86">
        <f t="shared" si="5"/>
        <v>0</v>
      </c>
      <c r="R23" s="86">
        <f t="shared" si="6"/>
        <v>0</v>
      </c>
      <c r="S23" s="86">
        <f t="shared" si="7"/>
        <v>0</v>
      </c>
      <c r="T23" s="86">
        <f t="shared" si="8"/>
        <v>0</v>
      </c>
      <c r="U23" s="87">
        <f t="shared" si="4"/>
        <v>0</v>
      </c>
      <c r="V23" s="192" t="str">
        <f t="shared" si="3"/>
        <v>F01</v>
      </c>
      <c r="X23" s="170"/>
      <c r="Y23" s="269"/>
      <c r="Z23" s="270"/>
      <c r="AA23" s="270"/>
      <c r="AB23" s="270"/>
      <c r="AC23" s="270"/>
      <c r="AD23" s="257"/>
      <c r="AE23" s="271"/>
      <c r="AF23" s="272"/>
      <c r="AG23" s="268"/>
      <c r="AJ23" s="255"/>
      <c r="AK23" s="248"/>
      <c r="AQ23" s="38"/>
      <c r="AR23" s="99"/>
      <c r="AS23" s="99"/>
      <c r="AT23" s="99"/>
      <c r="AU23" s="99"/>
      <c r="AV23" s="99"/>
      <c r="AW23" s="99"/>
      <c r="AX23" s="99"/>
      <c r="AZ23" s="218"/>
      <c r="BA23" s="59"/>
      <c r="BB23" s="59"/>
      <c r="BC23" s="59"/>
      <c r="BD23" s="59"/>
      <c r="BE23" s="211"/>
      <c r="BF23" s="59"/>
      <c r="BG23" s="59"/>
      <c r="BH23" s="59"/>
      <c r="BI23" s="59"/>
    </row>
    <row r="24" spans="1:63" ht="12.75" customHeight="1" x14ac:dyDescent="0.2">
      <c r="A24" s="66">
        <v>555</v>
      </c>
      <c r="B24" s="60" t="str">
        <f t="shared" si="0"/>
        <v>06-22</v>
      </c>
      <c r="C24" s="67">
        <f>+'[1]journal de caisse'!B555</f>
        <v>44715</v>
      </c>
      <c r="D24" s="68" t="str">
        <f>IF(ISNUMBER(+'[1]journal de caisse'!C555),+'[1]journal de caisse'!C555,"-")</f>
        <v>-</v>
      </c>
      <c r="E24" s="69" t="str">
        <f>IF(ISTEXT(+'[1]journal de caisse'!D555),+'[1]journal de caisse'!D555,".")</f>
        <v>cabinet</v>
      </c>
      <c r="F24" s="69" t="str">
        <f>IF(ISTEXT(+'[1]journal de caisse'!E555),+'[1]journal de caisse'!E555,".")</f>
        <v>consultation</v>
      </c>
      <c r="G24" s="70" t="str">
        <f>IF(+'[1]journal de caisse'!F555,+'[1]journal de caisse'!F555,".")</f>
        <v>.</v>
      </c>
      <c r="H24" s="68">
        <f>IF(+'[1]journal de caisse'!G555,+'[1]journal de caisse'!G555,".")</f>
        <v>40</v>
      </c>
      <c r="I24" s="68" t="str">
        <f>IF(+'[1]journal de caisse'!H555,+'[1]journal de caisse'!H555,".")</f>
        <v>.</v>
      </c>
      <c r="J24" s="68" t="str">
        <f>IF(+'[1]journal de caisse'!I555,+'[1]journal de caisse'!I555,".")</f>
        <v>.</v>
      </c>
      <c r="K24" s="68" t="str">
        <f>IF(+'[1]journal de caisse'!J555,+'[1]journal de caisse'!J555,".")</f>
        <v>.</v>
      </c>
      <c r="L24" s="69" t="str">
        <f>IF(ISTEXT(+'[1]journal de caisse'!K555),+'[1]journal de caisse'!K555,".")</f>
        <v>recette</v>
      </c>
      <c r="M24" s="71" t="str">
        <f t="shared" si="1"/>
        <v>v</v>
      </c>
      <c r="N24" s="60">
        <f>+'[1]journal de caisse'!M555</f>
        <v>0</v>
      </c>
      <c r="O24" s="61" t="str">
        <f>IF(ISTEXT(L24),VLOOKUP(L24,[1]rubriques!$B$6:$H$51,7,FALSE),".")</f>
        <v>R1</v>
      </c>
      <c r="P24" s="85" t="str">
        <f>+[1]rubriques!B19</f>
        <v>entretien</v>
      </c>
      <c r="Q24" s="86">
        <f t="shared" si="5"/>
        <v>0</v>
      </c>
      <c r="R24" s="86">
        <f t="shared" si="6"/>
        <v>0</v>
      </c>
      <c r="S24" s="86">
        <f t="shared" si="7"/>
        <v>0</v>
      </c>
      <c r="T24" s="86">
        <f t="shared" si="8"/>
        <v>0</v>
      </c>
      <c r="U24" s="87">
        <f t="shared" si="4"/>
        <v>0</v>
      </c>
      <c r="V24" s="192" t="str">
        <f>IF(P24="x",".",VLOOKUP(P24,rubriques,7,FALSE))</f>
        <v>F01</v>
      </c>
      <c r="Z24" s="257"/>
      <c r="AA24" s="257"/>
      <c r="AB24" s="257"/>
      <c r="AC24" s="257"/>
      <c r="AE24" s="273"/>
      <c r="AF24" s="273"/>
      <c r="AG24" s="257"/>
      <c r="AJ24" s="255"/>
      <c r="AK24" s="248"/>
      <c r="AQ24" s="38"/>
      <c r="AR24" s="99"/>
      <c r="AS24" s="99"/>
      <c r="AT24" s="99"/>
      <c r="AU24" s="99"/>
      <c r="AV24" s="99"/>
      <c r="AW24" s="99"/>
      <c r="AX24" s="99"/>
      <c r="AZ24" s="59"/>
      <c r="BA24" s="59"/>
      <c r="BB24" s="91"/>
      <c r="BC24" s="91"/>
      <c r="BD24" s="91"/>
      <c r="BE24" s="91"/>
      <c r="BF24" s="91"/>
      <c r="BG24" s="91"/>
      <c r="BH24" s="93"/>
      <c r="BI24" s="59"/>
      <c r="BJ24" s="94"/>
    </row>
    <row r="25" spans="1:63" ht="12.75" customHeight="1" x14ac:dyDescent="0.2">
      <c r="A25" s="66">
        <v>569</v>
      </c>
      <c r="B25" s="60" t="str">
        <f t="shared" si="0"/>
        <v>07-22</v>
      </c>
      <c r="C25" s="67">
        <f>+'[1]journal de caisse'!B569</f>
        <v>44747</v>
      </c>
      <c r="D25" s="68">
        <f>IF(ISNUMBER(+'[1]journal de caisse'!C569),+'[1]journal de caisse'!C569,"-")</f>
        <v>36</v>
      </c>
      <c r="E25" s="69" t="str">
        <f>IF(ISTEXT(+'[1]journal de caisse'!D569),+'[1]journal de caisse'!D569,".")</f>
        <v>voo</v>
      </c>
      <c r="F25" s="69" t="str">
        <f>IF(ISTEXT(+'[1]journal de caisse'!E569),+'[1]journal de caisse'!E569,".")</f>
        <v>abonnement tél</v>
      </c>
      <c r="G25" s="70">
        <f>IF(+'[1]journal de caisse'!F569,+'[1]journal de caisse'!F569,".")</f>
        <v>44713</v>
      </c>
      <c r="H25" s="68" t="str">
        <f>IF(+'[1]journal de caisse'!G569,+'[1]journal de caisse'!G569,".")</f>
        <v>.</v>
      </c>
      <c r="I25" s="68" t="str">
        <f>IF(+'[1]journal de caisse'!H569,+'[1]journal de caisse'!H569,".")</f>
        <v>.</v>
      </c>
      <c r="J25" s="68" t="str">
        <f>IF(+'[1]journal de caisse'!I569,+'[1]journal de caisse'!I569,".")</f>
        <v>.</v>
      </c>
      <c r="K25" s="68">
        <f>IF(+'[1]journal de caisse'!J569,+'[1]journal de caisse'!J569,".")</f>
        <v>13</v>
      </c>
      <c r="L25" s="69" t="str">
        <f>IF(ISTEXT(+'[1]journal de caisse'!K569),+'[1]journal de caisse'!K569,".")</f>
        <v>abonnement tél</v>
      </c>
      <c r="M25" s="71" t="str">
        <f t="shared" si="1"/>
        <v>v</v>
      </c>
      <c r="N25" s="60">
        <f>+'[1]journal de caisse'!M569</f>
        <v>0</v>
      </c>
      <c r="O25" s="61" t="str">
        <f>IF(ISTEXT(L25),VLOOKUP(L25,[1]rubriques!$B$6:$H$51,7,FALSE),".")</f>
        <v>F08</v>
      </c>
      <c r="P25" s="85" t="str">
        <f>+[1]rubriques!B20</f>
        <v>Frais bureau</v>
      </c>
      <c r="Q25" s="86">
        <f t="shared" si="5"/>
        <v>0</v>
      </c>
      <c r="R25" s="86">
        <f t="shared" si="6"/>
        <v>0</v>
      </c>
      <c r="S25" s="86">
        <f t="shared" si="7"/>
        <v>0</v>
      </c>
      <c r="T25" s="86">
        <f t="shared" si="8"/>
        <v>0</v>
      </c>
      <c r="U25" s="87">
        <f t="shared" si="4"/>
        <v>0</v>
      </c>
      <c r="V25" s="192" t="str">
        <f t="shared" si="3"/>
        <v>F09</v>
      </c>
      <c r="Y25" s="258"/>
      <c r="Z25" s="257"/>
      <c r="AA25" s="257"/>
      <c r="AB25" s="257"/>
      <c r="AC25" s="257"/>
      <c r="AE25" s="273"/>
      <c r="AJ25" s="255"/>
      <c r="AK25" s="248"/>
      <c r="AQ25" s="38"/>
      <c r="AR25" s="99"/>
      <c r="AS25" s="99"/>
      <c r="AT25" s="99"/>
      <c r="AU25" s="99"/>
      <c r="AV25" s="99"/>
      <c r="AW25" s="99"/>
      <c r="AX25" s="99"/>
      <c r="AZ25" s="59"/>
      <c r="BA25" s="59"/>
      <c r="BB25" s="91"/>
      <c r="BC25" s="91"/>
      <c r="BD25" s="91"/>
      <c r="BE25" s="91"/>
      <c r="BF25" s="91"/>
      <c r="BG25" s="91"/>
      <c r="BH25" s="91"/>
      <c r="BI25" s="59"/>
      <c r="BJ25" s="94"/>
    </row>
    <row r="26" spans="1:63" ht="12.75" customHeight="1" x14ac:dyDescent="0.2">
      <c r="A26" s="66">
        <v>570</v>
      </c>
      <c r="B26" s="60" t="str">
        <f t="shared" si="0"/>
        <v>07-22</v>
      </c>
      <c r="C26" s="67">
        <f>+'[1]journal de caisse'!B570</f>
        <v>44747</v>
      </c>
      <c r="D26" s="68" t="str">
        <f>IF(ISNUMBER(+'[1]journal de caisse'!C570),+'[1]journal de caisse'!C570,"-")</f>
        <v>-</v>
      </c>
      <c r="E26" s="69" t="str">
        <f>IF(ISTEXT(+'[1]journal de caisse'!D570),+'[1]journal de caisse'!D570,".")</f>
        <v>cabinet</v>
      </c>
      <c r="F26" s="69" t="str">
        <f>IF(ISTEXT(+'[1]journal de caisse'!E570),+'[1]journal de caisse'!E570,".")</f>
        <v>consultation</v>
      </c>
      <c r="G26" s="70" t="str">
        <f>IF(+'[1]journal de caisse'!F570,+'[1]journal de caisse'!F570,".")</f>
        <v>.</v>
      </c>
      <c r="H26" s="68">
        <f>IF(+'[1]journal de caisse'!G570,+'[1]journal de caisse'!G570,".")</f>
        <v>40</v>
      </c>
      <c r="I26" s="68" t="str">
        <f>IF(+'[1]journal de caisse'!H570,+'[1]journal de caisse'!H570,".")</f>
        <v>.</v>
      </c>
      <c r="J26" s="68" t="str">
        <f>IF(+'[1]journal de caisse'!I570,+'[1]journal de caisse'!I570,".")</f>
        <v>.</v>
      </c>
      <c r="K26" s="68" t="str">
        <f>IF(+'[1]journal de caisse'!J570,+'[1]journal de caisse'!J570,".")</f>
        <v>.</v>
      </c>
      <c r="L26" s="69" t="str">
        <f>IF(ISTEXT(+'[1]journal de caisse'!K570),+'[1]journal de caisse'!K570,".")</f>
        <v>recette</v>
      </c>
      <c r="M26" s="71" t="str">
        <f t="shared" si="1"/>
        <v>v</v>
      </c>
      <c r="N26" s="60">
        <f>+'[1]journal de caisse'!M570</f>
        <v>0</v>
      </c>
      <c r="O26" s="61" t="str">
        <f>IF(ISTEXT(L26),VLOOKUP(L26,[1]rubriques!$B$6:$H$51,7,FALSE),".")</f>
        <v>R1</v>
      </c>
      <c r="P26" s="85" t="str">
        <f>+[1]rubriques!B21</f>
        <v>Publicité</v>
      </c>
      <c r="Q26" s="86">
        <f t="shared" si="5"/>
        <v>0</v>
      </c>
      <c r="R26" s="86">
        <f t="shared" si="6"/>
        <v>0</v>
      </c>
      <c r="S26" s="86">
        <f t="shared" si="7"/>
        <v>0</v>
      </c>
      <c r="T26" s="86">
        <f t="shared" si="8"/>
        <v>0</v>
      </c>
      <c r="U26" s="87">
        <f t="shared" si="4"/>
        <v>0</v>
      </c>
      <c r="V26" s="192" t="str">
        <f t="shared" si="3"/>
        <v>F07</v>
      </c>
      <c r="Z26" s="274"/>
      <c r="AB26" s="274"/>
      <c r="AF26" s="257"/>
      <c r="AJ26" s="255"/>
      <c r="AK26" s="248"/>
      <c r="AQ26" s="38"/>
      <c r="AR26" s="99"/>
      <c r="AS26" s="99"/>
      <c r="AT26" s="99"/>
      <c r="AU26" s="99"/>
      <c r="AV26" s="99"/>
      <c r="AW26" s="99"/>
      <c r="AX26" s="99"/>
      <c r="AZ26" s="209"/>
      <c r="BA26" s="209"/>
      <c r="BB26" s="219"/>
      <c r="BC26" s="219"/>
      <c r="BD26" s="219"/>
      <c r="BE26" s="219"/>
      <c r="BF26" s="219"/>
      <c r="BG26" s="91"/>
      <c r="BH26" s="91"/>
      <c r="BI26" s="59"/>
      <c r="BJ26" s="94"/>
      <c r="BK26" s="89"/>
    </row>
    <row r="27" spans="1:63" ht="12.75" customHeight="1" x14ac:dyDescent="0.2">
      <c r="A27" s="66">
        <v>571</v>
      </c>
      <c r="B27" s="60" t="str">
        <f t="shared" si="0"/>
        <v>07-22</v>
      </c>
      <c r="C27" s="67">
        <f>+'[1]journal de caisse'!B571</f>
        <v>44748</v>
      </c>
      <c r="D27" s="68" t="str">
        <f>IF(ISNUMBER(+'[1]journal de caisse'!C571),+'[1]journal de caisse'!C571,"-")</f>
        <v>-</v>
      </c>
      <c r="E27" s="69" t="str">
        <f>IF(ISTEXT(+'[1]journal de caisse'!D571),+'[1]journal de caisse'!D571,".")</f>
        <v>cabinet</v>
      </c>
      <c r="F27" s="69" t="str">
        <f>IF(ISTEXT(+'[1]journal de caisse'!E571),+'[1]journal de caisse'!E571,".")</f>
        <v>consultation</v>
      </c>
      <c r="G27" s="70" t="str">
        <f>IF(+'[1]journal de caisse'!F571,+'[1]journal de caisse'!F571,".")</f>
        <v>.</v>
      </c>
      <c r="H27" s="68">
        <f>IF(+'[1]journal de caisse'!G571,+'[1]journal de caisse'!G571,".")</f>
        <v>120</v>
      </c>
      <c r="I27" s="68" t="str">
        <f>IF(+'[1]journal de caisse'!H571,+'[1]journal de caisse'!H571,".")</f>
        <v>.</v>
      </c>
      <c r="J27" s="68" t="str">
        <f>IF(+'[1]journal de caisse'!I571,+'[1]journal de caisse'!I571,".")</f>
        <v>.</v>
      </c>
      <c r="K27" s="68" t="str">
        <f>IF(+'[1]journal de caisse'!J571,+'[1]journal de caisse'!J571,".")</f>
        <v>.</v>
      </c>
      <c r="L27" s="69" t="str">
        <f>IF(ISTEXT(+'[1]journal de caisse'!K571),+'[1]journal de caisse'!K571,".")</f>
        <v>recette</v>
      </c>
      <c r="M27" s="71" t="str">
        <f t="shared" si="1"/>
        <v>v</v>
      </c>
      <c r="N27" s="60">
        <f>+'[1]journal de caisse'!M571</f>
        <v>0</v>
      </c>
      <c r="O27" s="61" t="str">
        <f>IF(ISTEXT(L27),VLOOKUP(L27,[1]rubriques!$B$6:$H$51,7,FALSE),".")</f>
        <v>R1</v>
      </c>
      <c r="P27" s="85" t="str">
        <f>+[1]rubriques!B22</f>
        <v>librairie</v>
      </c>
      <c r="Q27" s="86">
        <f t="shared" si="5"/>
        <v>0</v>
      </c>
      <c r="R27" s="86">
        <f t="shared" si="6"/>
        <v>0</v>
      </c>
      <c r="S27" s="86">
        <f t="shared" si="7"/>
        <v>0</v>
      </c>
      <c r="T27" s="86">
        <f t="shared" si="8"/>
        <v>0</v>
      </c>
      <c r="U27" s="87">
        <f t="shared" si="4"/>
        <v>0</v>
      </c>
      <c r="V27" s="192" t="str">
        <f t="shared" si="3"/>
        <v>F06</v>
      </c>
      <c r="Z27" s="257"/>
      <c r="AJ27" s="255"/>
      <c r="AK27" s="248"/>
      <c r="AQ27" s="38"/>
      <c r="AR27" s="99"/>
      <c r="AS27" s="99"/>
      <c r="AT27" s="99"/>
      <c r="AU27" s="99"/>
      <c r="AV27" s="99"/>
      <c r="AW27" s="99"/>
      <c r="AX27" s="99"/>
      <c r="AZ27" s="96"/>
      <c r="BA27" s="96"/>
      <c r="BB27" s="91"/>
      <c r="BC27" s="91"/>
      <c r="BD27" s="91"/>
      <c r="BE27" s="91"/>
      <c r="BF27" s="91"/>
      <c r="BG27" s="91"/>
      <c r="BH27" s="93"/>
      <c r="BI27" s="59"/>
      <c r="BJ27" s="94"/>
      <c r="BK27" s="95"/>
    </row>
    <row r="28" spans="1:63" ht="12.75" customHeight="1" x14ac:dyDescent="0.2">
      <c r="A28" s="66">
        <v>581</v>
      </c>
      <c r="B28" s="60" t="str">
        <f t="shared" si="0"/>
        <v>08-22</v>
      </c>
      <c r="C28" s="67">
        <f>+'[1]journal de caisse'!B581</f>
        <v>44783</v>
      </c>
      <c r="D28" s="68">
        <f>IF(ISNUMBER(+'[1]journal de caisse'!C581),+'[1]journal de caisse'!C581,"-")</f>
        <v>43</v>
      </c>
      <c r="E28" s="69" t="str">
        <f>IF(ISTEXT(+'[1]journal de caisse'!D581),+'[1]journal de caisse'!D581,".")</f>
        <v>spotify</v>
      </c>
      <c r="F28" s="69" t="str">
        <f>IF(ISTEXT(+'[1]journal de caisse'!E581),+'[1]journal de caisse'!E581,".")</f>
        <v>musique Visa</v>
      </c>
      <c r="G28" s="70">
        <f>IF(+'[1]journal de caisse'!F581,+'[1]journal de caisse'!F581,".")</f>
        <v>44743</v>
      </c>
      <c r="H28" s="68" t="str">
        <f>IF(+'[1]journal de caisse'!G581,+'[1]journal de caisse'!G581,".")</f>
        <v>.</v>
      </c>
      <c r="I28" s="68" t="str">
        <f>IF(+'[1]journal de caisse'!H581,+'[1]journal de caisse'!H581,".")</f>
        <v>.</v>
      </c>
      <c r="J28" s="68" t="str">
        <f>IF(+'[1]journal de caisse'!I581,+'[1]journal de caisse'!I581,".")</f>
        <v>.</v>
      </c>
      <c r="K28" s="68">
        <f>IF(+'[1]journal de caisse'!J581,+'[1]journal de caisse'!J581,".")</f>
        <v>9.99</v>
      </c>
      <c r="L28" s="69" t="str">
        <f>IF(ISTEXT(+'[1]journal de caisse'!K581),+'[1]journal de caisse'!K581,".")</f>
        <v>matériel de travail</v>
      </c>
      <c r="M28" s="71" t="str">
        <f t="shared" si="1"/>
        <v>v</v>
      </c>
      <c r="N28" s="60">
        <f>+'[1]journal de caisse'!M581</f>
        <v>0</v>
      </c>
      <c r="O28" s="61" t="str">
        <f>IF(ISTEXT(L28),VLOOKUP(L28,[1]rubriques!$B$6:$H$51,7,FALSE),".")</f>
        <v>F10</v>
      </c>
      <c r="P28" s="85" t="str">
        <f>+[1]rubriques!B23</f>
        <v>matériel de travail</v>
      </c>
      <c r="Q28" s="86">
        <f t="shared" si="5"/>
        <v>0</v>
      </c>
      <c r="R28" s="86">
        <f t="shared" si="6"/>
        <v>0</v>
      </c>
      <c r="S28" s="86">
        <f t="shared" si="7"/>
        <v>0</v>
      </c>
      <c r="T28" s="86">
        <f t="shared" si="8"/>
        <v>9.99</v>
      </c>
      <c r="U28" s="87">
        <f t="shared" si="4"/>
        <v>-9.99</v>
      </c>
      <c r="V28" s="192" t="str">
        <f t="shared" si="3"/>
        <v>F10</v>
      </c>
      <c r="Y28" s="220"/>
      <c r="AJ28" s="255"/>
      <c r="AK28" s="248"/>
      <c r="AQ28" s="38"/>
      <c r="AR28" s="99"/>
      <c r="AS28" s="99"/>
      <c r="AT28" s="99"/>
      <c r="AU28" s="99"/>
      <c r="AV28" s="99"/>
      <c r="AW28" s="99"/>
      <c r="AX28" s="99"/>
      <c r="AZ28" s="96"/>
      <c r="BA28" s="96"/>
      <c r="BB28" s="91"/>
      <c r="BC28" s="91"/>
      <c r="BD28" s="91"/>
      <c r="BE28" s="91"/>
      <c r="BF28" s="91"/>
      <c r="BG28" s="91"/>
      <c r="BH28" s="91"/>
      <c r="BI28" s="59"/>
      <c r="BJ28" s="94"/>
      <c r="BK28" s="94"/>
    </row>
    <row r="29" spans="1:63" ht="12.75" customHeight="1" x14ac:dyDescent="0.2">
      <c r="A29" s="66">
        <v>582</v>
      </c>
      <c r="B29" s="60" t="str">
        <f t="shared" si="0"/>
        <v>08-22</v>
      </c>
      <c r="C29" s="67">
        <f>+'[1]journal de caisse'!B582</f>
        <v>44783</v>
      </c>
      <c r="D29" s="68">
        <f>IF(ISNUMBER(+'[1]journal de caisse'!C582),+'[1]journal de caisse'!C582,"-")</f>
        <v>44</v>
      </c>
      <c r="E29" s="69" t="str">
        <f>IF(ISTEXT(+'[1]journal de caisse'!D582),+'[1]journal de caisse'!D582,".")</f>
        <v>electrabel</v>
      </c>
      <c r="F29" s="69" t="str">
        <f>IF(ISTEXT(+'[1]journal de caisse'!E582),+'[1]journal de caisse'!E582,".")</f>
        <v>gaz électricité Fac inter</v>
      </c>
      <c r="G29" s="70">
        <f>IF(+'[1]journal de caisse'!F582,+'[1]journal de caisse'!F582,".")</f>
        <v>44743</v>
      </c>
      <c r="H29" s="68" t="str">
        <f>IF(+'[1]journal de caisse'!G582,+'[1]journal de caisse'!G582,".")</f>
        <v>.</v>
      </c>
      <c r="I29" s="68" t="str">
        <f>IF(+'[1]journal de caisse'!H582,+'[1]journal de caisse'!H582,".")</f>
        <v>.</v>
      </c>
      <c r="J29" s="68" t="str">
        <f>IF(+'[1]journal de caisse'!I582,+'[1]journal de caisse'!I582,".")</f>
        <v>.</v>
      </c>
      <c r="K29" s="68">
        <f>IF(+'[1]journal de caisse'!J582,+'[1]journal de caisse'!J582,".")</f>
        <v>43.9</v>
      </c>
      <c r="L29" s="69" t="str">
        <f>IF(ISTEXT(+'[1]journal de caisse'!K582),+'[1]journal de caisse'!K582,".")</f>
        <v>electrabel</v>
      </c>
      <c r="M29" s="71" t="str">
        <f t="shared" si="1"/>
        <v>v</v>
      </c>
      <c r="N29" s="60">
        <f>+'[1]journal de caisse'!M582</f>
        <v>0</v>
      </c>
      <c r="O29" s="61" t="str">
        <f>IF(ISTEXT(L29),VLOOKUP(L29,[1]rubriques!$B$6:$H$51,7,FALSE),".")</f>
        <v>F02</v>
      </c>
      <c r="P29" s="85" t="str">
        <f>+[1]rubriques!B24</f>
        <v>mobilier</v>
      </c>
      <c r="Q29" s="86">
        <f t="shared" si="5"/>
        <v>0</v>
      </c>
      <c r="R29" s="86">
        <f t="shared" si="6"/>
        <v>0</v>
      </c>
      <c r="S29" s="86">
        <f t="shared" si="7"/>
        <v>0</v>
      </c>
      <c r="T29" s="86">
        <f t="shared" si="8"/>
        <v>0</v>
      </c>
      <c r="U29" s="87">
        <f t="shared" si="4"/>
        <v>0</v>
      </c>
      <c r="V29" s="192" t="str">
        <f t="shared" si="3"/>
        <v>F09</v>
      </c>
      <c r="X29" s="275"/>
      <c r="Y29" s="275"/>
      <c r="Z29" s="275"/>
      <c r="AA29" s="275"/>
      <c r="AB29" s="170"/>
      <c r="AC29" s="170"/>
      <c r="AF29" s="257"/>
      <c r="AJ29" s="255"/>
      <c r="AK29" s="248"/>
      <c r="AQ29" s="38"/>
      <c r="AR29" s="99"/>
      <c r="AS29" s="99"/>
      <c r="AT29" s="99"/>
      <c r="AU29" s="99"/>
      <c r="AV29" s="99"/>
      <c r="AW29" s="99"/>
      <c r="AX29" s="99"/>
      <c r="AZ29" s="96"/>
      <c r="BA29" s="96"/>
      <c r="BB29" s="91"/>
      <c r="BC29" s="91"/>
      <c r="BD29" s="91"/>
      <c r="BE29" s="91"/>
      <c r="BF29" s="91"/>
      <c r="BG29" s="91"/>
      <c r="BH29" s="93"/>
      <c r="BI29" s="59"/>
      <c r="BJ29" s="94"/>
      <c r="BK29" s="94"/>
    </row>
    <row r="30" spans="1:63" ht="12.75" customHeight="1" x14ac:dyDescent="0.2">
      <c r="A30" s="66">
        <v>583</v>
      </c>
      <c r="B30" s="60" t="str">
        <f t="shared" si="0"/>
        <v>08-22</v>
      </c>
      <c r="C30" s="67">
        <f>+'[1]journal de caisse'!B583</f>
        <v>44792</v>
      </c>
      <c r="D30" s="68" t="str">
        <f>IF(ISNUMBER(+'[1]journal de caisse'!C583),+'[1]journal de caisse'!C583,"-")</f>
        <v>-</v>
      </c>
      <c r="E30" s="69" t="str">
        <f>IF(ISTEXT(+'[1]journal de caisse'!D583),+'[1]journal de caisse'!D583,".")</f>
        <v>cabinet</v>
      </c>
      <c r="F30" s="69" t="str">
        <f>IF(ISTEXT(+'[1]journal de caisse'!E583),+'[1]journal de caisse'!E583,".")</f>
        <v>consultation</v>
      </c>
      <c r="G30" s="70" t="str">
        <f>IF(+'[1]journal de caisse'!F583,+'[1]journal de caisse'!F583,".")</f>
        <v>.</v>
      </c>
      <c r="H30" s="68">
        <f>IF(+'[1]journal de caisse'!G583,+'[1]journal de caisse'!G583,".")</f>
        <v>40</v>
      </c>
      <c r="I30" s="68" t="str">
        <f>IF(+'[1]journal de caisse'!H583,+'[1]journal de caisse'!H583,".")</f>
        <v>.</v>
      </c>
      <c r="J30" s="68" t="str">
        <f>IF(+'[1]journal de caisse'!I583,+'[1]journal de caisse'!I583,".")</f>
        <v>.</v>
      </c>
      <c r="K30" s="68" t="str">
        <f>IF(+'[1]journal de caisse'!J583,+'[1]journal de caisse'!J583,".")</f>
        <v>.</v>
      </c>
      <c r="L30" s="69" t="str">
        <f>IF(ISTEXT(+'[1]journal de caisse'!K583),+'[1]journal de caisse'!K583,".")</f>
        <v>recette</v>
      </c>
      <c r="M30" s="71" t="str">
        <f t="shared" si="1"/>
        <v>v</v>
      </c>
      <c r="N30" s="60">
        <f>+'[1]journal de caisse'!M583</f>
        <v>0</v>
      </c>
      <c r="O30" s="61" t="str">
        <f>IF(ISTEXT(L30),VLOOKUP(L30,[1]rubriques!$B$6:$H$51,7,FALSE),".")</f>
        <v>R1</v>
      </c>
      <c r="P30" s="85" t="str">
        <f>+[1]rubriques!B25</f>
        <v>parking</v>
      </c>
      <c r="Q30" s="86">
        <f t="shared" si="5"/>
        <v>0</v>
      </c>
      <c r="R30" s="86">
        <f t="shared" si="6"/>
        <v>0</v>
      </c>
      <c r="S30" s="86">
        <f t="shared" si="7"/>
        <v>0</v>
      </c>
      <c r="T30" s="86">
        <f t="shared" si="8"/>
        <v>0</v>
      </c>
      <c r="U30" s="87">
        <f t="shared" si="4"/>
        <v>0</v>
      </c>
      <c r="V30" s="192" t="str">
        <f t="shared" si="3"/>
        <v>F11</v>
      </c>
      <c r="X30" s="170"/>
      <c r="Y30" s="251"/>
      <c r="Z30" s="251"/>
      <c r="AA30" s="251"/>
      <c r="AB30" s="251"/>
      <c r="AC30" s="171"/>
      <c r="AJ30" s="255"/>
      <c r="AK30" s="248"/>
      <c r="AQ30" s="38"/>
      <c r="AR30" s="89"/>
      <c r="AS30" s="99"/>
      <c r="AT30" s="99"/>
      <c r="AU30" s="99"/>
      <c r="AV30" s="99"/>
      <c r="AW30" s="99"/>
      <c r="AX30" s="99"/>
      <c r="AZ30" s="59"/>
      <c r="BA30" s="59"/>
      <c r="BB30" s="91"/>
      <c r="BC30" s="91"/>
      <c r="BD30" s="91"/>
      <c r="BE30" s="91"/>
      <c r="BF30" s="91"/>
      <c r="BG30" s="221"/>
      <c r="BH30" s="91"/>
      <c r="BI30" s="59"/>
      <c r="BJ30" s="94"/>
      <c r="BK30" s="94"/>
    </row>
    <row r="31" spans="1:63" ht="12.75" customHeight="1" x14ac:dyDescent="0.2">
      <c r="A31" s="66">
        <v>588</v>
      </c>
      <c r="B31" s="60" t="str">
        <f t="shared" si="0"/>
        <v>09-22</v>
      </c>
      <c r="C31" s="67">
        <f>+'[1]journal de caisse'!B588</f>
        <v>44805</v>
      </c>
      <c r="D31" s="68">
        <f>IF(ISNUMBER(+'[1]journal de caisse'!C588),+'[1]journal de caisse'!C588,"-")</f>
        <v>45</v>
      </c>
      <c r="E31" s="69" t="str">
        <f>IF(ISTEXT(+'[1]journal de caisse'!D588),+'[1]journal de caisse'!D588,".")</f>
        <v>voo</v>
      </c>
      <c r="F31" s="69" t="str">
        <f>IF(ISTEXT(+'[1]journal de caisse'!E588),+'[1]journal de caisse'!E588,".")</f>
        <v>abonnement tél</v>
      </c>
      <c r="G31" s="70">
        <f>IF(+'[1]journal de caisse'!F588,+'[1]journal de caisse'!F588,".")</f>
        <v>44774</v>
      </c>
      <c r="H31" s="68" t="str">
        <f>IF(+'[1]journal de caisse'!G588,+'[1]journal de caisse'!G588,".")</f>
        <v>.</v>
      </c>
      <c r="I31" s="68" t="str">
        <f>IF(+'[1]journal de caisse'!H588,+'[1]journal de caisse'!H588,".")</f>
        <v>.</v>
      </c>
      <c r="J31" s="68" t="str">
        <f>IF(+'[1]journal de caisse'!I588,+'[1]journal de caisse'!I588,".")</f>
        <v>.</v>
      </c>
      <c r="K31" s="68">
        <f>IF(+'[1]journal de caisse'!J588,+'[1]journal de caisse'!J588,".")</f>
        <v>13</v>
      </c>
      <c r="L31" s="69" t="str">
        <f>IF(ISTEXT(+'[1]journal de caisse'!K588),+'[1]journal de caisse'!K588,".")</f>
        <v>abonnement tél</v>
      </c>
      <c r="M31" s="71" t="str">
        <f t="shared" si="1"/>
        <v>v</v>
      </c>
      <c r="N31" s="60">
        <f>+'[1]journal de caisse'!M588</f>
        <v>0</v>
      </c>
      <c r="O31" s="61" t="str">
        <f>IF(ISTEXT(L31),VLOOKUP(L31,[1]rubriques!$B$6:$H$51,7,FALSE),".")</f>
        <v>F08</v>
      </c>
      <c r="P31" s="85" t="str">
        <f>+[1]rubriques!B26</f>
        <v>restaurant</v>
      </c>
      <c r="Q31" s="86">
        <f t="shared" si="5"/>
        <v>0</v>
      </c>
      <c r="R31" s="86">
        <f t="shared" si="6"/>
        <v>0</v>
      </c>
      <c r="S31" s="86">
        <f t="shared" si="7"/>
        <v>0</v>
      </c>
      <c r="T31" s="86">
        <f t="shared" si="8"/>
        <v>0</v>
      </c>
      <c r="U31" s="87">
        <f>IF(ISTEXT(P31),+(Q31+S31)-(+R31+T31),".")</f>
        <v>0</v>
      </c>
      <c r="V31" s="192" t="str">
        <f t="shared" si="3"/>
        <v>F13</v>
      </c>
      <c r="X31" s="170"/>
      <c r="Y31" s="251"/>
      <c r="Z31" s="251"/>
      <c r="AA31" s="251"/>
      <c r="AB31" s="251"/>
      <c r="AC31" s="171"/>
      <c r="AJ31" s="255"/>
      <c r="AK31" s="248"/>
      <c r="AQ31" s="38"/>
      <c r="AR31" s="89"/>
      <c r="AS31" s="99"/>
      <c r="AT31" s="99"/>
      <c r="AU31" s="99"/>
      <c r="AV31" s="99"/>
      <c r="AW31" s="99"/>
      <c r="AX31" s="99"/>
      <c r="AZ31" s="93"/>
      <c r="BA31" s="222"/>
      <c r="BB31" s="211"/>
      <c r="BC31" s="211"/>
      <c r="BD31" s="211"/>
      <c r="BE31" s="211"/>
      <c r="BF31" s="211"/>
      <c r="BG31" s="223"/>
      <c r="BH31" s="59"/>
      <c r="BI31" s="59"/>
      <c r="BJ31" s="94"/>
      <c r="BK31" s="94"/>
    </row>
    <row r="32" spans="1:63" ht="12.75" customHeight="1" x14ac:dyDescent="0.2">
      <c r="A32" s="66">
        <v>589</v>
      </c>
      <c r="B32" s="60" t="str">
        <f t="shared" si="0"/>
        <v>09-22</v>
      </c>
      <c r="C32" s="67">
        <f>+'[1]journal de caisse'!B589</f>
        <v>44806</v>
      </c>
      <c r="D32" s="68" t="str">
        <f>IF(ISNUMBER(+'[1]journal de caisse'!C589),+'[1]journal de caisse'!C589,"-")</f>
        <v>-</v>
      </c>
      <c r="E32" s="69" t="str">
        <f>IF(ISTEXT(+'[1]journal de caisse'!D589),+'[1]journal de caisse'!D589,".")</f>
        <v>cabinet</v>
      </c>
      <c r="F32" s="69" t="str">
        <f>IF(ISTEXT(+'[1]journal de caisse'!E589),+'[1]journal de caisse'!E589,".")</f>
        <v>consultation</v>
      </c>
      <c r="G32" s="70" t="str">
        <f>IF(+'[1]journal de caisse'!F589,+'[1]journal de caisse'!F589,".")</f>
        <v>.</v>
      </c>
      <c r="H32" s="68">
        <f>IF(+'[1]journal de caisse'!G589,+'[1]journal de caisse'!G589,".")</f>
        <v>60</v>
      </c>
      <c r="I32" s="68" t="str">
        <f>IF(+'[1]journal de caisse'!H589,+'[1]journal de caisse'!H589,".")</f>
        <v>.</v>
      </c>
      <c r="J32" s="68" t="str">
        <f>IF(+'[1]journal de caisse'!I589,+'[1]journal de caisse'!I589,".")</f>
        <v>.</v>
      </c>
      <c r="K32" s="68" t="str">
        <f>IF(+'[1]journal de caisse'!J589,+'[1]journal de caisse'!J589,".")</f>
        <v>.</v>
      </c>
      <c r="L32" s="69" t="str">
        <f>IF(ISTEXT(+'[1]journal de caisse'!K589),+'[1]journal de caisse'!K589,".")</f>
        <v>recette</v>
      </c>
      <c r="M32" s="71" t="str">
        <f t="shared" si="1"/>
        <v>v</v>
      </c>
      <c r="N32" s="60">
        <f>+'[1]journal de caisse'!M589</f>
        <v>0</v>
      </c>
      <c r="O32" s="61" t="str">
        <f>IF(ISTEXT(L32),VLOOKUP(L32,[1]rubriques!$B$6:$H$51,7,FALSE),".")</f>
        <v>R1</v>
      </c>
      <c r="P32" s="85" t="str">
        <f>+[1]rubriques!B27</f>
        <v>téléphone</v>
      </c>
      <c r="Q32" s="86">
        <f t="shared" si="5"/>
        <v>0</v>
      </c>
      <c r="R32" s="86">
        <f t="shared" si="6"/>
        <v>0</v>
      </c>
      <c r="S32" s="86">
        <f t="shared" si="7"/>
        <v>0</v>
      </c>
      <c r="T32" s="86">
        <f t="shared" si="8"/>
        <v>0</v>
      </c>
      <c r="U32" s="87">
        <f t="shared" si="4"/>
        <v>0</v>
      </c>
      <c r="V32" s="192" t="str">
        <f t="shared" si="3"/>
        <v>F08</v>
      </c>
      <c r="X32" s="170"/>
      <c r="Y32" s="251"/>
      <c r="Z32" s="251"/>
      <c r="AA32" s="251"/>
      <c r="AB32" s="251"/>
      <c r="AC32" s="171"/>
      <c r="AF32" s="276"/>
      <c r="AJ32" s="255"/>
      <c r="AK32" s="248"/>
      <c r="AQ32" s="38"/>
      <c r="AR32" s="89"/>
      <c r="AS32" s="99"/>
      <c r="AT32" s="99"/>
      <c r="AU32" s="99"/>
      <c r="AV32" s="99"/>
      <c r="AW32" s="99"/>
      <c r="AX32" s="99"/>
      <c r="AZ32" s="59"/>
      <c r="BA32" s="59"/>
      <c r="BB32" s="59"/>
      <c r="BC32" s="59"/>
      <c r="BD32" s="59"/>
      <c r="BE32" s="224"/>
      <c r="BF32" s="98"/>
      <c r="BG32" s="97"/>
      <c r="BH32" s="97"/>
      <c r="BI32" s="59"/>
      <c r="BJ32" s="94"/>
      <c r="BK32" s="94"/>
    </row>
    <row r="33" spans="1:64" ht="12.75" customHeight="1" x14ac:dyDescent="0.2">
      <c r="A33" s="66">
        <v>604</v>
      </c>
      <c r="B33" s="60" t="str">
        <f t="shared" si="0"/>
        <v>09-22</v>
      </c>
      <c r="C33" s="67">
        <f>+'[1]journal de caisse'!B604</f>
        <v>44830</v>
      </c>
      <c r="D33" s="68">
        <f>IF(ISNUMBER(+'[1]journal de caisse'!C604),+'[1]journal de caisse'!C604,"-")</f>
        <v>51</v>
      </c>
      <c r="E33" s="69" t="str">
        <f>IF(ISTEXT(+'[1]journal de caisse'!D604),+'[1]journal de caisse'!D604,".")</f>
        <v>Aldi</v>
      </c>
      <c r="F33" s="69" t="str">
        <f>IF(ISTEXT(+'[1]journal de caisse'!E604),+'[1]journal de caisse'!E604,".")</f>
        <v>toilette hygiène + traj fact</v>
      </c>
      <c r="G33" s="70" t="str">
        <f>IF(+'[1]journal de caisse'!F604,+'[1]journal de caisse'!F604,".")</f>
        <v>.</v>
      </c>
      <c r="H33" s="68" t="str">
        <f>IF(+'[1]journal de caisse'!G604,+'[1]journal de caisse'!G604,".")</f>
        <v>.</v>
      </c>
      <c r="I33" s="68" t="str">
        <f>IF(+'[1]journal de caisse'!H604,+'[1]journal de caisse'!H604,".")</f>
        <v>.</v>
      </c>
      <c r="J33" s="68" t="str">
        <f>IF(+'[1]journal de caisse'!I604,+'[1]journal de caisse'!I604,".")</f>
        <v>.</v>
      </c>
      <c r="K33" s="68">
        <f>IF(+'[1]journal de caisse'!J604,+'[1]journal de caisse'!J604,".")</f>
        <v>9.84</v>
      </c>
      <c r="L33" s="69" t="str">
        <f>IF(ISTEXT(+'[1]journal de caisse'!K604),+'[1]journal de caisse'!K604,".")</f>
        <v>consomable</v>
      </c>
      <c r="M33" s="71" t="str">
        <f t="shared" si="1"/>
        <v>v</v>
      </c>
      <c r="N33" s="60">
        <f>+'[1]journal de caisse'!M604</f>
        <v>12.4</v>
      </c>
      <c r="O33" s="61" t="str">
        <f>IF(ISTEXT(L33),VLOOKUP(L33,[1]rubriques!$B$6:$H$51,7,FALSE),".")</f>
        <v>F09</v>
      </c>
      <c r="P33" s="85" t="str">
        <f>+[1]rubriques!B29</f>
        <v>vêtements</v>
      </c>
      <c r="Q33" s="86">
        <f t="shared" si="5"/>
        <v>0</v>
      </c>
      <c r="R33" s="86">
        <f t="shared" si="6"/>
        <v>0</v>
      </c>
      <c r="S33" s="86">
        <f t="shared" si="7"/>
        <v>0</v>
      </c>
      <c r="T33" s="86">
        <f t="shared" si="8"/>
        <v>0</v>
      </c>
      <c r="U33" s="87">
        <f t="shared" si="4"/>
        <v>0</v>
      </c>
      <c r="V33" s="192" t="str">
        <f t="shared" si="3"/>
        <v>F17</v>
      </c>
      <c r="X33" s="170"/>
      <c r="Y33" s="251"/>
      <c r="Z33" s="251"/>
      <c r="AA33" s="251"/>
      <c r="AB33" s="251"/>
      <c r="AC33" s="171"/>
      <c r="AJ33" s="255"/>
      <c r="AK33" s="248"/>
      <c r="AQ33" s="38"/>
      <c r="AR33" s="89"/>
      <c r="AS33" s="99"/>
      <c r="AT33" s="99"/>
      <c r="AU33" s="99"/>
      <c r="AV33" s="99"/>
      <c r="AW33" s="99"/>
      <c r="AX33" s="99"/>
      <c r="AZ33" s="59"/>
      <c r="BA33" s="59"/>
      <c r="BB33" s="59"/>
      <c r="BC33" s="59"/>
      <c r="BD33" s="59"/>
      <c r="BE33" s="59"/>
      <c r="BF33" s="98"/>
      <c r="BG33" s="97"/>
      <c r="BH33" s="97"/>
      <c r="BI33" s="59"/>
      <c r="BJ33" s="94"/>
      <c r="BK33" s="94"/>
    </row>
    <row r="34" spans="1:64" ht="12.75" customHeight="1" x14ac:dyDescent="0.2">
      <c r="A34" s="66">
        <v>605</v>
      </c>
      <c r="B34" s="60" t="str">
        <f t="shared" si="0"/>
        <v>09-22</v>
      </c>
      <c r="C34" s="67">
        <f>+'[1]journal de caisse'!B605</f>
        <v>44834</v>
      </c>
      <c r="D34" s="68" t="str">
        <f>IF(ISNUMBER(+'[1]journal de caisse'!C605),+'[1]journal de caisse'!C605,"-")</f>
        <v>-</v>
      </c>
      <c r="E34" s="69" t="str">
        <f>IF(ISTEXT(+'[1]journal de caisse'!D605),+'[1]journal de caisse'!D605,".")</f>
        <v>cabinet</v>
      </c>
      <c r="F34" s="69" t="str">
        <f>IF(ISTEXT(+'[1]journal de caisse'!E605),+'[1]journal de caisse'!E605,".")</f>
        <v>consultation</v>
      </c>
      <c r="G34" s="70" t="str">
        <f>IF(+'[1]journal de caisse'!F605,+'[1]journal de caisse'!F605,".")</f>
        <v>.</v>
      </c>
      <c r="H34" s="68">
        <f>IF(+'[1]journal de caisse'!G605,+'[1]journal de caisse'!G605,".")</f>
        <v>50</v>
      </c>
      <c r="I34" s="68" t="str">
        <f>IF(+'[1]journal de caisse'!H605,+'[1]journal de caisse'!H605,".")</f>
        <v>.</v>
      </c>
      <c r="J34" s="68" t="str">
        <f>IF(+'[1]journal de caisse'!I605,+'[1]journal de caisse'!I605,".")</f>
        <v>.</v>
      </c>
      <c r="K34" s="68" t="str">
        <f>IF(+'[1]journal de caisse'!J605,+'[1]journal de caisse'!J605,".")</f>
        <v>.</v>
      </c>
      <c r="L34" s="69" t="str">
        <f>IF(ISTEXT(+'[1]journal de caisse'!K605),+'[1]journal de caisse'!K605,".")</f>
        <v>recette</v>
      </c>
      <c r="M34" s="71" t="str">
        <f t="shared" si="1"/>
        <v>v</v>
      </c>
      <c r="N34" s="60">
        <f>+'[1]journal de caisse'!M605</f>
        <v>0</v>
      </c>
      <c r="O34" s="61" t="str">
        <f>IF(ISTEXT(L34),VLOOKUP(L34,[1]rubriques!$B$6:$H$51,7,FALSE),".")</f>
        <v>R1</v>
      </c>
      <c r="P34" s="85" t="s">
        <v>28</v>
      </c>
      <c r="Q34" s="86">
        <f t="shared" si="5"/>
        <v>0</v>
      </c>
      <c r="R34" s="86">
        <f t="shared" si="6"/>
        <v>0</v>
      </c>
      <c r="S34" s="86">
        <f t="shared" si="7"/>
        <v>0</v>
      </c>
      <c r="T34" s="86">
        <f t="shared" si="8"/>
        <v>0</v>
      </c>
      <c r="U34" s="87">
        <f>IF(ISTEXT(P34),+(Q34+S34)-(+R34+T34),".")</f>
        <v>0</v>
      </c>
      <c r="V34" s="192" t="str">
        <f t="shared" si="3"/>
        <v>F01</v>
      </c>
      <c r="X34" s="170"/>
      <c r="Y34" s="251"/>
      <c r="Z34" s="251"/>
      <c r="AA34" s="251"/>
      <c r="AB34" s="251"/>
      <c r="AC34" s="171"/>
      <c r="AJ34" s="255"/>
      <c r="AK34" s="248"/>
      <c r="AQ34" s="38"/>
      <c r="AR34" s="89"/>
      <c r="AS34" s="99"/>
      <c r="AT34" s="99"/>
      <c r="AU34" s="99"/>
      <c r="AV34" s="99"/>
      <c r="AW34" s="99"/>
      <c r="AX34" s="99"/>
      <c r="BA34" s="99"/>
      <c r="BB34" s="38"/>
      <c r="BC34" s="225"/>
      <c r="BD34" s="225"/>
      <c r="BE34" s="225"/>
      <c r="BF34" s="225"/>
      <c r="BG34" s="225"/>
      <c r="BH34" s="97"/>
      <c r="BI34" s="59"/>
      <c r="BJ34" s="94"/>
      <c r="BK34" s="94"/>
    </row>
    <row r="35" spans="1:64" ht="12.75" customHeight="1" x14ac:dyDescent="0.2">
      <c r="A35" s="66">
        <v>606</v>
      </c>
      <c r="B35" s="60" t="str">
        <f t="shared" si="0"/>
        <v>10-22</v>
      </c>
      <c r="C35" s="67">
        <f>+'[1]journal de caisse'!B606</f>
        <v>44837</v>
      </c>
      <c r="D35" s="68" t="str">
        <f>IF(ISNUMBER(+'[1]journal de caisse'!C606),+'[1]journal de caisse'!C606,"-")</f>
        <v>-</v>
      </c>
      <c r="E35" s="69" t="str">
        <f>IF(ISTEXT(+'[1]journal de caisse'!D606),+'[1]journal de caisse'!D606,".")</f>
        <v>privé</v>
      </c>
      <c r="F35" s="69" t="str">
        <f>IF(ISTEXT(+'[1]journal de caisse'!E606),+'[1]journal de caisse'!E606,".")</f>
        <v>recup consultation 1/10/22</v>
      </c>
      <c r="G35" s="70" t="str">
        <f>IF(+'[1]journal de caisse'!F606,+'[1]journal de caisse'!F606,".")</f>
        <v>.</v>
      </c>
      <c r="H35" s="68" t="str">
        <f>IF(+'[1]journal de caisse'!G606,+'[1]journal de caisse'!G606,".")</f>
        <v>.</v>
      </c>
      <c r="I35" s="68" t="str">
        <f>IF(+'[1]journal de caisse'!H606,+'[1]journal de caisse'!H606,".")</f>
        <v>.</v>
      </c>
      <c r="J35" s="68">
        <f>IF(+'[1]journal de caisse'!I606,+'[1]journal de caisse'!I606,".")</f>
        <v>70</v>
      </c>
      <c r="K35" s="68" t="str">
        <f>IF(+'[1]journal de caisse'!J606,+'[1]journal de caisse'!J606,".")</f>
        <v>.</v>
      </c>
      <c r="L35" s="69" t="str">
        <f>IF(ISTEXT(+'[1]journal de caisse'!K606),+'[1]journal de caisse'!K606,".")</f>
        <v>recette</v>
      </c>
      <c r="M35" s="71" t="str">
        <f t="shared" si="1"/>
        <v>v</v>
      </c>
      <c r="N35" s="60">
        <f>+'[1]journal de caisse'!M606</f>
        <v>0</v>
      </c>
      <c r="O35" s="61" t="str">
        <f>IF(ISTEXT(L35),VLOOKUP(L35,[1]rubriques!$B$6:$H$51,7,FALSE),".")</f>
        <v>R1</v>
      </c>
      <c r="P35" s="85" t="str">
        <f>+[1]rubriques!B32</f>
        <v>x</v>
      </c>
      <c r="Q35" s="86">
        <f t="shared" si="5"/>
        <v>0</v>
      </c>
      <c r="R35" s="86">
        <f t="shared" si="6"/>
        <v>0</v>
      </c>
      <c r="S35" s="86">
        <f t="shared" si="7"/>
        <v>0</v>
      </c>
      <c r="T35" s="86">
        <f t="shared" si="8"/>
        <v>0</v>
      </c>
      <c r="U35" s="87">
        <f t="shared" si="4"/>
        <v>0</v>
      </c>
      <c r="V35" s="192" t="str">
        <f t="shared" si="3"/>
        <v>.</v>
      </c>
      <c r="X35" s="170"/>
      <c r="Y35" s="251"/>
      <c r="Z35" s="251"/>
      <c r="AA35" s="251"/>
      <c r="AB35" s="251"/>
      <c r="AC35" s="171"/>
      <c r="AJ35" s="255"/>
      <c r="AK35" s="248"/>
      <c r="AQ35" s="38"/>
      <c r="AR35" s="89"/>
      <c r="AS35" s="99"/>
      <c r="AT35" s="99"/>
      <c r="AU35" s="99"/>
      <c r="AV35" s="99"/>
      <c r="AW35" s="99"/>
      <c r="AX35" s="99"/>
      <c r="AZ35" s="226"/>
      <c r="BA35" s="227"/>
      <c r="BB35" s="228"/>
      <c r="BC35" s="229"/>
      <c r="BD35" s="229"/>
      <c r="BE35" s="229"/>
      <c r="BF35" s="229"/>
      <c r="BG35" s="229"/>
      <c r="BH35" s="97"/>
      <c r="BI35" s="59"/>
      <c r="BJ35" s="94"/>
      <c r="BK35" s="94"/>
    </row>
    <row r="36" spans="1:64" ht="12.75" customHeight="1" x14ac:dyDescent="0.2">
      <c r="A36" s="66">
        <v>620</v>
      </c>
      <c r="B36" s="60" t="str">
        <f t="shared" si="0"/>
        <v>10-22</v>
      </c>
      <c r="C36" s="67">
        <f>+'[1]journal de caisse'!B620</f>
        <v>44853</v>
      </c>
      <c r="D36" s="68" t="str">
        <f>IF(ISNUMBER(+'[1]journal de caisse'!C620),+'[1]journal de caisse'!C620,"-")</f>
        <v>-</v>
      </c>
      <c r="E36" s="69" t="str">
        <f>IF(ISTEXT(+'[1]journal de caisse'!D620),+'[1]journal de caisse'!D620,".")</f>
        <v>cabinet</v>
      </c>
      <c r="F36" s="69" t="str">
        <f>IF(ISTEXT(+'[1]journal de caisse'!E620),+'[1]journal de caisse'!E620,".")</f>
        <v>consutation</v>
      </c>
      <c r="G36" s="70" t="str">
        <f>IF(+'[1]journal de caisse'!F620,+'[1]journal de caisse'!F620,".")</f>
        <v>.</v>
      </c>
      <c r="H36" s="68">
        <f>IF(+'[1]journal de caisse'!G620,+'[1]journal de caisse'!G620,".")</f>
        <v>50</v>
      </c>
      <c r="I36" s="68" t="str">
        <f>IF(+'[1]journal de caisse'!H620,+'[1]journal de caisse'!H620,".")</f>
        <v>.</v>
      </c>
      <c r="J36" s="68" t="str">
        <f>IF(+'[1]journal de caisse'!I620,+'[1]journal de caisse'!I620,".")</f>
        <v>.</v>
      </c>
      <c r="K36" s="68" t="str">
        <f>IF(+'[1]journal de caisse'!J620,+'[1]journal de caisse'!J620,".")</f>
        <v>.</v>
      </c>
      <c r="L36" s="69" t="str">
        <f>IF(ISTEXT(+'[1]journal de caisse'!K620),+'[1]journal de caisse'!K620,".")</f>
        <v>recette</v>
      </c>
      <c r="M36" s="71" t="str">
        <f t="shared" si="1"/>
        <v>v</v>
      </c>
      <c r="N36" s="60">
        <f>+'[1]journal de caisse'!M620</f>
        <v>0</v>
      </c>
      <c r="O36" s="61" t="str">
        <f>IF(ISTEXT(L36),VLOOKUP(L36,[1]rubriques!$B$6:$H$51,7,FALSE),".")</f>
        <v>R1</v>
      </c>
      <c r="P36" s="85" t="str">
        <f>+[1]rubriques!B33</f>
        <v>x</v>
      </c>
      <c r="Q36" s="86">
        <f t="shared" si="5"/>
        <v>0</v>
      </c>
      <c r="R36" s="86">
        <f t="shared" si="6"/>
        <v>0</v>
      </c>
      <c r="S36" s="86">
        <f t="shared" si="7"/>
        <v>0</v>
      </c>
      <c r="T36" s="86">
        <f t="shared" si="8"/>
        <v>0</v>
      </c>
      <c r="U36" s="87">
        <f t="shared" si="4"/>
        <v>0</v>
      </c>
      <c r="V36" s="192" t="str">
        <f t="shared" si="3"/>
        <v>.</v>
      </c>
      <c r="X36" s="170"/>
      <c r="Y36" s="251"/>
      <c r="Z36" s="251"/>
      <c r="AA36" s="251"/>
      <c r="AB36" s="251"/>
      <c r="AC36" s="171"/>
      <c r="AJ36" s="255"/>
      <c r="AK36" s="248"/>
      <c r="AQ36" s="38"/>
      <c r="AR36" s="89"/>
      <c r="AS36" s="99"/>
      <c r="AT36" s="99"/>
      <c r="AU36" s="99"/>
      <c r="AV36" s="99"/>
      <c r="AW36" s="99"/>
      <c r="AX36" s="99"/>
      <c r="AZ36" s="230"/>
      <c r="BA36" s="231"/>
      <c r="BB36" s="228"/>
      <c r="BC36" s="232"/>
      <c r="BD36" s="232"/>
      <c r="BE36" s="232"/>
      <c r="BF36" s="232"/>
      <c r="BG36" s="232"/>
      <c r="BH36" s="97"/>
      <c r="BI36" s="59"/>
      <c r="BJ36" s="94"/>
      <c r="BK36" s="94"/>
    </row>
    <row r="37" spans="1:64" ht="12.75" customHeight="1" x14ac:dyDescent="0.2">
      <c r="A37" s="66">
        <v>621</v>
      </c>
      <c r="B37" s="60" t="str">
        <f t="shared" si="0"/>
        <v>10-22</v>
      </c>
      <c r="C37" s="67">
        <f>+'[1]journal de caisse'!B621</f>
        <v>44855</v>
      </c>
      <c r="D37" s="68" t="str">
        <f>IF(ISNUMBER(+'[1]journal de caisse'!C621),+'[1]journal de caisse'!C621,"-")</f>
        <v>-</v>
      </c>
      <c r="E37" s="69" t="str">
        <f>IF(ISTEXT(+'[1]journal de caisse'!D621),+'[1]journal de caisse'!D621,".")</f>
        <v>cabinet</v>
      </c>
      <c r="F37" s="69" t="str">
        <f>IF(ISTEXT(+'[1]journal de caisse'!E621),+'[1]journal de caisse'!E621,".")</f>
        <v>consutation</v>
      </c>
      <c r="G37" s="70" t="str">
        <f>IF(+'[1]journal de caisse'!F621,+'[1]journal de caisse'!F621,".")</f>
        <v>.</v>
      </c>
      <c r="H37" s="68">
        <f>IF(+'[1]journal de caisse'!G621,+'[1]journal de caisse'!G621,".")</f>
        <v>100</v>
      </c>
      <c r="I37" s="68" t="str">
        <f>IF(+'[1]journal de caisse'!H621,+'[1]journal de caisse'!H621,".")</f>
        <v>.</v>
      </c>
      <c r="J37" s="68" t="str">
        <f>IF(+'[1]journal de caisse'!I621,+'[1]journal de caisse'!I621,".")</f>
        <v>.</v>
      </c>
      <c r="K37" s="68" t="str">
        <f>IF(+'[1]journal de caisse'!J621,+'[1]journal de caisse'!J621,".")</f>
        <v>.</v>
      </c>
      <c r="L37" s="69" t="str">
        <f>IF(ISTEXT(+'[1]journal de caisse'!K621),+'[1]journal de caisse'!K621,".")</f>
        <v>recette</v>
      </c>
      <c r="M37" s="71" t="str">
        <f t="shared" si="1"/>
        <v>v</v>
      </c>
      <c r="N37" s="60">
        <f>+'[1]journal de caisse'!M621</f>
        <v>0</v>
      </c>
      <c r="O37" s="61" t="str">
        <f>IF(ISTEXT(L37),VLOOKUP(L37,[1]rubriques!$B$6:$H$51,7,FALSE),".")</f>
        <v>R1</v>
      </c>
      <c r="P37" s="85" t="str">
        <f>+[1]rubriques!B34</f>
        <v>cotisation</v>
      </c>
      <c r="Q37" s="86">
        <f t="shared" si="5"/>
        <v>0</v>
      </c>
      <c r="R37" s="86">
        <f t="shared" si="6"/>
        <v>0</v>
      </c>
      <c r="S37" s="86">
        <f t="shared" si="7"/>
        <v>0</v>
      </c>
      <c r="T37" s="86">
        <f t="shared" si="8"/>
        <v>0</v>
      </c>
      <c r="U37" s="87">
        <f>IF(ISTEXT(P37),+(Q37+S37)-(+R37+T37),".")</f>
        <v>0</v>
      </c>
      <c r="V37" s="192" t="str">
        <f t="shared" si="3"/>
        <v>CS</v>
      </c>
      <c r="X37" s="170"/>
      <c r="Y37" s="251"/>
      <c r="Z37" s="251"/>
      <c r="AA37" s="251"/>
      <c r="AB37" s="251"/>
      <c r="AC37" s="171"/>
      <c r="AJ37" s="255"/>
      <c r="AK37" s="248"/>
      <c r="AQ37" s="38"/>
      <c r="AR37" s="89"/>
      <c r="AS37" s="99"/>
      <c r="AT37" s="99"/>
      <c r="AU37" s="99"/>
      <c r="AV37" s="99"/>
      <c r="AW37" s="99"/>
      <c r="AX37" s="99"/>
      <c r="AZ37" s="99"/>
      <c r="BA37" s="99"/>
      <c r="BB37" s="38"/>
      <c r="BC37" s="229"/>
      <c r="BD37" s="233"/>
      <c r="BE37" s="233"/>
      <c r="BF37" s="229"/>
      <c r="BG37" s="229"/>
      <c r="BH37" s="97"/>
      <c r="BI37" s="59"/>
    </row>
    <row r="38" spans="1:64" ht="12.75" customHeight="1" x14ac:dyDescent="0.2">
      <c r="A38" s="66">
        <v>622</v>
      </c>
      <c r="B38" s="60" t="str">
        <f t="shared" si="0"/>
        <v>11-22</v>
      </c>
      <c r="C38" s="67">
        <f>+'[1]journal de caisse'!B622</f>
        <v>44866</v>
      </c>
      <c r="D38" s="68">
        <f>IF(ISNUMBER(+'[1]journal de caisse'!C622),+'[1]journal de caisse'!C622,"-")</f>
        <v>57</v>
      </c>
      <c r="E38" s="69" t="str">
        <f>IF(ISTEXT(+'[1]journal de caisse'!D622),+'[1]journal de caisse'!D622,".")</f>
        <v>voo</v>
      </c>
      <c r="F38" s="69" t="str">
        <f>IF(ISTEXT(+'[1]journal de caisse'!E622),+'[1]journal de caisse'!E622,".")</f>
        <v>abonnement tél</v>
      </c>
      <c r="G38" s="70">
        <f>IF(+'[1]journal de caisse'!F622,+'[1]journal de caisse'!F622,".")</f>
        <v>44835</v>
      </c>
      <c r="H38" s="68" t="str">
        <f>IF(+'[1]journal de caisse'!G622,+'[1]journal de caisse'!G622,".")</f>
        <v>.</v>
      </c>
      <c r="I38" s="68" t="str">
        <f>IF(+'[1]journal de caisse'!H622,+'[1]journal de caisse'!H622,".")</f>
        <v>.</v>
      </c>
      <c r="J38" s="68" t="str">
        <f>IF(+'[1]journal de caisse'!I622,+'[1]journal de caisse'!I622,".")</f>
        <v>.</v>
      </c>
      <c r="K38" s="68">
        <f>IF(+'[1]journal de caisse'!J622,+'[1]journal de caisse'!J622,".")</f>
        <v>13</v>
      </c>
      <c r="L38" s="69" t="str">
        <f>IF(ISTEXT(+'[1]journal de caisse'!K622),+'[1]journal de caisse'!K622,".")</f>
        <v>abonnement tél</v>
      </c>
      <c r="M38" s="71" t="str">
        <f t="shared" si="1"/>
        <v>v</v>
      </c>
      <c r="N38" s="60">
        <f>+'[1]journal de caisse'!M622</f>
        <v>0</v>
      </c>
      <c r="O38" s="61" t="str">
        <f>IF(ISTEXT(L38),VLOOKUP(L38,[1]rubriques!$B$6:$H$51,7,FALSE),".")</f>
        <v>F08</v>
      </c>
      <c r="P38" s="85" t="str">
        <f>+[1]rubriques!B35</f>
        <v>recette</v>
      </c>
      <c r="Q38" s="86">
        <f t="shared" si="5"/>
        <v>1190</v>
      </c>
      <c r="R38" s="86">
        <f t="shared" si="6"/>
        <v>0</v>
      </c>
      <c r="S38" s="86">
        <f t="shared" si="7"/>
        <v>70</v>
      </c>
      <c r="T38" s="86">
        <f t="shared" si="8"/>
        <v>0</v>
      </c>
      <c r="U38" s="87">
        <f>IF(ISTEXT(P38),+(Q38+S38)-(+R38+T38),".")</f>
        <v>1260</v>
      </c>
      <c r="V38" s="192" t="str">
        <f t="shared" si="3"/>
        <v>R1</v>
      </c>
      <c r="X38" s="170"/>
      <c r="Y38" s="251"/>
      <c r="Z38" s="251"/>
      <c r="AA38" s="251"/>
      <c r="AB38" s="251"/>
      <c r="AC38" s="171"/>
      <c r="AJ38" s="255"/>
      <c r="AK38" s="248"/>
      <c r="AQ38" s="38"/>
      <c r="AR38" s="89"/>
      <c r="AS38" s="99"/>
      <c r="AT38" s="99"/>
      <c r="AU38" s="99"/>
      <c r="AV38" s="99"/>
      <c r="AW38" s="99"/>
      <c r="AX38" s="99"/>
      <c r="AZ38" s="99"/>
      <c r="BA38" s="99"/>
      <c r="BB38" s="99"/>
      <c r="BC38" s="234"/>
      <c r="BD38" s="89"/>
      <c r="BE38" s="89"/>
      <c r="BF38" s="234"/>
      <c r="BG38" s="234"/>
      <c r="BH38" s="97"/>
      <c r="BI38" s="59"/>
    </row>
    <row r="39" spans="1:64" ht="12.75" customHeight="1" x14ac:dyDescent="0.2">
      <c r="A39" s="66">
        <v>636</v>
      </c>
      <c r="B39" s="60" t="str">
        <f t="shared" si="0"/>
        <v>12-22</v>
      </c>
      <c r="C39" s="67">
        <f>+'[1]journal de caisse'!B636</f>
        <v>44896</v>
      </c>
      <c r="D39" s="68">
        <f>IF(ISNUMBER(+'[1]journal de caisse'!C636),+'[1]journal de caisse'!C636,"-")</f>
        <v>61</v>
      </c>
      <c r="E39" s="69" t="str">
        <f>IF(ISTEXT(+'[1]journal de caisse'!D636),+'[1]journal de caisse'!D636,".")</f>
        <v>voo</v>
      </c>
      <c r="F39" s="69" t="str">
        <f>IF(ISTEXT(+'[1]journal de caisse'!E636),+'[1]journal de caisse'!E636,".")</f>
        <v>abonnement tél</v>
      </c>
      <c r="G39" s="70">
        <f>IF(+'[1]journal de caisse'!F636,+'[1]journal de caisse'!F636,".")</f>
        <v>44866</v>
      </c>
      <c r="H39" s="68" t="str">
        <f>IF(+'[1]journal de caisse'!G636,+'[1]journal de caisse'!G636,".")</f>
        <v>.</v>
      </c>
      <c r="I39" s="68" t="str">
        <f>IF(+'[1]journal de caisse'!H636,+'[1]journal de caisse'!H636,".")</f>
        <v>.</v>
      </c>
      <c r="J39" s="68" t="str">
        <f>IF(+'[1]journal de caisse'!I636,+'[1]journal de caisse'!I636,".")</f>
        <v>.</v>
      </c>
      <c r="K39" s="68">
        <f>IF(+'[1]journal de caisse'!J636,+'[1]journal de caisse'!J636,".")</f>
        <v>13</v>
      </c>
      <c r="L39" s="69" t="str">
        <f>IF(ISTEXT(+'[1]journal de caisse'!K636),+'[1]journal de caisse'!K636,".")</f>
        <v>abonnement tél</v>
      </c>
      <c r="M39" s="71" t="str">
        <f t="shared" si="1"/>
        <v>v</v>
      </c>
      <c r="N39" s="60">
        <f>+'[1]journal de caisse'!M636</f>
        <v>0</v>
      </c>
      <c r="O39" s="61" t="str">
        <f>IF(ISTEXT(L39),VLOOKUP(L39,[1]rubriques!$B$6:$H$51,7,FALSE),".")</f>
        <v>F08</v>
      </c>
      <c r="P39" s="85" t="str">
        <f>+[1]rubriques!B36</f>
        <v>prêt</v>
      </c>
      <c r="Q39" s="86">
        <f t="shared" si="5"/>
        <v>0</v>
      </c>
      <c r="R39" s="86">
        <f t="shared" si="6"/>
        <v>0</v>
      </c>
      <c r="S39" s="86">
        <f t="shared" si="7"/>
        <v>0</v>
      </c>
      <c r="T39" s="86">
        <f t="shared" si="8"/>
        <v>0</v>
      </c>
      <c r="U39" s="87">
        <f>IF(ISTEXT(P39),+(Q39+S39)-(+R39+T39),".")</f>
        <v>0</v>
      </c>
      <c r="V39" s="192" t="str">
        <f>IF(P39="x",".",VLOOKUP(P39,rubriques,7,FALSE))</f>
        <v>Dette</v>
      </c>
      <c r="X39" s="170"/>
      <c r="Y39" s="251"/>
      <c r="Z39" s="251"/>
      <c r="AA39" s="251"/>
      <c r="AB39" s="251"/>
      <c r="AC39" s="171"/>
      <c r="AJ39" s="255"/>
      <c r="AK39" s="248"/>
      <c r="AQ39" s="38"/>
      <c r="AR39" s="89"/>
      <c r="AS39" s="99"/>
      <c r="AT39" s="99"/>
      <c r="AU39" s="99"/>
      <c r="AV39" s="99"/>
      <c r="AW39" s="99"/>
      <c r="AX39" s="99"/>
      <c r="AZ39" s="59"/>
      <c r="BA39" s="59"/>
      <c r="BB39" s="59"/>
      <c r="BC39" s="59"/>
      <c r="BD39" s="59"/>
      <c r="BE39" s="59"/>
      <c r="BF39" s="98"/>
      <c r="BG39" s="97"/>
      <c r="BH39" s="97"/>
      <c r="BI39" s="59"/>
    </row>
    <row r="40" spans="1:64" ht="12.75" customHeight="1" x14ac:dyDescent="0.2">
      <c r="A40" s="66">
        <v>637</v>
      </c>
      <c r="B40" s="60" t="str">
        <f t="shared" si="0"/>
        <v>12-22</v>
      </c>
      <c r="C40" s="67">
        <f>+'[1]journal de caisse'!B637</f>
        <v>44897</v>
      </c>
      <c r="D40" s="68" t="str">
        <f>IF(ISNUMBER(+'[1]journal de caisse'!C637),+'[1]journal de caisse'!C637,"-")</f>
        <v>-</v>
      </c>
      <c r="E40" s="69" t="str">
        <f>IF(ISTEXT(+'[1]journal de caisse'!D637),+'[1]journal de caisse'!D637,".")</f>
        <v>cabinet</v>
      </c>
      <c r="F40" s="69" t="str">
        <f>IF(ISTEXT(+'[1]journal de caisse'!E637),+'[1]journal de caisse'!E637,".")</f>
        <v>consultation</v>
      </c>
      <c r="G40" s="70" t="str">
        <f>IF(+'[1]journal de caisse'!F637,+'[1]journal de caisse'!F637,".")</f>
        <v>.</v>
      </c>
      <c r="H40" s="68">
        <f>IF(+'[1]journal de caisse'!G637,+'[1]journal de caisse'!G637,".")</f>
        <v>100</v>
      </c>
      <c r="I40" s="68" t="str">
        <f>IF(+'[1]journal de caisse'!H637,+'[1]journal de caisse'!H637,".")</f>
        <v>.</v>
      </c>
      <c r="J40" s="68" t="str">
        <f>IF(+'[1]journal de caisse'!I637,+'[1]journal de caisse'!I637,".")</f>
        <v>.</v>
      </c>
      <c r="K40" s="68" t="str">
        <f>IF(+'[1]journal de caisse'!J637,+'[1]journal de caisse'!J637,".")</f>
        <v>.</v>
      </c>
      <c r="L40" s="69" t="str">
        <f>IF(ISTEXT(+'[1]journal de caisse'!K637),+'[1]journal de caisse'!K637,".")</f>
        <v>recette</v>
      </c>
      <c r="M40" s="71" t="str">
        <f t="shared" si="1"/>
        <v>v</v>
      </c>
      <c r="N40" s="60">
        <f>+'[1]journal de caisse'!M637</f>
        <v>0</v>
      </c>
      <c r="O40" s="61" t="str">
        <f>IF(ISTEXT(L40),VLOOKUP(L40,[1]rubriques!$B$6:$H$51,7,FALSE),".")</f>
        <v>R1</v>
      </c>
      <c r="P40" s="85" t="str">
        <f>+[1]rubriques!B37</f>
        <v>dépôt</v>
      </c>
      <c r="Q40" s="86">
        <f t="shared" si="5"/>
        <v>0</v>
      </c>
      <c r="R40" s="86">
        <f t="shared" si="6"/>
        <v>0</v>
      </c>
      <c r="S40" s="86">
        <f t="shared" si="7"/>
        <v>0</v>
      </c>
      <c r="T40" s="86">
        <f t="shared" si="8"/>
        <v>0</v>
      </c>
      <c r="U40" s="87">
        <f>IF(ISTEXT(P40),+(Q40+S40)-(+R40+T40),".")</f>
        <v>0</v>
      </c>
      <c r="V40" s="192" t="str">
        <f t="shared" si="3"/>
        <v>Transf</v>
      </c>
      <c r="X40" s="170"/>
      <c r="Y40" s="251"/>
      <c r="Z40" s="251"/>
      <c r="AA40" s="251"/>
      <c r="AB40" s="251"/>
      <c r="AC40" s="171"/>
      <c r="AJ40" s="255"/>
      <c r="AK40" s="248"/>
      <c r="AQ40" s="99"/>
      <c r="AR40" s="99"/>
      <c r="AS40" s="99"/>
      <c r="AT40" s="99"/>
      <c r="AU40" s="99"/>
      <c r="AV40" s="99"/>
      <c r="AW40" s="99"/>
      <c r="AX40" s="99"/>
      <c r="AZ40" s="282"/>
      <c r="BA40" s="282"/>
      <c r="BB40" s="282"/>
      <c r="BC40" s="282"/>
      <c r="BD40" s="282"/>
      <c r="BE40" s="282"/>
      <c r="BF40" s="282"/>
      <c r="BG40" s="282"/>
      <c r="BH40" s="282"/>
      <c r="BI40" s="282"/>
    </row>
    <row r="41" spans="1:64" ht="12.75" customHeight="1" x14ac:dyDescent="0.2">
      <c r="A41" s="66">
        <v>638</v>
      </c>
      <c r="B41" s="60" t="str">
        <f t="shared" si="0"/>
        <v>12-22</v>
      </c>
      <c r="C41" s="67">
        <f>+'[1]journal de caisse'!B638</f>
        <v>44902</v>
      </c>
      <c r="D41" s="68">
        <f>IF(ISNUMBER(+'[1]journal de caisse'!C638),+'[1]journal de caisse'!C638,"-")</f>
        <v>62</v>
      </c>
      <c r="E41" s="69" t="str">
        <f>IF(ISTEXT(+'[1]journal de caisse'!D638),+'[1]journal de caisse'!D638,".")</f>
        <v>AVA</v>
      </c>
      <c r="F41" s="69" t="str">
        <f>IF(ISTEXT(+'[1]journal de caisse'!E638),+'[1]journal de caisse'!E638,".")</f>
        <v>papier</v>
      </c>
      <c r="G41" s="70" t="str">
        <f>IF(+'[1]journal de caisse'!F638,+'[1]journal de caisse'!F638,".")</f>
        <v>.</v>
      </c>
      <c r="H41" s="68" t="str">
        <f>IF(+'[1]journal de caisse'!G638,+'[1]journal de caisse'!G638,".")</f>
        <v>.</v>
      </c>
      <c r="I41" s="68" t="str">
        <f>IF(+'[1]journal de caisse'!H638,+'[1]journal de caisse'!H638,".")</f>
        <v>.</v>
      </c>
      <c r="J41" s="68" t="str">
        <f>IF(+'[1]journal de caisse'!I638,+'[1]journal de caisse'!I638,".")</f>
        <v>.</v>
      </c>
      <c r="K41" s="68">
        <f>IF(+'[1]journal de caisse'!J638,+'[1]journal de caisse'!J638,".")</f>
        <v>12.48</v>
      </c>
      <c r="L41" s="69" t="str">
        <f>IF(ISTEXT(+'[1]journal de caisse'!K638),+'[1]journal de caisse'!K638,".")</f>
        <v>consomable</v>
      </c>
      <c r="M41" s="71" t="str">
        <f t="shared" si="1"/>
        <v>v</v>
      </c>
      <c r="N41" s="60">
        <f>+'[1]journal de caisse'!M638</f>
        <v>9</v>
      </c>
      <c r="O41" s="61" t="str">
        <f>IF(ISTEXT(L41),VLOOKUP(L41,[1]rubriques!$B$6:$H$51,7,FALSE),".")</f>
        <v>F09</v>
      </c>
      <c r="P41" s="101" t="s">
        <v>11</v>
      </c>
      <c r="Q41" s="101" t="s">
        <v>29</v>
      </c>
      <c r="T41" s="102"/>
      <c r="U41" s="103" t="s">
        <v>30</v>
      </c>
      <c r="V41" s="192"/>
      <c r="X41" s="170"/>
      <c r="Y41" s="251"/>
      <c r="Z41" s="251"/>
      <c r="AA41" s="251"/>
      <c r="AB41" s="251"/>
      <c r="AC41" s="171"/>
      <c r="AJ41" s="255"/>
      <c r="AK41" s="248"/>
      <c r="AQ41" s="99"/>
      <c r="AR41" s="99"/>
      <c r="AS41" s="99"/>
      <c r="AT41" s="99"/>
      <c r="AU41" s="99"/>
      <c r="AV41" s="99"/>
      <c r="AW41" s="99"/>
      <c r="AX41" s="99"/>
      <c r="AZ41" s="52"/>
      <c r="BA41" s="52"/>
      <c r="BB41" s="52"/>
      <c r="BC41" s="52"/>
      <c r="BD41" s="52"/>
      <c r="BE41" s="52"/>
      <c r="BF41" s="52"/>
      <c r="BG41" s="52"/>
      <c r="BH41" s="52"/>
      <c r="BI41" s="52"/>
    </row>
    <row r="42" spans="1:64" ht="12.75" customHeight="1" x14ac:dyDescent="0.2">
      <c r="A42" s="66">
        <v>655</v>
      </c>
      <c r="B42" s="60"/>
      <c r="C42" s="67"/>
      <c r="D42" s="68"/>
      <c r="E42" s="69"/>
      <c r="F42" s="69"/>
      <c r="G42" s="70"/>
      <c r="H42" s="68"/>
      <c r="I42" s="68"/>
      <c r="J42" s="68"/>
      <c r="K42" s="68"/>
      <c r="L42" s="69"/>
      <c r="M42" s="71"/>
      <c r="N42" s="60"/>
      <c r="O42" s="61"/>
      <c r="P42" s="104">
        <f>+N5</f>
        <v>21.4</v>
      </c>
      <c r="Q42" s="105">
        <v>0.15</v>
      </c>
      <c r="R42" s="106" t="s">
        <v>31</v>
      </c>
      <c r="S42" s="107"/>
      <c r="T42" s="108"/>
      <c r="U42" s="109">
        <f>-(+P42*Q42)</f>
        <v>-3.2099999999999995</v>
      </c>
      <c r="V42" s="193" t="s">
        <v>32</v>
      </c>
      <c r="Y42" s="251"/>
      <c r="Z42" s="251"/>
      <c r="AA42" s="251"/>
      <c r="AB42" s="277"/>
      <c r="AJ42" s="255"/>
      <c r="AK42" s="248"/>
      <c r="AQ42" s="99"/>
      <c r="AR42" s="99"/>
      <c r="AS42" s="99"/>
      <c r="AT42" s="99"/>
      <c r="AU42" s="99"/>
      <c r="AV42" s="99"/>
      <c r="AW42" s="99"/>
      <c r="AX42" s="99"/>
      <c r="AZ42" s="59"/>
      <c r="BA42" s="59"/>
      <c r="BB42" s="59"/>
      <c r="BC42" s="59"/>
      <c r="BD42" s="59"/>
      <c r="BE42" s="59"/>
      <c r="BF42" s="59"/>
      <c r="BG42" s="59"/>
      <c r="BH42" s="59"/>
      <c r="BI42" s="59"/>
    </row>
    <row r="43" spans="1:64" ht="12.75" customHeight="1" x14ac:dyDescent="0.2">
      <c r="A43" s="66">
        <v>656</v>
      </c>
      <c r="B43" s="60"/>
      <c r="C43" s="67"/>
      <c r="D43" s="68"/>
      <c r="E43" s="69"/>
      <c r="F43" s="69"/>
      <c r="G43" s="70"/>
      <c r="H43" s="68"/>
      <c r="I43" s="68"/>
      <c r="J43" s="68"/>
      <c r="K43" s="68"/>
      <c r="L43" s="69"/>
      <c r="M43" s="71"/>
      <c r="N43" s="60"/>
      <c r="O43" s="61"/>
      <c r="P43" s="110" t="s">
        <v>33</v>
      </c>
      <c r="Q43" s="107" t="s">
        <v>34</v>
      </c>
      <c r="R43" s="107"/>
      <c r="S43" s="107"/>
      <c r="T43" s="108"/>
      <c r="U43" s="111">
        <f>-BG31</f>
        <v>0</v>
      </c>
      <c r="V43" s="193" t="s">
        <v>27</v>
      </c>
      <c r="AJ43" s="255"/>
      <c r="AK43" s="248"/>
      <c r="AZ43" s="96"/>
      <c r="BA43" s="59"/>
      <c r="BB43" s="59"/>
      <c r="BC43" s="59"/>
      <c r="BD43" s="59"/>
      <c r="BE43" s="59"/>
      <c r="BF43" s="59"/>
      <c r="BG43" s="59"/>
      <c r="BH43" s="59"/>
      <c r="BI43" s="59"/>
    </row>
    <row r="44" spans="1:64" ht="12.75" customHeight="1" x14ac:dyDescent="0.2">
      <c r="A44" s="66">
        <v>657</v>
      </c>
      <c r="B44" s="60"/>
      <c r="C44" s="67"/>
      <c r="D44" s="68"/>
      <c r="E44" s="69"/>
      <c r="F44" s="69"/>
      <c r="G44" s="70"/>
      <c r="H44" s="68"/>
      <c r="I44" s="68"/>
      <c r="J44" s="68"/>
      <c r="K44" s="68"/>
      <c r="L44" s="69"/>
      <c r="M44" s="71"/>
      <c r="N44" s="60"/>
      <c r="O44" s="61"/>
      <c r="AJ44" s="255"/>
      <c r="AK44" s="248"/>
      <c r="AZ44" s="59"/>
      <c r="BA44" s="59"/>
      <c r="BB44" s="59"/>
      <c r="BC44" s="59"/>
      <c r="BD44" s="59"/>
      <c r="BE44" s="59"/>
      <c r="BF44" s="59"/>
      <c r="BG44" s="59"/>
      <c r="BH44" s="59"/>
      <c r="BI44" s="59"/>
    </row>
    <row r="45" spans="1:64" ht="12.75" customHeight="1" x14ac:dyDescent="0.2">
      <c r="A45" s="66">
        <v>658</v>
      </c>
      <c r="B45" s="60"/>
      <c r="C45" s="67"/>
      <c r="D45" s="68"/>
      <c r="E45" s="69"/>
      <c r="F45" s="69"/>
      <c r="G45" s="70"/>
      <c r="H45" s="68"/>
      <c r="I45" s="68"/>
      <c r="J45" s="68"/>
      <c r="K45" s="68"/>
      <c r="L45" s="69"/>
      <c r="M45" s="71"/>
      <c r="N45" s="60"/>
      <c r="O45" s="61"/>
      <c r="AJ45" s="255"/>
      <c r="AK45" s="248"/>
      <c r="AZ45" s="59"/>
      <c r="BA45" s="59"/>
      <c r="BB45" s="59"/>
      <c r="BC45" s="59"/>
      <c r="BD45" s="59"/>
      <c r="BE45" s="114"/>
      <c r="BF45" s="59"/>
      <c r="BG45" s="59"/>
      <c r="BH45" s="98"/>
      <c r="BI45" s="59"/>
      <c r="BK45" s="114"/>
    </row>
    <row r="46" spans="1:64" ht="12.75" customHeight="1" x14ac:dyDescent="0.2">
      <c r="AJ46" s="255"/>
      <c r="AK46" s="248"/>
      <c r="AZ46" s="59"/>
      <c r="BA46" s="59"/>
      <c r="BB46" s="59"/>
      <c r="BC46" s="59"/>
      <c r="BD46" s="59"/>
      <c r="BE46" s="114"/>
      <c r="BF46" s="59"/>
      <c r="BG46" s="59"/>
      <c r="BH46" s="98"/>
      <c r="BI46" s="59"/>
      <c r="BK46" s="114"/>
    </row>
    <row r="47" spans="1:64" ht="12.75" customHeight="1" x14ac:dyDescent="0.2">
      <c r="AJ47" s="255"/>
      <c r="AK47" s="248"/>
      <c r="AZ47" s="96"/>
      <c r="BA47" s="235"/>
      <c r="BB47" s="236"/>
      <c r="BC47" s="59"/>
      <c r="BD47" s="113"/>
      <c r="BE47" s="117"/>
      <c r="BF47" s="115"/>
      <c r="BG47" s="59"/>
      <c r="BH47" s="237"/>
      <c r="BI47" s="59"/>
      <c r="BJ47" s="14"/>
      <c r="BK47" s="117"/>
      <c r="BL47" s="238"/>
    </row>
    <row r="48" spans="1:64" ht="12.75" customHeight="1" x14ac:dyDescent="0.2">
      <c r="AJ48" s="255"/>
      <c r="AK48" s="248"/>
      <c r="AZ48" s="59"/>
      <c r="BA48" s="59"/>
      <c r="BB48" s="112"/>
      <c r="BC48" s="59"/>
      <c r="BD48" s="113"/>
      <c r="BE48" s="114"/>
      <c r="BF48" s="115"/>
      <c r="BG48" s="59"/>
      <c r="BH48" s="59"/>
      <c r="BI48" s="59"/>
      <c r="BJ48" s="14"/>
      <c r="BK48" s="114"/>
    </row>
    <row r="49" spans="35:64" ht="12.75" customHeight="1" x14ac:dyDescent="0.2">
      <c r="AJ49" s="255"/>
      <c r="AK49" s="248"/>
      <c r="AZ49" s="96"/>
      <c r="BA49" s="235"/>
      <c r="BB49" s="236"/>
      <c r="BC49" s="59"/>
      <c r="BD49" s="239"/>
      <c r="BE49" s="117"/>
      <c r="BF49" s="115"/>
      <c r="BG49" s="59"/>
      <c r="BH49" s="237"/>
      <c r="BI49" s="59"/>
      <c r="BJ49" s="14"/>
      <c r="BK49" s="117"/>
      <c r="BL49" s="240"/>
    </row>
    <row r="50" spans="35:64" ht="12.75" customHeight="1" x14ac:dyDescent="0.2">
      <c r="AJ50" s="255"/>
      <c r="AK50" s="248"/>
      <c r="AZ50" s="59"/>
      <c r="BA50" s="59"/>
      <c r="BB50" s="112"/>
      <c r="BC50" s="59"/>
      <c r="BD50" s="59"/>
      <c r="BE50" s="114"/>
      <c r="BF50" s="115"/>
      <c r="BG50" s="59"/>
      <c r="BH50" s="59"/>
      <c r="BI50" s="59"/>
      <c r="BJ50" s="14"/>
      <c r="BK50" s="114"/>
    </row>
    <row r="51" spans="35:64" ht="12.75" customHeight="1" x14ac:dyDescent="0.2">
      <c r="AJ51" s="255"/>
      <c r="AK51" s="248"/>
      <c r="AZ51" s="96"/>
      <c r="BA51" s="281"/>
      <c r="BB51" s="281"/>
      <c r="BC51" s="281"/>
      <c r="BD51" s="116"/>
      <c r="BE51" s="117"/>
      <c r="BF51" s="59"/>
      <c r="BG51" s="59"/>
      <c r="BH51" s="237"/>
      <c r="BI51" s="59"/>
      <c r="BJ51" s="14"/>
      <c r="BK51" s="241"/>
      <c r="BL51" s="242"/>
    </row>
    <row r="52" spans="35:64" ht="12.75" customHeight="1" x14ac:dyDescent="0.2">
      <c r="AJ52" s="255"/>
      <c r="AK52" s="248"/>
      <c r="AZ52" s="59"/>
      <c r="BA52" s="59"/>
      <c r="BB52" s="118"/>
      <c r="BC52" s="59"/>
      <c r="BD52" s="59"/>
      <c r="BE52" s="114"/>
      <c r="BF52" s="243"/>
      <c r="BG52" s="59"/>
      <c r="BH52" s="59"/>
      <c r="BI52" s="59"/>
      <c r="BJ52" s="14"/>
      <c r="BK52" s="114"/>
    </row>
    <row r="53" spans="35:64" ht="12.75" customHeight="1" x14ac:dyDescent="0.2">
      <c r="AI53" s="246"/>
      <c r="AJ53" s="278"/>
      <c r="AK53" s="279"/>
      <c r="AL53" s="246"/>
      <c r="AM53" s="246"/>
      <c r="AN53" s="194"/>
      <c r="AO53" s="194"/>
      <c r="AP53" s="194"/>
      <c r="AZ53" s="96"/>
      <c r="BA53" s="281"/>
      <c r="BB53" s="281"/>
      <c r="BC53" s="281"/>
      <c r="BD53" s="244"/>
      <c r="BE53" s="117"/>
      <c r="BF53" s="59"/>
      <c r="BG53" s="59"/>
      <c r="BH53" s="237"/>
      <c r="BI53" s="59"/>
      <c r="BJ53" s="14"/>
      <c r="BK53" s="117"/>
      <c r="BL53" s="245"/>
    </row>
    <row r="54" spans="35:64" ht="12.75" customHeight="1" x14ac:dyDescent="0.2">
      <c r="AI54" s="246"/>
      <c r="AJ54" s="278"/>
      <c r="AK54" s="279"/>
      <c r="AL54" s="246"/>
      <c r="AM54" s="246"/>
      <c r="AN54" s="194"/>
      <c r="AO54" s="194"/>
      <c r="AP54" s="194"/>
      <c r="AZ54" s="59"/>
      <c r="BA54" s="235"/>
      <c r="BB54" s="236"/>
      <c r="BC54" s="59"/>
      <c r="BD54" s="59"/>
      <c r="BE54" s="114"/>
      <c r="BF54" s="243"/>
      <c r="BG54" s="59"/>
      <c r="BH54" s="59"/>
      <c r="BI54" s="59"/>
      <c r="BK54" s="114"/>
    </row>
    <row r="55" spans="35:64" ht="12.75" customHeight="1" x14ac:dyDescent="0.2">
      <c r="AJ55" s="255"/>
      <c r="AK55" s="248"/>
      <c r="AZ55" s="59"/>
      <c r="BA55" s="235"/>
      <c r="BB55" s="112"/>
      <c r="BC55" s="59"/>
      <c r="BD55" s="244"/>
      <c r="BE55" s="117"/>
      <c r="BF55" s="243"/>
      <c r="BG55" s="59"/>
      <c r="BH55" s="59"/>
      <c r="BI55" s="59"/>
      <c r="BK55" s="117"/>
    </row>
    <row r="56" spans="35:64" ht="12.75" customHeight="1" x14ac:dyDescent="0.2">
      <c r="AJ56" s="255"/>
      <c r="AK56" s="248"/>
    </row>
    <row r="57" spans="35:64" ht="12.75" customHeight="1" x14ac:dyDescent="0.2">
      <c r="AJ57" s="255"/>
      <c r="AK57" s="248"/>
    </row>
    <row r="58" spans="35:64" ht="12.75" customHeight="1" x14ac:dyDescent="0.2">
      <c r="AJ58" s="255"/>
      <c r="AK58" s="248"/>
    </row>
    <row r="59" spans="35:64" ht="12.75" customHeight="1" x14ac:dyDescent="0.2">
      <c r="AJ59" s="255"/>
      <c r="AK59" s="248"/>
    </row>
    <row r="60" spans="35:64" ht="12.75" customHeight="1" x14ac:dyDescent="0.2">
      <c r="AJ60" s="255"/>
      <c r="AK60" s="248"/>
    </row>
    <row r="61" spans="35:64" ht="12.75" customHeight="1" x14ac:dyDescent="0.2">
      <c r="AJ61" s="255"/>
      <c r="AK61" s="248"/>
    </row>
    <row r="62" spans="35:64" ht="12.75" customHeight="1" x14ac:dyDescent="0.2">
      <c r="AJ62" s="255"/>
      <c r="AK62" s="248"/>
    </row>
    <row r="63" spans="35:64" ht="12.75" customHeight="1" x14ac:dyDescent="0.2">
      <c r="AJ63" s="255"/>
      <c r="AK63" s="248"/>
    </row>
    <row r="64" spans="35:64" ht="12.75" customHeight="1" x14ac:dyDescent="0.2">
      <c r="AJ64" s="255"/>
      <c r="AK64" s="248"/>
    </row>
    <row r="65" spans="36:37" ht="12.75" customHeight="1" x14ac:dyDescent="0.2">
      <c r="AJ65" s="255"/>
      <c r="AK65" s="248"/>
    </row>
    <row r="66" spans="36:37" ht="12.75" customHeight="1" x14ac:dyDescent="0.2">
      <c r="AJ66" s="255"/>
      <c r="AK66" s="248"/>
    </row>
    <row r="67" spans="36:37" ht="12.75" customHeight="1" x14ac:dyDescent="0.2">
      <c r="AJ67" s="255"/>
      <c r="AK67" s="248"/>
    </row>
    <row r="68" spans="36:37" ht="12.75" customHeight="1" x14ac:dyDescent="0.2">
      <c r="AJ68" s="255"/>
      <c r="AK68" s="248"/>
    </row>
    <row r="69" spans="36:37" ht="12.75" customHeight="1" x14ac:dyDescent="0.2">
      <c r="AJ69" s="255"/>
      <c r="AK69" s="248"/>
    </row>
    <row r="70" spans="36:37" ht="12.75" customHeight="1" x14ac:dyDescent="0.2">
      <c r="AJ70" s="255"/>
      <c r="AK70" s="248"/>
    </row>
    <row r="71" spans="36:37" ht="12.75" customHeight="1" x14ac:dyDescent="0.2">
      <c r="AJ71" s="255"/>
      <c r="AK71" s="248"/>
    </row>
    <row r="72" spans="36:37" ht="12.75" customHeight="1" x14ac:dyDescent="0.2">
      <c r="AJ72" s="255"/>
      <c r="AK72" s="248"/>
    </row>
    <row r="73" spans="36:37" ht="12.75" customHeight="1" x14ac:dyDescent="0.2">
      <c r="AJ73" s="255"/>
      <c r="AK73" s="248"/>
    </row>
    <row r="74" spans="36:37" ht="12.75" customHeight="1" x14ac:dyDescent="0.2">
      <c r="AJ74" s="255"/>
      <c r="AK74" s="248"/>
    </row>
    <row r="75" spans="36:37" ht="12.75" customHeight="1" x14ac:dyDescent="0.2">
      <c r="AJ75" s="255"/>
      <c r="AK75" s="248"/>
    </row>
    <row r="76" spans="36:37" ht="12.75" customHeight="1" x14ac:dyDescent="0.2">
      <c r="AJ76" s="255"/>
      <c r="AK76" s="248"/>
    </row>
    <row r="77" spans="36:37" ht="12.75" customHeight="1" x14ac:dyDescent="0.2">
      <c r="AJ77" s="255"/>
      <c r="AK77" s="248"/>
    </row>
    <row r="78" spans="36:37" ht="12.75" customHeight="1" x14ac:dyDescent="0.2">
      <c r="AJ78" s="255"/>
      <c r="AK78" s="248"/>
    </row>
    <row r="79" spans="36:37" ht="12.75" customHeight="1" x14ac:dyDescent="0.2">
      <c r="AJ79" s="255"/>
      <c r="AK79" s="248"/>
    </row>
  </sheetData>
  <autoFilter ref="A5:O213"/>
  <sortState ref="A6:O213">
    <sortCondition ref="A6"/>
  </sortState>
  <mergeCells count="7">
    <mergeCell ref="BH40:BI40"/>
    <mergeCell ref="BA51:BC51"/>
    <mergeCell ref="BA53:BC53"/>
    <mergeCell ref="AZ40:BA40"/>
    <mergeCell ref="BB40:BC40"/>
    <mergeCell ref="BD40:BE40"/>
    <mergeCell ref="BF40:BG40"/>
  </mergeCells>
  <pageMargins left="0.23622047244094491" right="0.23622047244094491" top="0.55118110236220474" bottom="0.19685039370078741" header="0.31496062992125984" footer="0.19685039370078741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U58"/>
  <sheetViews>
    <sheetView tabSelected="1" workbookViewId="0">
      <selection activeCell="E32" sqref="E32"/>
    </sheetView>
  </sheetViews>
  <sheetFormatPr baseColWidth="10" defaultRowHeight="12.75" x14ac:dyDescent="0.2"/>
  <cols>
    <col min="1" max="1" width="4.140625" style="119" bestFit="1" customWidth="1"/>
    <col min="2" max="2" width="23.7109375" style="119" customWidth="1"/>
    <col min="3" max="3" width="6.28515625" style="119" customWidth="1"/>
    <col min="4" max="4" width="26" style="119" customWidth="1"/>
    <col min="5" max="5" width="11.42578125" style="119" bestFit="1" customWidth="1"/>
    <col min="6" max="6" width="9.140625" style="119" customWidth="1"/>
    <col min="7" max="7" width="23.42578125" style="119" bestFit="1" customWidth="1"/>
    <col min="8" max="8" width="8" style="119" bestFit="1" customWidth="1"/>
    <col min="9" max="9" width="9.85546875" style="119" bestFit="1" customWidth="1"/>
    <col min="10" max="10" width="7.7109375" style="119" bestFit="1" customWidth="1"/>
    <col min="11" max="11" width="4" style="119" customWidth="1"/>
    <col min="12" max="12" width="5.28515625" style="119" customWidth="1"/>
    <col min="13" max="13" width="7.140625" style="119" customWidth="1"/>
    <col min="14" max="14" width="6.5703125" style="119" bestFit="1" customWidth="1"/>
    <col min="15" max="15" width="7.42578125" style="119" bestFit="1" customWidth="1"/>
    <col min="16" max="16" width="4.140625" style="119" bestFit="1" customWidth="1"/>
    <col min="17" max="17" width="42.5703125" style="119" bestFit="1" customWidth="1"/>
    <col min="18" max="19" width="2.28515625" style="119" bestFit="1" customWidth="1"/>
    <col min="20" max="20" width="7.7109375" style="119" customWidth="1"/>
    <col min="21" max="21" width="79.28515625" style="119" bestFit="1" customWidth="1"/>
    <col min="22" max="16384" width="11.42578125" style="119"/>
  </cols>
  <sheetData>
    <row r="1" spans="1:7" ht="17.25" customHeight="1" x14ac:dyDescent="0.2">
      <c r="D1" s="120" t="s">
        <v>35</v>
      </c>
      <c r="E1" s="121">
        <v>44926</v>
      </c>
    </row>
    <row r="2" spans="1:7" x14ac:dyDescent="0.2">
      <c r="C2" s="122"/>
      <c r="E2" s="280">
        <v>2022</v>
      </c>
    </row>
    <row r="3" spans="1:7" x14ac:dyDescent="0.2">
      <c r="E3" s="123" t="str">
        <f>IF(E2,TEXT(E1,"M"),".")</f>
        <v>12</v>
      </c>
    </row>
    <row r="4" spans="1:7" x14ac:dyDescent="0.2">
      <c r="D4" s="124"/>
      <c r="E4" s="125"/>
    </row>
    <row r="5" spans="1:7" x14ac:dyDescent="0.2">
      <c r="B5" s="126"/>
      <c r="C5" s="127"/>
      <c r="D5" s="128"/>
      <c r="E5" s="129">
        <f ca="1">SUM(E7:E8)</f>
        <v>1260</v>
      </c>
    </row>
    <row r="7" spans="1:7" x14ac:dyDescent="0.2">
      <c r="A7" s="119" t="s">
        <v>36</v>
      </c>
      <c r="B7" s="130" t="s">
        <v>37</v>
      </c>
      <c r="E7" s="131">
        <f ca="1">IF(A7&lt;&gt;"",SUMIF(INDIRECT(E2&amp;"!$V$11:$V$42"),'expl 2022'!$A7,INDIRECT(E2&amp;"!$u$11:$u$42")),".")</f>
        <v>1260</v>
      </c>
    </row>
    <row r="8" spans="1:7" x14ac:dyDescent="0.2">
      <c r="E8" s="132"/>
      <c r="F8" s="133"/>
    </row>
    <row r="10" spans="1:7" s="139" customFormat="1" x14ac:dyDescent="0.2">
      <c r="A10" s="134"/>
      <c r="B10" s="135"/>
      <c r="C10" s="136"/>
      <c r="D10" s="137"/>
      <c r="E10" s="138">
        <f ca="1">SUM(E11:E31)</f>
        <v>1049.7</v>
      </c>
    </row>
    <row r="11" spans="1:7" x14ac:dyDescent="0.2">
      <c r="A11" s="134" t="s">
        <v>38</v>
      </c>
      <c r="B11" s="130" t="s">
        <v>39</v>
      </c>
      <c r="C11" s="130"/>
      <c r="D11" s="134"/>
      <c r="E11" s="140">
        <f ca="1">IF(A11&lt;&gt;"",-SUMIF(INDIRECT($E$2&amp;"!$V$11:$V$43"),'expl 2022'!$A11,INDIRECT($E$2&amp;"!$u$11:$u$43")),".")</f>
        <v>0</v>
      </c>
      <c r="F11" s="141" t="s">
        <v>77</v>
      </c>
      <c r="G11" s="133" t="s">
        <v>79</v>
      </c>
    </row>
    <row r="12" spans="1:7" x14ac:dyDescent="0.2">
      <c r="A12" s="134" t="s">
        <v>40</v>
      </c>
      <c r="B12" s="130" t="s">
        <v>41</v>
      </c>
      <c r="C12" s="142"/>
      <c r="D12" s="143"/>
      <c r="E12" s="140">
        <f ca="1">IF(A12&lt;&gt;"",-SUMIF(INDIRECT($E$2&amp;"!$V$11:$V$43"),'expl 2022'!$A12,INDIRECT($E$2&amp;"!$u$11:$u$43")),".")</f>
        <v>94.07</v>
      </c>
      <c r="F12" s="141"/>
    </row>
    <row r="13" spans="1:7" x14ac:dyDescent="0.2">
      <c r="A13" s="134" t="s">
        <v>42</v>
      </c>
      <c r="B13" s="144"/>
      <c r="C13" s="130"/>
      <c r="D13" s="134"/>
      <c r="E13" s="140">
        <f ca="1">IF(A13&lt;&gt;"",-SUMIF(INDIRECT($E$2&amp;"!$V$11:$V$43"),'expl 2022'!$A13,INDIRECT($E$2&amp;"!$u$11:$u$43")),".")</f>
        <v>0</v>
      </c>
      <c r="G13" s="141" t="s">
        <v>43</v>
      </c>
    </row>
    <row r="14" spans="1:7" x14ac:dyDescent="0.2">
      <c r="A14" s="134" t="s">
        <v>44</v>
      </c>
      <c r="B14" s="130" t="s">
        <v>45</v>
      </c>
      <c r="C14" s="130"/>
      <c r="D14" s="134"/>
      <c r="E14" s="140">
        <f ca="1">IF(A14&lt;&gt;"",-SUMIF(INDIRECT($E$2&amp;"!$V$11:$V$43"),'expl 2022'!$A14,INDIRECT($E$2&amp;"!$u$11:$u$43")),".")</f>
        <v>80</v>
      </c>
      <c r="F14" s="141"/>
      <c r="G14" s="141" t="s">
        <v>46</v>
      </c>
    </row>
    <row r="15" spans="1:7" x14ac:dyDescent="0.2">
      <c r="A15" s="134" t="s">
        <v>47</v>
      </c>
      <c r="B15" s="130" t="s">
        <v>48</v>
      </c>
      <c r="C15" s="130"/>
      <c r="D15" s="134"/>
      <c r="E15" s="140">
        <f ca="1">IF(A15&lt;&gt;"",-SUMIF(INDIRECT($E$2&amp;"!$V$11:$V$43"),'expl 2022'!$A15,INDIRECT($E$2&amp;"!$u$11:$u$43")),".")</f>
        <v>0</v>
      </c>
      <c r="G15" s="141" t="s">
        <v>78</v>
      </c>
    </row>
    <row r="16" spans="1:7" x14ac:dyDescent="0.2">
      <c r="A16" s="134" t="s">
        <v>50</v>
      </c>
      <c r="B16" s="130" t="s">
        <v>51</v>
      </c>
      <c r="C16" s="130"/>
      <c r="D16" s="134"/>
      <c r="E16" s="140">
        <f ca="1">IF(A16&lt;&gt;"",-SUMIF(INDIRECT($E$2&amp;"!$V$11:$V$43"),'expl 2022'!$A16,INDIRECT($E$2&amp;"!$u$11:$u$43")),".")</f>
        <v>0</v>
      </c>
      <c r="F16" s="141"/>
      <c r="G16" s="141" t="s">
        <v>49</v>
      </c>
    </row>
    <row r="17" spans="1:10" x14ac:dyDescent="0.2">
      <c r="A17" s="134" t="s">
        <v>52</v>
      </c>
      <c r="B17" s="130" t="s">
        <v>53</v>
      </c>
      <c r="C17" s="130"/>
      <c r="D17" s="134"/>
      <c r="E17" s="140">
        <f ca="1">IF(A17&lt;&gt;"",-SUMIF(INDIRECT($E$2&amp;"!$V$11:$V$43"),'expl 2022'!$A17,INDIRECT($E$2&amp;"!$u$11:$u$43")),".")</f>
        <v>0</v>
      </c>
    </row>
    <row r="18" spans="1:10" x14ac:dyDescent="0.2">
      <c r="A18" s="134" t="s">
        <v>54</v>
      </c>
      <c r="B18" s="130" t="s">
        <v>55</v>
      </c>
      <c r="C18" s="130"/>
      <c r="D18" s="134"/>
      <c r="E18" s="140">
        <f ca="1">IF(A18&lt;&gt;"",-SUMIF(INDIRECT($E$2&amp;"!$V$11:$V$43"),'expl 2022'!$A18,INDIRECT($E$2&amp;"!$u$11:$u$43")),".")</f>
        <v>89</v>
      </c>
      <c r="F18" s="141"/>
    </row>
    <row r="19" spans="1:10" x14ac:dyDescent="0.2">
      <c r="A19" s="145" t="s">
        <v>56</v>
      </c>
      <c r="B19" s="146" t="s">
        <v>57</v>
      </c>
      <c r="C19" s="146"/>
      <c r="D19" s="145"/>
      <c r="E19" s="140">
        <f ca="1">IF(A19&lt;&gt;"",-SUMIF(INDIRECT($E$2&amp;"!$V$11:$V$43"),'expl 2022'!$A19,INDIRECT($E$2&amp;"!$u$11:$u$43")),".")</f>
        <v>53.430000000000007</v>
      </c>
      <c r="F19" s="141"/>
    </row>
    <row r="20" spans="1:10" x14ac:dyDescent="0.2">
      <c r="A20" s="147"/>
      <c r="B20" s="148" t="s">
        <v>58</v>
      </c>
      <c r="C20" s="149"/>
      <c r="D20" s="150"/>
      <c r="E20" s="151"/>
      <c r="G20" s="141"/>
    </row>
    <row r="21" spans="1:10" x14ac:dyDescent="0.2">
      <c r="A21" s="152"/>
      <c r="B21" s="153" t="s">
        <v>59</v>
      </c>
      <c r="C21" s="130"/>
      <c r="D21" s="134"/>
      <c r="E21" s="154">
        <f>60*E3</f>
        <v>720</v>
      </c>
    </row>
    <row r="22" spans="1:10" x14ac:dyDescent="0.2">
      <c r="A22" s="155"/>
      <c r="B22" s="156"/>
      <c r="C22" s="157"/>
      <c r="D22" s="157"/>
      <c r="E22" s="158"/>
    </row>
    <row r="23" spans="1:10" x14ac:dyDescent="0.2">
      <c r="A23" s="159" t="s">
        <v>60</v>
      </c>
      <c r="B23" s="160" t="s">
        <v>61</v>
      </c>
      <c r="C23" s="160"/>
      <c r="D23" s="159"/>
      <c r="E23" s="140">
        <f ca="1">IF(A23&lt;&gt;"",-SUMIF(INDIRECT($E$2&amp;"!$V$11:$V$43"),'expl 2022'!$A23,INDIRECT($E$2&amp;"!$u$11:$u$43")),".")</f>
        <v>9.99</v>
      </c>
    </row>
    <row r="24" spans="1:10" x14ac:dyDescent="0.2">
      <c r="A24" s="134" t="s">
        <v>62</v>
      </c>
      <c r="B24" s="130" t="s">
        <v>63</v>
      </c>
      <c r="C24" s="130"/>
      <c r="D24" s="134"/>
      <c r="E24" s="140">
        <f ca="1">IF(A24&lt;&gt;"",-SUMIF(INDIRECT($E$2&amp;"!$V$11:$V$43"),'expl 2022'!$A24,INDIRECT($E$2&amp;"!$u$11:$u$43")),".")</f>
        <v>0</v>
      </c>
    </row>
    <row r="25" spans="1:10" x14ac:dyDescent="0.2">
      <c r="A25" s="161" t="s">
        <v>64</v>
      </c>
      <c r="B25" s="130" t="s">
        <v>65</v>
      </c>
      <c r="C25" s="130">
        <v>0.5</v>
      </c>
      <c r="D25" s="134"/>
      <c r="E25" s="140">
        <f ca="1">IF(A25&lt;&gt;"",-SUMIF(INDIRECT($E$2&amp;"!$V$11:$V$43"),'expl 2022'!$A25,INDIRECT($E$2&amp;"!$u$11:$u$43")),".")</f>
        <v>0</v>
      </c>
    </row>
    <row r="26" spans="1:10" x14ac:dyDescent="0.2">
      <c r="A26" s="161" t="s">
        <v>66</v>
      </c>
      <c r="B26" s="130" t="s">
        <v>67</v>
      </c>
      <c r="C26" s="130">
        <v>0.69</v>
      </c>
      <c r="D26" s="162">
        <f>IF(A26&lt;&gt;"",-SUMIF('2022'!$V$11:$V$43,'expl 2022'!$A26,'2022'!$U$11:$U$43),".")</f>
        <v>0</v>
      </c>
      <c r="E26" s="140">
        <f ca="1">IF(A26&lt;&gt;"",-SUMIF(INDIRECT($E$2&amp;"!$V$11:$V$43"),'expl 2022'!$A26,INDIRECT($E$2&amp;"!$u$11:$u$43")),".")</f>
        <v>0</v>
      </c>
    </row>
    <row r="27" spans="1:10" x14ac:dyDescent="0.2">
      <c r="A27" s="161" t="s">
        <v>27</v>
      </c>
      <c r="B27" s="134" t="s">
        <v>68</v>
      </c>
      <c r="C27" s="134"/>
      <c r="D27" s="134"/>
      <c r="E27" s="140">
        <f ca="1">IF(A27&lt;&gt;"",-SUMIF(INDIRECT($E$2&amp;"!$V$11:$V$43"),'expl 2022'!$A27,INDIRECT($E$2&amp;"!$u$11:$u$43")),".")</f>
        <v>0</v>
      </c>
    </row>
    <row r="28" spans="1:10" x14ac:dyDescent="0.2">
      <c r="A28" s="134" t="s">
        <v>32</v>
      </c>
      <c r="B28" s="130" t="s">
        <v>69</v>
      </c>
      <c r="C28" s="130">
        <v>0.15</v>
      </c>
      <c r="D28" s="134"/>
      <c r="E28" s="140">
        <f ca="1">IF(A28&lt;&gt;"",-SUMIF(INDIRECT($E$2&amp;"!$V$11:$V$43"),'expl 2022'!$A28,INDIRECT($E$2&amp;"!$u$11:$u$43")),".")</f>
        <v>3.2099999999999995</v>
      </c>
      <c r="J28" s="163"/>
    </row>
    <row r="29" spans="1:10" x14ac:dyDescent="0.2">
      <c r="A29" s="134" t="s">
        <v>70</v>
      </c>
      <c r="B29" s="134" t="s">
        <v>71</v>
      </c>
      <c r="C29" s="130"/>
      <c r="D29" s="134"/>
      <c r="E29" s="140">
        <f ca="1">IF(A29&lt;&gt;"",-SUMIF(INDIRECT($E$2&amp;"!$V$11:$V$43"),'expl 2022'!$A29,INDIRECT($E$2&amp;"!$u$11:$u$43")),".")</f>
        <v>0</v>
      </c>
    </row>
    <row r="30" spans="1:10" x14ac:dyDescent="0.2">
      <c r="A30" s="161" t="s">
        <v>72</v>
      </c>
      <c r="B30" s="130" t="s">
        <v>73</v>
      </c>
      <c r="C30" s="161"/>
      <c r="D30" s="134"/>
      <c r="E30" s="140">
        <f ca="1">IF(A30&lt;&gt;"",-SUMIF(INDIRECT($E$2&amp;"!$V$11:$V$43"),'expl 2022'!$A30,INDIRECT($E$2&amp;"!$u$11:$u$43")),".")</f>
        <v>0</v>
      </c>
    </row>
    <row r="31" spans="1:10" x14ac:dyDescent="0.2">
      <c r="A31" s="164" t="s">
        <v>74</v>
      </c>
      <c r="B31" s="134"/>
      <c r="C31" s="134"/>
      <c r="D31" s="134"/>
      <c r="E31" s="140">
        <f ca="1">IF(A31&lt;&gt;"",-SUMIF(INDIRECT($E$2&amp;"!$V$11:$V$43"),'expl 2022'!$A31,INDIRECT($E$2&amp;"!$u$11:$u$43")),".")</f>
        <v>0</v>
      </c>
    </row>
    <row r="32" spans="1:10" x14ac:dyDescent="0.2">
      <c r="A32" s="134" t="s">
        <v>75</v>
      </c>
      <c r="B32" s="126" t="s">
        <v>76</v>
      </c>
      <c r="C32" s="165"/>
      <c r="D32" s="166"/>
      <c r="E32" s="140">
        <f ca="1">IF(A32&lt;&gt;"",-SUMIF(INDIRECT($E$2&amp;"!$V$11:$V$43"),'expl 2022'!$A32,INDIRECT($E$2&amp;"!$u$11:$u$43")),".")</f>
        <v>0</v>
      </c>
    </row>
    <row r="33" spans="1:12" x14ac:dyDescent="0.2">
      <c r="B33" s="172"/>
      <c r="C33" s="182"/>
      <c r="D33" s="172"/>
      <c r="E33" s="183"/>
      <c r="F33" s="173"/>
    </row>
    <row r="34" spans="1:12" x14ac:dyDescent="0.2">
      <c r="B34" s="172"/>
      <c r="C34" s="182"/>
      <c r="D34" s="172"/>
      <c r="E34" s="183"/>
      <c r="F34" s="173"/>
    </row>
    <row r="35" spans="1:12" x14ac:dyDescent="0.2">
      <c r="A35" s="172"/>
      <c r="B35" s="172"/>
      <c r="C35" s="182"/>
      <c r="D35" s="172"/>
      <c r="E35" s="183"/>
      <c r="F35" s="173"/>
      <c r="G35" s="173"/>
    </row>
    <row r="36" spans="1:12" x14ac:dyDescent="0.2">
      <c r="A36" s="172"/>
      <c r="B36" s="172"/>
      <c r="C36" s="182"/>
      <c r="D36" s="172"/>
      <c r="E36" s="183"/>
      <c r="F36" s="173"/>
      <c r="G36" s="173"/>
    </row>
    <row r="37" spans="1:12" x14ac:dyDescent="0.2">
      <c r="A37" s="172"/>
      <c r="B37" s="172"/>
      <c r="C37" s="172"/>
      <c r="D37" s="174"/>
      <c r="E37" s="184"/>
      <c r="F37" s="173"/>
      <c r="G37" s="173"/>
    </row>
    <row r="38" spans="1:12" s="167" customFormat="1" x14ac:dyDescent="0.2">
      <c r="A38" s="172"/>
      <c r="B38" s="172"/>
      <c r="C38" s="172"/>
      <c r="D38" s="175"/>
      <c r="E38" s="176"/>
      <c r="F38" s="172"/>
      <c r="G38" s="173"/>
      <c r="J38" s="119"/>
      <c r="K38" s="119"/>
      <c r="L38" s="119"/>
    </row>
    <row r="39" spans="1:12" x14ac:dyDescent="0.2">
      <c r="A39" s="173"/>
      <c r="B39" s="173"/>
      <c r="C39" s="173"/>
      <c r="D39" s="177"/>
      <c r="E39" s="178"/>
      <c r="F39" s="173"/>
      <c r="G39" s="173"/>
      <c r="J39" s="167"/>
      <c r="K39" s="167"/>
      <c r="L39" s="167"/>
    </row>
    <row r="40" spans="1:12" x14ac:dyDescent="0.2">
      <c r="A40" s="173"/>
      <c r="B40" s="173"/>
      <c r="C40" s="174"/>
      <c r="D40" s="179"/>
      <c r="E40" s="185"/>
      <c r="F40" s="172"/>
      <c r="G40" s="173"/>
    </row>
    <row r="41" spans="1:12" x14ac:dyDescent="0.2">
      <c r="A41" s="173"/>
      <c r="B41" s="173"/>
      <c r="C41" s="174"/>
      <c r="D41" s="180"/>
      <c r="E41" s="186"/>
      <c r="F41" s="172"/>
      <c r="G41" s="173"/>
    </row>
    <row r="42" spans="1:12" x14ac:dyDescent="0.2">
      <c r="A42" s="173"/>
      <c r="B42" s="173"/>
      <c r="C42" s="172"/>
      <c r="D42" s="174"/>
      <c r="E42" s="186"/>
      <c r="F42" s="172"/>
      <c r="G42" s="173"/>
      <c r="H42" s="168">
        <f>+G42/12</f>
        <v>0</v>
      </c>
    </row>
    <row r="43" spans="1:12" x14ac:dyDescent="0.2">
      <c r="A43" s="173"/>
      <c r="B43" s="173"/>
      <c r="C43" s="173"/>
      <c r="D43" s="173"/>
      <c r="E43" s="181"/>
      <c r="F43" s="173"/>
      <c r="G43" s="173"/>
    </row>
    <row r="44" spans="1:12" x14ac:dyDescent="0.2">
      <c r="A44" s="173"/>
      <c r="B44" s="173"/>
      <c r="C44" s="173"/>
      <c r="D44" s="173"/>
      <c r="E44" s="173"/>
      <c r="F44" s="173"/>
      <c r="G44" s="173"/>
    </row>
    <row r="45" spans="1:12" x14ac:dyDescent="0.2">
      <c r="A45" s="173"/>
      <c r="B45" s="187"/>
      <c r="C45" s="173"/>
      <c r="D45" s="173"/>
      <c r="E45" s="173"/>
      <c r="F45" s="173"/>
      <c r="G45" s="173"/>
    </row>
    <row r="46" spans="1:12" x14ac:dyDescent="0.2">
      <c r="A46" s="173"/>
      <c r="B46" s="187"/>
      <c r="C46" s="188"/>
      <c r="D46" s="173"/>
      <c r="E46" s="173"/>
      <c r="F46" s="173"/>
      <c r="G46" s="173"/>
    </row>
    <row r="47" spans="1:12" x14ac:dyDescent="0.2">
      <c r="A47" s="173"/>
      <c r="B47" s="173"/>
      <c r="C47" s="173"/>
      <c r="D47" s="173"/>
      <c r="E47" s="173"/>
      <c r="F47" s="173"/>
      <c r="G47" s="173"/>
    </row>
    <row r="48" spans="1:12" x14ac:dyDescent="0.2">
      <c r="A48" s="173"/>
      <c r="B48" s="173"/>
      <c r="C48" s="173"/>
      <c r="D48" s="173"/>
      <c r="E48" s="173"/>
      <c r="F48" s="173"/>
      <c r="G48" s="173"/>
    </row>
    <row r="58" spans="21:21" x14ac:dyDescent="0.2">
      <c r="U58" s="139"/>
    </row>
  </sheetData>
  <pageMargins left="0.78740157480314965" right="0.78740157480314965" top="1.3779527559055118" bottom="0.39370078740157483" header="0.51181102362204722" footer="0.31496062992125984"/>
  <pageSetup paperSize="9" orientation="portrait" horizontalDpi="4294967292" verticalDpi="4294967292" r:id="rId1"/>
  <headerFooter>
    <oddHeader>&amp;LOdette MARION
Rue Fond-Pirette 87/11
4000 LIEGE
N.E. : BE0734.579.416
Psychomotricienne
Début d'activité le 01/10/2019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2022</vt:lpstr>
      <vt:lpstr>expl 2022</vt:lpstr>
      <vt:lpstr>'2022'!Impression_des_titres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Michel</cp:lastModifiedBy>
  <dcterms:created xsi:type="dcterms:W3CDTF">2023-01-02T17:23:58Z</dcterms:created>
  <dcterms:modified xsi:type="dcterms:W3CDTF">2023-01-02T18:41:26Z</dcterms:modified>
</cp:coreProperties>
</file>