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drawings/drawing1.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1600" windowHeight="951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Janvier!$AH$5</definedName>
    <definedName name="CléCongé">Janvier!$C$3</definedName>
    <definedName name="CléMaladie">Janvier!$J$3</definedName>
    <definedName name="CléPersonnalisée1">Janvier!$M$3</definedName>
    <definedName name="CléPersonnalisée2">Janvier!$R$3</definedName>
    <definedName name="CléPersonnel">Janvier!$F$3</definedName>
    <definedName name="ÉtiquetteCléCongé">Janvier!$D$3</definedName>
    <definedName name="ÉtiquetteCléMaladie">Janvier!$K$3</definedName>
    <definedName name="ÉtiquetteCléPersonnalisée1">Janvier!$N$3</definedName>
    <definedName name="ÉtiquetteCléPersonnalisée2">Janvier!$S$3</definedName>
    <definedName name="ÉtiquetteCléPersonnel">Janvier!$G$3</definedName>
    <definedName name="_xlnm.Print_Titles" localSheetId="7">Août!$5:$7</definedName>
    <definedName name="_xlnm.Print_Titles" localSheetId="3">Avril!$5:$7</definedName>
    <definedName name="_xlnm.Print_Titles" localSheetId="11">Décembre!$6:$8</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Novembre!$6:$8</definedName>
    <definedName name="_xlnm.Print_Titles" localSheetId="9">Octobre!$6:$8</definedName>
    <definedName name="_xlnm.Print_Titles" localSheetId="8">Septembre!$6:$8</definedName>
    <definedName name="Nom_clé">Janvier!$B$3</definedName>
    <definedName name="NomMois" localSheetId="7">Août!$B$5</definedName>
    <definedName name="NomMois" localSheetId="3">Avril!$B$5</definedName>
    <definedName name="NomMois" localSheetId="11">Décembre!$B$6</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Novembre!$B$6</definedName>
    <definedName name="NomMois" localSheetId="9">Octobre!$B$6</definedName>
    <definedName name="NomMois" localSheetId="8">Septembre!$B$6</definedName>
    <definedName name="Titre_Absence_Employé">Janvier!$B$2</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52511"/>
</workbook>
</file>

<file path=xl/calcChain.xml><?xml version="1.0" encoding="utf-8"?>
<calcChain xmlns="http://schemas.openxmlformats.org/spreadsheetml/2006/main">
  <c r="AH8" i="21" l="1"/>
  <c r="AH6" i="15" l="1"/>
  <c r="F14" i="23" l="1"/>
  <c r="G14" i="23"/>
  <c r="H14" i="23"/>
  <c r="I14" i="23"/>
  <c r="J14" i="23"/>
  <c r="K14" i="23"/>
  <c r="L14" i="23"/>
  <c r="M14" i="23"/>
  <c r="N14" i="23"/>
  <c r="O14" i="23"/>
  <c r="P14" i="23"/>
  <c r="Q14" i="23"/>
  <c r="R14" i="23"/>
  <c r="S14" i="23"/>
  <c r="T14" i="23"/>
  <c r="U14" i="23"/>
  <c r="V14" i="23"/>
  <c r="W14" i="23"/>
  <c r="X14" i="23"/>
  <c r="Y14" i="23"/>
  <c r="Z14" i="23"/>
  <c r="AA14" i="23"/>
  <c r="AB14" i="23"/>
  <c r="AC14" i="23"/>
  <c r="AD14" i="23"/>
  <c r="AE14" i="23"/>
  <c r="AF14" i="23"/>
  <c r="C14" i="23"/>
  <c r="F14" i="24"/>
  <c r="G14" i="24"/>
  <c r="H14" i="24"/>
  <c r="I14" i="24"/>
  <c r="J14" i="24"/>
  <c r="K14" i="24"/>
  <c r="L14" i="24"/>
  <c r="M14" i="24"/>
  <c r="N14" i="24"/>
  <c r="O14" i="24"/>
  <c r="P14" i="24"/>
  <c r="Q14" i="24"/>
  <c r="R14" i="24"/>
  <c r="S14" i="24"/>
  <c r="T14" i="24"/>
  <c r="U14" i="24"/>
  <c r="V14" i="24"/>
  <c r="W14" i="24"/>
  <c r="X14" i="24"/>
  <c r="Y14" i="24"/>
  <c r="Z14" i="24"/>
  <c r="AA14" i="24"/>
  <c r="AB14" i="24"/>
  <c r="AC14" i="24"/>
  <c r="AD14" i="24"/>
  <c r="AF13" i="19"/>
  <c r="AG13" i="19"/>
  <c r="AF13" i="18" l="1"/>
  <c r="AH8" i="4" l="1"/>
  <c r="AH9" i="4"/>
  <c r="AH10" i="4"/>
  <c r="AH11" i="4"/>
  <c r="AH12" i="4"/>
  <c r="AH9" i="22" l="1"/>
  <c r="AH10" i="22"/>
  <c r="AH8" i="22"/>
  <c r="AH11" i="22"/>
  <c r="AH12" i="22"/>
  <c r="B10" i="15" l="1"/>
  <c r="B11" i="15"/>
  <c r="B12" i="15"/>
  <c r="B13" i="15"/>
  <c r="B9" i="15"/>
  <c r="B10" i="25"/>
  <c r="B11" i="25"/>
  <c r="B12" i="25"/>
  <c r="B13" i="25"/>
  <c r="B9" i="25"/>
  <c r="B10" i="24"/>
  <c r="B11" i="24"/>
  <c r="B12" i="24"/>
  <c r="B13" i="24"/>
  <c r="B9" i="24"/>
  <c r="B10" i="23"/>
  <c r="B11" i="23"/>
  <c r="B12" i="23"/>
  <c r="B13" i="23"/>
  <c r="B9" i="23"/>
  <c r="B9" i="22"/>
  <c r="B10" i="22"/>
  <c r="B11" i="22"/>
  <c r="B12" i="22"/>
  <c r="B8" i="22"/>
  <c r="B9" i="21"/>
  <c r="B10" i="21"/>
  <c r="B11" i="21"/>
  <c r="B12" i="21"/>
  <c r="B8" i="21"/>
  <c r="B9" i="20"/>
  <c r="B10" i="20"/>
  <c r="B11" i="20"/>
  <c r="B12" i="20"/>
  <c r="B8" i="20"/>
  <c r="B9" i="19"/>
  <c r="B10" i="19"/>
  <c r="B11" i="19"/>
  <c r="B12" i="19"/>
  <c r="B8" i="19"/>
  <c r="B9" i="18"/>
  <c r="B10" i="18"/>
  <c r="B11" i="18"/>
  <c r="B12" i="18"/>
  <c r="B8" i="18"/>
  <c r="B9" i="17"/>
  <c r="B10" i="17"/>
  <c r="B11" i="17"/>
  <c r="B12" i="17"/>
  <c r="B8" i="17"/>
  <c r="B9" i="5"/>
  <c r="B10" i="5"/>
  <c r="B11" i="5"/>
  <c r="B12" i="5"/>
  <c r="B8" i="5"/>
  <c r="B9" i="4"/>
  <c r="B10" i="4"/>
  <c r="B11" i="4"/>
  <c r="B12" i="4"/>
  <c r="B14" i="15" l="1"/>
  <c r="B14" i="25"/>
  <c r="B14" i="24"/>
  <c r="B14" i="23"/>
  <c r="B13" i="22"/>
  <c r="B13" i="21"/>
  <c r="B13" i="20"/>
  <c r="B13" i="19"/>
  <c r="B13" i="18"/>
  <c r="B13" i="17"/>
  <c r="B13" i="5"/>
  <c r="B13" i="4"/>
  <c r="B2" i="17"/>
  <c r="B2" i="18"/>
  <c r="B2" i="19"/>
  <c r="B2" i="20"/>
  <c r="B2" i="21"/>
  <c r="B2" i="22"/>
  <c r="B3" i="23"/>
  <c r="B3" i="24"/>
  <c r="B3" i="25"/>
  <c r="B3" i="15"/>
  <c r="B2" i="5"/>
  <c r="AG13" i="4"/>
  <c r="AF13" i="4"/>
  <c r="AE13" i="4"/>
  <c r="AD13" i="4"/>
  <c r="AC13" i="4"/>
  <c r="AB13" i="4"/>
  <c r="AA13" i="4"/>
  <c r="Z13" i="4"/>
  <c r="Y13" i="4"/>
  <c r="X13" i="4"/>
  <c r="W13" i="4"/>
  <c r="V13" i="4"/>
  <c r="U13" i="4"/>
  <c r="T13" i="4"/>
  <c r="S13" i="4"/>
  <c r="R13" i="4"/>
  <c r="Q13" i="4"/>
  <c r="P13" i="4"/>
  <c r="O13" i="4"/>
  <c r="N13" i="4"/>
  <c r="M13" i="4"/>
  <c r="L13" i="4"/>
  <c r="K13" i="4"/>
  <c r="J13" i="4"/>
  <c r="I13" i="4"/>
  <c r="H13" i="4"/>
  <c r="G13" i="4"/>
  <c r="F13" i="4"/>
  <c r="E13" i="4"/>
  <c r="D13" i="4"/>
  <c r="C13" i="4"/>
  <c r="AH10" i="15"/>
  <c r="AH11" i="15"/>
  <c r="AH12" i="15"/>
  <c r="AH13" i="15"/>
  <c r="AH9" i="15"/>
  <c r="AH10" i="25"/>
  <c r="AH11" i="25"/>
  <c r="AH12" i="25"/>
  <c r="AH13" i="25"/>
  <c r="AH9" i="25"/>
  <c r="AH10" i="24"/>
  <c r="AH11" i="24"/>
  <c r="AH12" i="24"/>
  <c r="AH13" i="24"/>
  <c r="AH9" i="24"/>
  <c r="AH10" i="23"/>
  <c r="AH11" i="23"/>
  <c r="AH12" i="23"/>
  <c r="AH13" i="23"/>
  <c r="AH9" i="23"/>
  <c r="AH9" i="21"/>
  <c r="AH10" i="21"/>
  <c r="AH11" i="21"/>
  <c r="AH12" i="21"/>
  <c r="AH9" i="20"/>
  <c r="AH10" i="20"/>
  <c r="AH11" i="20"/>
  <c r="AH12" i="20"/>
  <c r="AH8" i="20"/>
  <c r="AH9" i="19"/>
  <c r="AH10" i="19"/>
  <c r="AH11" i="19"/>
  <c r="AH12" i="19"/>
  <c r="AH8" i="19"/>
  <c r="AH9" i="18"/>
  <c r="AH10" i="18"/>
  <c r="AH11" i="18"/>
  <c r="AH12" i="18"/>
  <c r="AH8" i="18"/>
  <c r="AH9" i="17"/>
  <c r="AH10" i="17"/>
  <c r="AH11" i="17"/>
  <c r="AH12" i="17"/>
  <c r="AH8" i="17"/>
  <c r="AH9" i="5"/>
  <c r="AH10" i="5"/>
  <c r="AH11" i="5"/>
  <c r="AH12" i="5"/>
  <c r="AH8" i="5"/>
  <c r="AG6" i="17"/>
  <c r="AF6" i="17"/>
  <c r="AE6" i="17"/>
  <c r="AD6" i="17"/>
  <c r="AC6" i="17"/>
  <c r="AB6" i="17"/>
  <c r="AA6" i="17"/>
  <c r="Z6" i="17"/>
  <c r="Y6" i="17"/>
  <c r="X6" i="17"/>
  <c r="W6" i="17"/>
  <c r="V6" i="17"/>
  <c r="U6" i="17"/>
  <c r="T6" i="17"/>
  <c r="S6" i="17"/>
  <c r="R6" i="17"/>
  <c r="Q6" i="17"/>
  <c r="P6" i="17"/>
  <c r="O6" i="17"/>
  <c r="N6" i="17"/>
  <c r="M6" i="17"/>
  <c r="L6" i="17"/>
  <c r="K6" i="17"/>
  <c r="J6" i="17"/>
  <c r="I6" i="17"/>
  <c r="H6" i="17"/>
  <c r="G6" i="17"/>
  <c r="F6" i="17"/>
  <c r="E6" i="17"/>
  <c r="D6" i="17"/>
  <c r="C6" i="17"/>
  <c r="AH5" i="17"/>
  <c r="AF6" i="18"/>
  <c r="AE6" i="18"/>
  <c r="AD6" i="18"/>
  <c r="AC6" i="18"/>
  <c r="AB6" i="18"/>
  <c r="AA6" i="18"/>
  <c r="Z6" i="18"/>
  <c r="Y6" i="18"/>
  <c r="X6" i="18"/>
  <c r="W6" i="18"/>
  <c r="V6" i="18"/>
  <c r="U6" i="18"/>
  <c r="T6" i="18"/>
  <c r="S6" i="18"/>
  <c r="R6" i="18"/>
  <c r="Q6" i="18"/>
  <c r="P6" i="18"/>
  <c r="O6" i="18"/>
  <c r="N6" i="18"/>
  <c r="M6" i="18"/>
  <c r="L6" i="18"/>
  <c r="K6" i="18"/>
  <c r="J6" i="18"/>
  <c r="I6" i="18"/>
  <c r="H6" i="18"/>
  <c r="G6" i="18"/>
  <c r="F6" i="18"/>
  <c r="E6" i="18"/>
  <c r="D6" i="18"/>
  <c r="C6" i="18"/>
  <c r="AH5" i="18"/>
  <c r="AG6" i="19"/>
  <c r="AF6" i="19"/>
  <c r="AE6" i="19"/>
  <c r="AD6" i="19"/>
  <c r="AC6" i="19"/>
  <c r="AB6" i="19"/>
  <c r="AA6" i="19"/>
  <c r="Z6" i="19"/>
  <c r="Y6" i="19"/>
  <c r="X6" i="19"/>
  <c r="W6" i="19"/>
  <c r="V6" i="19"/>
  <c r="U6" i="19"/>
  <c r="T6" i="19"/>
  <c r="S6" i="19"/>
  <c r="R6" i="19"/>
  <c r="Q6" i="19"/>
  <c r="P6" i="19"/>
  <c r="O6" i="19"/>
  <c r="N6" i="19"/>
  <c r="M6" i="19"/>
  <c r="L6" i="19"/>
  <c r="K6" i="19"/>
  <c r="J6" i="19"/>
  <c r="I6" i="19"/>
  <c r="H6" i="19"/>
  <c r="G6" i="19"/>
  <c r="F6" i="19"/>
  <c r="E6" i="19"/>
  <c r="D6" i="19"/>
  <c r="C6" i="19"/>
  <c r="AH5" i="19"/>
  <c r="AF6" i="20"/>
  <c r="AE6" i="20"/>
  <c r="AD6" i="20"/>
  <c r="AC6" i="20"/>
  <c r="AB6" i="20"/>
  <c r="AA6" i="20"/>
  <c r="Z6" i="20"/>
  <c r="Y6" i="20"/>
  <c r="X6" i="20"/>
  <c r="W6" i="20"/>
  <c r="V6" i="20"/>
  <c r="U6" i="20"/>
  <c r="T6" i="20"/>
  <c r="S6" i="20"/>
  <c r="R6" i="20"/>
  <c r="Q6" i="20"/>
  <c r="P6" i="20"/>
  <c r="O6" i="20"/>
  <c r="N6" i="20"/>
  <c r="M6" i="20"/>
  <c r="L6" i="20"/>
  <c r="K6" i="20"/>
  <c r="J6" i="20"/>
  <c r="I6" i="20"/>
  <c r="H6" i="20"/>
  <c r="G6" i="20"/>
  <c r="F6" i="20"/>
  <c r="E6" i="20"/>
  <c r="D6" i="20"/>
  <c r="C6" i="20"/>
  <c r="AH5" i="20"/>
  <c r="AG6" i="21"/>
  <c r="AF6" i="21"/>
  <c r="AE6" i="21"/>
  <c r="AD6" i="21"/>
  <c r="AC6" i="21"/>
  <c r="AB6" i="21"/>
  <c r="AA6" i="21"/>
  <c r="Z6" i="21"/>
  <c r="Y6" i="21"/>
  <c r="X6" i="21"/>
  <c r="W6" i="21"/>
  <c r="V6" i="21"/>
  <c r="U6" i="21"/>
  <c r="T6" i="21"/>
  <c r="S6" i="21"/>
  <c r="R6" i="21"/>
  <c r="Q6" i="21"/>
  <c r="P6" i="21"/>
  <c r="O6" i="21"/>
  <c r="N6" i="21"/>
  <c r="M6" i="21"/>
  <c r="L6" i="21"/>
  <c r="K6" i="21"/>
  <c r="J6" i="21"/>
  <c r="I6" i="21"/>
  <c r="H6" i="21"/>
  <c r="G6" i="21"/>
  <c r="F6" i="21"/>
  <c r="E6" i="21"/>
  <c r="D6" i="21"/>
  <c r="C6" i="21"/>
  <c r="AH5" i="21"/>
  <c r="AG6" i="22"/>
  <c r="AF6" i="22"/>
  <c r="AE6" i="22"/>
  <c r="AD6" i="22"/>
  <c r="AC6" i="22"/>
  <c r="AB6" i="22"/>
  <c r="AA6" i="22"/>
  <c r="Z6" i="22"/>
  <c r="Y6" i="22"/>
  <c r="X6" i="22"/>
  <c r="W6" i="22"/>
  <c r="V6" i="22"/>
  <c r="U6" i="22"/>
  <c r="T6" i="22"/>
  <c r="S6" i="22"/>
  <c r="R6" i="22"/>
  <c r="Q6" i="22"/>
  <c r="P6" i="22"/>
  <c r="O6" i="22"/>
  <c r="N6" i="22"/>
  <c r="M6" i="22"/>
  <c r="L6" i="22"/>
  <c r="K6" i="22"/>
  <c r="J6" i="22"/>
  <c r="I6" i="22"/>
  <c r="H6" i="22"/>
  <c r="G6" i="22"/>
  <c r="F6" i="22"/>
  <c r="E6" i="22"/>
  <c r="D6" i="22"/>
  <c r="C6" i="22"/>
  <c r="AH5" i="22"/>
  <c r="AF7" i="23"/>
  <c r="AE7" i="23"/>
  <c r="AD7" i="23"/>
  <c r="AC7" i="23"/>
  <c r="AB7" i="23"/>
  <c r="AA7" i="23"/>
  <c r="Z7" i="23"/>
  <c r="Y7" i="23"/>
  <c r="X7" i="23"/>
  <c r="W7" i="23"/>
  <c r="V7" i="23"/>
  <c r="U7" i="23"/>
  <c r="T7" i="23"/>
  <c r="S7" i="23"/>
  <c r="R7" i="23"/>
  <c r="Q7" i="23"/>
  <c r="P7" i="23"/>
  <c r="O7" i="23"/>
  <c r="N7" i="23"/>
  <c r="M7" i="23"/>
  <c r="L7" i="23"/>
  <c r="K7" i="23"/>
  <c r="J7" i="23"/>
  <c r="I7" i="23"/>
  <c r="H7" i="23"/>
  <c r="G7" i="23"/>
  <c r="F7" i="23"/>
  <c r="E7" i="23"/>
  <c r="D7" i="23"/>
  <c r="C7" i="23"/>
  <c r="AH6" i="23"/>
  <c r="AG7" i="24"/>
  <c r="AF7" i="24"/>
  <c r="AE7" i="24"/>
  <c r="AD7" i="24"/>
  <c r="AC7" i="24"/>
  <c r="AB7" i="24"/>
  <c r="AA7" i="24"/>
  <c r="Z7" i="24"/>
  <c r="Y7" i="24"/>
  <c r="X7" i="24"/>
  <c r="W7" i="24"/>
  <c r="V7" i="24"/>
  <c r="U7" i="24"/>
  <c r="T7" i="24"/>
  <c r="S7" i="24"/>
  <c r="R7" i="24"/>
  <c r="Q7" i="24"/>
  <c r="P7" i="24"/>
  <c r="O7" i="24"/>
  <c r="N7" i="24"/>
  <c r="M7" i="24"/>
  <c r="L7" i="24"/>
  <c r="K7" i="24"/>
  <c r="J7" i="24"/>
  <c r="I7" i="24"/>
  <c r="H7" i="24"/>
  <c r="G7" i="24"/>
  <c r="F7" i="24"/>
  <c r="E7" i="24"/>
  <c r="D7" i="24"/>
  <c r="C7" i="24"/>
  <c r="AH6" i="24"/>
  <c r="AF7" i="25"/>
  <c r="AE7" i="25"/>
  <c r="AD7" i="25"/>
  <c r="AC7" i="25"/>
  <c r="AB7" i="25"/>
  <c r="AA7" i="25"/>
  <c r="Z7" i="25"/>
  <c r="Y7" i="25"/>
  <c r="X7" i="25"/>
  <c r="W7" i="25"/>
  <c r="V7" i="25"/>
  <c r="U7" i="25"/>
  <c r="T7" i="25"/>
  <c r="S7" i="25"/>
  <c r="R7" i="25"/>
  <c r="Q7" i="25"/>
  <c r="P7" i="25"/>
  <c r="O7" i="25"/>
  <c r="N7" i="25"/>
  <c r="M7" i="25"/>
  <c r="L7" i="25"/>
  <c r="K7" i="25"/>
  <c r="J7" i="25"/>
  <c r="I7" i="25"/>
  <c r="H7" i="25"/>
  <c r="G7" i="25"/>
  <c r="F7" i="25"/>
  <c r="E7" i="25"/>
  <c r="D7" i="25"/>
  <c r="C7" i="25"/>
  <c r="AH6" i="25"/>
  <c r="AG7" i="15"/>
  <c r="AF7" i="15"/>
  <c r="AE7" i="15"/>
  <c r="AD7" i="15"/>
  <c r="AC7" i="15"/>
  <c r="AB7" i="15"/>
  <c r="AA7" i="15"/>
  <c r="Z7" i="15"/>
  <c r="Y7" i="15"/>
  <c r="X7" i="15"/>
  <c r="W7" i="15"/>
  <c r="V7" i="15"/>
  <c r="U7" i="15"/>
  <c r="T7" i="15"/>
  <c r="S7" i="15"/>
  <c r="R7" i="15"/>
  <c r="Q7" i="15"/>
  <c r="P7" i="15"/>
  <c r="O7" i="15"/>
  <c r="N7" i="15"/>
  <c r="M7" i="15"/>
  <c r="L7" i="15"/>
  <c r="K7" i="15"/>
  <c r="J7" i="15"/>
  <c r="I7" i="15"/>
  <c r="H7" i="15"/>
  <c r="G7" i="15"/>
  <c r="F7" i="15"/>
  <c r="E7" i="15"/>
  <c r="D7" i="15"/>
  <c r="C7" i="15"/>
  <c r="AE6" i="5"/>
  <c r="AD6" i="5"/>
  <c r="AC6" i="5"/>
  <c r="AB6" i="5"/>
  <c r="AA6" i="5"/>
  <c r="Z6" i="5"/>
  <c r="Y6" i="5"/>
  <c r="X6" i="5"/>
  <c r="W6" i="5"/>
  <c r="V6" i="5"/>
  <c r="U6" i="5"/>
  <c r="T6" i="5"/>
  <c r="S6" i="5"/>
  <c r="R6" i="5"/>
  <c r="Q6" i="5"/>
  <c r="P6" i="5"/>
  <c r="O6" i="5"/>
  <c r="N6" i="5"/>
  <c r="M6" i="5"/>
  <c r="L6" i="5"/>
  <c r="K6" i="5"/>
  <c r="J6" i="5"/>
  <c r="I6" i="5"/>
  <c r="H6" i="5"/>
  <c r="G6" i="5"/>
  <c r="F6" i="5"/>
  <c r="E6" i="5"/>
  <c r="D6" i="5"/>
  <c r="C6" i="5"/>
  <c r="AH5" i="5"/>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AH13" i="18" l="1"/>
  <c r="AG14" i="25"/>
  <c r="AF14" i="25"/>
  <c r="AE14" i="25"/>
  <c r="AD14" i="25"/>
  <c r="AC14" i="25"/>
  <c r="AB14" i="25"/>
  <c r="AA14" i="25"/>
  <c r="Z14" i="25"/>
  <c r="Y14" i="25"/>
  <c r="X14" i="25"/>
  <c r="W14" i="25"/>
  <c r="V14" i="25"/>
  <c r="U14" i="25"/>
  <c r="T14" i="25"/>
  <c r="S14" i="25"/>
  <c r="R14" i="25"/>
  <c r="Q14" i="25"/>
  <c r="P14" i="25"/>
  <c r="O14" i="25"/>
  <c r="N14" i="25"/>
  <c r="M14" i="25"/>
  <c r="L14" i="25"/>
  <c r="K14" i="25"/>
  <c r="J14" i="25"/>
  <c r="I14" i="25"/>
  <c r="H14" i="25"/>
  <c r="G14" i="25"/>
  <c r="F14" i="25"/>
  <c r="E14" i="25"/>
  <c r="D14" i="25"/>
  <c r="C14" i="25"/>
  <c r="AG14" i="24"/>
  <c r="AF14" i="24"/>
  <c r="AE14" i="24"/>
  <c r="E14" i="24"/>
  <c r="D14" i="24"/>
  <c r="C14" i="24"/>
  <c r="AG14" i="23"/>
  <c r="E14" i="23"/>
  <c r="D14" i="23"/>
  <c r="AH14" i="23"/>
  <c r="AG13" i="22"/>
  <c r="AF13" i="22"/>
  <c r="AE13" i="22"/>
  <c r="AD13" i="22"/>
  <c r="AC13" i="22"/>
  <c r="AB13" i="22"/>
  <c r="AA13" i="22"/>
  <c r="Z13" i="22"/>
  <c r="Y13" i="22"/>
  <c r="X13" i="22"/>
  <c r="W13" i="22"/>
  <c r="V13" i="22"/>
  <c r="U13" i="22"/>
  <c r="T13" i="22"/>
  <c r="S13" i="22"/>
  <c r="R13" i="22"/>
  <c r="Q13" i="22"/>
  <c r="P13" i="22"/>
  <c r="O13" i="22"/>
  <c r="N13" i="22"/>
  <c r="M13" i="22"/>
  <c r="L13" i="22"/>
  <c r="K13" i="22"/>
  <c r="J13" i="22"/>
  <c r="I13" i="22"/>
  <c r="H13" i="22"/>
  <c r="G13" i="22"/>
  <c r="F13" i="22"/>
  <c r="E13" i="22"/>
  <c r="D13" i="22"/>
  <c r="C13" i="22"/>
  <c r="AG13" i="21"/>
  <c r="AF13" i="21"/>
  <c r="AE13" i="21"/>
  <c r="AD13" i="21"/>
  <c r="AC13" i="21"/>
  <c r="AB13" i="21"/>
  <c r="AA13" i="21"/>
  <c r="Z13" i="21"/>
  <c r="Y13" i="21"/>
  <c r="X13" i="21"/>
  <c r="W13" i="21"/>
  <c r="V13" i="21"/>
  <c r="U13" i="21"/>
  <c r="T13" i="21"/>
  <c r="S13" i="21"/>
  <c r="R13" i="21"/>
  <c r="Q13" i="21"/>
  <c r="P13" i="21"/>
  <c r="O13" i="21"/>
  <c r="N13" i="21"/>
  <c r="M13" i="21"/>
  <c r="L13" i="21"/>
  <c r="K13" i="21"/>
  <c r="J13" i="21"/>
  <c r="I13" i="21"/>
  <c r="H13" i="21"/>
  <c r="G13" i="21"/>
  <c r="F13" i="21"/>
  <c r="E13" i="21"/>
  <c r="D13" i="21"/>
  <c r="C13" i="21"/>
  <c r="AH13" i="21"/>
  <c r="AG13" i="20"/>
  <c r="AF13" i="20"/>
  <c r="AE13" i="20"/>
  <c r="AD13" i="20"/>
  <c r="AC13" i="20"/>
  <c r="AB13" i="20"/>
  <c r="AA13" i="20"/>
  <c r="Z13" i="20"/>
  <c r="Y13" i="20"/>
  <c r="X13" i="20"/>
  <c r="W13" i="20"/>
  <c r="V13" i="20"/>
  <c r="U13" i="20"/>
  <c r="T13" i="20"/>
  <c r="S13" i="20"/>
  <c r="R13" i="20"/>
  <c r="Q13" i="20"/>
  <c r="P13" i="20"/>
  <c r="O13" i="20"/>
  <c r="N13" i="20"/>
  <c r="M13" i="20"/>
  <c r="L13" i="20"/>
  <c r="K13" i="20"/>
  <c r="J13" i="20"/>
  <c r="I13" i="20"/>
  <c r="H13" i="20"/>
  <c r="G13" i="20"/>
  <c r="F13" i="20"/>
  <c r="E13" i="20"/>
  <c r="D13" i="20"/>
  <c r="C13" i="20"/>
  <c r="AE13" i="19"/>
  <c r="AD13" i="19"/>
  <c r="AC13" i="19"/>
  <c r="AB13" i="19"/>
  <c r="AA13" i="19"/>
  <c r="Z13" i="19"/>
  <c r="Y13" i="19"/>
  <c r="X13" i="19"/>
  <c r="W13" i="19"/>
  <c r="V13" i="19"/>
  <c r="U13" i="19"/>
  <c r="T13" i="19"/>
  <c r="S13" i="19"/>
  <c r="R13" i="19"/>
  <c r="Q13" i="19"/>
  <c r="P13" i="19"/>
  <c r="O13" i="19"/>
  <c r="N13" i="19"/>
  <c r="M13" i="19"/>
  <c r="L13" i="19"/>
  <c r="K13" i="19"/>
  <c r="J13" i="19"/>
  <c r="I13" i="19"/>
  <c r="H13" i="19"/>
  <c r="G13" i="19"/>
  <c r="F13" i="19"/>
  <c r="E13" i="19"/>
  <c r="D13" i="19"/>
  <c r="C13" i="19"/>
  <c r="AG13" i="18"/>
  <c r="AE13" i="18"/>
  <c r="AD13" i="18"/>
  <c r="AC13" i="18"/>
  <c r="AB13" i="18"/>
  <c r="AA13" i="18"/>
  <c r="Z13" i="18"/>
  <c r="Y13" i="18"/>
  <c r="X13" i="18"/>
  <c r="W13" i="18"/>
  <c r="V13" i="18"/>
  <c r="U13" i="18"/>
  <c r="T13" i="18"/>
  <c r="S13" i="18"/>
  <c r="R13" i="18"/>
  <c r="Q13" i="18"/>
  <c r="P13" i="18"/>
  <c r="O13" i="18"/>
  <c r="N13" i="18"/>
  <c r="M13" i="18"/>
  <c r="L13" i="18"/>
  <c r="K13" i="18"/>
  <c r="J13" i="18"/>
  <c r="I13" i="18"/>
  <c r="H13" i="18"/>
  <c r="G13" i="18"/>
  <c r="F13" i="18"/>
  <c r="E13" i="18"/>
  <c r="D13" i="18"/>
  <c r="C13" i="18"/>
  <c r="AG13" i="17"/>
  <c r="AF13" i="17"/>
  <c r="AE13" i="17"/>
  <c r="AD13" i="17"/>
  <c r="AC13" i="17"/>
  <c r="AB13" i="17"/>
  <c r="AA13" i="17"/>
  <c r="Z13" i="17"/>
  <c r="Y13" i="17"/>
  <c r="X13" i="17"/>
  <c r="W13" i="17"/>
  <c r="V13" i="17"/>
  <c r="U13" i="17"/>
  <c r="T13" i="17"/>
  <c r="S13" i="17"/>
  <c r="R13" i="17"/>
  <c r="Q13" i="17"/>
  <c r="P13" i="17"/>
  <c r="O13" i="17"/>
  <c r="N13" i="17"/>
  <c r="M13" i="17"/>
  <c r="L13" i="17"/>
  <c r="K13" i="17"/>
  <c r="J13" i="17"/>
  <c r="I13" i="17"/>
  <c r="H13" i="17"/>
  <c r="G13" i="17"/>
  <c r="F13" i="17"/>
  <c r="E13" i="17"/>
  <c r="D13" i="17"/>
  <c r="C13" i="17"/>
  <c r="AH13" i="17"/>
  <c r="AH13" i="22" l="1"/>
  <c r="AH14" i="25"/>
  <c r="AH13" i="20"/>
  <c r="AH13" i="19"/>
  <c r="AH14" i="24"/>
  <c r="AG14" i="15" l="1"/>
  <c r="AF14" i="15"/>
  <c r="AH14" i="15" l="1"/>
  <c r="C14" i="15"/>
  <c r="D14" i="15"/>
  <c r="E14" i="15"/>
  <c r="F14" i="15"/>
  <c r="G14" i="15"/>
  <c r="H14" i="15"/>
  <c r="I14" i="15"/>
  <c r="J14" i="15"/>
  <c r="K14" i="15"/>
  <c r="L14" i="15"/>
  <c r="M14" i="15"/>
  <c r="N14" i="15"/>
  <c r="O14" i="15"/>
  <c r="P14" i="15"/>
  <c r="Q14" i="15"/>
  <c r="R14" i="15"/>
  <c r="S14" i="15"/>
  <c r="T14" i="15"/>
  <c r="U14" i="15"/>
  <c r="V14" i="15"/>
  <c r="W14" i="15"/>
  <c r="X14" i="15"/>
  <c r="Y14" i="15"/>
  <c r="Z14" i="15"/>
  <c r="AA14" i="15"/>
  <c r="AB14" i="15"/>
  <c r="AC14" i="15"/>
  <c r="AD14" i="15"/>
  <c r="AE14" i="15"/>
  <c r="AE13" i="5" l="1"/>
  <c r="AD13" i="5"/>
  <c r="AC13" i="5"/>
  <c r="AB13" i="5"/>
  <c r="AA13" i="5"/>
  <c r="Z13" i="5"/>
  <c r="Y13" i="5"/>
  <c r="X13" i="5"/>
  <c r="W13" i="5"/>
  <c r="V13" i="5"/>
  <c r="U13" i="5"/>
  <c r="T13" i="5"/>
  <c r="S13" i="5"/>
  <c r="R13" i="5"/>
  <c r="Q13" i="5"/>
  <c r="P13" i="5"/>
  <c r="O13" i="5"/>
  <c r="N13" i="5"/>
  <c r="M13" i="5"/>
  <c r="L13" i="5"/>
  <c r="K13" i="5"/>
  <c r="J13" i="5"/>
  <c r="I13" i="5"/>
  <c r="H13" i="5"/>
  <c r="G13" i="5"/>
  <c r="F13" i="5"/>
  <c r="E13" i="5"/>
  <c r="D13" i="5"/>
  <c r="C13" i="5"/>
  <c r="AH13" i="5" l="1"/>
  <c r="AH13" i="4" l="1"/>
</calcChain>
</file>

<file path=xl/sharedStrings.xml><?xml version="1.0" encoding="utf-8"?>
<sst xmlns="http://schemas.openxmlformats.org/spreadsheetml/2006/main" count="701" uniqueCount="71">
  <si>
    <t>Calendrier des absences des employés</t>
  </si>
  <si>
    <t>Clé de motif d’absence</t>
  </si>
  <si>
    <t>Janvier</t>
  </si>
  <si>
    <t>Nom de l’employé</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</si>
  <si>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</si>
  <si>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</si>
  <si>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</si>
  <si>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</si>
  <si>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</si>
  <si>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</si>
  <si>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</si>
  <si>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</si>
  <si>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</si>
  <si>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</si>
  <si>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</si>
  <si>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</si>
  <si>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</si>
  <si>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</si>
  <si>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</si>
  <si>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</si>
  <si>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</si>
  <si>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</si>
  <si>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</si>
  <si>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</si>
  <si>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</si>
  <si>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</si>
  <si>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</si>
  <si>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</si>
  <si>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</si>
  <si>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</si>
  <si>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</si>
  <si>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</si>
  <si>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</si>
  <si>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</si>
  <si>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</si>
  <si>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</si>
  <si>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</si>
  <si>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</si>
  <si>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</si>
  <si>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</si>
  <si>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</si>
  <si>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</si>
  <si>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</si>
  <si>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</si>
  <si>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</si>
  <si>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</si>
  <si>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</si>
  <si>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</si>
  <si>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</si>
  <si>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</si>
  <si>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</si>
  <si>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</si>
  <si>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</si>
  <si>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</si>
  <si>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</si>
  <si>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</si>
  <si>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</si>
  <si>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</si>
  <si>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</si>
  <si>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</si>
  <si>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FERIE</t>
  </si>
  <si>
    <t>X</t>
  </si>
  <si>
    <t>CHOMAGE PARTIEL</t>
  </si>
  <si>
    <t>Arret SECU</t>
  </si>
  <si>
    <t>S</t>
  </si>
  <si>
    <t>CF</t>
  </si>
  <si>
    <t>Confin. (mag fermé)</t>
  </si>
  <si>
    <t>FERIÉ</t>
  </si>
  <si>
    <t>1 - Carole</t>
  </si>
  <si>
    <t xml:space="preserve">2 - Laïla </t>
  </si>
  <si>
    <t>3 - Jean-Claude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</si>
</sst>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3"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FF0000"/>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s>
  <fills count="2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lightUp"/>
    </fill>
    <fill>
      <patternFill patternType="lightUp">
        <bgColor auto="1"/>
      </patternFill>
    </fill>
    <fill>
      <patternFill patternType="solid">
        <fgColor theme="1" tint="0.249977111117893"/>
        <bgColor indexed="64"/>
      </patternFill>
    </fill>
    <fill>
      <patternFill patternType="solid">
        <fgColor theme="1" tint="0.14999847407452621"/>
        <bgColor indexed="64"/>
      </patternFill>
    </fill>
  </fills>
  <borders count="2">
    <border>
      <left/>
      <right/>
      <top/>
      <bottom/>
      <diagonal/>
    </border>
    <border>
      <left style="thin">
        <color theme="0"/>
      </left>
      <right style="thin">
        <color theme="0"/>
      </right>
      <top/>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41">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4" fontId="2" fillId="9" borderId="0" xfId="8" applyNumberFormat="1" applyFont="1" applyAlignment="1" applyProtection="1">
      <alignment horizontal="center" vertical="center"/>
    </xf>
    <xf numFmtId="164"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0" fontId="7"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27" applyProtection="1">
      <alignment horizontal="center"/>
    </xf>
    <xf numFmtId="0" fontId="7" fillId="0" borderId="0" xfId="1">
      <alignment vertical="top"/>
    </xf>
    <xf numFmtId="0" fontId="0" fillId="0" borderId="0" xfId="26" applyFont="1" applyFill="1" applyBorder="1">
      <alignment horizontal="left" vertical="center" wrapText="1" indent="2"/>
    </xf>
    <xf numFmtId="0" fontId="0" fillId="0" borderId="0" xfId="26" applyFont="1">
      <alignment horizontal="left" vertical="center" wrapText="1" indent="2"/>
    </xf>
    <xf numFmtId="0" fontId="0" fillId="0" borderId="0" xfId="0" applyFont="1" applyFill="1" applyBorder="1" applyAlignment="1" applyProtection="1">
      <alignment horizontal="left" vertical="center" indent="1"/>
    </xf>
    <xf numFmtId="164" fontId="0" fillId="0" borderId="0" xfId="0" applyNumberFormat="1" applyFont="1" applyFill="1" applyBorder="1" applyAlignment="1" applyProtection="1">
      <alignment horizontal="center" vertical="center"/>
    </xf>
    <xf numFmtId="0" fontId="0" fillId="21" borderId="0" xfId="0" applyFont="1" applyFill="1" applyBorder="1" applyAlignment="1" applyProtection="1">
      <alignment horizontal="center" vertical="center"/>
    </xf>
    <xf numFmtId="0" fontId="0" fillId="2" borderId="0" xfId="0" applyFont="1" applyFill="1" applyBorder="1" applyAlignment="1" applyProtection="1">
      <alignment horizontal="center" vertical="center"/>
    </xf>
    <xf numFmtId="0" fontId="0" fillId="21" borderId="1" xfId="0" applyFont="1" applyFill="1" applyBorder="1" applyAlignment="1">
      <alignment horizontal="center" vertical="center"/>
    </xf>
    <xf numFmtId="164" fontId="2" fillId="22" borderId="0" xfId="24" applyNumberFormat="1" applyFont="1" applyFill="1" applyAlignment="1" applyProtection="1">
      <alignment horizontal="center" vertical="center"/>
    </xf>
    <xf numFmtId="0" fontId="9" fillId="0" borderId="0" xfId="0" applyFont="1">
      <alignment horizontal="left" vertical="center"/>
    </xf>
    <xf numFmtId="0" fontId="0" fillId="23" borderId="0" xfId="0" applyFont="1" applyFill="1" applyBorder="1" applyAlignment="1" applyProtection="1">
      <alignment horizontal="center" vertical="center"/>
    </xf>
    <xf numFmtId="164" fontId="2" fillId="22" borderId="0" xfId="8" applyNumberFormat="1" applyFont="1" applyFill="1" applyAlignment="1" applyProtection="1">
      <alignment horizontal="center" vertical="center"/>
    </xf>
    <xf numFmtId="0" fontId="10" fillId="0" borderId="0" xfId="0" applyFont="1" applyFill="1" applyBorder="1" applyAlignment="1" applyProtection="1">
      <alignment horizontal="left" vertical="center" indent="1"/>
    </xf>
    <xf numFmtId="164" fontId="10" fillId="0" borderId="0" xfId="0" applyNumberFormat="1" applyFont="1" applyFill="1" applyBorder="1" applyAlignment="1" applyProtection="1">
      <alignment horizontal="center" vertical="center"/>
    </xf>
    <xf numFmtId="0" fontId="11" fillId="0" borderId="0" xfId="0" applyFont="1" applyFill="1" applyBorder="1" applyAlignment="1" applyProtection="1">
      <alignment horizontal="left" vertical="center" indent="1"/>
    </xf>
    <xf numFmtId="164" fontId="11" fillId="0" borderId="0" xfId="0" applyNumberFormat="1" applyFont="1" applyFill="1" applyBorder="1" applyAlignment="1" applyProtection="1">
      <alignment horizontal="center" vertical="center"/>
    </xf>
    <xf numFmtId="0" fontId="12" fillId="0" borderId="0" xfId="0" applyFont="1" applyFill="1" applyBorder="1" applyAlignment="1" applyProtection="1">
      <alignment horizontal="left" vertical="center" indent="1"/>
    </xf>
    <xf numFmtId="164" fontId="12" fillId="0" borderId="0" xfId="0" applyNumberFormat="1" applyFont="1" applyFill="1" applyBorder="1" applyAlignment="1" applyProtection="1">
      <alignment horizontal="center" vertical="center"/>
    </xf>
    <xf numFmtId="0" fontId="0" fillId="24" borderId="0" xfId="0" applyFont="1" applyFill="1" applyBorder="1" applyAlignment="1" applyProtection="1">
      <alignment horizontal="center" vertical="center"/>
    </xf>
    <xf numFmtId="0" fontId="6" fillId="2" borderId="0" xfId="3" applyProtection="1">
      <alignment horizontal="center" vertical="center"/>
    </xf>
    <xf numFmtId="0" fontId="1" fillId="2" borderId="0" xfId="21" applyAlignment="1" applyProtection="1">
      <alignment horizontal="left" vertical="center"/>
    </xf>
    <xf numFmtId="0" fontId="0" fillId="2" borderId="0" xfId="21" applyFont="1" applyAlignment="1" applyProtection="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1282">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solid">
          <fgColor indexed="64"/>
          <bgColor theme="2"/>
        </patternFill>
      </fill>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1281"/>
      <tableStyleElement type="headerRow" dxfId="1280"/>
      <tableStyleElement type="totalRow" dxfId="1279"/>
      <tableStyleElement type="firstColumn" dxfId="1278"/>
      <tableStyleElement type="lastColumn" dxfId="1277"/>
      <tableStyleElement type="firstRowStripe" dxfId="1276"/>
      <tableStyleElement type="secondRowStripe" dxfId="1275"/>
      <tableStyleElement type="firstColumnStripe" dxfId="1274"/>
      <tableStyleElement type="secondColumnStripe" dxfId="1273"/>
      <tableStyleElement type="firstHeaderCell" dxfId="1272"/>
      <tableStyleElement type="lastHeaderCell" dxfId="1271"/>
      <tableStyleElement type="firstTotalCell" dxfId="1270"/>
      <tableStyleElement type="lastTotalCell" dxfId="126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xdr:colOff>
      <xdr:row>0</xdr:row>
      <xdr:rowOff>1</xdr:rowOff>
    </xdr:from>
    <xdr:to>
      <xdr:col>7</xdr:col>
      <xdr:colOff>0</xdr:colOff>
      <xdr:row>0</xdr:row>
      <xdr:rowOff>1038225</xdr:rowOff>
    </xdr:to>
    <xdr:pic>
      <xdr:nvPicPr>
        <xdr:cNvPr id="2" name="Image 1"/>
        <xdr:cNvPicPr>
          <a:picLocks noChangeAspect="1"/>
        </xdr:cNvPicPr>
      </xdr:nvPicPr>
      <xdr:blipFill>
        <a:blip xmlns:r="http://schemas.openxmlformats.org/officeDocument/2006/relationships" r:embed="rId1"/>
        <a:stretch>
          <a:fillRect/>
        </a:stretch>
      </xdr:blipFill>
      <xdr:spPr>
        <a:xfrm>
          <a:off x="180976" y="1"/>
          <a:ext cx="3286124" cy="1038224"/>
        </a:xfrm>
        <a:prstGeom prst="rect">
          <a:avLst/>
        </a:prstGeom>
      </xdr:spPr>
    </xdr:pic>
    <xdr:clientData/>
  </xdr:twoCellAnchor>
</xdr:wsDr>
</file>

<file path=xl/tables/table1.xml><?xml version="1.0" encoding="utf-8"?>
<table xmlns="http://schemas.openxmlformats.org/spreadsheetml/2006/main" id="3" name="Janvier" displayName="Janvier" ref="B7:AH13" totalsRowCount="1" headerRowDxfId="1263" dataDxfId="1262" totalsRowDxfId="1261">
  <autoFilter ref="B7:AH12">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name="Nom de l’employé" totalsRowFunction="custom" dataDxfId="1260" totalsRowDxfId="408">
      <calculatedColumnFormula>'Noms des employés'!B4</calculatedColumnFormula>
      <totalsRowFormula>NomMois&amp;" Total"</totalsRowFormula>
    </tableColumn>
    <tableColumn id="2" name="1" totalsRowFunction="custom" dataDxfId="1259" totalsRowDxfId="407" dataCellStyle="Total">
      <totalsRowFormula>SUBTOTAL(103,Janvier!$C$8:$C$12)</totalsRowFormula>
    </tableColumn>
    <tableColumn id="3" name="2" totalsRowFunction="custom" dataDxfId="1258" totalsRowDxfId="406" dataCellStyle="Total">
      <totalsRowFormula>SUBTOTAL(103,Janvier!$D$8:$D$12)</totalsRowFormula>
    </tableColumn>
    <tableColumn id="4" name="3" totalsRowFunction="custom" dataDxfId="1257" totalsRowDxfId="405" dataCellStyle="Total">
      <totalsRowFormula>SUBTOTAL(103,Janvier!$E$8:$E$12)</totalsRowFormula>
    </tableColumn>
    <tableColumn id="5" name="4" totalsRowFunction="custom" dataDxfId="1256" totalsRowDxfId="404" dataCellStyle="Total">
      <totalsRowFormula>SUBTOTAL(103,Janvier!$F$8:$F$12)</totalsRowFormula>
    </tableColumn>
    <tableColumn id="6" name="5" totalsRowFunction="custom" totalsRowDxfId="403" dataCellStyle="Total">
      <totalsRowFormula>SUBTOTAL(103,Janvier!$G$8:$G$12)</totalsRowFormula>
    </tableColumn>
    <tableColumn id="7" name="6" totalsRowFunction="custom" dataDxfId="1255" totalsRowDxfId="402" dataCellStyle="Total">
      <totalsRowFormula>SUBTOTAL(103,Janvier!$H$8:$H$12)</totalsRowFormula>
    </tableColumn>
    <tableColumn id="8" name="7" totalsRowFunction="custom" dataDxfId="1254" totalsRowDxfId="401" dataCellStyle="Total">
      <totalsRowFormula>SUBTOTAL(103,Janvier!$I$8:$I$12)</totalsRowFormula>
    </tableColumn>
    <tableColumn id="9" name="8" totalsRowFunction="custom" dataDxfId="1253" totalsRowDxfId="400" dataCellStyle="Total">
      <totalsRowFormula>SUBTOTAL(103,Janvier!$J$8:$J$12)</totalsRowFormula>
    </tableColumn>
    <tableColumn id="10" name="9" totalsRowFunction="custom" dataDxfId="1252" totalsRowDxfId="399" dataCellStyle="Total">
      <totalsRowFormula>SUBTOTAL(103,Janvier!$K$8:$K$12)</totalsRowFormula>
    </tableColumn>
    <tableColumn id="11" name="10" totalsRowFunction="custom" dataDxfId="1251" totalsRowDxfId="398" dataCellStyle="Total">
      <totalsRowFormula>SUBTOTAL(103,Janvier!$L$8:$L$12)</totalsRowFormula>
    </tableColumn>
    <tableColumn id="12" name="11" totalsRowFunction="custom" dataDxfId="1250" totalsRowDxfId="397" dataCellStyle="Total">
      <totalsRowFormula>SUBTOTAL(103,Janvier!$M$8:$M$12)</totalsRowFormula>
    </tableColumn>
    <tableColumn id="13" name="12" totalsRowFunction="custom" dataDxfId="1249" totalsRowDxfId="396" dataCellStyle="Total">
      <totalsRowFormula>SUBTOTAL(103,Janvier!$N$8:$N$12)</totalsRowFormula>
    </tableColumn>
    <tableColumn id="14" name="13" totalsRowFunction="custom" dataDxfId="1248" totalsRowDxfId="395" dataCellStyle="Total">
      <totalsRowFormula>SUBTOTAL(103,Janvier!$O$8:$O$12)</totalsRowFormula>
    </tableColumn>
    <tableColumn id="15" name="14" totalsRowFunction="custom" dataDxfId="1247" totalsRowDxfId="394" dataCellStyle="Total">
      <totalsRowFormula>SUBTOTAL(103,Janvier!$P$8:$P$12)</totalsRowFormula>
    </tableColumn>
    <tableColumn id="16" name="15" totalsRowFunction="custom" dataDxfId="1246" totalsRowDxfId="393" dataCellStyle="Total">
      <totalsRowFormula>SUBTOTAL(103,Janvier!$Q$8:$Q$12)</totalsRowFormula>
    </tableColumn>
    <tableColumn id="17" name="16" totalsRowFunction="custom" dataDxfId="1245" totalsRowDxfId="392" dataCellStyle="Total">
      <totalsRowFormula>SUBTOTAL(103,Janvier!$R$8:$R$12)</totalsRowFormula>
    </tableColumn>
    <tableColumn id="18" name="17" totalsRowFunction="custom" dataDxfId="1244" totalsRowDxfId="391" dataCellStyle="Total">
      <totalsRowFormula>SUBTOTAL(103,Janvier!$S$8:$S$12)</totalsRowFormula>
    </tableColumn>
    <tableColumn id="19" name="18" totalsRowFunction="custom" dataDxfId="1243" totalsRowDxfId="390" dataCellStyle="Total">
      <totalsRowFormula>SUBTOTAL(103,Janvier!$T$8:$T$12)</totalsRowFormula>
    </tableColumn>
    <tableColumn id="20" name="19" totalsRowFunction="custom" dataDxfId="1242" totalsRowDxfId="389" dataCellStyle="Total">
      <totalsRowFormula>SUBTOTAL(103,Janvier!$U$8:$U$12)</totalsRowFormula>
    </tableColumn>
    <tableColumn id="21" name="20" totalsRowFunction="custom" dataDxfId="1241" totalsRowDxfId="388" dataCellStyle="Total">
      <totalsRowFormula>SUBTOTAL(103,Janvier!$V$8:$V$12)</totalsRowFormula>
    </tableColumn>
    <tableColumn id="22" name="21" totalsRowFunction="custom" dataDxfId="1240" totalsRowDxfId="387" dataCellStyle="Total">
      <totalsRowFormula>SUBTOTAL(103,Janvier!$W$8:$W$12)</totalsRowFormula>
    </tableColumn>
    <tableColumn id="23" name="22" totalsRowFunction="custom" dataDxfId="1239" totalsRowDxfId="386" dataCellStyle="Total">
      <totalsRowFormula>SUBTOTAL(103,Janvier!$X$8:$X$12)</totalsRowFormula>
    </tableColumn>
    <tableColumn id="24" name="23" totalsRowFunction="custom" dataDxfId="1238" totalsRowDxfId="385" dataCellStyle="Total">
      <totalsRowFormula>SUBTOTAL(103,Janvier!$Y$8:$Y$12)</totalsRowFormula>
    </tableColumn>
    <tableColumn id="25" name="24" totalsRowFunction="custom" dataDxfId="1237" totalsRowDxfId="384" dataCellStyle="Total">
      <totalsRowFormula>SUBTOTAL(103,Janvier!$Z$8:$Z$12)</totalsRowFormula>
    </tableColumn>
    <tableColumn id="26" name="25" totalsRowFunction="custom" dataDxfId="1236" totalsRowDxfId="383" dataCellStyle="Total">
      <totalsRowFormula>SUBTOTAL(103,Janvier!$AA$8:$AA$12)</totalsRowFormula>
    </tableColumn>
    <tableColumn id="27" name="26" totalsRowFunction="custom" dataDxfId="1235" totalsRowDxfId="382" dataCellStyle="Total">
      <totalsRowFormula>SUBTOTAL(103,Janvier!$AB$8:$AB$12)</totalsRowFormula>
    </tableColumn>
    <tableColumn id="28" name="27" totalsRowFunction="custom" dataDxfId="1234" totalsRowDxfId="381" dataCellStyle="Total">
      <totalsRowFormula>SUBTOTAL(103,Janvier!$AC$8:$AC$12)</totalsRowFormula>
    </tableColumn>
    <tableColumn id="29" name="28" totalsRowFunction="custom" dataDxfId="1233" totalsRowDxfId="380" dataCellStyle="Total">
      <totalsRowFormula>SUBTOTAL(103,Janvier!$AD$8:$AD$12)</totalsRowFormula>
    </tableColumn>
    <tableColumn id="30" name="29" totalsRowFunction="custom" dataDxfId="1232" totalsRowDxfId="379" dataCellStyle="Total">
      <totalsRowFormula>SUBTOTAL(103,Janvier!$AE$8:$AE$12)</totalsRowFormula>
    </tableColumn>
    <tableColumn id="31" name="30" totalsRowFunction="custom" dataDxfId="1231" totalsRowDxfId="378" dataCellStyle="Total">
      <totalsRowFormula>SUBTOTAL(103,Janvier!$AF$8:$AF$12)</totalsRowFormula>
    </tableColumn>
    <tableColumn id="32" name="31" totalsRowFunction="custom" dataDxfId="1230" totalsRowDxfId="377" dataCellStyle="Total">
      <totalsRowFormula>SUBTOTAL(103,Janvier!$AG$8:$AG$12)</totalsRowFormula>
    </tableColumn>
    <tableColumn id="33" name="Total des jours" totalsRowFunction="sum" dataDxfId="1229" totalsRowDxfId="376" dataCellStyle="Total">
      <calculatedColumnFormula>COUNTA(Janvier!$D8:$AG8)</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7:AH13" totalsRowCount="1" headerRowDxfId="1221" dataDxfId="1220" totalsRowDxfId="1219">
  <tableColumns count="33">
    <tableColumn id="1" name="Nom de l’employé" totalsRowFunction="custom" dataDxfId="1218" totalsRowDxfId="1217">
      <calculatedColumnFormula>'Noms des employés'!B4</calculatedColumnFormula>
      <totalsRowFormula>NomMois&amp;" Total"</totalsRowFormula>
    </tableColumn>
    <tableColumn id="2" name="1" totalsRowFunction="count" dataDxfId="1216" totalsRowDxfId="1215" dataCellStyle="Total"/>
    <tableColumn id="3" name="2" totalsRowFunction="count" dataDxfId="1214" totalsRowDxfId="1213" dataCellStyle="Total"/>
    <tableColumn id="4" name="3" totalsRowFunction="count" dataDxfId="1212" totalsRowDxfId="1211" dataCellStyle="Total"/>
    <tableColumn id="5" name="4" totalsRowFunction="count" dataDxfId="1210" totalsRowDxfId="1209" dataCellStyle="Total"/>
    <tableColumn id="6" name="5" totalsRowFunction="count" dataDxfId="1208" totalsRowDxfId="1207" dataCellStyle="Total"/>
    <tableColumn id="7" name="6" totalsRowFunction="count" dataDxfId="1206" totalsRowDxfId="1205" dataCellStyle="Total"/>
    <tableColumn id="8" name="7" totalsRowFunction="count" dataDxfId="1204" totalsRowDxfId="1203" dataCellStyle="Total"/>
    <tableColumn id="9" name="8" totalsRowFunction="count" dataDxfId="1202" totalsRowDxfId="1201" dataCellStyle="Total"/>
    <tableColumn id="10" name="9" totalsRowFunction="count" dataDxfId="1200" totalsRowDxfId="1199" dataCellStyle="Total"/>
    <tableColumn id="11" name="10" totalsRowFunction="count" dataDxfId="1198" totalsRowDxfId="1197" dataCellStyle="Total"/>
    <tableColumn id="12" name="11" totalsRowFunction="count" dataDxfId="1196" totalsRowDxfId="1195" dataCellStyle="Total"/>
    <tableColumn id="13" name="12" totalsRowFunction="count" dataDxfId="1194" totalsRowDxfId="1193" dataCellStyle="Total"/>
    <tableColumn id="14" name="13" totalsRowFunction="count" dataDxfId="1192" totalsRowDxfId="1191" dataCellStyle="Total"/>
    <tableColumn id="15" name="14" totalsRowFunction="count" dataDxfId="1190" totalsRowDxfId="1189" dataCellStyle="Total"/>
    <tableColumn id="16" name="15" totalsRowFunction="count" dataDxfId="1188" totalsRowDxfId="1187" dataCellStyle="Total"/>
    <tableColumn id="17" name="16" totalsRowFunction="count" dataDxfId="1186" totalsRowDxfId="1185" dataCellStyle="Total"/>
    <tableColumn id="18" name="17" totalsRowFunction="count" dataDxfId="1184" totalsRowDxfId="1183" dataCellStyle="Total"/>
    <tableColumn id="19" name="18" totalsRowFunction="count" dataDxfId="1182" totalsRowDxfId="1181" dataCellStyle="Total"/>
    <tableColumn id="20" name="19" totalsRowFunction="count" dataDxfId="1180" totalsRowDxfId="1179" dataCellStyle="Total"/>
    <tableColumn id="21" name="20" totalsRowFunction="count" dataDxfId="1178" totalsRowDxfId="1177" dataCellStyle="Total"/>
    <tableColumn id="22" name="21" totalsRowFunction="count" dataDxfId="1176" totalsRowDxfId="1175" dataCellStyle="Total"/>
    <tableColumn id="23" name="22" totalsRowFunction="count" dataDxfId="1174" totalsRowDxfId="1173" dataCellStyle="Total"/>
    <tableColumn id="24" name="23" totalsRowFunction="count" dataDxfId="1172" totalsRowDxfId="1171" dataCellStyle="Total"/>
    <tableColumn id="25" name="24" totalsRowFunction="count" dataDxfId="1170" totalsRowDxfId="1169" dataCellStyle="Total"/>
    <tableColumn id="26" name="25" totalsRowFunction="count" dataDxfId="1168" totalsRowDxfId="1167" dataCellStyle="Total"/>
    <tableColumn id="27" name="26" totalsRowFunction="count" dataDxfId="1166" totalsRowDxfId="1165" dataCellStyle="Total"/>
    <tableColumn id="28" name="27" totalsRowFunction="count" dataDxfId="1164" totalsRowDxfId="1163" dataCellStyle="Total"/>
    <tableColumn id="29" name="28" totalsRowFunction="count" dataDxfId="1162" totalsRowDxfId="1161" dataCellStyle="Total"/>
    <tableColumn id="30" name="29" totalsRowFunction="count" dataDxfId="1160" totalsRowDxfId="1159" dataCellStyle="Total"/>
    <tableColumn id="31" name=" " dataDxfId="1158" totalsRowDxfId="1157" dataCellStyle="Total"/>
    <tableColumn id="32" name="  " dataDxfId="1156" totalsRowDxfId="1155" dataCellStyle="Total"/>
    <tableColumn id="33" name="Total des jours" totalsRowFunction="sum" dataDxfId="1154" totalsRowDxfId="1153"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7:AH13" totalsRowCount="1" headerRowDxfId="1142" dataDxfId="1141" totalsRowDxfId="1140">
  <tableColumns count="33">
    <tableColumn id="1" name="Nom de l’employé" totalsRowFunction="custom" dataDxfId="1139" totalsRowDxfId="1138">
      <calculatedColumnFormula>'Noms des employés'!B4</calculatedColumnFormula>
      <totalsRowFormula>NomMois&amp;" Total"</totalsRowFormula>
    </tableColumn>
    <tableColumn id="2" name="1" totalsRowFunction="count" dataDxfId="1137" totalsRowDxfId="1136"/>
    <tableColumn id="3" name="2" totalsRowFunction="count" dataDxfId="1135" totalsRowDxfId="1134"/>
    <tableColumn id="4" name="3" totalsRowFunction="count" dataDxfId="1133" totalsRowDxfId="1132"/>
    <tableColumn id="5" name="4" totalsRowFunction="count" dataDxfId="1131" totalsRowDxfId="1130"/>
    <tableColumn id="6" name="5" totalsRowFunction="count" dataDxfId="1129" totalsRowDxfId="1128"/>
    <tableColumn id="7" name="6" totalsRowFunction="count" dataDxfId="1127" totalsRowDxfId="1126"/>
    <tableColumn id="8" name="7" totalsRowFunction="count" dataDxfId="1125" totalsRowDxfId="1124"/>
    <tableColumn id="9" name="8" totalsRowFunction="count" dataDxfId="1123" totalsRowDxfId="1122"/>
    <tableColumn id="10" name="9" totalsRowFunction="count" dataDxfId="1121" totalsRowDxfId="1120"/>
    <tableColumn id="11" name="10" totalsRowFunction="count" dataDxfId="1119" totalsRowDxfId="1118"/>
    <tableColumn id="12" name="11" totalsRowFunction="count" dataDxfId="1117" totalsRowDxfId="1116"/>
    <tableColumn id="13" name="12" totalsRowFunction="count" dataDxfId="1115" totalsRowDxfId="1114"/>
    <tableColumn id="14" name="13" totalsRowFunction="count" dataDxfId="1113" totalsRowDxfId="1112"/>
    <tableColumn id="15" name="14" totalsRowFunction="count" dataDxfId="1111" totalsRowDxfId="1110"/>
    <tableColumn id="16" name="15" totalsRowFunction="count" dataDxfId="1109" totalsRowDxfId="1108"/>
    <tableColumn id="17" name="16" totalsRowFunction="count" dataDxfId="1107" totalsRowDxfId="1106"/>
    <tableColumn id="18" name="17" totalsRowFunction="count" dataDxfId="1105" totalsRowDxfId="1104"/>
    <tableColumn id="19" name="18" totalsRowFunction="count" dataDxfId="1103" totalsRowDxfId="1102"/>
    <tableColumn id="20" name="19" totalsRowFunction="count" dataDxfId="1101" totalsRowDxfId="1100"/>
    <tableColumn id="21" name="20" totalsRowFunction="count" dataDxfId="1099" totalsRowDxfId="1098"/>
    <tableColumn id="22" name="21" totalsRowFunction="count" dataDxfId="1097" totalsRowDxfId="1096"/>
    <tableColumn id="23" name="22" totalsRowFunction="count" dataDxfId="1095" totalsRowDxfId="1094"/>
    <tableColumn id="24" name="23" totalsRowFunction="count" dataDxfId="1093" totalsRowDxfId="1092"/>
    <tableColumn id="25" name="24" totalsRowFunction="count" dataDxfId="1091" totalsRowDxfId="1090"/>
    <tableColumn id="26" name="25" totalsRowFunction="count" dataDxfId="1089" totalsRowDxfId="1088"/>
    <tableColumn id="27" name="26" totalsRowFunction="count" dataDxfId="1087" totalsRowDxfId="1086"/>
    <tableColumn id="28" name="27" totalsRowFunction="count" dataDxfId="1085" totalsRowDxfId="1084"/>
    <tableColumn id="29" name="28" totalsRowFunction="count" dataDxfId="1083" totalsRowDxfId="1082"/>
    <tableColumn id="30" name="29" totalsRowFunction="count" dataDxfId="1081" totalsRowDxfId="1080"/>
    <tableColumn id="31" name="30" totalsRowFunction="sum" dataDxfId="1079" totalsRowDxfId="1078"/>
    <tableColumn id="32" name="31" totalsRowFunction="sum" dataDxfId="1077" totalsRowDxfId="1076" dataCellStyle="Total"/>
    <tableColumn id="33" name="Total des jours" totalsRowFunction="sum" dataDxfId="1075" totalsRowDxfId="1074"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7:AH13" totalsRowCount="1" headerRowDxfId="1043" dataDxfId="1042" totalsRowDxfId="1041">
  <tableColumns count="33">
    <tableColumn id="1" name="Nom de l’employé" totalsRowFunction="custom" dataDxfId="1040" totalsRowDxfId="1039">
      <calculatedColumnFormula>'Noms des employés'!B4</calculatedColumnFormula>
      <totalsRowFormula>NomMois&amp;" Total"</totalsRowFormula>
    </tableColumn>
    <tableColumn id="2" name="1" totalsRowFunction="count" dataDxfId="1038" totalsRowDxfId="1037"/>
    <tableColumn id="3" name="2" totalsRowFunction="count" dataDxfId="1036" totalsRowDxfId="1035"/>
    <tableColumn id="4" name="3" totalsRowFunction="count" dataDxfId="1034" totalsRowDxfId="1033"/>
    <tableColumn id="5" name="4" totalsRowFunction="count" dataDxfId="1032" totalsRowDxfId="1031"/>
    <tableColumn id="6" name="5" totalsRowFunction="count" dataDxfId="1030" totalsRowDxfId="1029"/>
    <tableColumn id="7" name="6" totalsRowFunction="count" dataDxfId="1028" totalsRowDxfId="1027"/>
    <tableColumn id="8" name="7" totalsRowFunction="count" dataDxfId="1026" totalsRowDxfId="1025"/>
    <tableColumn id="9" name="8" totalsRowFunction="count" dataDxfId="1024" totalsRowDxfId="1023"/>
    <tableColumn id="10" name="9" totalsRowFunction="count" dataDxfId="1022" totalsRowDxfId="1021"/>
    <tableColumn id="11" name="10" totalsRowFunction="count" dataDxfId="1020" totalsRowDxfId="1019"/>
    <tableColumn id="12" name="11" totalsRowFunction="count" dataDxfId="1018" totalsRowDxfId="1017"/>
    <tableColumn id="13" name="12" totalsRowFunction="count" dataDxfId="1016" totalsRowDxfId="1015"/>
    <tableColumn id="14" name="13" totalsRowFunction="count" dataDxfId="1014" totalsRowDxfId="1013"/>
    <tableColumn id="15" name="14" totalsRowFunction="count" dataDxfId="1012" totalsRowDxfId="1011"/>
    <tableColumn id="16" name="15" totalsRowFunction="count" dataDxfId="1010" totalsRowDxfId="1009"/>
    <tableColumn id="17" name="16" totalsRowFunction="count" dataDxfId="1008" totalsRowDxfId="1007"/>
    <tableColumn id="18" name="17" totalsRowFunction="count" dataDxfId="1006" totalsRowDxfId="1005"/>
    <tableColumn id="19" name="18" totalsRowFunction="count" dataDxfId="1004" totalsRowDxfId="1003"/>
    <tableColumn id="20" name="19" totalsRowFunction="count" dataDxfId="1002" totalsRowDxfId="1001"/>
    <tableColumn id="21" name="20" totalsRowFunction="count" dataDxfId="1000" totalsRowDxfId="999"/>
    <tableColumn id="22" name="21" totalsRowFunction="count" dataDxfId="998" totalsRowDxfId="997"/>
    <tableColumn id="23" name="22" totalsRowFunction="count" dataDxfId="996" totalsRowDxfId="995"/>
    <tableColumn id="24" name="23" totalsRowFunction="count" dataDxfId="994" totalsRowDxfId="993"/>
    <tableColumn id="25" name="24" totalsRowFunction="count" dataDxfId="992" totalsRowDxfId="991"/>
    <tableColumn id="26" name="25" totalsRowFunction="count" dataDxfId="990" totalsRowDxfId="989"/>
    <tableColumn id="27" name="26" totalsRowFunction="count" dataDxfId="988" totalsRowDxfId="987"/>
    <tableColumn id="28" name="27" totalsRowFunction="count" dataDxfId="986" totalsRowDxfId="985"/>
    <tableColumn id="29" name="28" totalsRowFunction="count" dataDxfId="984" totalsRowDxfId="983"/>
    <tableColumn id="30" name="29" totalsRowFunction="count" dataDxfId="982" totalsRowDxfId="981"/>
    <tableColumn id="31" name="30" totalsRowFunction="count" dataDxfId="980" totalsRowDxfId="979"/>
    <tableColumn id="32" name="31" totalsRowFunction="sum" dataDxfId="978" totalsRowDxfId="977" dataCellStyle="Total"/>
    <tableColumn id="33" name="Total des jours" totalsRowFunction="sum" dataDxfId="976" totalsRowDxfId="975"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7:AH13" totalsRowCount="1" headerRowDxfId="939" dataDxfId="938" totalsRowDxfId="937">
  <tableColumns count="33">
    <tableColumn id="1" name="Nom de l’employé" totalsRowFunction="custom" dataDxfId="936" totalsRowDxfId="935">
      <calculatedColumnFormula>'Noms des employés'!B4</calculatedColumnFormula>
      <totalsRowFormula>NomMois&amp;" Total"</totalsRowFormula>
    </tableColumn>
    <tableColumn id="2" name="1" totalsRowFunction="count" dataDxfId="934" totalsRowDxfId="933"/>
    <tableColumn id="3" name="2" totalsRowFunction="count" dataDxfId="932" totalsRowDxfId="931"/>
    <tableColumn id="4" name="3" totalsRowFunction="count" dataDxfId="930" totalsRowDxfId="929"/>
    <tableColumn id="5" name="4" totalsRowFunction="count" dataDxfId="928" totalsRowDxfId="927"/>
    <tableColumn id="6" name="5" totalsRowFunction="count" dataDxfId="926" totalsRowDxfId="925"/>
    <tableColumn id="7" name="6" totalsRowFunction="count" dataDxfId="924" totalsRowDxfId="923"/>
    <tableColumn id="8" name="7" totalsRowFunction="count" dataDxfId="922" totalsRowDxfId="921"/>
    <tableColumn id="9" name="8" totalsRowFunction="count" dataDxfId="920" totalsRowDxfId="919"/>
    <tableColumn id="10" name="9" totalsRowFunction="count" dataDxfId="918" totalsRowDxfId="917"/>
    <tableColumn id="11" name="10" totalsRowFunction="count" dataDxfId="916" totalsRowDxfId="915"/>
    <tableColumn id="12" name="11" totalsRowFunction="count" dataDxfId="914" totalsRowDxfId="913"/>
    <tableColumn id="13" name="12" totalsRowFunction="count" dataDxfId="912" totalsRowDxfId="911"/>
    <tableColumn id="14" name="13" totalsRowFunction="count" dataDxfId="910" totalsRowDxfId="909"/>
    <tableColumn id="15" name="14" totalsRowFunction="count" dataDxfId="908" totalsRowDxfId="907"/>
    <tableColumn id="16" name="15" totalsRowFunction="count" dataDxfId="906" totalsRowDxfId="905"/>
    <tableColumn id="17" name="16" totalsRowFunction="count" dataDxfId="904" totalsRowDxfId="903"/>
    <tableColumn id="18" name="17" totalsRowFunction="count" dataDxfId="902" totalsRowDxfId="901"/>
    <tableColumn id="19" name="18" totalsRowFunction="count" dataDxfId="900" totalsRowDxfId="899"/>
    <tableColumn id="20" name="19" totalsRowFunction="count" dataDxfId="898" totalsRowDxfId="897"/>
    <tableColumn id="21" name="20" totalsRowFunction="count" dataDxfId="896" totalsRowDxfId="895"/>
    <tableColumn id="22" name="21" totalsRowFunction="count" dataDxfId="894" totalsRowDxfId="893"/>
    <tableColumn id="23" name="22" totalsRowFunction="count" dataDxfId="892" totalsRowDxfId="891"/>
    <tableColumn id="24" name="23" totalsRowFunction="count" dataDxfId="890" totalsRowDxfId="889"/>
    <tableColumn id="25" name="24" totalsRowFunction="count" dataDxfId="888" totalsRowDxfId="887"/>
    <tableColumn id="26" name="25" totalsRowFunction="count" dataDxfId="886" totalsRowDxfId="885"/>
    <tableColumn id="27" name="26" totalsRowFunction="count" dataDxfId="884" totalsRowDxfId="883"/>
    <tableColumn id="28" name="27" totalsRowFunction="count" dataDxfId="882" totalsRowDxfId="881"/>
    <tableColumn id="29" name="28" totalsRowFunction="count" dataDxfId="880" totalsRowDxfId="879"/>
    <tableColumn id="30" name="29" totalsRowFunction="count" dataDxfId="878" totalsRowDxfId="877"/>
    <tableColumn id="31" name="30" totalsRowFunction="count" dataDxfId="876" totalsRowDxfId="875"/>
    <tableColumn id="32" name="31" totalsRowFunction="count" dataDxfId="874" totalsRowDxfId="873" dataCellStyle="Total"/>
    <tableColumn id="33" name="Total des jours" totalsRowFunction="sum" dataDxfId="872" totalsRowDxfId="871" dataCellStyle="Total">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7:AH13" totalsRowCount="1" headerRowDxfId="865" dataDxfId="864" totalsRowDxfId="863">
  <tableColumns count="33">
    <tableColumn id="1" name="Nom de l’employé" totalsRowFunction="custom" dataDxfId="862" totalsRowDxfId="861">
      <calculatedColumnFormula>'Noms des employés'!B4</calculatedColumnFormula>
      <totalsRowFormula>NomMois&amp;" Total"</totalsRowFormula>
    </tableColumn>
    <tableColumn id="2" name="1" totalsRowFunction="count" dataDxfId="860" totalsRowDxfId="859"/>
    <tableColumn id="3" name="2" totalsRowFunction="count" dataDxfId="858" totalsRowDxfId="857"/>
    <tableColumn id="4" name="3" totalsRowFunction="count" dataDxfId="856" totalsRowDxfId="855"/>
    <tableColumn id="5" name="4" totalsRowFunction="count" dataDxfId="854" totalsRowDxfId="853"/>
    <tableColumn id="6" name="5" totalsRowFunction="count" dataDxfId="852" totalsRowDxfId="851"/>
    <tableColumn id="7" name="6" totalsRowFunction="count" dataDxfId="850" totalsRowDxfId="849"/>
    <tableColumn id="8" name="7" totalsRowFunction="count" dataDxfId="848" totalsRowDxfId="847"/>
    <tableColumn id="9" name="8" totalsRowFunction="count" dataDxfId="846" totalsRowDxfId="845"/>
    <tableColumn id="10" name="9" totalsRowFunction="count" dataDxfId="844" totalsRowDxfId="843"/>
    <tableColumn id="11" name="10" totalsRowFunction="count" dataDxfId="842" totalsRowDxfId="841"/>
    <tableColumn id="12" name="11" totalsRowFunction="count" dataDxfId="840" totalsRowDxfId="839"/>
    <tableColumn id="13" name="12" totalsRowFunction="count" dataDxfId="838" totalsRowDxfId="837"/>
    <tableColumn id="14" name="13" totalsRowFunction="count" dataDxfId="836" totalsRowDxfId="835"/>
    <tableColumn id="15" name="14" totalsRowFunction="count" dataDxfId="834" totalsRowDxfId="833"/>
    <tableColumn id="16" name="15" totalsRowFunction="count" dataDxfId="832" totalsRowDxfId="831"/>
    <tableColumn id="17" name="16" totalsRowFunction="count" dataDxfId="830" totalsRowDxfId="829"/>
    <tableColumn id="18" name="17" totalsRowFunction="count" dataDxfId="828" totalsRowDxfId="827"/>
    <tableColumn id="19" name="18" totalsRowFunction="count" dataDxfId="826" totalsRowDxfId="825"/>
    <tableColumn id="20" name="19" totalsRowFunction="count" dataDxfId="824" totalsRowDxfId="823"/>
    <tableColumn id="21" name="20" totalsRowFunction="count" dataDxfId="822" totalsRowDxfId="821"/>
    <tableColumn id="22" name="21" totalsRowFunction="count" dataDxfId="820" totalsRowDxfId="819"/>
    <tableColumn id="23" name="22" totalsRowFunction="count" dataDxfId="818" totalsRowDxfId="817"/>
    <tableColumn id="24" name="23" totalsRowFunction="count" dataDxfId="816" totalsRowDxfId="815"/>
    <tableColumn id="25" name="24" totalsRowFunction="count" dataDxfId="814" totalsRowDxfId="813"/>
    <tableColumn id="26" name="25" totalsRowFunction="count" dataDxfId="812" totalsRowDxfId="811"/>
    <tableColumn id="27" name="26" totalsRowFunction="count" dataDxfId="810" totalsRowDxfId="809"/>
    <tableColumn id="28" name="27" totalsRowFunction="count" dataDxfId="808" totalsRowDxfId="807"/>
    <tableColumn id="29" name="28" totalsRowFunction="count" dataDxfId="806" totalsRowDxfId="805"/>
    <tableColumn id="30" name="29" totalsRowFunction="count" dataDxfId="804" totalsRowDxfId="803"/>
    <tableColumn id="31" name="30" totalsRowFunction="sum" dataDxfId="802" totalsRowDxfId="801"/>
    <tableColumn id="32" name="31" totalsRowFunction="sum" dataDxfId="800" totalsRowDxfId="799" dataCellStyle="Total"/>
    <tableColumn id="33" name="Total des jours" totalsRowFunction="sum" dataDxfId="798" totalsRowDxfId="797" dataCellStyle="Total">
      <calculatedColumnFormula>COUNTA(Juin[[#This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7:AH13" totalsRowCount="1" headerRowDxfId="796" dataDxfId="795" totalsRowDxfId="794">
  <tableColumns count="33">
    <tableColumn id="1" name="Nom de l’employé" totalsRowFunction="custom" dataDxfId="793" totalsRowDxfId="302">
      <calculatedColumnFormula>'Noms des employés'!B4</calculatedColumnFormula>
      <totalsRowFormula>NomMois&amp;" Total"</totalsRowFormula>
    </tableColumn>
    <tableColumn id="2" name="1" totalsRowFunction="count" dataDxfId="792" totalsRowDxfId="301"/>
    <tableColumn id="3" name="2" totalsRowFunction="count" dataDxfId="791" totalsRowDxfId="300"/>
    <tableColumn id="4" name="3" totalsRowFunction="count" dataDxfId="790" totalsRowDxfId="299"/>
    <tableColumn id="5" name="4" totalsRowFunction="count" dataDxfId="789" totalsRowDxfId="298"/>
    <tableColumn id="6" name="5" totalsRowFunction="count" dataDxfId="788" totalsRowDxfId="297"/>
    <tableColumn id="7" name="6" totalsRowFunction="count" dataDxfId="787" totalsRowDxfId="296"/>
    <tableColumn id="8" name="7" totalsRowFunction="count" dataDxfId="786" totalsRowDxfId="295"/>
    <tableColumn id="9" name="8" totalsRowFunction="count" dataDxfId="785" totalsRowDxfId="294"/>
    <tableColumn id="10" name="9" totalsRowFunction="count" dataDxfId="784" totalsRowDxfId="293"/>
    <tableColumn id="11" name="10" totalsRowFunction="count" dataDxfId="783" totalsRowDxfId="292"/>
    <tableColumn id="12" name="11" totalsRowFunction="count" dataDxfId="782" totalsRowDxfId="291"/>
    <tableColumn id="13" name="12" totalsRowFunction="count" dataDxfId="781" totalsRowDxfId="290"/>
    <tableColumn id="14" name="13" totalsRowFunction="count" dataDxfId="780" totalsRowDxfId="289"/>
    <tableColumn id="15" name="14" totalsRowFunction="count" dataDxfId="779" totalsRowDxfId="288"/>
    <tableColumn id="16" name="15" totalsRowFunction="count" dataDxfId="778" totalsRowDxfId="287"/>
    <tableColumn id="17" name="16" totalsRowFunction="count" dataDxfId="777" totalsRowDxfId="286"/>
    <tableColumn id="18" name="17" totalsRowFunction="count" dataDxfId="776" totalsRowDxfId="285"/>
    <tableColumn id="19" name="18" totalsRowFunction="count" dataDxfId="775" totalsRowDxfId="284"/>
    <tableColumn id="20" name="19" totalsRowFunction="count" dataDxfId="774" totalsRowDxfId="283"/>
    <tableColumn id="21" name="20" totalsRowFunction="count" dataDxfId="773" totalsRowDxfId="282"/>
    <tableColumn id="22" name="21" totalsRowFunction="count" dataDxfId="772" totalsRowDxfId="281"/>
    <tableColumn id="23" name="22" totalsRowFunction="count" dataDxfId="771" totalsRowDxfId="280"/>
    <tableColumn id="24" name="23" totalsRowFunction="count" dataDxfId="770" totalsRowDxfId="279"/>
    <tableColumn id="25" name="24" totalsRowFunction="count" dataDxfId="769" totalsRowDxfId="278"/>
    <tableColumn id="26" name="25" totalsRowFunction="count" dataDxfId="768" totalsRowDxfId="277"/>
    <tableColumn id="27" name="26" totalsRowFunction="count" dataDxfId="767" totalsRowDxfId="276"/>
    <tableColumn id="28" name="27" totalsRowFunction="count" dataDxfId="766" totalsRowDxfId="275"/>
    <tableColumn id="29" name="28" totalsRowFunction="count" dataDxfId="765" totalsRowDxfId="274"/>
    <tableColumn id="30" name="29" totalsRowFunction="count" dataDxfId="764" totalsRowDxfId="273"/>
    <tableColumn id="31" name="30" totalsRowFunction="sum" dataDxfId="763" totalsRowDxfId="272"/>
    <tableColumn id="32" name="31" totalsRowFunction="sum" dataDxfId="762" totalsRowDxfId="271" dataCellStyle="Total"/>
    <tableColumn id="33" name="Total des jours" totalsRowFunction="sum" dataDxfId="761" totalsRowDxfId="270"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7:AH13" totalsRowCount="1" headerRowDxfId="740" dataDxfId="739" totalsRowDxfId="738">
  <tableColumns count="33">
    <tableColumn id="1" name="Nom de l’employé" totalsRowFunction="custom" dataDxfId="737" totalsRowDxfId="736">
      <calculatedColumnFormula>'Noms des employés'!B4</calculatedColumnFormula>
      <totalsRowFormula>NomMois&amp;" Total"</totalsRowFormula>
    </tableColumn>
    <tableColumn id="2" name="1" totalsRowFunction="count" dataDxfId="735" totalsRowDxfId="734"/>
    <tableColumn id="3" name="2" totalsRowFunction="count" dataDxfId="733" totalsRowDxfId="732"/>
    <tableColumn id="4" name="3" totalsRowFunction="count" dataDxfId="731" totalsRowDxfId="730"/>
    <tableColumn id="5" name="4" totalsRowFunction="count" dataDxfId="729" totalsRowDxfId="728"/>
    <tableColumn id="6" name="5" totalsRowFunction="count" dataDxfId="727" totalsRowDxfId="726"/>
    <tableColumn id="7" name="6" totalsRowFunction="count" dataDxfId="725" totalsRowDxfId="724"/>
    <tableColumn id="8" name="7" totalsRowFunction="count" dataDxfId="723" totalsRowDxfId="722"/>
    <tableColumn id="9" name="8" totalsRowFunction="count" dataDxfId="721" totalsRowDxfId="720"/>
    <tableColumn id="10" name="9" totalsRowFunction="count" dataDxfId="719" totalsRowDxfId="718"/>
    <tableColumn id="11" name="10" totalsRowFunction="count" dataDxfId="717" totalsRowDxfId="716"/>
    <tableColumn id="12" name="11" totalsRowFunction="count" dataDxfId="715" totalsRowDxfId="714"/>
    <tableColumn id="13" name="12" totalsRowFunction="count" dataDxfId="713" totalsRowDxfId="712"/>
    <tableColumn id="14" name="13" totalsRowFunction="count" dataDxfId="711" totalsRowDxfId="710"/>
    <tableColumn id="15" name="14" totalsRowFunction="count" dataDxfId="709" totalsRowDxfId="708"/>
    <tableColumn id="16" name="15" totalsRowFunction="count" dataDxfId="707" totalsRowDxfId="706"/>
    <tableColumn id="17" name="16" totalsRowFunction="count" dataDxfId="705" totalsRowDxfId="704"/>
    <tableColumn id="18" name="17" totalsRowFunction="count" dataDxfId="703" totalsRowDxfId="702"/>
    <tableColumn id="19" name="18" totalsRowFunction="count" dataDxfId="701" totalsRowDxfId="700"/>
    <tableColumn id="20" name="19" totalsRowFunction="count" dataDxfId="699" totalsRowDxfId="698"/>
    <tableColumn id="21" name="20" totalsRowFunction="count" dataDxfId="697" totalsRowDxfId="696"/>
    <tableColumn id="22" name="21" totalsRowFunction="count" dataDxfId="695" totalsRowDxfId="694"/>
    <tableColumn id="23" name="22" totalsRowFunction="count" dataDxfId="693" totalsRowDxfId="692"/>
    <tableColumn id="24" name="23" totalsRowFunction="count" dataDxfId="691" totalsRowDxfId="690"/>
    <tableColumn id="25" name="24" totalsRowFunction="count" dataDxfId="689" totalsRowDxfId="688"/>
    <tableColumn id="26" name="25" totalsRowFunction="count" dataDxfId="687" totalsRowDxfId="686"/>
    <tableColumn id="27" name="26" totalsRowFunction="count" dataDxfId="685" totalsRowDxfId="684"/>
    <tableColumn id="28" name="27" totalsRowFunction="count" dataDxfId="683" totalsRowDxfId="682"/>
    <tableColumn id="29" name="28" totalsRowFunction="count" dataDxfId="681" totalsRowDxfId="680"/>
    <tableColumn id="30" name="29" totalsRowFunction="count" dataDxfId="679" totalsRowDxfId="678"/>
    <tableColumn id="31" name="30" totalsRowFunction="sum" dataDxfId="677" totalsRowDxfId="676"/>
    <tableColumn id="32" name="31" totalsRowFunction="sum" dataDxfId="675" totalsRowDxfId="674" dataCellStyle="Total"/>
    <tableColumn id="33" name="Total des jours" totalsRowFunction="sum" dataDxfId="673" totalsRowDxfId="672" dataCellStyle="Total">
      <calculatedColumnFormula>COUNTA(Août[[#This Row],[1]:[31]])-COUNTIF(Août[[#This Row],[1]:[31]],"F")</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8:AH14" totalsRowCount="1" headerRowDxfId="666" dataDxfId="665" totalsRowDxfId="664">
  <tableColumns count="33">
    <tableColumn id="1" name="Nom de l’employé" totalsRowFunction="custom" dataDxfId="663" totalsRowDxfId="662">
      <calculatedColumnFormula>'Noms des employés'!B4</calculatedColumnFormula>
      <totalsRowFormula>NomMois&amp;" Total"</totalsRowFormula>
    </tableColumn>
    <tableColumn id="2" name="1" totalsRowFunction="count" dataDxfId="661" totalsRowDxfId="660"/>
    <tableColumn id="3" name="2" totalsRowFunction="count" dataDxfId="659" totalsRowDxfId="658"/>
    <tableColumn id="4" name="3" totalsRowFunction="count" dataDxfId="657" totalsRowDxfId="656"/>
    <tableColumn id="5" name="4" totalsRowFunction="count" dataDxfId="655" totalsRowDxfId="654"/>
    <tableColumn id="6" name="5" totalsRowFunction="count" dataDxfId="653" totalsRowDxfId="652"/>
    <tableColumn id="7" name="6" totalsRowFunction="count" dataDxfId="651" totalsRowDxfId="650"/>
    <tableColumn id="8" name="7" totalsRowFunction="count" dataDxfId="649" totalsRowDxfId="648"/>
    <tableColumn id="9" name="8" totalsRowFunction="count" dataDxfId="647" totalsRowDxfId="646"/>
    <tableColumn id="10" name="9" totalsRowFunction="count" dataDxfId="645" totalsRowDxfId="644"/>
    <tableColumn id="11" name="10" totalsRowFunction="count" dataDxfId="643" totalsRowDxfId="642"/>
    <tableColumn id="12" name="11" totalsRowFunction="count" dataDxfId="641" totalsRowDxfId="640"/>
    <tableColumn id="13" name="12" totalsRowFunction="count" dataDxfId="639" totalsRowDxfId="638"/>
    <tableColumn id="14" name="13" totalsRowFunction="count" dataDxfId="637" totalsRowDxfId="636"/>
    <tableColumn id="15" name="14" totalsRowFunction="count" dataDxfId="635" totalsRowDxfId="634"/>
    <tableColumn id="16" name="15" totalsRowFunction="count" dataDxfId="633" totalsRowDxfId="632"/>
    <tableColumn id="17" name="16" totalsRowFunction="count" dataDxfId="631" totalsRowDxfId="630"/>
    <tableColumn id="18" name="17" totalsRowFunction="count" dataDxfId="629" totalsRowDxfId="628"/>
    <tableColumn id="19" name="18" totalsRowFunction="count" dataDxfId="627" totalsRowDxfId="626"/>
    <tableColumn id="20" name="19" totalsRowFunction="count" dataDxfId="625" totalsRowDxfId="624"/>
    <tableColumn id="21" name="20" totalsRowFunction="count" dataDxfId="623" totalsRowDxfId="622"/>
    <tableColumn id="22" name="21" totalsRowFunction="count" dataDxfId="621" totalsRowDxfId="620"/>
    <tableColumn id="23" name="22" totalsRowFunction="count" dataDxfId="619" totalsRowDxfId="618"/>
    <tableColumn id="24" name="23" totalsRowFunction="count" dataDxfId="617" totalsRowDxfId="616"/>
    <tableColumn id="25" name="24" totalsRowFunction="count" dataDxfId="615" totalsRowDxfId="614"/>
    <tableColumn id="26" name="25" totalsRowFunction="count" dataDxfId="613" totalsRowDxfId="612"/>
    <tableColumn id="27" name="26" totalsRowFunction="count" dataDxfId="611" totalsRowDxfId="610"/>
    <tableColumn id="28" name="27" totalsRowFunction="count" dataDxfId="609" totalsRowDxfId="608"/>
    <tableColumn id="29" name="28" totalsRowFunction="count" dataDxfId="607" totalsRowDxfId="606"/>
    <tableColumn id="30" name="29" totalsRowFunction="count" dataDxfId="605" totalsRowDxfId="604"/>
    <tableColumn id="31" name="30" totalsRowFunction="count" dataDxfId="603" totalsRowDxfId="602"/>
    <tableColumn id="32" name="31" totalsRowFunction="sum" dataDxfId="601" totalsRowDxfId="600" dataCellStyle="Total"/>
    <tableColumn id="33" name="Total des jours" totalsRowFunction="sum" dataDxfId="599" totalsRowDxfId="598" dataCellStyle="Total">
      <calculatedColumnFormula>COUNTA(Septembre[[#This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8:AH14" totalsRowCount="1" headerRowDxfId="592" dataDxfId="591" totalsRowDxfId="590">
  <tableColumns count="33">
    <tableColumn id="1" name="Nom de l’employé" totalsRowFunction="custom" dataDxfId="589" totalsRowDxfId="588">
      <calculatedColumnFormula>'Noms des employés'!B4</calculatedColumnFormula>
      <totalsRowFormula>NomMois&amp;" Total"</totalsRowFormula>
    </tableColumn>
    <tableColumn id="2" name="1" totalsRowFunction="count" dataDxfId="587" totalsRowDxfId="586"/>
    <tableColumn id="3" name="2" totalsRowFunction="count" dataDxfId="585" totalsRowDxfId="584"/>
    <tableColumn id="4" name="3" totalsRowFunction="count" dataDxfId="583" totalsRowDxfId="582"/>
    <tableColumn id="5" name="4" totalsRowFunction="count" dataDxfId="581" totalsRowDxfId="580"/>
    <tableColumn id="6" name="5" totalsRowFunction="count" dataDxfId="579" totalsRowDxfId="578"/>
    <tableColumn id="7" name="6" totalsRowFunction="count" dataDxfId="577" totalsRowDxfId="576"/>
    <tableColumn id="8" name="7" totalsRowFunction="count" dataDxfId="575" totalsRowDxfId="574"/>
    <tableColumn id="9" name="8" totalsRowFunction="count" dataDxfId="573" totalsRowDxfId="572"/>
    <tableColumn id="10" name="9" totalsRowFunction="count" dataDxfId="571" totalsRowDxfId="570"/>
    <tableColumn id="11" name="10" totalsRowFunction="count" dataDxfId="569" totalsRowDxfId="568"/>
    <tableColumn id="12" name="11" totalsRowFunction="count" dataDxfId="567" totalsRowDxfId="566"/>
    <tableColumn id="13" name="12" totalsRowFunction="count" dataDxfId="565" totalsRowDxfId="564"/>
    <tableColumn id="14" name="13" totalsRowFunction="count" dataDxfId="563" totalsRowDxfId="562"/>
    <tableColumn id="15" name="14" totalsRowFunction="count" dataDxfId="561" totalsRowDxfId="560"/>
    <tableColumn id="16" name="15" totalsRowFunction="count" dataDxfId="559" totalsRowDxfId="558"/>
    <tableColumn id="17" name="16" totalsRowFunction="count" dataDxfId="557" totalsRowDxfId="556"/>
    <tableColumn id="18" name="17" totalsRowFunction="count" dataDxfId="555" totalsRowDxfId="554"/>
    <tableColumn id="19" name="18" totalsRowFunction="count" dataDxfId="553" totalsRowDxfId="552"/>
    <tableColumn id="20" name="19" totalsRowFunction="count" dataDxfId="551" totalsRowDxfId="550"/>
    <tableColumn id="21" name="20" totalsRowFunction="count" dataDxfId="549" totalsRowDxfId="548"/>
    <tableColumn id="22" name="21" totalsRowFunction="count" dataDxfId="547" totalsRowDxfId="546"/>
    <tableColumn id="23" name="22" totalsRowFunction="count" dataDxfId="545" totalsRowDxfId="544"/>
    <tableColumn id="24" name="23" totalsRowFunction="count" dataDxfId="543" totalsRowDxfId="542"/>
    <tableColumn id="25" name="24" totalsRowFunction="count" dataDxfId="541" totalsRowDxfId="540"/>
    <tableColumn id="26" name="25" totalsRowFunction="count" dataDxfId="539" totalsRowDxfId="538"/>
    <tableColumn id="27" name="26" totalsRowFunction="count" dataDxfId="537" totalsRowDxfId="536"/>
    <tableColumn id="28" name="27" totalsRowFunction="count" dataDxfId="535" totalsRowDxfId="534"/>
    <tableColumn id="29" name="28" totalsRowFunction="count" dataDxfId="533" totalsRowDxfId="532"/>
    <tableColumn id="30" name="29" totalsRowFunction="count" dataDxfId="531" totalsRowDxfId="530"/>
    <tableColumn id="31" name="30" totalsRowFunction="sum" dataDxfId="529" totalsRowDxfId="528"/>
    <tableColumn id="32" name="31" totalsRowFunction="sum" dataDxfId="527" totalsRowDxfId="526" dataCellStyle="Total"/>
    <tableColumn id="33" name="Total des jours" totalsRowFunction="sum" dataDxfId="525" totalsRowDxfId="524"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8:AH14" totalsRowCount="1" headerRowDxfId="518" dataDxfId="517" totalsRowDxfId="516">
  <tableColumns count="33">
    <tableColumn id="1" name="Nom de l’employé" totalsRowFunction="custom" dataDxfId="515" totalsRowDxfId="514">
      <calculatedColumnFormula>'Noms des employés'!B4</calculatedColumnFormula>
      <totalsRowFormula>NomMois&amp;" Total"</totalsRowFormula>
    </tableColumn>
    <tableColumn id="2" name="1" totalsRowFunction="count" dataDxfId="513" totalsRowDxfId="512"/>
    <tableColumn id="3" name="2" totalsRowFunction="count" dataDxfId="511" totalsRowDxfId="510"/>
    <tableColumn id="4" name="3" totalsRowFunction="count" dataDxfId="509" totalsRowDxfId="508"/>
    <tableColumn id="5" name="4" totalsRowFunction="count" dataDxfId="507" totalsRowDxfId="506"/>
    <tableColumn id="6" name="5" totalsRowFunction="count" dataDxfId="505" totalsRowDxfId="504"/>
    <tableColumn id="7" name="6" totalsRowFunction="count" dataDxfId="503" totalsRowDxfId="502"/>
    <tableColumn id="8" name="7" totalsRowFunction="count" dataDxfId="501" totalsRowDxfId="500"/>
    <tableColumn id="9" name="8" totalsRowFunction="count" dataDxfId="499" totalsRowDxfId="498"/>
    <tableColumn id="10" name="9" totalsRowFunction="count" dataDxfId="497" totalsRowDxfId="496"/>
    <tableColumn id="11" name="10" totalsRowFunction="count" dataDxfId="495" totalsRowDxfId="494"/>
    <tableColumn id="12" name="11" totalsRowFunction="count" dataDxfId="493" totalsRowDxfId="492"/>
    <tableColumn id="13" name="12" totalsRowFunction="count" dataDxfId="491" totalsRowDxfId="490"/>
    <tableColumn id="14" name="13" totalsRowFunction="count" dataDxfId="489" totalsRowDxfId="488"/>
    <tableColumn id="15" name="14" totalsRowFunction="count" dataDxfId="487" totalsRowDxfId="486"/>
    <tableColumn id="16" name="15" totalsRowFunction="count" dataDxfId="485" totalsRowDxfId="484"/>
    <tableColumn id="17" name="16" totalsRowFunction="count" dataDxfId="483" totalsRowDxfId="482"/>
    <tableColumn id="18" name="17" totalsRowFunction="count" dataDxfId="481" totalsRowDxfId="480"/>
    <tableColumn id="19" name="18" totalsRowFunction="count" dataDxfId="479" totalsRowDxfId="478"/>
    <tableColumn id="20" name="19" totalsRowFunction="count" dataDxfId="477" totalsRowDxfId="476"/>
    <tableColumn id="21" name="20" totalsRowFunction="count" dataDxfId="475" totalsRowDxfId="474"/>
    <tableColumn id="22" name="21" totalsRowFunction="count" dataDxfId="473" totalsRowDxfId="472"/>
    <tableColumn id="23" name="22" totalsRowFunction="count" dataDxfId="471" totalsRowDxfId="470"/>
    <tableColumn id="24" name="23" totalsRowFunction="count" dataDxfId="469" totalsRowDxfId="468"/>
    <tableColumn id="25" name="24" totalsRowFunction="count" dataDxfId="467" totalsRowDxfId="466"/>
    <tableColumn id="26" name="25" totalsRowFunction="count" dataDxfId="465" totalsRowDxfId="464"/>
    <tableColumn id="27" name="26" totalsRowFunction="count" dataDxfId="463" totalsRowDxfId="462"/>
    <tableColumn id="28" name="27" totalsRowFunction="count" dataDxfId="461" totalsRowDxfId="460"/>
    <tableColumn id="29" name="28" totalsRowFunction="count" dataDxfId="459" totalsRowDxfId="458"/>
    <tableColumn id="30" name="29" totalsRowFunction="count" dataDxfId="457" totalsRowDxfId="456"/>
    <tableColumn id="31" name="30" totalsRowFunction="sum" dataDxfId="455" totalsRowDxfId="454"/>
    <tableColumn id="32" name="31" totalsRowFunction="sum" dataDxfId="453" totalsRowDxfId="452" dataCellStyle="Total"/>
    <tableColumn id="33" name="Total des jours" totalsRowFunction="sum" dataDxfId="451" totalsRowDxfId="450" dataCellStyle="Total">
      <calculatedColumnFormula>COUNTA(Novembre[[#This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8:AH14" totalsRowCount="1" headerRowDxfId="444" dataDxfId="443" totalsRowDxfId="442">
  <tableColumns count="33">
    <tableColumn id="1" name="Nom de l’employé" totalsRowFunction="custom" dataDxfId="441" totalsRowDxfId="375">
      <calculatedColumnFormula>'Noms des employés'!B4</calculatedColumnFormula>
      <totalsRowFormula>NomMois&amp;" Total"</totalsRowFormula>
    </tableColumn>
    <tableColumn id="2" name="1" totalsRowFunction="count" dataDxfId="440" totalsRowDxfId="374"/>
    <tableColumn id="3" name="2" totalsRowFunction="count" dataDxfId="439" totalsRowDxfId="373"/>
    <tableColumn id="4" name="3" totalsRowFunction="count" dataDxfId="438" totalsRowDxfId="372"/>
    <tableColumn id="5" name="4" totalsRowFunction="count" dataDxfId="437" totalsRowDxfId="371"/>
    <tableColumn id="6" name="5" totalsRowFunction="count" dataDxfId="436" totalsRowDxfId="370"/>
    <tableColumn id="7" name="6" totalsRowFunction="count" dataDxfId="435" totalsRowDxfId="369"/>
    <tableColumn id="8" name="7" totalsRowFunction="count" dataDxfId="434" totalsRowDxfId="368"/>
    <tableColumn id="9" name="8" totalsRowFunction="count" dataDxfId="433" totalsRowDxfId="367"/>
    <tableColumn id="10" name="9" totalsRowFunction="count" dataDxfId="432" totalsRowDxfId="366"/>
    <tableColumn id="11" name="10" totalsRowFunction="count" dataDxfId="431" totalsRowDxfId="365"/>
    <tableColumn id="12" name="11" totalsRowFunction="count" dataDxfId="430" totalsRowDxfId="364"/>
    <tableColumn id="13" name="12" totalsRowFunction="count" dataDxfId="429" totalsRowDxfId="363"/>
    <tableColumn id="14" name="13" totalsRowFunction="count" dataDxfId="428" totalsRowDxfId="362"/>
    <tableColumn id="15" name="14" totalsRowFunction="count" dataDxfId="427" totalsRowDxfId="361"/>
    <tableColumn id="16" name="15" totalsRowFunction="count" dataDxfId="426" totalsRowDxfId="360"/>
    <tableColumn id="17" name="16" totalsRowFunction="count" dataDxfId="425" totalsRowDxfId="359"/>
    <tableColumn id="18" name="17" totalsRowFunction="count" dataDxfId="424" totalsRowDxfId="358"/>
    <tableColumn id="19" name="18" totalsRowFunction="count" dataDxfId="423" totalsRowDxfId="357"/>
    <tableColumn id="20" name="19" totalsRowFunction="count" dataDxfId="422" totalsRowDxfId="356"/>
    <tableColumn id="21" name="20" totalsRowFunction="count" dataDxfId="421" totalsRowDxfId="355"/>
    <tableColumn id="22" name="21" totalsRowFunction="count" dataDxfId="420" totalsRowDxfId="354"/>
    <tableColumn id="23" name="22" totalsRowFunction="count" dataDxfId="419" totalsRowDxfId="353"/>
    <tableColumn id="24" name="23" totalsRowFunction="count" dataDxfId="418" totalsRowDxfId="352"/>
    <tableColumn id="25" name="24" totalsRowFunction="count" dataDxfId="417" totalsRowDxfId="351"/>
    <tableColumn id="26" name="25" totalsRowFunction="count" dataDxfId="416" totalsRowDxfId="350"/>
    <tableColumn id="27" name="26" totalsRowFunction="count" dataDxfId="415" totalsRowDxfId="349"/>
    <tableColumn id="28" name="27" totalsRowFunction="count" dataDxfId="414" totalsRowDxfId="348"/>
    <tableColumn id="29" name="28" totalsRowFunction="count" dataDxfId="413" totalsRowDxfId="347"/>
    <tableColumn id="30" name="29" totalsRowFunction="count" dataDxfId="412" totalsRowDxfId="346"/>
    <tableColumn id="31" name="30" totalsRowFunction="sum" dataDxfId="411" totalsRowDxfId="345"/>
    <tableColumn id="32" name="31" totalsRowFunction="sum" dataDxfId="410" totalsRowDxfId="344" dataCellStyle="Total"/>
    <tableColumn id="33" name="Total des jours" totalsRowFunction="sum" dataDxfId="409" totalsRowDxfId="343"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8" totalsRowShown="0" dataCellStyle="Employé">
  <autoFilter ref="B3:B8"/>
  <tableColumns count="1">
    <tableColumn id="1" name="Noms des employés"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Orange rouge">
      <a:dk1>
        <a:sysClr val="windowText" lastClr="000000"/>
      </a:dk1>
      <a:lt1>
        <a:sysClr val="window" lastClr="FFFFFF"/>
      </a:lt1>
      <a:dk2>
        <a:srgbClr val="696464"/>
      </a:dk2>
      <a:lt2>
        <a:srgbClr val="E9E5DC"/>
      </a:lt2>
      <a:accent1>
        <a:srgbClr val="D34817"/>
      </a:accent1>
      <a:accent2>
        <a:srgbClr val="9B2D1F"/>
      </a:accent2>
      <a:accent3>
        <a:srgbClr val="A28E6A"/>
      </a:accent3>
      <a:accent4>
        <a:srgbClr val="956251"/>
      </a:accent4>
      <a:accent5>
        <a:srgbClr val="918485"/>
      </a:accent5>
      <a:accent6>
        <a:srgbClr val="855D5D"/>
      </a:accent6>
      <a:hlink>
        <a:srgbClr val="CC9900"/>
      </a:hlink>
      <a:folHlink>
        <a:srgbClr val="96A9A9"/>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pageSetUpPr fitToPage="1"/>
  </sheetPr>
  <dimension ref="A1:AH13"/>
  <sheetViews>
    <sheetView showGridLines="0" tabSelected="1" zoomScaleNormal="100" workbookViewId="0">
      <selection activeCell="D8" sqref="D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1:34" ht="86.25" customHeight="1" x14ac:dyDescent="0.25"/>
    <row r="2" spans="1:34" ht="50.1" customHeight="1" x14ac:dyDescent="0.25">
      <c r="A2" s="16"/>
      <c r="B2" s="12" t="s">
        <v>0</v>
      </c>
    </row>
    <row r="3" spans="1:34" ht="15" customHeight="1" x14ac:dyDescent="0.25">
      <c r="B3" s="17" t="s">
        <v>1</v>
      </c>
      <c r="C3" s="4" t="s">
        <v>4</v>
      </c>
      <c r="D3" s="39" t="s">
        <v>7</v>
      </c>
      <c r="E3" s="39"/>
      <c r="F3" s="5" t="s">
        <v>10</v>
      </c>
      <c r="G3" s="39" t="s">
        <v>14</v>
      </c>
      <c r="H3" s="39"/>
      <c r="I3" s="39"/>
      <c r="J3" s="6" t="s">
        <v>12</v>
      </c>
      <c r="K3" s="39" t="s">
        <v>19</v>
      </c>
      <c r="L3" s="39"/>
      <c r="M3" s="30"/>
      <c r="N3" s="40" t="s">
        <v>67</v>
      </c>
      <c r="O3" s="39"/>
      <c r="P3" s="39"/>
      <c r="Q3" s="39"/>
      <c r="R3" s="8"/>
      <c r="S3" s="40"/>
      <c r="T3" s="39"/>
      <c r="U3" s="39"/>
      <c r="V3" s="39"/>
    </row>
    <row r="4" spans="1:34" ht="15" customHeight="1" x14ac:dyDescent="0.25">
      <c r="AH4" s="18" t="s">
        <v>44</v>
      </c>
    </row>
    <row r="5" spans="1:34" ht="30" customHeight="1" x14ac:dyDescent="0.25">
      <c r="B5" s="11" t="s">
        <v>2</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v>2022</v>
      </c>
    </row>
    <row r="6" spans="1:34" ht="15" customHeight="1" x14ac:dyDescent="0.25">
      <c r="B6" s="11"/>
      <c r="C6" s="2" t="str">
        <f>TEXT(WEEKDAY(DATE(AnnéeCalendrier,1,1),1),"jjj")</f>
        <v>sam</v>
      </c>
      <c r="D6" s="2" t="str">
        <f>TEXT(WEEKDAY(DATE(AnnéeCalendrier,1,2),1),"jjj")</f>
        <v>dim</v>
      </c>
      <c r="E6" s="2" t="str">
        <f>TEXT(WEEKDAY(DATE(AnnéeCalendrier,1,3),1),"jjj")</f>
        <v>lun</v>
      </c>
      <c r="F6" s="2" t="str">
        <f>TEXT(WEEKDAY(DATE(AnnéeCalendrier,1,4),1),"jjj")</f>
        <v>mar</v>
      </c>
      <c r="G6" s="2" t="str">
        <f>TEXT(WEEKDAY(DATE(AnnéeCalendrier,1,5),1),"jjj")</f>
        <v>mer</v>
      </c>
      <c r="H6" s="2" t="str">
        <f>TEXT(WEEKDAY(DATE(AnnéeCalendrier,1,6),1),"jjj")</f>
        <v>jeu</v>
      </c>
      <c r="I6" s="2" t="str">
        <f>TEXT(WEEKDAY(DATE(AnnéeCalendrier,1,7),1),"jjj")</f>
        <v>ven</v>
      </c>
      <c r="J6" s="2" t="str">
        <f>TEXT(WEEKDAY(DATE(AnnéeCalendrier,1,8),1),"jjj")</f>
        <v>sam</v>
      </c>
      <c r="K6" s="2" t="str">
        <f>TEXT(WEEKDAY(DATE(AnnéeCalendrier,1,9),1),"jjj")</f>
        <v>dim</v>
      </c>
      <c r="L6" s="2" t="str">
        <f>TEXT(WEEKDAY(DATE(AnnéeCalendrier,1,10),1),"jjj")</f>
        <v>lun</v>
      </c>
      <c r="M6" s="2" t="str">
        <f>TEXT(WEEKDAY(DATE(AnnéeCalendrier,1,11),1),"jjj")</f>
        <v>mar</v>
      </c>
      <c r="N6" s="2" t="str">
        <f>TEXT(WEEKDAY(DATE(AnnéeCalendrier,1,12),1),"jjj")</f>
        <v>mer</v>
      </c>
      <c r="O6" s="2" t="str">
        <f>TEXT(WEEKDAY(DATE(AnnéeCalendrier,1,13),1),"jjj")</f>
        <v>jeu</v>
      </c>
      <c r="P6" s="2" t="str">
        <f>TEXT(WEEKDAY(DATE(AnnéeCalendrier,1,14),1),"jjj")</f>
        <v>ven</v>
      </c>
      <c r="Q6" s="2" t="str">
        <f>TEXT(WEEKDAY(DATE(AnnéeCalendrier,1,15),1),"jjj")</f>
        <v>sam</v>
      </c>
      <c r="R6" s="2" t="str">
        <f>TEXT(WEEKDAY(DATE(AnnéeCalendrier,1,16),1),"jjj")</f>
        <v>dim</v>
      </c>
      <c r="S6" s="2" t="str">
        <f>TEXT(WEEKDAY(DATE(AnnéeCalendrier,1,17),1),"jjj")</f>
        <v>lun</v>
      </c>
      <c r="T6" s="2" t="str">
        <f>TEXT(WEEKDAY(DATE(AnnéeCalendrier,1,18),1),"jjj")</f>
        <v>mar</v>
      </c>
      <c r="U6" s="2" t="str">
        <f>TEXT(WEEKDAY(DATE(AnnéeCalendrier,1,19),1),"jjj")</f>
        <v>mer</v>
      </c>
      <c r="V6" s="2" t="str">
        <f>TEXT(WEEKDAY(DATE(AnnéeCalendrier,1,20),1),"jjj")</f>
        <v>jeu</v>
      </c>
      <c r="W6" s="2" t="str">
        <f>TEXT(WEEKDAY(DATE(AnnéeCalendrier,1,21),1),"jjj")</f>
        <v>ven</v>
      </c>
      <c r="X6" s="2" t="str">
        <f>TEXT(WEEKDAY(DATE(AnnéeCalendrier,1,22),1),"jjj")</f>
        <v>sam</v>
      </c>
      <c r="Y6" s="2" t="str">
        <f>TEXT(WEEKDAY(DATE(AnnéeCalendrier,1,23),1),"jjj")</f>
        <v>dim</v>
      </c>
      <c r="Z6" s="2" t="str">
        <f>TEXT(WEEKDAY(DATE(AnnéeCalendrier,1,24),1),"jjj")</f>
        <v>lun</v>
      </c>
      <c r="AA6" s="2" t="str">
        <f>TEXT(WEEKDAY(DATE(AnnéeCalendrier,1,25),1),"jjj")</f>
        <v>mar</v>
      </c>
      <c r="AB6" s="2" t="str">
        <f>TEXT(WEEKDAY(DATE(AnnéeCalendrier,1,26),1),"jjj")</f>
        <v>mer</v>
      </c>
      <c r="AC6" s="2" t="str">
        <f>TEXT(WEEKDAY(DATE(AnnéeCalendrier,1,27),1),"jjj")</f>
        <v>jeu</v>
      </c>
      <c r="AD6" s="2" t="str">
        <f>TEXT(WEEKDAY(DATE(AnnéeCalendrier,1,28),1),"jjj")</f>
        <v>ven</v>
      </c>
      <c r="AE6" s="2" t="str">
        <f>TEXT(WEEKDAY(DATE(AnnéeCalendrier,1,29),1),"jjj")</f>
        <v>sam</v>
      </c>
      <c r="AF6" s="2" t="str">
        <f>TEXT(WEEKDAY(DATE(AnnéeCalendrier,1,30),1),"jjj")</f>
        <v>dim</v>
      </c>
      <c r="AG6" s="2" t="str">
        <f>TEXT(WEEKDAY(DATE(AnnéeCalendrier,1,31),1),"jjj")</f>
        <v>lun</v>
      </c>
      <c r="AH6" s="11"/>
    </row>
    <row r="7" spans="1: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1:34" ht="30" customHeight="1" x14ac:dyDescent="0.25">
      <c r="B8" s="20" t="s">
        <v>68</v>
      </c>
      <c r="C8" s="24"/>
      <c r="D8" s="29"/>
      <c r="E8" s="3"/>
      <c r="F8" s="3"/>
      <c r="G8" s="3"/>
      <c r="H8" s="3"/>
      <c r="I8" s="3"/>
      <c r="J8" s="3"/>
      <c r="K8" s="29"/>
      <c r="L8" s="3"/>
      <c r="M8" s="3"/>
      <c r="N8" s="3"/>
      <c r="O8" s="3"/>
      <c r="P8" s="3"/>
      <c r="Q8" s="3"/>
      <c r="R8" s="29"/>
      <c r="S8" s="3"/>
      <c r="T8" s="3"/>
      <c r="U8" s="3"/>
      <c r="V8" s="3"/>
      <c r="W8" s="3"/>
      <c r="X8" s="3"/>
      <c r="Y8" s="29"/>
      <c r="Z8" s="3"/>
      <c r="AA8" s="3"/>
      <c r="AB8" s="3"/>
      <c r="AC8" s="3"/>
      <c r="AD8" s="3"/>
      <c r="AE8" s="3"/>
      <c r="AF8" s="29"/>
      <c r="AG8" s="3"/>
      <c r="AH8" s="9">
        <f>COUNTA(Janvier!$D8:$AG8)</f>
        <v>0</v>
      </c>
    </row>
    <row r="9" spans="1:34" ht="30" customHeight="1" x14ac:dyDescent="0.25">
      <c r="B9" s="20" t="str">
        <f>'Noms des employés'!B5</f>
        <v xml:space="preserve">2 - Laïla </v>
      </c>
      <c r="C9" s="24"/>
      <c r="D9" s="29"/>
      <c r="E9" s="3" t="s">
        <v>4</v>
      </c>
      <c r="F9" s="3" t="s">
        <v>4</v>
      </c>
      <c r="G9" s="3"/>
      <c r="H9" s="3"/>
      <c r="I9" s="3"/>
      <c r="J9" s="3"/>
      <c r="K9" s="29"/>
      <c r="L9" s="3"/>
      <c r="M9" s="3"/>
      <c r="N9" s="3"/>
      <c r="O9" s="3"/>
      <c r="P9" s="3"/>
      <c r="Q9" s="3"/>
      <c r="R9" s="29"/>
      <c r="S9" s="3"/>
      <c r="T9" s="3"/>
      <c r="U9" s="3"/>
      <c r="V9" s="3"/>
      <c r="W9" s="3"/>
      <c r="X9" s="3"/>
      <c r="Y9" s="29"/>
      <c r="Z9" s="3"/>
      <c r="AA9" s="3"/>
      <c r="AB9" s="3"/>
      <c r="AC9" s="3"/>
      <c r="AD9" s="3"/>
      <c r="AE9" s="3"/>
      <c r="AF9" s="29"/>
      <c r="AG9" s="3"/>
      <c r="AH9" s="9">
        <f>COUNTA(Janvier!$D9:$AG9)</f>
        <v>2</v>
      </c>
    </row>
    <row r="10" spans="1:34" ht="30" customHeight="1" x14ac:dyDescent="0.25">
      <c r="B10" s="20" t="str">
        <f>'Noms des employés'!B6</f>
        <v>3 - Jean-Claude</v>
      </c>
      <c r="C10" s="24"/>
      <c r="D10" s="29"/>
      <c r="E10" s="3"/>
      <c r="F10" s="3"/>
      <c r="G10" s="3"/>
      <c r="H10" s="3"/>
      <c r="I10" s="3"/>
      <c r="J10" s="3"/>
      <c r="K10" s="29"/>
      <c r="L10" s="3"/>
      <c r="M10" s="3"/>
      <c r="N10" s="3"/>
      <c r="O10" s="3"/>
      <c r="P10" s="3"/>
      <c r="Q10" s="3"/>
      <c r="R10" s="29"/>
      <c r="S10" s="3"/>
      <c r="T10" s="3"/>
      <c r="U10" s="3"/>
      <c r="V10" s="3"/>
      <c r="W10" s="3"/>
      <c r="X10" s="3"/>
      <c r="Y10" s="29"/>
      <c r="Z10" s="3"/>
      <c r="AA10" s="3"/>
      <c r="AB10" s="3"/>
      <c r="AC10" s="3"/>
      <c r="AD10" s="3"/>
      <c r="AE10" s="3"/>
      <c r="AF10" s="29"/>
      <c r="AG10" s="3"/>
      <c r="AH10" s="9">
        <f>COUNTA(Janvier!$D10:$AG10)</f>
        <v>0</v>
      </c>
    </row>
    <row r="11" spans="1:34" ht="30" hidden="1" customHeight="1" x14ac:dyDescent="0.25">
      <c r="B11" s="20">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COUNTA(Janvier!$D11:$AG11)</f>
        <v>0</v>
      </c>
    </row>
    <row r="12" spans="1:34" ht="30" hidden="1" customHeight="1" x14ac:dyDescent="0.25">
      <c r="B12" s="20">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COUNTA(Janvier!$D12:$AG12)</f>
        <v>0</v>
      </c>
    </row>
    <row r="13" spans="1:34" ht="30" customHeight="1" x14ac:dyDescent="0.25">
      <c r="B13" s="22" t="str">
        <f>NomMois&amp;" Total"</f>
        <v>Janvier Total</v>
      </c>
      <c r="C13" s="23">
        <f>SUBTOTAL(103,Janvier!$C$8:$C$12)</f>
        <v>0</v>
      </c>
      <c r="D13" s="23">
        <f>SUBTOTAL(103,Janvier!$D$8:$D$12)</f>
        <v>0</v>
      </c>
      <c r="E13" s="23">
        <f>SUBTOTAL(103,Janvier!$E$8:$E$12)</f>
        <v>1</v>
      </c>
      <c r="F13" s="23">
        <f>SUBTOTAL(103,Janvier!$F$8:$F$12)</f>
        <v>1</v>
      </c>
      <c r="G13" s="23">
        <f>SUBTOTAL(103,Janvier!$G$8:$G$12)</f>
        <v>0</v>
      </c>
      <c r="H13" s="23">
        <f>SUBTOTAL(103,Janvier!$H$8:$H$12)</f>
        <v>0</v>
      </c>
      <c r="I13" s="23">
        <f>SUBTOTAL(103,Janvier!$I$8:$I$12)</f>
        <v>0</v>
      </c>
      <c r="J13" s="23">
        <f>SUBTOTAL(103,Janvier!$J$8:$J$12)</f>
        <v>0</v>
      </c>
      <c r="K13" s="23">
        <f>SUBTOTAL(103,Janvier!$K$8:$K$12)</f>
        <v>0</v>
      </c>
      <c r="L13" s="23">
        <f>SUBTOTAL(103,Janvier!$L$8:$L$12)</f>
        <v>0</v>
      </c>
      <c r="M13" s="23">
        <f>SUBTOTAL(103,Janvier!$M$8:$M$12)</f>
        <v>0</v>
      </c>
      <c r="N13" s="23">
        <f>SUBTOTAL(103,Janvier!$N$8:$N$12)</f>
        <v>0</v>
      </c>
      <c r="O13" s="23">
        <f>SUBTOTAL(103,Janvier!$O$8:$O$12)</f>
        <v>0</v>
      </c>
      <c r="P13" s="23">
        <f>SUBTOTAL(103,Janvier!$P$8:$P$12)</f>
        <v>0</v>
      </c>
      <c r="Q13" s="23">
        <f>SUBTOTAL(103,Janvier!$Q$8:$Q$12)</f>
        <v>0</v>
      </c>
      <c r="R13" s="23">
        <f>SUBTOTAL(103,Janvier!$R$8:$R$12)</f>
        <v>0</v>
      </c>
      <c r="S13" s="23">
        <f>SUBTOTAL(103,Janvier!$S$8:$S$12)</f>
        <v>0</v>
      </c>
      <c r="T13" s="23">
        <f>SUBTOTAL(103,Janvier!$T$8:$T$12)</f>
        <v>0</v>
      </c>
      <c r="U13" s="23">
        <f>SUBTOTAL(103,Janvier!$U$8:$U$12)</f>
        <v>0</v>
      </c>
      <c r="V13" s="23">
        <f>SUBTOTAL(103,Janvier!$V$8:$V$12)</f>
        <v>0</v>
      </c>
      <c r="W13" s="23">
        <f>SUBTOTAL(103,Janvier!$W$8:$W$12)</f>
        <v>0</v>
      </c>
      <c r="X13" s="23">
        <f>SUBTOTAL(103,Janvier!$X$8:$X$12)</f>
        <v>0</v>
      </c>
      <c r="Y13" s="23">
        <f>SUBTOTAL(103,Janvier!$Y$8:$Y$12)</f>
        <v>0</v>
      </c>
      <c r="Z13" s="23">
        <f>SUBTOTAL(103,Janvier!$Z$8:$Z$12)</f>
        <v>0</v>
      </c>
      <c r="AA13" s="23">
        <f>SUBTOTAL(103,Janvier!$AA$8:$AA$12)</f>
        <v>0</v>
      </c>
      <c r="AB13" s="23">
        <f>SUBTOTAL(103,Janvier!$AB$8:$AB$12)</f>
        <v>0</v>
      </c>
      <c r="AC13" s="23">
        <f>SUBTOTAL(103,Janvier!$AC$8:$AC$12)</f>
        <v>0</v>
      </c>
      <c r="AD13" s="23">
        <f>SUBTOTAL(103,Janvier!$AD$8:$AD$12)</f>
        <v>0</v>
      </c>
      <c r="AE13" s="23">
        <f>SUBTOTAL(103,Janvier!$AE$8:$AE$12)</f>
        <v>0</v>
      </c>
      <c r="AF13" s="23">
        <f>SUBTOTAL(103,Janvier!$AF$8:$AF$12)</f>
        <v>0</v>
      </c>
      <c r="AG13" s="23">
        <f>SUBTOTAL(103,Janvier!$AG$8:$AG$12)</f>
        <v>0</v>
      </c>
      <c r="AH13" s="23">
        <f>SUBTOTAL(109,Janvier[Total des jours])</f>
        <v>2</v>
      </c>
    </row>
  </sheetData>
  <mergeCells count="6">
    <mergeCell ref="C5:AG5"/>
    <mergeCell ref="D3:E3"/>
    <mergeCell ref="G3:I3"/>
    <mergeCell ref="K3:L3"/>
    <mergeCell ref="N3:Q3"/>
    <mergeCell ref="S3:V3"/>
  </mergeCells>
  <conditionalFormatting sqref="C8:AG12">
    <cfRule type="expression" priority="1" stopIfTrue="1">
      <formula>C8=""</formula>
    </cfRule>
    <cfRule type="expression" dxfId="1268" priority="6" stopIfTrue="1">
      <formula>C8=CléPersonnalisée2</formula>
    </cfRule>
    <cfRule type="expression" dxfId="1267" priority="7" stopIfTrue="1">
      <formula>C8=CléPersonnalisée1</formula>
    </cfRule>
    <cfRule type="expression" dxfId="1266" priority="8" stopIfTrue="1">
      <formula>C8=CléMaladie</formula>
    </cfRule>
    <cfRule type="expression" dxfId="1265" priority="9" stopIfTrue="1">
      <formula>C8=CléPersonnel</formula>
    </cfRule>
    <cfRule type="expression" dxfId="1264" priority="10" stopIfTrue="1">
      <formula>C8=CléCongé</formula>
    </cfRule>
  </conditionalFormatting>
  <conditionalFormatting sqref="AH8:AH12">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dataValidation allowBlank="1" showInputMessage="1" showErrorMessage="1" prompt="Calcule automatiquement le nombre total de jours d’absence d’un employé durant ce mois" sqref="AH7"/>
    <dataValidation allowBlank="1" showInputMessage="1" showErrorMessage="1" prompt="Le titre de la feuille de calcul figure dans cette cellule. Si vous mettez à jour le titre, le changement est automatiquement répercuté sur chaque feuille de calcul"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M3 R3"/>
    <dataValidation allowBlank="1" showInputMessage="1" showErrorMessage="1" prompt="Entrez une étiquette pour décrire la clé personnalisée à gauche" sqref="N3 S3"/>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2"/>
    <dataValidation allowBlank="1" showInputMessage="1" showErrorMessage="1" prompt="Entrez l’année dans la cellule ci-dessous" sqref="AH4"/>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H13"/>
  <sheetViews>
    <sheetView showGridLines="0" zoomScaleNormal="100" workbookViewId="0">
      <selection activeCell="N19" sqref="N1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c r="N3" s="39" t="s">
        <v>23</v>
      </c>
      <c r="O3" s="39"/>
      <c r="P3" s="39"/>
      <c r="Q3" s="39"/>
      <c r="R3" s="8"/>
      <c r="S3" s="40"/>
      <c r="T3" s="39"/>
      <c r="U3" s="39"/>
      <c r="V3" s="39"/>
    </row>
    <row r="4" spans="2:34" ht="15" customHeight="1" x14ac:dyDescent="0.25">
      <c r="B4"/>
    </row>
    <row r="5" spans="2:34" ht="30" customHeight="1" x14ac:dyDescent="0.25">
      <c r="B5" s="11" t="s">
        <v>46</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TEXT(WEEKDAY(DATE(AnnéeCalendrier,2,1),1),"jjj")</f>
        <v>mar</v>
      </c>
      <c r="D6" s="2" t="str">
        <f>TEXT(WEEKDAY(DATE(AnnéeCalendrier,2,2),1),"jjj")</f>
        <v>mer</v>
      </c>
      <c r="E6" s="2" t="str">
        <f>TEXT(WEEKDAY(DATE(AnnéeCalendrier,2,3),1),"jjj")</f>
        <v>jeu</v>
      </c>
      <c r="F6" s="2" t="str">
        <f>TEXT(WEEKDAY(DATE(AnnéeCalendrier,2,4),1),"jjj")</f>
        <v>ven</v>
      </c>
      <c r="G6" s="2" t="str">
        <f>TEXT(WEEKDAY(DATE(AnnéeCalendrier,2,5),1),"jjj")</f>
        <v>sam</v>
      </c>
      <c r="H6" s="2" t="str">
        <f>TEXT(WEEKDAY(DATE(AnnéeCalendrier,2,6),1),"jjj")</f>
        <v>dim</v>
      </c>
      <c r="I6" s="2" t="str">
        <f>TEXT(WEEKDAY(DATE(AnnéeCalendrier,2,7),1),"jjj")</f>
        <v>lun</v>
      </c>
      <c r="J6" s="2" t="str">
        <f>TEXT(WEEKDAY(DATE(AnnéeCalendrier,2,8),1),"jjj")</f>
        <v>mar</v>
      </c>
      <c r="K6" s="2" t="str">
        <f>TEXT(WEEKDAY(DATE(AnnéeCalendrier,2,9),1),"jjj")</f>
        <v>mer</v>
      </c>
      <c r="L6" s="2" t="str">
        <f>TEXT(WEEKDAY(DATE(AnnéeCalendrier,2,10),1),"jjj")</f>
        <v>jeu</v>
      </c>
      <c r="M6" s="2" t="str">
        <f>TEXT(WEEKDAY(DATE(AnnéeCalendrier,2,11),1),"jjj")</f>
        <v>ven</v>
      </c>
      <c r="N6" s="2" t="str">
        <f>TEXT(WEEKDAY(DATE(AnnéeCalendrier,2,12),1),"jjj")</f>
        <v>sam</v>
      </c>
      <c r="O6" s="2" t="str">
        <f>TEXT(WEEKDAY(DATE(AnnéeCalendrier,2,13),1),"jjj")</f>
        <v>dim</v>
      </c>
      <c r="P6" s="2" t="str">
        <f>TEXT(WEEKDAY(DATE(AnnéeCalendrier,2,14),1),"jjj")</f>
        <v>lun</v>
      </c>
      <c r="Q6" s="2" t="str">
        <f>TEXT(WEEKDAY(DATE(AnnéeCalendrier,2,15),1),"jjj")</f>
        <v>mar</v>
      </c>
      <c r="R6" s="2" t="str">
        <f>TEXT(WEEKDAY(DATE(AnnéeCalendrier,2,16),1),"jjj")</f>
        <v>mer</v>
      </c>
      <c r="S6" s="2" t="str">
        <f>TEXT(WEEKDAY(DATE(AnnéeCalendrier,2,17),1),"jjj")</f>
        <v>jeu</v>
      </c>
      <c r="T6" s="2" t="str">
        <f>TEXT(WEEKDAY(DATE(AnnéeCalendrier,2,18),1),"jjj")</f>
        <v>ven</v>
      </c>
      <c r="U6" s="2" t="str">
        <f>TEXT(WEEKDAY(DATE(AnnéeCalendrier,2,19),1),"jjj")</f>
        <v>sam</v>
      </c>
      <c r="V6" s="2" t="str">
        <f>TEXT(WEEKDAY(DATE(AnnéeCalendrier,2,20),1),"jjj")</f>
        <v>dim</v>
      </c>
      <c r="W6" s="2" t="str">
        <f>TEXT(WEEKDAY(DATE(AnnéeCalendrier,2,21),1),"jjj")</f>
        <v>lun</v>
      </c>
      <c r="X6" s="2" t="str">
        <f>TEXT(WEEKDAY(DATE(AnnéeCalendrier,2,22),1),"jjj")</f>
        <v>mar</v>
      </c>
      <c r="Y6" s="2" t="str">
        <f>TEXT(WEEKDAY(DATE(AnnéeCalendrier,2,23),1),"jjj")</f>
        <v>mer</v>
      </c>
      <c r="Z6" s="2" t="str">
        <f>TEXT(WEEKDAY(DATE(AnnéeCalendrier,2,24),1),"jjj")</f>
        <v>jeu</v>
      </c>
      <c r="AA6" s="2" t="str">
        <f>TEXT(WEEKDAY(DATE(AnnéeCalendrier,2,25),1),"jjj")</f>
        <v>ven</v>
      </c>
      <c r="AB6" s="2" t="str">
        <f>TEXT(WEEKDAY(DATE(AnnéeCalendrier,2,26),1),"jjj")</f>
        <v>sam</v>
      </c>
      <c r="AC6" s="2" t="str">
        <f>TEXT(WEEKDAY(DATE(AnnéeCalendrier,2,27),1),"jjj")</f>
        <v>dim</v>
      </c>
      <c r="AD6" s="2" t="str">
        <f>TEXT(WEEKDAY(DATE(AnnéeCalendrier,2,28),1),"jjj")</f>
        <v>lun</v>
      </c>
      <c r="AE6" s="2" t="str">
        <f>TEXT(WEEKDAY(DATE(AnnéeCalendrier,2,29),1),"jjj")</f>
        <v>mar</v>
      </c>
      <c r="AF6" s="2"/>
      <c r="AG6" s="2"/>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47</v>
      </c>
      <c r="AG7" s="3" t="s">
        <v>48</v>
      </c>
      <c r="AH7" s="14" t="s">
        <v>45</v>
      </c>
    </row>
    <row r="8" spans="2:34" ht="30" customHeight="1" x14ac:dyDescent="0.25">
      <c r="B8" s="15" t="str">
        <f>'Noms des employés'!B4</f>
        <v>1 - Carole</v>
      </c>
      <c r="C8" s="3"/>
      <c r="D8" s="3"/>
      <c r="E8" s="3"/>
      <c r="F8" s="3" t="s">
        <v>4</v>
      </c>
      <c r="G8" s="3" t="s">
        <v>4</v>
      </c>
      <c r="H8" s="29"/>
      <c r="I8" s="3"/>
      <c r="J8" s="3"/>
      <c r="K8" s="3"/>
      <c r="L8" s="3"/>
      <c r="M8" s="3"/>
      <c r="N8" s="3"/>
      <c r="O8" s="29"/>
      <c r="P8" s="3"/>
      <c r="Q8" s="3"/>
      <c r="R8" s="3"/>
      <c r="S8" s="3"/>
      <c r="T8" s="3"/>
      <c r="U8" s="3"/>
      <c r="V8" s="29"/>
      <c r="W8" s="3"/>
      <c r="X8" s="3"/>
      <c r="Y8" s="3"/>
      <c r="Z8" s="3"/>
      <c r="AA8" s="3"/>
      <c r="AB8" s="3"/>
      <c r="AC8" s="29"/>
      <c r="AD8" s="3"/>
      <c r="AE8" s="3"/>
      <c r="AF8" s="3"/>
      <c r="AG8" s="3"/>
      <c r="AH8" s="9">
        <f>COUNTA(Février[[#This Row],[1]:[29]])</f>
        <v>2</v>
      </c>
    </row>
    <row r="9" spans="2:34" ht="30" customHeight="1" x14ac:dyDescent="0.25">
      <c r="B9" s="15" t="str">
        <f>'Noms des employés'!B5</f>
        <v xml:space="preserve">2 - Laïla </v>
      </c>
      <c r="C9" s="3"/>
      <c r="D9" s="3"/>
      <c r="E9" s="3"/>
      <c r="F9" s="3" t="s">
        <v>12</v>
      </c>
      <c r="G9" s="3" t="s">
        <v>12</v>
      </c>
      <c r="H9" s="29"/>
      <c r="I9" s="3" t="s">
        <v>12</v>
      </c>
      <c r="J9" s="3" t="s">
        <v>12</v>
      </c>
      <c r="K9" s="3" t="s">
        <v>12</v>
      </c>
      <c r="L9" s="3" t="s">
        <v>12</v>
      </c>
      <c r="M9" s="3" t="s">
        <v>12</v>
      </c>
      <c r="N9" s="3" t="s">
        <v>12</v>
      </c>
      <c r="O9" s="29"/>
      <c r="P9" s="3" t="s">
        <v>12</v>
      </c>
      <c r="Q9" s="3" t="s">
        <v>12</v>
      </c>
      <c r="R9" s="3" t="s">
        <v>12</v>
      </c>
      <c r="S9" s="3" t="s">
        <v>12</v>
      </c>
      <c r="T9" s="3" t="s">
        <v>12</v>
      </c>
      <c r="U9" s="3" t="s">
        <v>12</v>
      </c>
      <c r="V9" s="29"/>
      <c r="W9" s="3" t="s">
        <v>12</v>
      </c>
      <c r="X9" s="3" t="s">
        <v>12</v>
      </c>
      <c r="Y9" s="3" t="s">
        <v>12</v>
      </c>
      <c r="Z9" s="3" t="s">
        <v>12</v>
      </c>
      <c r="AA9" s="3" t="s">
        <v>12</v>
      </c>
      <c r="AB9" s="3" t="s">
        <v>12</v>
      </c>
      <c r="AC9" s="29"/>
      <c r="AD9" s="3" t="s">
        <v>12</v>
      </c>
      <c r="AE9" s="3"/>
      <c r="AF9" s="3"/>
      <c r="AG9" s="3"/>
      <c r="AH9" s="9">
        <f>COUNTA(Février[[#This Row],[1]:[29]])</f>
        <v>21</v>
      </c>
    </row>
    <row r="10" spans="2:34" ht="30" customHeight="1" x14ac:dyDescent="0.25">
      <c r="B10" s="15" t="str">
        <f>'Noms des employés'!B6</f>
        <v>3 - Jean-Claude</v>
      </c>
      <c r="C10" s="3"/>
      <c r="D10" s="3"/>
      <c r="E10" s="3"/>
      <c r="F10" s="3"/>
      <c r="G10" s="3"/>
      <c r="H10" s="29"/>
      <c r="I10" s="3"/>
      <c r="J10" s="3"/>
      <c r="K10" s="3"/>
      <c r="L10" s="3"/>
      <c r="M10" s="3"/>
      <c r="N10" s="3"/>
      <c r="O10" s="29"/>
      <c r="P10" s="3"/>
      <c r="Q10" s="3"/>
      <c r="R10" s="3"/>
      <c r="S10" s="3"/>
      <c r="T10" s="3"/>
      <c r="U10" s="3"/>
      <c r="V10" s="29"/>
      <c r="W10" s="3"/>
      <c r="X10" s="3"/>
      <c r="Y10" s="3"/>
      <c r="Z10" s="3"/>
      <c r="AA10" s="3"/>
      <c r="AB10" s="3"/>
      <c r="AC10" s="29"/>
      <c r="AD10" s="3"/>
      <c r="AE10" s="3"/>
      <c r="AF10" s="3"/>
      <c r="AG10" s="3"/>
      <c r="AH10" s="9">
        <f>COUNTA(Février[[#This Row],[1]:[29]])</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COUNTA(Février[[#This Row],[1]:[29]])</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COUNTA(Février[[#This Row],[1]:[29]])</f>
        <v>0</v>
      </c>
    </row>
    <row r="13" spans="2:34" ht="30" customHeight="1" x14ac:dyDescent="0.25">
      <c r="B13" s="31" t="str">
        <f>NomMois&amp;" Total"</f>
        <v>Février Total</v>
      </c>
      <c r="C13" s="32">
        <f>SUBTOTAL(103,Février[1])</f>
        <v>0</v>
      </c>
      <c r="D13" s="32">
        <f>SUBTOTAL(103,Février[2])</f>
        <v>0</v>
      </c>
      <c r="E13" s="32">
        <f>SUBTOTAL(103,Février[3])</f>
        <v>0</v>
      </c>
      <c r="F13" s="32">
        <f>SUBTOTAL(103,Février[4])</f>
        <v>2</v>
      </c>
      <c r="G13" s="32">
        <f>SUBTOTAL(103,Février[5])</f>
        <v>2</v>
      </c>
      <c r="H13" s="32">
        <f>SUBTOTAL(103,Février[6])</f>
        <v>0</v>
      </c>
      <c r="I13" s="32">
        <f>SUBTOTAL(103,Février[7])</f>
        <v>1</v>
      </c>
      <c r="J13" s="32">
        <f>SUBTOTAL(103,Février[8])</f>
        <v>1</v>
      </c>
      <c r="K13" s="32">
        <f>SUBTOTAL(103,Février[9])</f>
        <v>1</v>
      </c>
      <c r="L13" s="32">
        <f>SUBTOTAL(103,Février[10])</f>
        <v>1</v>
      </c>
      <c r="M13" s="32">
        <f>SUBTOTAL(103,Février[11])</f>
        <v>1</v>
      </c>
      <c r="N13" s="32">
        <f>SUBTOTAL(103,Février[12])</f>
        <v>1</v>
      </c>
      <c r="O13" s="32">
        <f>SUBTOTAL(103,Février[13])</f>
        <v>0</v>
      </c>
      <c r="P13" s="32">
        <f>SUBTOTAL(103,Février[14])</f>
        <v>1</v>
      </c>
      <c r="Q13" s="32">
        <f>SUBTOTAL(103,Février[15])</f>
        <v>1</v>
      </c>
      <c r="R13" s="32">
        <f>SUBTOTAL(103,Février[16])</f>
        <v>1</v>
      </c>
      <c r="S13" s="32">
        <f>SUBTOTAL(103,Février[17])</f>
        <v>1</v>
      </c>
      <c r="T13" s="32">
        <f>SUBTOTAL(103,Février[18])</f>
        <v>1</v>
      </c>
      <c r="U13" s="32">
        <f>SUBTOTAL(103,Février[19])</f>
        <v>1</v>
      </c>
      <c r="V13" s="32">
        <f>SUBTOTAL(103,Février[20])</f>
        <v>0</v>
      </c>
      <c r="W13" s="32">
        <f>SUBTOTAL(103,Février[21])</f>
        <v>1</v>
      </c>
      <c r="X13" s="32">
        <f>SUBTOTAL(103,Février[22])</f>
        <v>1</v>
      </c>
      <c r="Y13" s="32">
        <f>SUBTOTAL(103,Février[23])</f>
        <v>1</v>
      </c>
      <c r="Z13" s="32">
        <f>SUBTOTAL(103,Février[24])</f>
        <v>1</v>
      </c>
      <c r="AA13" s="32">
        <f>SUBTOTAL(103,Février[25])</f>
        <v>1</v>
      </c>
      <c r="AB13" s="32">
        <f>SUBTOTAL(103,Février[26])</f>
        <v>1</v>
      </c>
      <c r="AC13" s="32">
        <f>SUBTOTAL(103,Février[27])</f>
        <v>0</v>
      </c>
      <c r="AD13" s="32">
        <f>SUBTOTAL(103,Février[28])</f>
        <v>1</v>
      </c>
      <c r="AE13" s="32">
        <f>SUBTOTAL(103,Février[29])</f>
        <v>0</v>
      </c>
      <c r="AF13" s="32"/>
      <c r="AG13" s="32"/>
      <c r="AH13" s="32">
        <f>SUBTOTAL(109,Février[Total des jours])</f>
        <v>23</v>
      </c>
    </row>
  </sheetData>
  <mergeCells count="6">
    <mergeCell ref="C5:AG5"/>
    <mergeCell ref="D3:E3"/>
    <mergeCell ref="G3:I3"/>
    <mergeCell ref="K3:L3"/>
    <mergeCell ref="N3:Q3"/>
    <mergeCell ref="S3:V3"/>
  </mergeCells>
  <conditionalFormatting sqref="AE7">
    <cfRule type="expression" dxfId="1228" priority="16">
      <formula>MONTH(DATE(AnnéeCalendrier,2,29))&lt;&gt;2</formula>
    </cfRule>
  </conditionalFormatting>
  <conditionalFormatting sqref="AE6">
    <cfRule type="expression" dxfId="1227" priority="15">
      <formula>MONTH(DATE(AnnéeCalendrier,2,29))&lt;&gt;2</formula>
    </cfRule>
  </conditionalFormatting>
  <conditionalFormatting sqref="C8:AG12">
    <cfRule type="expression" priority="2" stopIfTrue="1">
      <formula>C8=""</formula>
    </cfRule>
    <cfRule type="expression" dxfId="1226" priority="3" stopIfTrue="1">
      <formula>C8=CléPersonnalisée2</formula>
    </cfRule>
  </conditionalFormatting>
  <conditionalFormatting sqref="C8:AG12">
    <cfRule type="expression" dxfId="1225" priority="5" stopIfTrue="1">
      <formula>C8=CléPersonnalisée1</formula>
    </cfRule>
    <cfRule type="expression" dxfId="1224" priority="6" stopIfTrue="1">
      <formula>C8=CléMaladie</formula>
    </cfRule>
    <cfRule type="expression" dxfId="1223" priority="7" stopIfTrue="1">
      <formula>C8=CléPersonnel</formula>
    </cfRule>
    <cfRule type="expression" dxfId="1222" priority="8" stopIfTrue="1">
      <formula>C8=CléCongé</formula>
    </cfRule>
  </conditionalFormatting>
  <conditionalFormatting sqref="AH8:AH12">
    <cfRule type="dataBar" priority="153">
      <dataBar>
        <cfvo type="min"/>
        <cfvo type="formula" val="DATEDIF(DATE(CalendarYear,2,1),DATE(CalendarYea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5"/>
    <dataValidation allowBlank="1" showInputMessage="1" showErrorMessage="1" prompt="Suivez les absences du mois de février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employés'!$B$4:$B$8</xm:f>
          </x14:formula1>
          <xm:sqref>B8:B12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3"/>
  <sheetViews>
    <sheetView showGridLines="0" zoomScaleNormal="100" workbookViewId="0">
      <selection activeCell="Z17" sqref="Z17"/>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t="s">
        <v>61</v>
      </c>
      <c r="N3" s="40" t="s">
        <v>62</v>
      </c>
      <c r="O3" s="39"/>
      <c r="P3" s="39"/>
      <c r="Q3" s="39"/>
      <c r="R3" s="8"/>
      <c r="S3" s="39" t="s">
        <v>28</v>
      </c>
      <c r="T3" s="39"/>
      <c r="U3" s="39"/>
      <c r="V3" s="39"/>
    </row>
    <row r="4" spans="2:34" ht="15" customHeight="1" x14ac:dyDescent="0.25">
      <c r="B4" s="12"/>
    </row>
    <row r="5" spans="2:34" ht="30" customHeight="1" x14ac:dyDescent="0.25">
      <c r="B5" s="11" t="s">
        <v>49</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TEXT(WEEKDAY(DATE(AnnéeCalendrier,3,1),1),"jjj")</f>
        <v>mar</v>
      </c>
      <c r="D6" s="2" t="str">
        <f>TEXT(WEEKDAY(DATE(AnnéeCalendrier,3,2),1),"jjj")</f>
        <v>mer</v>
      </c>
      <c r="E6" s="2" t="str">
        <f>TEXT(WEEKDAY(DATE(AnnéeCalendrier,3,3),1),"jjj")</f>
        <v>jeu</v>
      </c>
      <c r="F6" s="2" t="str">
        <f>TEXT(WEEKDAY(DATE(AnnéeCalendrier,3,4),1),"jjj")</f>
        <v>ven</v>
      </c>
      <c r="G6" s="2" t="str">
        <f>TEXT(WEEKDAY(DATE(AnnéeCalendrier,3,5),1),"jjj")</f>
        <v>sam</v>
      </c>
      <c r="H6" s="2" t="str">
        <f>TEXT(WEEKDAY(DATE(AnnéeCalendrier,3,6),1),"jjj")</f>
        <v>dim</v>
      </c>
      <c r="I6" s="2" t="str">
        <f>TEXT(WEEKDAY(DATE(AnnéeCalendrier,3,7),1),"jjj")</f>
        <v>lun</v>
      </c>
      <c r="J6" s="2" t="str">
        <f>TEXT(WEEKDAY(DATE(AnnéeCalendrier,3,8),1),"jjj")</f>
        <v>mar</v>
      </c>
      <c r="K6" s="2" t="str">
        <f>TEXT(WEEKDAY(DATE(AnnéeCalendrier,3,9),1),"jjj")</f>
        <v>mer</v>
      </c>
      <c r="L6" s="2" t="str">
        <f>TEXT(WEEKDAY(DATE(AnnéeCalendrier,3,10),1),"jjj")</f>
        <v>jeu</v>
      </c>
      <c r="M6" s="2" t="str">
        <f>TEXT(WEEKDAY(DATE(AnnéeCalendrier,3,11),1),"jjj")</f>
        <v>ven</v>
      </c>
      <c r="N6" s="2" t="str">
        <f>TEXT(WEEKDAY(DATE(AnnéeCalendrier,3,12),1),"jjj")</f>
        <v>sam</v>
      </c>
      <c r="O6" s="2" t="str">
        <f>TEXT(WEEKDAY(DATE(AnnéeCalendrier,3,13),1),"jjj")</f>
        <v>dim</v>
      </c>
      <c r="P6" s="2" t="str">
        <f>TEXT(WEEKDAY(DATE(AnnéeCalendrier,3,14),1),"jjj")</f>
        <v>lun</v>
      </c>
      <c r="Q6" s="2" t="str">
        <f>TEXT(WEEKDAY(DATE(AnnéeCalendrier,3,15),1),"jjj")</f>
        <v>mar</v>
      </c>
      <c r="R6" s="2" t="str">
        <f>TEXT(WEEKDAY(DATE(AnnéeCalendrier,3,16),1),"jjj")</f>
        <v>mer</v>
      </c>
      <c r="S6" s="2" t="str">
        <f>TEXT(WEEKDAY(DATE(AnnéeCalendrier,3,17),1),"jjj")</f>
        <v>jeu</v>
      </c>
      <c r="T6" s="2" t="str">
        <f>TEXT(WEEKDAY(DATE(AnnéeCalendrier,3,18),1),"jjj")</f>
        <v>ven</v>
      </c>
      <c r="U6" s="2" t="str">
        <f>TEXT(WEEKDAY(DATE(AnnéeCalendrier,3,19),1),"jjj")</f>
        <v>sam</v>
      </c>
      <c r="V6" s="2" t="str">
        <f>TEXT(WEEKDAY(DATE(AnnéeCalendrier,3,20),1),"jjj")</f>
        <v>dim</v>
      </c>
      <c r="W6" s="2" t="str">
        <f>TEXT(WEEKDAY(DATE(AnnéeCalendrier,3,21),1),"jjj")</f>
        <v>lun</v>
      </c>
      <c r="X6" s="2" t="str">
        <f>TEXT(WEEKDAY(DATE(AnnéeCalendrier,3,22),1),"jjj")</f>
        <v>mar</v>
      </c>
      <c r="Y6" s="2" t="str">
        <f>TEXT(WEEKDAY(DATE(AnnéeCalendrier,3,23),1),"jjj")</f>
        <v>mer</v>
      </c>
      <c r="Z6" s="2" t="str">
        <f>TEXT(WEEKDAY(DATE(AnnéeCalendrier,3,24),1),"jjj")</f>
        <v>jeu</v>
      </c>
      <c r="AA6" s="2" t="str">
        <f>TEXT(WEEKDAY(DATE(AnnéeCalendrier,3,25),1),"jjj")</f>
        <v>ven</v>
      </c>
      <c r="AB6" s="2" t="str">
        <f>TEXT(WEEKDAY(DATE(AnnéeCalendrier,3,26),1),"jjj")</f>
        <v>sam</v>
      </c>
      <c r="AC6" s="2" t="str">
        <f>TEXT(WEEKDAY(DATE(AnnéeCalendrier,3,27),1),"jjj")</f>
        <v>dim</v>
      </c>
      <c r="AD6" s="2" t="str">
        <f>TEXT(WEEKDAY(DATE(AnnéeCalendrier,3,28),1),"jjj")</f>
        <v>lun</v>
      </c>
      <c r="AE6" s="2" t="str">
        <f>TEXT(WEEKDAY(DATE(AnnéeCalendrier,3,29),1),"jjj")</f>
        <v>mar</v>
      </c>
      <c r="AF6" s="2" t="str">
        <f>TEXT(WEEKDAY(DATE(AnnéeCalendrier,3,30),1),"jjj")</f>
        <v>mer</v>
      </c>
      <c r="AG6" s="2" t="str">
        <f>TEXT(WEEKDAY(DATE(AnnéeCalendrier,3,31),1),"jjj")</f>
        <v>jeu</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3"/>
      <c r="F8" s="3"/>
      <c r="G8" s="3"/>
      <c r="H8" s="29"/>
      <c r="I8" s="3"/>
      <c r="J8" s="3"/>
      <c r="K8" s="3"/>
      <c r="L8" s="3"/>
      <c r="M8" s="3"/>
      <c r="N8" s="3"/>
      <c r="O8" s="29"/>
      <c r="P8" s="3"/>
      <c r="Q8" s="3"/>
      <c r="R8" s="3"/>
      <c r="S8" s="3"/>
      <c r="T8" s="3"/>
      <c r="U8" s="3"/>
      <c r="V8" s="29"/>
      <c r="W8" s="3"/>
      <c r="X8" s="3"/>
      <c r="Y8" s="3"/>
      <c r="Z8" s="3"/>
      <c r="AA8" s="3"/>
      <c r="AB8" s="3"/>
      <c r="AC8" s="29"/>
      <c r="AD8" s="3"/>
      <c r="AE8" s="3"/>
      <c r="AF8" s="3"/>
      <c r="AG8" s="3"/>
      <c r="AH8" s="9">
        <f>COUNTA(Mars[[#This Row],[1]:[31]])</f>
        <v>0</v>
      </c>
    </row>
    <row r="9" spans="2:34" ht="30" customHeight="1" x14ac:dyDescent="0.25">
      <c r="B9" s="15" t="str">
        <f>'Noms des employés'!B5</f>
        <v xml:space="preserve">2 - Laïla </v>
      </c>
      <c r="C9" s="3" t="s">
        <v>12</v>
      </c>
      <c r="D9" s="3" t="s">
        <v>12</v>
      </c>
      <c r="E9" s="3" t="s">
        <v>12</v>
      </c>
      <c r="F9" s="3" t="s">
        <v>12</v>
      </c>
      <c r="G9" s="3" t="s">
        <v>12</v>
      </c>
      <c r="H9" s="29"/>
      <c r="I9" s="3" t="s">
        <v>12</v>
      </c>
      <c r="J9" s="3" t="s">
        <v>12</v>
      </c>
      <c r="K9" s="3" t="s">
        <v>12</v>
      </c>
      <c r="L9" s="3" t="s">
        <v>12</v>
      </c>
      <c r="M9" s="3" t="s">
        <v>12</v>
      </c>
      <c r="N9" s="3" t="s">
        <v>12</v>
      </c>
      <c r="O9" s="29"/>
      <c r="P9" s="3" t="s">
        <v>12</v>
      </c>
      <c r="Q9" s="3" t="s">
        <v>12</v>
      </c>
      <c r="R9" s="3" t="s">
        <v>12</v>
      </c>
      <c r="S9" s="3" t="s">
        <v>12</v>
      </c>
      <c r="T9" s="3" t="s">
        <v>12</v>
      </c>
      <c r="U9" s="3" t="s">
        <v>12</v>
      </c>
      <c r="V9" s="29"/>
      <c r="W9" s="3" t="s">
        <v>12</v>
      </c>
      <c r="X9" s="3" t="s">
        <v>12</v>
      </c>
      <c r="Y9" s="3" t="s">
        <v>12</v>
      </c>
      <c r="Z9" s="3" t="s">
        <v>12</v>
      </c>
      <c r="AA9" s="3" t="s">
        <v>12</v>
      </c>
      <c r="AB9" s="3" t="s">
        <v>12</v>
      </c>
      <c r="AC9" s="29"/>
      <c r="AD9" s="3" t="s">
        <v>12</v>
      </c>
      <c r="AE9" s="3" t="s">
        <v>12</v>
      </c>
      <c r="AF9" s="3" t="s">
        <v>12</v>
      </c>
      <c r="AG9" s="3" t="s">
        <v>12</v>
      </c>
      <c r="AH9" s="9">
        <f>COUNTA(Mars[[#This Row],[1]:[31]])</f>
        <v>27</v>
      </c>
    </row>
    <row r="10" spans="2:34" ht="30" customHeight="1" x14ac:dyDescent="0.25">
      <c r="B10" s="15" t="str">
        <f>'Noms des employés'!B6</f>
        <v>3 - Jean-Claude</v>
      </c>
      <c r="C10" s="3"/>
      <c r="D10" s="3"/>
      <c r="E10" s="3"/>
      <c r="F10" s="3"/>
      <c r="G10" s="3"/>
      <c r="H10" s="29"/>
      <c r="I10" s="3"/>
      <c r="J10" s="3"/>
      <c r="K10" s="3"/>
      <c r="L10" s="3"/>
      <c r="M10" s="3"/>
      <c r="N10" s="3"/>
      <c r="O10" s="29"/>
      <c r="P10" s="3"/>
      <c r="Q10" s="3"/>
      <c r="R10" s="3"/>
      <c r="S10" s="3"/>
      <c r="T10" s="3"/>
      <c r="U10" s="3"/>
      <c r="V10" s="29"/>
      <c r="W10" s="3"/>
      <c r="X10" s="3"/>
      <c r="Y10" s="3"/>
      <c r="Z10" s="3"/>
      <c r="AA10" s="3"/>
      <c r="AB10" s="3"/>
      <c r="AC10" s="29"/>
      <c r="AD10" s="3"/>
      <c r="AE10" s="3"/>
      <c r="AF10" s="3"/>
      <c r="AG10" s="3"/>
      <c r="AH10" s="9">
        <f>COUNTA(Mars[[#This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COUNTA(Mars[[#This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COUNTA(Mars[[#This Row],[1]:[31]])</f>
        <v>0</v>
      </c>
    </row>
    <row r="13" spans="2:34" ht="30" customHeight="1" x14ac:dyDescent="0.25">
      <c r="B13" s="33" t="str">
        <f>NomMois&amp;" Total"</f>
        <v>Mars Total</v>
      </c>
      <c r="C13" s="34">
        <f>SUBTOTAL(103,Mars[1])</f>
        <v>1</v>
      </c>
      <c r="D13" s="34">
        <f>SUBTOTAL(103,Mars[2])</f>
        <v>1</v>
      </c>
      <c r="E13" s="34">
        <f>SUBTOTAL(103,Mars[3])</f>
        <v>1</v>
      </c>
      <c r="F13" s="34">
        <f>SUBTOTAL(103,Mars[4])</f>
        <v>1</v>
      </c>
      <c r="G13" s="34">
        <f>SUBTOTAL(103,Mars[5])</f>
        <v>1</v>
      </c>
      <c r="H13" s="34">
        <f>SUBTOTAL(103,Mars[6])</f>
        <v>0</v>
      </c>
      <c r="I13" s="34">
        <f>SUBTOTAL(103,Mars[7])</f>
        <v>1</v>
      </c>
      <c r="J13" s="34">
        <f>SUBTOTAL(103,Mars[8])</f>
        <v>1</v>
      </c>
      <c r="K13" s="34">
        <f>SUBTOTAL(103,Mars[9])</f>
        <v>1</v>
      </c>
      <c r="L13" s="34">
        <f>SUBTOTAL(103,Mars[10])</f>
        <v>1</v>
      </c>
      <c r="M13" s="34">
        <f>SUBTOTAL(103,Mars[11])</f>
        <v>1</v>
      </c>
      <c r="N13" s="34">
        <f>SUBTOTAL(103,Mars[12])</f>
        <v>1</v>
      </c>
      <c r="O13" s="34">
        <f>SUBTOTAL(103,Mars[13])</f>
        <v>0</v>
      </c>
      <c r="P13" s="34">
        <f>SUBTOTAL(103,Mars[14])</f>
        <v>1</v>
      </c>
      <c r="Q13" s="34">
        <f>SUBTOTAL(103,Mars[15])</f>
        <v>1</v>
      </c>
      <c r="R13" s="34">
        <f>SUBTOTAL(103,Mars[16])</f>
        <v>1</v>
      </c>
      <c r="S13" s="34">
        <f>SUBTOTAL(103,Mars[17])</f>
        <v>1</v>
      </c>
      <c r="T13" s="34">
        <f>SUBTOTAL(103,Mars[18])</f>
        <v>1</v>
      </c>
      <c r="U13" s="34">
        <f>SUBTOTAL(103,Mars[19])</f>
        <v>1</v>
      </c>
      <c r="V13" s="34">
        <f>SUBTOTAL(103,Mars[20])</f>
        <v>0</v>
      </c>
      <c r="W13" s="34">
        <f>SUBTOTAL(103,Mars[21])</f>
        <v>1</v>
      </c>
      <c r="X13" s="34">
        <f>SUBTOTAL(103,Mars[22])</f>
        <v>1</v>
      </c>
      <c r="Y13" s="34">
        <f>SUBTOTAL(103,Mars[23])</f>
        <v>1</v>
      </c>
      <c r="Z13" s="34">
        <f>SUBTOTAL(103,Mars[24])</f>
        <v>1</v>
      </c>
      <c r="AA13" s="34">
        <f>SUBTOTAL(103,Mars[25])</f>
        <v>1</v>
      </c>
      <c r="AB13" s="34">
        <f>SUBTOTAL(103,Mars[26])</f>
        <v>1</v>
      </c>
      <c r="AC13" s="34">
        <f>SUBTOTAL(103,Mars[27])</f>
        <v>0</v>
      </c>
      <c r="AD13" s="34">
        <f>SUBTOTAL(103,Mars[28])</f>
        <v>1</v>
      </c>
      <c r="AE13" s="34">
        <f>SUBTOTAL(103,Mars[29])</f>
        <v>1</v>
      </c>
      <c r="AF13" s="34">
        <f>SUBTOTAL(109,Mars[30])</f>
        <v>0</v>
      </c>
      <c r="AG13" s="34">
        <f>SUBTOTAL(109,Mars[31])</f>
        <v>0</v>
      </c>
      <c r="AH13" s="34">
        <f>SUBTOTAL(109,Mars[Total des jours])</f>
        <v>27</v>
      </c>
    </row>
  </sheetData>
  <mergeCells count="6">
    <mergeCell ref="C5:AG5"/>
    <mergeCell ref="D3:E3"/>
    <mergeCell ref="G3:I3"/>
    <mergeCell ref="K3:L3"/>
    <mergeCell ref="N3:Q3"/>
    <mergeCell ref="S3:V3"/>
  </mergeCells>
  <conditionalFormatting sqref="C11:AG12 AF10:AG10 AF8:AF9 C8:AE10">
    <cfRule type="expression" priority="13" stopIfTrue="1">
      <formula>C8=""</formula>
    </cfRule>
  </conditionalFormatting>
  <conditionalFormatting sqref="C11:AG12 AF10:AG10 AF8:AF9 C8:AE10">
    <cfRule type="expression" dxfId="1152" priority="14" stopIfTrue="1">
      <formula>C8=CléPersonnalisée2</formula>
    </cfRule>
    <cfRule type="expression" dxfId="1151" priority="15" stopIfTrue="1">
      <formula>C8=CléPersonnalisée1</formula>
    </cfRule>
    <cfRule type="expression" dxfId="1150" priority="16" stopIfTrue="1">
      <formula>C8=CléMaladie</formula>
    </cfRule>
    <cfRule type="expression" dxfId="1149" priority="17" stopIfTrue="1">
      <formula>C8=CléPersonnel</formula>
    </cfRule>
    <cfRule type="expression" dxfId="1148" priority="18" stopIfTrue="1">
      <formula>C8=CléCongé</formula>
    </cfRule>
  </conditionalFormatting>
  <conditionalFormatting sqref="AH8:AH12">
    <cfRule type="dataBar" priority="19">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conditionalFormatting sqref="AG8:AG9">
    <cfRule type="expression" priority="1" stopIfTrue="1">
      <formula>AG8=""</formula>
    </cfRule>
  </conditionalFormatting>
  <conditionalFormatting sqref="AG8:AG9">
    <cfRule type="expression" dxfId="1147" priority="2" stopIfTrue="1">
      <formula>AG8=CléPersonnalisée2</formula>
    </cfRule>
    <cfRule type="expression" dxfId="1146" priority="3" stopIfTrue="1">
      <formula>AG8=CléPersonnalisée1</formula>
    </cfRule>
    <cfRule type="expression" dxfId="1145" priority="4" stopIfTrue="1">
      <formula>AG8=CléMaladie</formula>
    </cfRule>
    <cfRule type="expression" dxfId="1144" priority="5" stopIfTrue="1">
      <formula>AG8=CléPersonnel</formula>
    </cfRule>
    <cfRule type="expression" dxfId="1143" priority="6" stopIfTrue="1">
      <formula>AG8=CléCongé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mars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3"/>
  <sheetViews>
    <sheetView showGridLines="0" zoomScaleNormal="100" workbookViewId="0">
      <selection activeCell="L21" sqref="L2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t="s">
        <v>65</v>
      </c>
      <c r="N3" s="40" t="s">
        <v>66</v>
      </c>
      <c r="O3" s="39"/>
      <c r="P3" s="39"/>
      <c r="Q3" s="39"/>
      <c r="R3" s="26"/>
      <c r="S3" s="40" t="s">
        <v>60</v>
      </c>
      <c r="T3" s="39"/>
      <c r="U3" s="39"/>
      <c r="V3" s="39"/>
    </row>
    <row r="4" spans="2:34" ht="15" customHeight="1" x14ac:dyDescent="0.25">
      <c r="B4" s="12"/>
    </row>
    <row r="5" spans="2:34" ht="30" customHeight="1" x14ac:dyDescent="0.25">
      <c r="B5" s="11" t="s">
        <v>50</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TEXT(WEEKDAY(DATE(AnnéeCalendrier,4,1),1),"jjj")</f>
        <v>ven</v>
      </c>
      <c r="D6" s="2" t="str">
        <f>TEXT(WEEKDAY(DATE(AnnéeCalendrier,4,2),1),"jjj")</f>
        <v>sam</v>
      </c>
      <c r="E6" s="2" t="str">
        <f>TEXT(WEEKDAY(DATE(AnnéeCalendrier,4,3),1),"jjj")</f>
        <v>dim</v>
      </c>
      <c r="F6" s="2" t="str">
        <f>TEXT(WEEKDAY(DATE(AnnéeCalendrier,4,4),1),"jjj")</f>
        <v>lun</v>
      </c>
      <c r="G6" s="2" t="str">
        <f>TEXT(WEEKDAY(DATE(AnnéeCalendrier,4,5),1),"jjj")</f>
        <v>mar</v>
      </c>
      <c r="H6" s="2" t="str">
        <f>TEXT(WEEKDAY(DATE(AnnéeCalendrier,4,6),1),"jjj")</f>
        <v>mer</v>
      </c>
      <c r="I6" s="2" t="str">
        <f>TEXT(WEEKDAY(DATE(AnnéeCalendrier,4,7),1),"jjj")</f>
        <v>jeu</v>
      </c>
      <c r="J6" s="2" t="str">
        <f>TEXT(WEEKDAY(DATE(AnnéeCalendrier,4,8),1),"jjj")</f>
        <v>ven</v>
      </c>
      <c r="K6" s="2" t="str">
        <f>TEXT(WEEKDAY(DATE(AnnéeCalendrier,4,9),1),"jjj")</f>
        <v>sam</v>
      </c>
      <c r="L6" s="2" t="str">
        <f>TEXT(WEEKDAY(DATE(AnnéeCalendrier,4,10),1),"jjj")</f>
        <v>dim</v>
      </c>
      <c r="M6" s="2" t="str">
        <f>TEXT(WEEKDAY(DATE(AnnéeCalendrier,4,11),1),"jjj")</f>
        <v>lun</v>
      </c>
      <c r="N6" s="2" t="str">
        <f>TEXT(WEEKDAY(DATE(AnnéeCalendrier,4,12),1),"jjj")</f>
        <v>mar</v>
      </c>
      <c r="O6" s="2" t="str">
        <f>TEXT(WEEKDAY(DATE(AnnéeCalendrier,4,13),1),"jjj")</f>
        <v>mer</v>
      </c>
      <c r="P6" s="2" t="str">
        <f>TEXT(WEEKDAY(DATE(AnnéeCalendrier,4,14),1),"jjj")</f>
        <v>jeu</v>
      </c>
      <c r="Q6" s="2" t="str">
        <f>TEXT(WEEKDAY(DATE(AnnéeCalendrier,4,15),1),"jjj")</f>
        <v>ven</v>
      </c>
      <c r="R6" s="2" t="str">
        <f>TEXT(WEEKDAY(DATE(AnnéeCalendrier,4,16),1),"jjj")</f>
        <v>sam</v>
      </c>
      <c r="S6" s="2" t="str">
        <f>TEXT(WEEKDAY(DATE(AnnéeCalendrier,4,17),1),"jjj")</f>
        <v>dim</v>
      </c>
      <c r="T6" s="2" t="str">
        <f>TEXT(WEEKDAY(DATE(AnnéeCalendrier,4,18),1),"jjj")</f>
        <v>lun</v>
      </c>
      <c r="U6" s="2" t="str">
        <f>TEXT(WEEKDAY(DATE(AnnéeCalendrier,4,19),1),"jjj")</f>
        <v>mar</v>
      </c>
      <c r="V6" s="2" t="str">
        <f>TEXT(WEEKDAY(DATE(AnnéeCalendrier,4,20),1),"jjj")</f>
        <v>mer</v>
      </c>
      <c r="W6" s="2" t="str">
        <f>TEXT(WEEKDAY(DATE(AnnéeCalendrier,4,21),1),"jjj")</f>
        <v>jeu</v>
      </c>
      <c r="X6" s="2" t="str">
        <f>TEXT(WEEKDAY(DATE(AnnéeCalendrier,4,22),1),"jjj")</f>
        <v>ven</v>
      </c>
      <c r="Y6" s="2" t="str">
        <f>TEXT(WEEKDAY(DATE(AnnéeCalendrier,4,23),1),"jjj")</f>
        <v>sam</v>
      </c>
      <c r="Z6" s="2" t="str">
        <f>TEXT(WEEKDAY(DATE(AnnéeCalendrier,4,24),1),"jjj")</f>
        <v>dim</v>
      </c>
      <c r="AA6" s="2" t="str">
        <f>TEXT(WEEKDAY(DATE(AnnéeCalendrier,4,25),1),"jjj")</f>
        <v>lun</v>
      </c>
      <c r="AB6" s="2" t="str">
        <f>TEXT(WEEKDAY(DATE(AnnéeCalendrier,4,26),1),"jjj")</f>
        <v>mar</v>
      </c>
      <c r="AC6" s="2" t="str">
        <f>TEXT(WEEKDAY(DATE(AnnéeCalendrier,4,27),1),"jjj")</f>
        <v>mer</v>
      </c>
      <c r="AD6" s="2" t="str">
        <f>TEXT(WEEKDAY(DATE(AnnéeCalendrier,4,28),1),"jjj")</f>
        <v>jeu</v>
      </c>
      <c r="AE6" s="2" t="str">
        <f>TEXT(WEEKDAY(DATE(AnnéeCalendrier,4,29),1),"jjj")</f>
        <v>ven</v>
      </c>
      <c r="AF6" s="2" t="str">
        <f>TEXT(WEEKDAY(DATE(AnnéeCalendrier,4,30),1),"jjj")</f>
        <v>sam</v>
      </c>
      <c r="AG6" s="2"/>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29"/>
      <c r="F8" s="3"/>
      <c r="G8" s="3"/>
      <c r="H8" s="3"/>
      <c r="I8" s="3"/>
      <c r="J8" s="3"/>
      <c r="K8" s="3"/>
      <c r="L8" s="29"/>
      <c r="M8" s="3"/>
      <c r="N8" s="3"/>
      <c r="O8" s="3"/>
      <c r="P8" s="3"/>
      <c r="Q8" s="3"/>
      <c r="R8" s="3"/>
      <c r="S8" s="29"/>
      <c r="T8" s="26"/>
      <c r="U8" s="3"/>
      <c r="V8" s="3"/>
      <c r="W8" s="3"/>
      <c r="X8" s="3"/>
      <c r="Y8" s="3"/>
      <c r="Z8" s="29"/>
      <c r="AA8" s="3"/>
      <c r="AB8" s="3"/>
      <c r="AC8" s="3"/>
      <c r="AD8" s="3"/>
      <c r="AE8" s="3"/>
      <c r="AF8" s="3"/>
      <c r="AG8" s="3"/>
      <c r="AH8" s="9">
        <f>COUNTA(Avril[[#This Row],[1]:[31]])</f>
        <v>0</v>
      </c>
    </row>
    <row r="9" spans="2:34" ht="30" customHeight="1" x14ac:dyDescent="0.25">
      <c r="B9" s="15" t="str">
        <f>'Noms des employés'!B5</f>
        <v xml:space="preserve">2 - Laïla </v>
      </c>
      <c r="C9" s="3" t="s">
        <v>12</v>
      </c>
      <c r="D9" s="3" t="s">
        <v>12</v>
      </c>
      <c r="E9" s="29"/>
      <c r="F9" s="3" t="s">
        <v>12</v>
      </c>
      <c r="G9" s="3" t="s">
        <v>12</v>
      </c>
      <c r="H9" s="3" t="s">
        <v>12</v>
      </c>
      <c r="I9" s="3" t="s">
        <v>12</v>
      </c>
      <c r="J9" s="3" t="s">
        <v>12</v>
      </c>
      <c r="K9" s="3" t="s">
        <v>12</v>
      </c>
      <c r="L9" s="29"/>
      <c r="M9" s="3" t="s">
        <v>12</v>
      </c>
      <c r="N9" s="3" t="s">
        <v>12</v>
      </c>
      <c r="O9" s="3" t="s">
        <v>12</v>
      </c>
      <c r="P9" s="3" t="s">
        <v>12</v>
      </c>
      <c r="Q9" s="3" t="s">
        <v>12</v>
      </c>
      <c r="R9" s="3" t="s">
        <v>12</v>
      </c>
      <c r="S9" s="29"/>
      <c r="T9" s="26"/>
      <c r="U9" s="3" t="s">
        <v>12</v>
      </c>
      <c r="V9" s="3" t="s">
        <v>12</v>
      </c>
      <c r="W9" s="3" t="s">
        <v>12</v>
      </c>
      <c r="X9" s="3" t="s">
        <v>12</v>
      </c>
      <c r="Y9" s="3" t="s">
        <v>12</v>
      </c>
      <c r="Z9" s="29"/>
      <c r="AA9" s="3" t="s">
        <v>12</v>
      </c>
      <c r="AB9" s="3" t="s">
        <v>12</v>
      </c>
      <c r="AC9" s="3" t="s">
        <v>12</v>
      </c>
      <c r="AD9" s="3" t="s">
        <v>12</v>
      </c>
      <c r="AE9" s="3" t="s">
        <v>12</v>
      </c>
      <c r="AF9" s="3" t="s">
        <v>12</v>
      </c>
      <c r="AG9" s="3"/>
      <c r="AH9" s="9">
        <f>COUNTA(Avril[[#This Row],[1]:[31]])</f>
        <v>25</v>
      </c>
    </row>
    <row r="10" spans="2:34" ht="30" customHeight="1" x14ac:dyDescent="0.25">
      <c r="B10" s="15" t="str">
        <f>'Noms des employés'!B6</f>
        <v>3 - Jean-Claude</v>
      </c>
      <c r="C10" s="3"/>
      <c r="D10" s="3"/>
      <c r="E10" s="29"/>
      <c r="F10" s="3"/>
      <c r="G10" s="3"/>
      <c r="H10" s="3"/>
      <c r="I10" s="3"/>
      <c r="J10" s="3"/>
      <c r="K10" s="3"/>
      <c r="L10" s="29"/>
      <c r="M10" s="3"/>
      <c r="N10" s="3"/>
      <c r="O10" s="3"/>
      <c r="P10" s="3"/>
      <c r="Q10" s="3"/>
      <c r="R10" s="3"/>
      <c r="S10" s="29"/>
      <c r="T10" s="26"/>
      <c r="U10" s="3"/>
      <c r="V10" s="3"/>
      <c r="W10" s="3"/>
      <c r="X10" s="3"/>
      <c r="Y10" s="3"/>
      <c r="Z10" s="29"/>
      <c r="AA10" s="3"/>
      <c r="AB10" s="3"/>
      <c r="AC10" s="3"/>
      <c r="AD10" s="3"/>
      <c r="AE10" s="3"/>
      <c r="AF10" s="3"/>
      <c r="AG10" s="3"/>
      <c r="AH10" s="9">
        <f>COUNTA(Avril[[#This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COUNTA(Avril[[#This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COUNTA(Avril[[#This Row],[1]:[31]])</f>
        <v>0</v>
      </c>
    </row>
    <row r="13" spans="2:34" ht="30" customHeight="1" x14ac:dyDescent="0.25">
      <c r="B13" s="33" t="str">
        <f>NomMois&amp;" Total"</f>
        <v>Avril Total</v>
      </c>
      <c r="C13" s="34">
        <f>SUBTOTAL(103,Avril[1])</f>
        <v>1</v>
      </c>
      <c r="D13" s="34">
        <f>SUBTOTAL(103,Avril[2])</f>
        <v>1</v>
      </c>
      <c r="E13" s="34">
        <f>SUBTOTAL(103,Avril[3])</f>
        <v>0</v>
      </c>
      <c r="F13" s="34">
        <f>SUBTOTAL(103,Avril[4])</f>
        <v>1</v>
      </c>
      <c r="G13" s="34">
        <f>SUBTOTAL(103,Avril[5])</f>
        <v>1</v>
      </c>
      <c r="H13" s="34">
        <f>SUBTOTAL(103,Avril[6])</f>
        <v>1</v>
      </c>
      <c r="I13" s="34">
        <f>SUBTOTAL(103,Avril[7])</f>
        <v>1</v>
      </c>
      <c r="J13" s="34">
        <f>SUBTOTAL(103,Avril[8])</f>
        <v>1</v>
      </c>
      <c r="K13" s="34">
        <f>SUBTOTAL(103,Avril[9])</f>
        <v>1</v>
      </c>
      <c r="L13" s="34">
        <f>SUBTOTAL(103,Avril[10])</f>
        <v>0</v>
      </c>
      <c r="M13" s="34">
        <f>SUBTOTAL(103,Avril[11])</f>
        <v>1</v>
      </c>
      <c r="N13" s="34">
        <f>SUBTOTAL(103,Avril[12])</f>
        <v>1</v>
      </c>
      <c r="O13" s="34">
        <f>SUBTOTAL(103,Avril[13])</f>
        <v>1</v>
      </c>
      <c r="P13" s="34">
        <f>SUBTOTAL(103,Avril[14])</f>
        <v>1</v>
      </c>
      <c r="Q13" s="34">
        <f>SUBTOTAL(103,Avril[15])</f>
        <v>1</v>
      </c>
      <c r="R13" s="34">
        <f>SUBTOTAL(103,Avril[16])</f>
        <v>1</v>
      </c>
      <c r="S13" s="34">
        <f>SUBTOTAL(103,Avril[17])</f>
        <v>0</v>
      </c>
      <c r="T13" s="34">
        <f>SUBTOTAL(103,Avril[18])</f>
        <v>0</v>
      </c>
      <c r="U13" s="34">
        <f>SUBTOTAL(103,Avril[19])</f>
        <v>1</v>
      </c>
      <c r="V13" s="34">
        <f>SUBTOTAL(103,Avril[20])</f>
        <v>1</v>
      </c>
      <c r="W13" s="34">
        <f>SUBTOTAL(103,Avril[21])</f>
        <v>1</v>
      </c>
      <c r="X13" s="34">
        <f>SUBTOTAL(103,Avril[22])</f>
        <v>1</v>
      </c>
      <c r="Y13" s="34">
        <f>SUBTOTAL(103,Avril[23])</f>
        <v>1</v>
      </c>
      <c r="Z13" s="34">
        <f>SUBTOTAL(103,Avril[24])</f>
        <v>0</v>
      </c>
      <c r="AA13" s="34">
        <f>SUBTOTAL(103,Avril[25])</f>
        <v>1</v>
      </c>
      <c r="AB13" s="34">
        <f>SUBTOTAL(103,Avril[26])</f>
        <v>1</v>
      </c>
      <c r="AC13" s="34">
        <f>SUBTOTAL(103,Avril[27])</f>
        <v>1</v>
      </c>
      <c r="AD13" s="34">
        <f>SUBTOTAL(103,Avril[28])</f>
        <v>1</v>
      </c>
      <c r="AE13" s="34">
        <f>SUBTOTAL(103,Avril[29])</f>
        <v>1</v>
      </c>
      <c r="AF13" s="34">
        <f>SUBTOTAL(103,Avril[30])</f>
        <v>1</v>
      </c>
      <c r="AG13" s="34">
        <f>SUBTOTAL(109,Avril[31])</f>
        <v>0</v>
      </c>
      <c r="AH13" s="34">
        <f>SUBTOTAL(109,Avril[Total des jours])</f>
        <v>25</v>
      </c>
    </row>
  </sheetData>
  <mergeCells count="6">
    <mergeCell ref="C5:AG5"/>
    <mergeCell ref="D3:E3"/>
    <mergeCell ref="G3:I3"/>
    <mergeCell ref="K3:L3"/>
    <mergeCell ref="N3:Q3"/>
    <mergeCell ref="S3:V3"/>
  </mergeCells>
  <conditionalFormatting sqref="C11:AG12">
    <cfRule type="expression" priority="61" stopIfTrue="1">
      <formula>C11=""</formula>
    </cfRule>
  </conditionalFormatting>
  <conditionalFormatting sqref="C11:AG12">
    <cfRule type="expression" dxfId="1073" priority="62" stopIfTrue="1">
      <formula>C11=CléPersonnalisée2</formula>
    </cfRule>
    <cfRule type="expression" dxfId="1072" priority="63" stopIfTrue="1">
      <formula>C11=CléPersonnalisée1</formula>
    </cfRule>
    <cfRule type="expression" dxfId="1071" priority="64" stopIfTrue="1">
      <formula>C11=CléMaladie</formula>
    </cfRule>
    <cfRule type="expression" dxfId="1070" priority="65" stopIfTrue="1">
      <formula>C11=CléPersonnel</formula>
    </cfRule>
    <cfRule type="expression" dxfId="1069" priority="66" stopIfTrue="1">
      <formula>C11=CléCongé</formula>
    </cfRule>
  </conditionalFormatting>
  <conditionalFormatting sqref="AH8:AH12">
    <cfRule type="dataBar" priority="67">
      <dataBar>
        <cfvo type="min"/>
        <cfvo type="formula" val="DATEDIF(DATE(CalendarYear,2,1),DATE(CalendarYear,3,1),&quot;d&quot;)"/>
        <color theme="2" tint="-0.249977111117893"/>
      </dataBar>
      <extLst>
        <ext xmlns:x14="http://schemas.microsoft.com/office/spreadsheetml/2009/9/main" uri="{B025F937-C7B1-47D3-B67F-A62EFF666E3E}">
          <x14:id>{0C86709F-D813-4066-A3F1-C30F11214F4B}</x14:id>
        </ext>
      </extLst>
    </cfRule>
  </conditionalFormatting>
  <conditionalFormatting sqref="R3">
    <cfRule type="expression" priority="49" stopIfTrue="1">
      <formula>R3=""</formula>
    </cfRule>
    <cfRule type="expression" dxfId="1068" priority="50" stopIfTrue="1">
      <formula>R3=CléPersonnalisée2</formula>
    </cfRule>
    <cfRule type="expression" dxfId="1067" priority="51" stopIfTrue="1">
      <formula>R3=CléPersonnalisée1</formula>
    </cfRule>
    <cfRule type="expression" dxfId="1066" priority="52" stopIfTrue="1">
      <formula>R3=CléMaladie</formula>
    </cfRule>
    <cfRule type="expression" dxfId="1065" priority="53" stopIfTrue="1">
      <formula>R3=CléPersonnel</formula>
    </cfRule>
    <cfRule type="expression" dxfId="1064" priority="54" stopIfTrue="1">
      <formula>R3=CléCongé</formula>
    </cfRule>
  </conditionalFormatting>
  <conditionalFormatting sqref="C8:S10 U8:AB8 U10:AB10 U9:Z9">
    <cfRule type="expression" priority="31" stopIfTrue="1">
      <formula>C8=""</formula>
    </cfRule>
  </conditionalFormatting>
  <conditionalFormatting sqref="C8:S10 U8:AB8 U10:AB10 U9:Z9">
    <cfRule type="expression" dxfId="1063" priority="32" stopIfTrue="1">
      <formula>C8=CléPersonnalisée2</formula>
    </cfRule>
    <cfRule type="expression" dxfId="1062" priority="33" stopIfTrue="1">
      <formula>C8=CléPersonnalisée1</formula>
    </cfRule>
    <cfRule type="expression" dxfId="1061" priority="34" stopIfTrue="1">
      <formula>C8=CléMaladie</formula>
    </cfRule>
    <cfRule type="expression" dxfId="1060" priority="35" stopIfTrue="1">
      <formula>C8=CléPersonnel</formula>
    </cfRule>
    <cfRule type="expression" dxfId="1059" priority="36" stopIfTrue="1">
      <formula>C8=CléCongé</formula>
    </cfRule>
  </conditionalFormatting>
  <conditionalFormatting sqref="AC8:AG8 AC10:AG10 AG9">
    <cfRule type="expression" priority="13" stopIfTrue="1">
      <formula>AC8=""</formula>
    </cfRule>
  </conditionalFormatting>
  <conditionalFormatting sqref="AC8:AG8 AC10:AG10 AG9">
    <cfRule type="expression" dxfId="1058" priority="14" stopIfTrue="1">
      <formula>AC8=CléPersonnalisée2</formula>
    </cfRule>
    <cfRule type="expression" dxfId="1057" priority="15" stopIfTrue="1">
      <formula>AC8=CléPersonnalisée1</formula>
    </cfRule>
    <cfRule type="expression" dxfId="1056" priority="16" stopIfTrue="1">
      <formula>AC8=CléMaladie</formula>
    </cfRule>
    <cfRule type="expression" dxfId="1055" priority="17" stopIfTrue="1">
      <formula>AC8=CléPersonnel</formula>
    </cfRule>
    <cfRule type="expression" dxfId="1054" priority="18" stopIfTrue="1">
      <formula>AC8=CléCongé</formula>
    </cfRule>
  </conditionalFormatting>
  <conditionalFormatting sqref="T8:T10">
    <cfRule type="expression" priority="7" stopIfTrue="1">
      <formula>T8=""</formula>
    </cfRule>
    <cfRule type="expression" dxfId="1053" priority="8" stopIfTrue="1">
      <formula>T8=CléPersonnalisée2</formula>
    </cfRule>
    <cfRule type="expression" dxfId="1052" priority="9" stopIfTrue="1">
      <formula>T8=CléPersonnalisée1</formula>
    </cfRule>
    <cfRule type="expression" dxfId="1051" priority="10" stopIfTrue="1">
      <formula>T8=CléMaladie</formula>
    </cfRule>
    <cfRule type="expression" dxfId="1050" priority="11" stopIfTrue="1">
      <formula>T8=CléPersonnel</formula>
    </cfRule>
    <cfRule type="expression" dxfId="1049" priority="12" stopIfTrue="1">
      <formula>T8=CléCongé</formula>
    </cfRule>
  </conditionalFormatting>
  <conditionalFormatting sqref="AA9:AF9">
    <cfRule type="expression" priority="1" stopIfTrue="1">
      <formula>AA9=""</formula>
    </cfRule>
  </conditionalFormatting>
  <conditionalFormatting sqref="AA9:AF9">
    <cfRule type="expression" dxfId="1048" priority="2" stopIfTrue="1">
      <formula>AA9=CléPersonnalisée2</formula>
    </cfRule>
    <cfRule type="expression" dxfId="1047" priority="3" stopIfTrue="1">
      <formula>AA9=CléPersonnalisée1</formula>
    </cfRule>
    <cfRule type="expression" dxfId="1046" priority="4" stopIfTrue="1">
      <formula>AA9=CléMaladie</formula>
    </cfRule>
    <cfRule type="expression" dxfId="1045" priority="5" stopIfTrue="1">
      <formula>AA9=CléPersonnel</formula>
    </cfRule>
    <cfRule type="expression" dxfId="1044" priority="6" stopIfTrue="1">
      <formula>AA9=CléCongé</formula>
    </cfRule>
  </conditionalFormatting>
  <dataValidations xWindow="406" yWindow="564" count="14">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avril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R3 M3 T8:T10"/>
    <dataValidation allowBlank="1" showInputMessage="1" showErrorMessage="1" prompt="Entrez une étiquette pour décrire la clé personnalisée à gauche" sqref="S3 N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xWindow="406" yWindow="564" count="1">
        <x14:dataValidation type="list" allowBlank="1" showInputMessage="1" showErrorMessage="1">
          <x14:formula1>
            <xm:f>'Noms des employés'!$B$4:$B$8</xm:f>
          </x14:formula1>
          <xm:sqref>B8:B12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pageSetUpPr fitToPage="1"/>
  </sheetPr>
  <dimension ref="A1:AH13"/>
  <sheetViews>
    <sheetView showGridLines="0" zoomScaleNormal="100" workbookViewId="0">
      <selection activeCell="AH16" sqref="AH16"/>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t="s">
        <v>65</v>
      </c>
      <c r="N3" s="40" t="s">
        <v>66</v>
      </c>
      <c r="O3" s="39"/>
      <c r="P3" s="39"/>
      <c r="Q3" s="39"/>
      <c r="R3" s="26"/>
      <c r="S3" s="40" t="s">
        <v>67</v>
      </c>
      <c r="T3" s="39"/>
      <c r="U3" s="39"/>
      <c r="V3" s="39"/>
    </row>
    <row r="4" spans="2:34" ht="15" customHeight="1" x14ac:dyDescent="0.25">
      <c r="B4" s="12"/>
    </row>
    <row r="5" spans="2:34" ht="30" customHeight="1" x14ac:dyDescent="0.25">
      <c r="B5" s="11" t="s">
        <v>51</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TEXT(WEEKDAY(DATE(AnnéeCalendrier,5,1),1),"jjj")</f>
        <v>dim</v>
      </c>
      <c r="D6" s="2" t="str">
        <f>TEXT(WEEKDAY(DATE(AnnéeCalendrier,5,2),1),"jjj")</f>
        <v>lun</v>
      </c>
      <c r="E6" s="2" t="str">
        <f>TEXT(WEEKDAY(DATE(AnnéeCalendrier,5,3),1),"jjj")</f>
        <v>mar</v>
      </c>
      <c r="F6" s="2" t="str">
        <f>TEXT(WEEKDAY(DATE(AnnéeCalendrier,5,4),1),"jjj")</f>
        <v>mer</v>
      </c>
      <c r="G6" s="2" t="str">
        <f>TEXT(WEEKDAY(DATE(AnnéeCalendrier,5,5),1),"jjj")</f>
        <v>jeu</v>
      </c>
      <c r="H6" s="2" t="str">
        <f>TEXT(WEEKDAY(DATE(AnnéeCalendrier,5,6),1),"jjj")</f>
        <v>ven</v>
      </c>
      <c r="I6" s="2" t="str">
        <f>TEXT(WEEKDAY(DATE(AnnéeCalendrier,5,7),1),"jjj")</f>
        <v>sam</v>
      </c>
      <c r="J6" s="2" t="str">
        <f>TEXT(WEEKDAY(DATE(AnnéeCalendrier,5,8),1),"jjj")</f>
        <v>dim</v>
      </c>
      <c r="K6" s="2" t="str">
        <f>TEXT(WEEKDAY(DATE(AnnéeCalendrier,5,9),1),"jjj")</f>
        <v>lun</v>
      </c>
      <c r="L6" s="2" t="str">
        <f>TEXT(WEEKDAY(DATE(AnnéeCalendrier,5,10),1),"jjj")</f>
        <v>mar</v>
      </c>
      <c r="M6" s="2" t="str">
        <f>TEXT(WEEKDAY(DATE(AnnéeCalendrier,5,11),1),"jjj")</f>
        <v>mer</v>
      </c>
      <c r="N6" s="2" t="str">
        <f>TEXT(WEEKDAY(DATE(AnnéeCalendrier,5,12),1),"jjj")</f>
        <v>jeu</v>
      </c>
      <c r="O6" s="2" t="str">
        <f>TEXT(WEEKDAY(DATE(AnnéeCalendrier,5,13),1),"jjj")</f>
        <v>ven</v>
      </c>
      <c r="P6" s="2" t="str">
        <f>TEXT(WEEKDAY(DATE(AnnéeCalendrier,5,14),1),"jjj")</f>
        <v>sam</v>
      </c>
      <c r="Q6" s="2" t="str">
        <f>TEXT(WEEKDAY(DATE(AnnéeCalendrier,5,15),1),"jjj")</f>
        <v>dim</v>
      </c>
      <c r="R6" s="2" t="str">
        <f>TEXT(WEEKDAY(DATE(AnnéeCalendrier,5,16),1),"jjj")</f>
        <v>lun</v>
      </c>
      <c r="S6" s="2" t="str">
        <f>TEXT(WEEKDAY(DATE(AnnéeCalendrier,5,17),1),"jjj")</f>
        <v>mar</v>
      </c>
      <c r="T6" s="2" t="str">
        <f>TEXT(WEEKDAY(DATE(AnnéeCalendrier,5,18),1),"jjj")</f>
        <v>mer</v>
      </c>
      <c r="U6" s="2" t="str">
        <f>TEXT(WEEKDAY(DATE(AnnéeCalendrier,5,19),1),"jjj")</f>
        <v>jeu</v>
      </c>
      <c r="V6" s="2" t="str">
        <f>TEXT(WEEKDAY(DATE(AnnéeCalendrier,5,20),1),"jjj")</f>
        <v>ven</v>
      </c>
      <c r="W6" s="2" t="str">
        <f>TEXT(WEEKDAY(DATE(AnnéeCalendrier,5,21),1),"jjj")</f>
        <v>sam</v>
      </c>
      <c r="X6" s="2" t="str">
        <f>TEXT(WEEKDAY(DATE(AnnéeCalendrier,5,22),1),"jjj")</f>
        <v>dim</v>
      </c>
      <c r="Y6" s="2" t="str">
        <f>TEXT(WEEKDAY(DATE(AnnéeCalendrier,5,23),1),"jjj")</f>
        <v>lun</v>
      </c>
      <c r="Z6" s="2" t="str">
        <f>TEXT(WEEKDAY(DATE(AnnéeCalendrier,5,24),1),"jjj")</f>
        <v>mar</v>
      </c>
      <c r="AA6" s="2" t="str">
        <f>TEXT(WEEKDAY(DATE(AnnéeCalendrier,5,25),1),"jjj")</f>
        <v>mer</v>
      </c>
      <c r="AB6" s="2" t="str">
        <f>TEXT(WEEKDAY(DATE(AnnéeCalendrier,5,26),1),"jjj")</f>
        <v>jeu</v>
      </c>
      <c r="AC6" s="2" t="str">
        <f>TEXT(WEEKDAY(DATE(AnnéeCalendrier,5,27),1),"jjj")</f>
        <v>ven</v>
      </c>
      <c r="AD6" s="2" t="str">
        <f>TEXT(WEEKDAY(DATE(AnnéeCalendrier,5,28),1),"jjj")</f>
        <v>sam</v>
      </c>
      <c r="AE6" s="2" t="str">
        <f>TEXT(WEEKDAY(DATE(AnnéeCalendrier,5,29),1),"jjj")</f>
        <v>dim</v>
      </c>
      <c r="AF6" s="2" t="str">
        <f>TEXT(WEEKDAY(DATE(AnnéeCalendrier,5,30),1),"jjj")</f>
        <v>lun</v>
      </c>
      <c r="AG6" s="2" t="str">
        <f>TEXT(WEEKDAY(DATE(AnnéeCalendrier,5,31),1),"jjj")</f>
        <v>mar</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29"/>
      <c r="D8" s="3"/>
      <c r="E8" s="3"/>
      <c r="F8" s="3"/>
      <c r="G8" s="3"/>
      <c r="H8" s="3"/>
      <c r="I8" s="3"/>
      <c r="J8" s="29"/>
      <c r="K8" s="3"/>
      <c r="L8" s="3"/>
      <c r="M8" s="3"/>
      <c r="N8" s="3"/>
      <c r="O8" s="3"/>
      <c r="P8" s="3"/>
      <c r="Q8" s="29"/>
      <c r="R8" s="3"/>
      <c r="S8" s="3"/>
      <c r="T8" s="3"/>
      <c r="U8" s="3"/>
      <c r="V8" s="3"/>
      <c r="W8" s="3"/>
      <c r="X8" s="29"/>
      <c r="Y8" s="3"/>
      <c r="Z8" s="3"/>
      <c r="AA8" s="3"/>
      <c r="AB8" s="26"/>
      <c r="AC8" s="3" t="s">
        <v>4</v>
      </c>
      <c r="AD8" s="3" t="s">
        <v>4</v>
      </c>
      <c r="AE8" s="29"/>
      <c r="AF8" s="3"/>
      <c r="AG8" s="3"/>
      <c r="AH8" s="9">
        <f>COUNTA(Mai[[#This Row],[1]:[31]])</f>
        <v>2</v>
      </c>
    </row>
    <row r="9" spans="2:34" ht="30" customHeight="1" x14ac:dyDescent="0.25">
      <c r="B9" s="15" t="str">
        <f>'Noms des employés'!B5</f>
        <v xml:space="preserve">2 - Laïla </v>
      </c>
      <c r="C9" s="29"/>
      <c r="D9" s="3" t="s">
        <v>12</v>
      </c>
      <c r="E9" s="3" t="s">
        <v>12</v>
      </c>
      <c r="F9" s="3" t="s">
        <v>12</v>
      </c>
      <c r="G9" s="3" t="s">
        <v>12</v>
      </c>
      <c r="H9" s="3" t="s">
        <v>12</v>
      </c>
      <c r="I9" s="3" t="s">
        <v>12</v>
      </c>
      <c r="J9" s="29"/>
      <c r="K9" s="3" t="s">
        <v>12</v>
      </c>
      <c r="L9" s="3" t="s">
        <v>12</v>
      </c>
      <c r="M9" s="3" t="s">
        <v>12</v>
      </c>
      <c r="N9" s="3" t="s">
        <v>12</v>
      </c>
      <c r="O9" s="3" t="s">
        <v>12</v>
      </c>
      <c r="P9" s="3" t="s">
        <v>12</v>
      </c>
      <c r="Q9" s="29"/>
      <c r="R9" s="3" t="s">
        <v>12</v>
      </c>
      <c r="S9" s="3" t="s">
        <v>12</v>
      </c>
      <c r="T9" s="3" t="s">
        <v>12</v>
      </c>
      <c r="U9" s="3" t="s">
        <v>12</v>
      </c>
      <c r="V9" s="3" t="s">
        <v>12</v>
      </c>
      <c r="W9" s="3" t="s">
        <v>12</v>
      </c>
      <c r="X9" s="29"/>
      <c r="Y9" s="3" t="s">
        <v>12</v>
      </c>
      <c r="Z9" s="3" t="s">
        <v>12</v>
      </c>
      <c r="AA9" s="3" t="s">
        <v>12</v>
      </c>
      <c r="AB9" s="26"/>
      <c r="AC9" s="3" t="s">
        <v>12</v>
      </c>
      <c r="AD9" s="3" t="s">
        <v>12</v>
      </c>
      <c r="AE9" s="29"/>
      <c r="AF9" s="3" t="s">
        <v>12</v>
      </c>
      <c r="AG9" s="3" t="s">
        <v>12</v>
      </c>
      <c r="AH9" s="9">
        <f>COUNTA(Mai[[#This Row],[1]:[31]])</f>
        <v>25</v>
      </c>
    </row>
    <row r="10" spans="2:34" ht="30" customHeight="1" x14ac:dyDescent="0.25">
      <c r="B10" s="15" t="str">
        <f>'Noms des employés'!B6</f>
        <v>3 - Jean-Claude</v>
      </c>
      <c r="C10" s="29"/>
      <c r="D10" s="3"/>
      <c r="E10" s="3"/>
      <c r="F10" s="3"/>
      <c r="G10" s="3"/>
      <c r="H10" s="3"/>
      <c r="I10" s="3"/>
      <c r="J10" s="29"/>
      <c r="K10" s="3"/>
      <c r="L10" s="3"/>
      <c r="M10" s="3"/>
      <c r="N10" s="3"/>
      <c r="O10" s="3"/>
      <c r="P10" s="3"/>
      <c r="Q10" s="29"/>
      <c r="R10" s="3"/>
      <c r="S10" s="3"/>
      <c r="T10" s="3"/>
      <c r="U10" s="3"/>
      <c r="V10" s="3"/>
      <c r="W10" s="3"/>
      <c r="X10" s="29"/>
      <c r="Y10" s="3"/>
      <c r="Z10" s="3"/>
      <c r="AA10" s="3"/>
      <c r="AB10" s="26"/>
      <c r="AC10" s="3"/>
      <c r="AD10" s="3"/>
      <c r="AE10" s="29"/>
      <c r="AF10" s="3"/>
      <c r="AG10" s="3"/>
      <c r="AH10" s="9">
        <f>COUNTA(Mai[[#This Row],[1]:[31]])</f>
        <v>0</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COUNTA(Mai[[#This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COUNTA(Mai[[#This Row],[1]:[31]])</f>
        <v>0</v>
      </c>
    </row>
    <row r="13" spans="2:34" ht="30" customHeight="1" x14ac:dyDescent="0.25">
      <c r="B13" s="35" t="str">
        <f>NomMois&amp;" Total"</f>
        <v>Mai Total</v>
      </c>
      <c r="C13" s="36">
        <f>SUBTOTAL(103,Mai[1])</f>
        <v>0</v>
      </c>
      <c r="D13" s="36">
        <f>SUBTOTAL(103,Mai[2])</f>
        <v>1</v>
      </c>
      <c r="E13" s="36">
        <f>SUBTOTAL(103,Mai[3])</f>
        <v>1</v>
      </c>
      <c r="F13" s="36">
        <f>SUBTOTAL(103,Mai[4])</f>
        <v>1</v>
      </c>
      <c r="G13" s="36">
        <f>SUBTOTAL(103,Mai[5])</f>
        <v>1</v>
      </c>
      <c r="H13" s="36">
        <f>SUBTOTAL(103,Mai[6])</f>
        <v>1</v>
      </c>
      <c r="I13" s="36">
        <f>SUBTOTAL(103,Mai[7])</f>
        <v>1</v>
      </c>
      <c r="J13" s="36">
        <f>SUBTOTAL(103,Mai[8])</f>
        <v>0</v>
      </c>
      <c r="K13" s="36">
        <f>SUBTOTAL(103,Mai[9])</f>
        <v>1</v>
      </c>
      <c r="L13" s="36">
        <f>SUBTOTAL(103,Mai[10])</f>
        <v>1</v>
      </c>
      <c r="M13" s="36">
        <f>SUBTOTAL(103,Mai[11])</f>
        <v>1</v>
      </c>
      <c r="N13" s="36">
        <f>SUBTOTAL(103,Mai[12])</f>
        <v>1</v>
      </c>
      <c r="O13" s="36">
        <f>SUBTOTAL(103,Mai[13])</f>
        <v>1</v>
      </c>
      <c r="P13" s="36">
        <f>SUBTOTAL(103,Mai[14])</f>
        <v>1</v>
      </c>
      <c r="Q13" s="36">
        <f>SUBTOTAL(103,Mai[15])</f>
        <v>0</v>
      </c>
      <c r="R13" s="36">
        <f>SUBTOTAL(103,Mai[16])</f>
        <v>1</v>
      </c>
      <c r="S13" s="36">
        <f>SUBTOTAL(103,Mai[17])</f>
        <v>1</v>
      </c>
      <c r="T13" s="36">
        <f>SUBTOTAL(103,Mai[18])</f>
        <v>1</v>
      </c>
      <c r="U13" s="36">
        <f>SUBTOTAL(103,Mai[19])</f>
        <v>1</v>
      </c>
      <c r="V13" s="36">
        <f>SUBTOTAL(103,Mai[20])</f>
        <v>1</v>
      </c>
      <c r="W13" s="36">
        <f>SUBTOTAL(103,Mai[21])</f>
        <v>1</v>
      </c>
      <c r="X13" s="36">
        <f>SUBTOTAL(103,Mai[22])</f>
        <v>0</v>
      </c>
      <c r="Y13" s="36">
        <f>SUBTOTAL(103,Mai[23])</f>
        <v>1</v>
      </c>
      <c r="Z13" s="36">
        <f>SUBTOTAL(103,Mai[24])</f>
        <v>1</v>
      </c>
      <c r="AA13" s="36">
        <f>SUBTOTAL(103,Mai[25])</f>
        <v>1</v>
      </c>
      <c r="AB13" s="36">
        <f>SUBTOTAL(103,Mai[26])</f>
        <v>0</v>
      </c>
      <c r="AC13" s="36">
        <f>SUBTOTAL(103,Mai[27])</f>
        <v>2</v>
      </c>
      <c r="AD13" s="36">
        <f>SUBTOTAL(103,Mai[28])</f>
        <v>2</v>
      </c>
      <c r="AE13" s="36">
        <f>SUBTOTAL(103,Mai[29])</f>
        <v>0</v>
      </c>
      <c r="AF13" s="36">
        <f>SUBTOTAL(103,Mai[30])</f>
        <v>1</v>
      </c>
      <c r="AG13" s="36">
        <f>SUBTOTAL(103,Mai[31])</f>
        <v>1</v>
      </c>
      <c r="AH13" s="36">
        <f>SUBTOTAL(109,Mai[Total des jours])</f>
        <v>27</v>
      </c>
    </row>
  </sheetData>
  <mergeCells count="6">
    <mergeCell ref="C5:AG5"/>
    <mergeCell ref="D3:E3"/>
    <mergeCell ref="G3:I3"/>
    <mergeCell ref="K3:L3"/>
    <mergeCell ref="N3:Q3"/>
    <mergeCell ref="S3:V3"/>
  </mergeCells>
  <conditionalFormatting sqref="C11:AG12">
    <cfRule type="expression" priority="91" stopIfTrue="1">
      <formula>C11=""</formula>
    </cfRule>
  </conditionalFormatting>
  <conditionalFormatting sqref="C11:AG12">
    <cfRule type="expression" dxfId="974" priority="92" stopIfTrue="1">
      <formula>C11=CléPersonnalisée2</formula>
    </cfRule>
    <cfRule type="expression" dxfId="973" priority="93" stopIfTrue="1">
      <formula>C11=CléPersonnalisée1</formula>
    </cfRule>
    <cfRule type="expression" dxfId="972" priority="94" stopIfTrue="1">
      <formula>C11=CléMaladie</formula>
    </cfRule>
    <cfRule type="expression" dxfId="971" priority="95" stopIfTrue="1">
      <formula>C11=CléPersonnel</formula>
    </cfRule>
    <cfRule type="expression" dxfId="970" priority="96" stopIfTrue="1">
      <formula>C11=CléCongé</formula>
    </cfRule>
  </conditionalFormatting>
  <conditionalFormatting sqref="AH8:AH12">
    <cfRule type="dataBar" priority="97">
      <dataBar>
        <cfvo type="min"/>
        <cfvo type="formula" val="DATEDIF(DATE(CalendarYear,2,1),DATE(CalendarYear,3,1),&quot;d&quot;)"/>
        <color theme="2" tint="-0.249977111117893"/>
      </dataBar>
      <extLst>
        <ext xmlns:x14="http://schemas.microsoft.com/office/spreadsheetml/2009/9/main" uri="{B025F937-C7B1-47D3-B67F-A62EFF666E3E}">
          <x14:id>{5670947F-8B3C-4A6C-A280-4F5E10811DCE}</x14:id>
        </ext>
      </extLst>
    </cfRule>
  </conditionalFormatting>
  <conditionalFormatting sqref="C8:AA8 C10:AA10 C9 J9 Q9 X9:AA9 AC8:AG10">
    <cfRule type="expression" priority="43" stopIfTrue="1">
      <formula>C8=""</formula>
    </cfRule>
  </conditionalFormatting>
  <conditionalFormatting sqref="C8:AA8 C10:AA10 C9 J9 Q9 X9:AA9 AC8:AG10">
    <cfRule type="expression" dxfId="969" priority="44" stopIfTrue="1">
      <formula>C8=CléPersonnalisée2</formula>
    </cfRule>
    <cfRule type="expression" dxfId="968" priority="45" stopIfTrue="1">
      <formula>C8=CléPersonnalisée1</formula>
    </cfRule>
    <cfRule type="expression" dxfId="967" priority="46" stopIfTrue="1">
      <formula>C8=CléMaladie</formula>
    </cfRule>
    <cfRule type="expression" dxfId="966" priority="47" stopIfTrue="1">
      <formula>C8=CléPersonnel</formula>
    </cfRule>
    <cfRule type="expression" dxfId="965" priority="48" stopIfTrue="1">
      <formula>C8=CléCongé</formula>
    </cfRule>
  </conditionalFormatting>
  <conditionalFormatting sqref="R3">
    <cfRule type="expression" priority="25" stopIfTrue="1">
      <formula>R3=""</formula>
    </cfRule>
    <cfRule type="expression" dxfId="964" priority="26" stopIfTrue="1">
      <formula>R3=CléPersonnalisée2</formula>
    </cfRule>
    <cfRule type="expression" dxfId="963" priority="27" stopIfTrue="1">
      <formula>R3=CléPersonnalisée1</formula>
    </cfRule>
    <cfRule type="expression" dxfId="962" priority="28" stopIfTrue="1">
      <formula>R3=CléMaladie</formula>
    </cfRule>
    <cfRule type="expression" dxfId="961" priority="29" stopIfTrue="1">
      <formula>R3=CléPersonnel</formula>
    </cfRule>
    <cfRule type="expression" dxfId="960" priority="30" stopIfTrue="1">
      <formula>R3=CléCongé</formula>
    </cfRule>
  </conditionalFormatting>
  <conditionalFormatting sqref="AB8:AB10">
    <cfRule type="expression" priority="19" stopIfTrue="1">
      <formula>AB8=""</formula>
    </cfRule>
    <cfRule type="expression" dxfId="959" priority="20" stopIfTrue="1">
      <formula>AB8=CléPersonnalisée2</formula>
    </cfRule>
    <cfRule type="expression" dxfId="958" priority="21" stopIfTrue="1">
      <formula>AB8=CléPersonnalisée1</formula>
    </cfRule>
    <cfRule type="expression" dxfId="957" priority="22" stopIfTrue="1">
      <formula>AB8=CléMaladie</formula>
    </cfRule>
    <cfRule type="expression" dxfId="956" priority="23" stopIfTrue="1">
      <formula>AB8=CléPersonnel</formula>
    </cfRule>
    <cfRule type="expression" dxfId="955" priority="24" stopIfTrue="1">
      <formula>AB8=CléCongé</formula>
    </cfRule>
  </conditionalFormatting>
  <conditionalFormatting sqref="D9:I9">
    <cfRule type="expression" priority="13" stopIfTrue="1">
      <formula>D9=""</formula>
    </cfRule>
  </conditionalFormatting>
  <conditionalFormatting sqref="D9:I9">
    <cfRule type="expression" dxfId="954" priority="14" stopIfTrue="1">
      <formula>D9=CléPersonnalisée2</formula>
    </cfRule>
    <cfRule type="expression" dxfId="953" priority="15" stopIfTrue="1">
      <formula>D9=CléPersonnalisée1</formula>
    </cfRule>
    <cfRule type="expression" dxfId="952" priority="16" stopIfTrue="1">
      <formula>D9=CléMaladie</formula>
    </cfRule>
    <cfRule type="expression" dxfId="951" priority="17" stopIfTrue="1">
      <formula>D9=CléPersonnel</formula>
    </cfRule>
    <cfRule type="expression" dxfId="950" priority="18" stopIfTrue="1">
      <formula>D9=CléCongé</formula>
    </cfRule>
  </conditionalFormatting>
  <conditionalFormatting sqref="K9:P9">
    <cfRule type="expression" priority="7" stopIfTrue="1">
      <formula>K9=""</formula>
    </cfRule>
  </conditionalFormatting>
  <conditionalFormatting sqref="K9:P9">
    <cfRule type="expression" dxfId="949" priority="8" stopIfTrue="1">
      <formula>K9=CléPersonnalisée2</formula>
    </cfRule>
    <cfRule type="expression" dxfId="948" priority="9" stopIfTrue="1">
      <formula>K9=CléPersonnalisée1</formula>
    </cfRule>
    <cfRule type="expression" dxfId="947" priority="10" stopIfTrue="1">
      <formula>K9=CléMaladie</formula>
    </cfRule>
    <cfRule type="expression" dxfId="946" priority="11" stopIfTrue="1">
      <formula>K9=CléPersonnel</formula>
    </cfRule>
    <cfRule type="expression" dxfId="945" priority="12" stopIfTrue="1">
      <formula>K9=CléCongé</formula>
    </cfRule>
  </conditionalFormatting>
  <conditionalFormatting sqref="R9:W9">
    <cfRule type="expression" priority="1" stopIfTrue="1">
      <formula>R9=""</formula>
    </cfRule>
  </conditionalFormatting>
  <conditionalFormatting sqref="R9:W9">
    <cfRule type="expression" dxfId="944" priority="2" stopIfTrue="1">
      <formula>R9=CléPersonnalisée2</formula>
    </cfRule>
    <cfRule type="expression" dxfId="943" priority="3" stopIfTrue="1">
      <formula>R9=CléPersonnalisée1</formula>
    </cfRule>
    <cfRule type="expression" dxfId="942" priority="4" stopIfTrue="1">
      <formula>R9=CléMaladie</formula>
    </cfRule>
    <cfRule type="expression" dxfId="941" priority="5" stopIfTrue="1">
      <formula>R9=CléPersonnel</formula>
    </cfRule>
    <cfRule type="expression" dxfId="940" priority="6" stopIfTrue="1">
      <formula>R9=CléCongé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S3 N3"/>
    <dataValidation allowBlank="1" showInputMessage="1" showErrorMessage="1" prompt="Entrez une lettre et personnalisez l’étiquette à droite pour ajouter un élément de clé" sqref="M3 R3 AB8:AB10"/>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mai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42" bottom="0.75" header="0.18"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pageSetUpPr fitToPage="1"/>
  </sheetPr>
  <dimension ref="A1:AJ13"/>
  <sheetViews>
    <sheetView showGridLines="0" zoomScaleNormal="100" workbookViewId="0">
      <selection activeCell="T18" sqref="T1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6" ht="86.25" customHeight="1" x14ac:dyDescent="0.25"/>
    <row r="2" spans="2:36" ht="50.1" customHeight="1" x14ac:dyDescent="0.25">
      <c r="B2" s="12" t="str">
        <f>Titre_Absence_Employé</f>
        <v>Calendrier des absences des employés</v>
      </c>
    </row>
    <row r="3" spans="2:36" ht="15" customHeight="1" x14ac:dyDescent="0.25">
      <c r="B3" s="17" t="s">
        <v>1</v>
      </c>
      <c r="C3" s="4" t="s">
        <v>4</v>
      </c>
      <c r="D3" s="39" t="s">
        <v>7</v>
      </c>
      <c r="E3" s="39"/>
      <c r="F3" s="5" t="s">
        <v>10</v>
      </c>
      <c r="G3" s="39" t="s">
        <v>14</v>
      </c>
      <c r="H3" s="39"/>
      <c r="I3" s="39"/>
      <c r="J3" s="6" t="s">
        <v>12</v>
      </c>
      <c r="K3" s="39" t="s">
        <v>19</v>
      </c>
      <c r="L3" s="39"/>
      <c r="M3" s="7" t="s">
        <v>61</v>
      </c>
      <c r="N3" s="40" t="s">
        <v>62</v>
      </c>
      <c r="O3" s="39"/>
      <c r="P3" s="39"/>
      <c r="Q3" s="39"/>
      <c r="R3" s="8"/>
      <c r="S3" s="39" t="s">
        <v>28</v>
      </c>
      <c r="T3" s="39"/>
      <c r="U3" s="39"/>
      <c r="V3" s="39"/>
    </row>
    <row r="4" spans="2:36" ht="15" customHeight="1" x14ac:dyDescent="0.25">
      <c r="B4" s="12"/>
    </row>
    <row r="5" spans="2:36" ht="30" customHeight="1" x14ac:dyDescent="0.25">
      <c r="B5" s="11" t="s">
        <v>52</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6" ht="15" customHeight="1" x14ac:dyDescent="0.25">
      <c r="B6" s="11"/>
      <c r="C6" s="2" t="str">
        <f>TEXT(WEEKDAY(DATE(AnnéeCalendrier,6,1),1),"jjj")</f>
        <v>mer</v>
      </c>
      <c r="D6" s="2" t="str">
        <f>TEXT(WEEKDAY(DATE(AnnéeCalendrier,6,2),1),"jjj")</f>
        <v>jeu</v>
      </c>
      <c r="E6" s="2" t="str">
        <f>TEXT(WEEKDAY(DATE(AnnéeCalendrier,6,3),1),"jjj")</f>
        <v>ven</v>
      </c>
      <c r="F6" s="2" t="str">
        <f>TEXT(WEEKDAY(DATE(AnnéeCalendrier,6,4),1),"jjj")</f>
        <v>sam</v>
      </c>
      <c r="G6" s="2" t="str">
        <f>TEXT(WEEKDAY(DATE(AnnéeCalendrier,6,5),1),"jjj")</f>
        <v>dim</v>
      </c>
      <c r="H6" s="2" t="str">
        <f>TEXT(WEEKDAY(DATE(AnnéeCalendrier,6,6),1),"jjj")</f>
        <v>lun</v>
      </c>
      <c r="I6" s="2" t="str">
        <f>TEXT(WEEKDAY(DATE(AnnéeCalendrier,6,7),1),"jjj")</f>
        <v>mar</v>
      </c>
      <c r="J6" s="2" t="str">
        <f>TEXT(WEEKDAY(DATE(AnnéeCalendrier,6,8),1),"jjj")</f>
        <v>mer</v>
      </c>
      <c r="K6" s="2" t="str">
        <f>TEXT(WEEKDAY(DATE(AnnéeCalendrier,6,9),1),"jjj")</f>
        <v>jeu</v>
      </c>
      <c r="L6" s="2" t="str">
        <f>TEXT(WEEKDAY(DATE(AnnéeCalendrier,6,10),1),"jjj")</f>
        <v>ven</v>
      </c>
      <c r="M6" s="2" t="str">
        <f>TEXT(WEEKDAY(DATE(AnnéeCalendrier,6,11),1),"jjj")</f>
        <v>sam</v>
      </c>
      <c r="N6" s="2" t="str">
        <f>TEXT(WEEKDAY(DATE(AnnéeCalendrier,6,12),1),"jjj")</f>
        <v>dim</v>
      </c>
      <c r="O6" s="2" t="str">
        <f>TEXT(WEEKDAY(DATE(AnnéeCalendrier,6,13),1),"jjj")</f>
        <v>lun</v>
      </c>
      <c r="P6" s="2" t="str">
        <f>TEXT(WEEKDAY(DATE(AnnéeCalendrier,6,14),1),"jjj")</f>
        <v>mar</v>
      </c>
      <c r="Q6" s="2" t="str">
        <f>TEXT(WEEKDAY(DATE(AnnéeCalendrier,6,15),1),"jjj")</f>
        <v>mer</v>
      </c>
      <c r="R6" s="2" t="str">
        <f>TEXT(WEEKDAY(DATE(AnnéeCalendrier,6,16),1),"jjj")</f>
        <v>jeu</v>
      </c>
      <c r="S6" s="2" t="str">
        <f>TEXT(WEEKDAY(DATE(AnnéeCalendrier,6,17),1),"jjj")</f>
        <v>ven</v>
      </c>
      <c r="T6" s="2" t="str">
        <f>TEXT(WEEKDAY(DATE(AnnéeCalendrier,6,18),1),"jjj")</f>
        <v>sam</v>
      </c>
      <c r="U6" s="2" t="str">
        <f>TEXT(WEEKDAY(DATE(AnnéeCalendrier,6,19),1),"jjj")</f>
        <v>dim</v>
      </c>
      <c r="V6" s="2" t="str">
        <f>TEXT(WEEKDAY(DATE(AnnéeCalendrier,6,20),1),"jjj")</f>
        <v>lun</v>
      </c>
      <c r="W6" s="2" t="str">
        <f>TEXT(WEEKDAY(DATE(AnnéeCalendrier,6,21),1),"jjj")</f>
        <v>mar</v>
      </c>
      <c r="X6" s="2" t="str">
        <f>TEXT(WEEKDAY(DATE(AnnéeCalendrier,6,22),1),"jjj")</f>
        <v>mer</v>
      </c>
      <c r="Y6" s="2" t="str">
        <f>TEXT(WEEKDAY(DATE(AnnéeCalendrier,6,23),1),"jjj")</f>
        <v>jeu</v>
      </c>
      <c r="Z6" s="2" t="str">
        <f>TEXT(WEEKDAY(DATE(AnnéeCalendrier,6,24),1),"jjj")</f>
        <v>ven</v>
      </c>
      <c r="AA6" s="2" t="str">
        <f>TEXT(WEEKDAY(DATE(AnnéeCalendrier,6,25),1),"jjj")</f>
        <v>sam</v>
      </c>
      <c r="AB6" s="2" t="str">
        <f>TEXT(WEEKDAY(DATE(AnnéeCalendrier,6,26),1),"jjj")</f>
        <v>dim</v>
      </c>
      <c r="AC6" s="2" t="str">
        <f>TEXT(WEEKDAY(DATE(AnnéeCalendrier,6,27),1),"jjj")</f>
        <v>lun</v>
      </c>
      <c r="AD6" s="2" t="str">
        <f>TEXT(WEEKDAY(DATE(AnnéeCalendrier,6,28),1),"jjj")</f>
        <v>mar</v>
      </c>
      <c r="AE6" s="2" t="str">
        <f>TEXT(WEEKDAY(DATE(AnnéeCalendrier,6,29),1),"jjj")</f>
        <v>mer</v>
      </c>
      <c r="AF6" s="2" t="str">
        <f>TEXT(WEEKDAY(DATE(AnnéeCalendrier,6,30),1),"jjj")</f>
        <v>jeu</v>
      </c>
      <c r="AG6" s="2"/>
      <c r="AH6" s="11"/>
    </row>
    <row r="7" spans="2:36"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6" ht="30" customHeight="1" x14ac:dyDescent="0.25">
      <c r="B8" s="15" t="str">
        <f>'Noms des employés'!B4</f>
        <v>1 - Carole</v>
      </c>
      <c r="C8" s="3"/>
      <c r="D8" s="3"/>
      <c r="E8" s="3"/>
      <c r="F8" s="3"/>
      <c r="G8" s="29"/>
      <c r="H8" s="3" t="s">
        <v>4</v>
      </c>
      <c r="I8" s="3"/>
      <c r="J8" s="3"/>
      <c r="K8" s="3"/>
      <c r="L8" s="3"/>
      <c r="M8" s="3"/>
      <c r="N8" s="29"/>
      <c r="O8" s="3"/>
      <c r="P8" s="3"/>
      <c r="Q8" s="3"/>
      <c r="R8" s="3"/>
      <c r="S8" s="3"/>
      <c r="T8" s="3"/>
      <c r="U8" s="29"/>
      <c r="V8" s="3"/>
      <c r="W8" s="3"/>
      <c r="X8" s="3"/>
      <c r="Y8" s="3"/>
      <c r="Z8" s="3"/>
      <c r="AA8" s="3"/>
      <c r="AB8" s="29"/>
      <c r="AC8" s="3"/>
      <c r="AD8" s="3"/>
      <c r="AE8" s="3"/>
      <c r="AF8" s="3"/>
      <c r="AG8" s="3"/>
      <c r="AH8" s="9">
        <f>COUNTA(Juin[[#This Row],[1]:[31]])</f>
        <v>1</v>
      </c>
    </row>
    <row r="9" spans="2:36" ht="30" customHeight="1" x14ac:dyDescent="0.25">
      <c r="B9" s="15" t="str">
        <f>'Noms des employés'!B5</f>
        <v xml:space="preserve">2 - Laïla </v>
      </c>
      <c r="C9" s="3" t="s">
        <v>12</v>
      </c>
      <c r="D9" s="3" t="s">
        <v>12</v>
      </c>
      <c r="E9" s="3" t="s">
        <v>12</v>
      </c>
      <c r="F9" s="3" t="s">
        <v>12</v>
      </c>
      <c r="G9" s="29"/>
      <c r="H9" s="3" t="s">
        <v>12</v>
      </c>
      <c r="I9" s="3" t="s">
        <v>12</v>
      </c>
      <c r="J9" s="3" t="s">
        <v>12</v>
      </c>
      <c r="K9" s="3" t="s">
        <v>12</v>
      </c>
      <c r="L9" s="3" t="s">
        <v>12</v>
      </c>
      <c r="M9" s="3" t="s">
        <v>12</v>
      </c>
      <c r="N9" s="29"/>
      <c r="O9" s="3" t="s">
        <v>12</v>
      </c>
      <c r="P9" s="3" t="s">
        <v>12</v>
      </c>
      <c r="Q9" s="3" t="s">
        <v>12</v>
      </c>
      <c r="R9" s="3" t="s">
        <v>12</v>
      </c>
      <c r="S9" s="3" t="s">
        <v>12</v>
      </c>
      <c r="T9" s="3" t="s">
        <v>12</v>
      </c>
      <c r="U9" s="29"/>
      <c r="V9" s="3" t="s">
        <v>12</v>
      </c>
      <c r="W9" s="3" t="s">
        <v>12</v>
      </c>
      <c r="X9" s="3" t="s">
        <v>12</v>
      </c>
      <c r="Y9" s="3" t="s">
        <v>12</v>
      </c>
      <c r="Z9" s="3" t="s">
        <v>12</v>
      </c>
      <c r="AA9" s="3" t="s">
        <v>12</v>
      </c>
      <c r="AB9" s="29"/>
      <c r="AC9" s="3" t="s">
        <v>12</v>
      </c>
      <c r="AD9" s="3" t="s">
        <v>12</v>
      </c>
      <c r="AE9" s="3" t="s">
        <v>12</v>
      </c>
      <c r="AF9" s="3" t="s">
        <v>12</v>
      </c>
      <c r="AG9" s="3"/>
      <c r="AH9" s="9">
        <f>COUNTA(Juin[[#This Row],[1]:[31]])</f>
        <v>26</v>
      </c>
      <c r="AJ9" s="28"/>
    </row>
    <row r="10" spans="2:36" ht="30" customHeight="1" x14ac:dyDescent="0.25">
      <c r="B10" s="15" t="str">
        <f>'Noms des employés'!B6</f>
        <v>3 - Jean-Claude</v>
      </c>
      <c r="C10" s="3"/>
      <c r="D10" s="3"/>
      <c r="E10" s="3"/>
      <c r="F10" s="3"/>
      <c r="G10" s="29"/>
      <c r="H10" s="3"/>
      <c r="I10" s="3"/>
      <c r="J10" s="3"/>
      <c r="K10" s="3"/>
      <c r="L10" s="3"/>
      <c r="M10" s="3"/>
      <c r="N10" s="29"/>
      <c r="O10" s="3"/>
      <c r="P10" s="3"/>
      <c r="Q10" s="3"/>
      <c r="R10" s="3"/>
      <c r="S10" s="3"/>
      <c r="T10" s="3"/>
      <c r="U10" s="29"/>
      <c r="V10" s="3"/>
      <c r="W10" s="3"/>
      <c r="X10" s="3"/>
      <c r="Y10" s="3"/>
      <c r="Z10" s="3"/>
      <c r="AA10" s="3"/>
      <c r="AB10" s="29"/>
      <c r="AC10" s="3"/>
      <c r="AD10" s="3"/>
      <c r="AE10" s="3"/>
      <c r="AF10" s="3"/>
      <c r="AG10" s="3"/>
      <c r="AH10" s="9">
        <f>COUNTA(Juin[[#This Row],[1]:[31]])</f>
        <v>0</v>
      </c>
    </row>
    <row r="11" spans="2:36"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COUNTA(Juin[[#This Row],[1]:[31]])</f>
        <v>0</v>
      </c>
    </row>
    <row r="12" spans="2:36"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COUNTA(Juin[[#This Row],[1]:[31]])</f>
        <v>0</v>
      </c>
    </row>
    <row r="13" spans="2:36" ht="30" customHeight="1" x14ac:dyDescent="0.25">
      <c r="B13" s="22" t="str">
        <f>NomMois&amp;" Total"</f>
        <v>Juin Total</v>
      </c>
      <c r="C13" s="23">
        <f>SUBTOTAL(103,Juin[1])</f>
        <v>1</v>
      </c>
      <c r="D13" s="23">
        <f>SUBTOTAL(103,Juin[2])</f>
        <v>1</v>
      </c>
      <c r="E13" s="23">
        <f>SUBTOTAL(103,Juin[3])</f>
        <v>1</v>
      </c>
      <c r="F13" s="23">
        <f>SUBTOTAL(103,Juin[4])</f>
        <v>1</v>
      </c>
      <c r="G13" s="23">
        <f>SUBTOTAL(103,Juin[5])</f>
        <v>0</v>
      </c>
      <c r="H13" s="23">
        <f>SUBTOTAL(103,Juin[6])</f>
        <v>2</v>
      </c>
      <c r="I13" s="23">
        <f>SUBTOTAL(103,Juin[7])</f>
        <v>1</v>
      </c>
      <c r="J13" s="23">
        <f>SUBTOTAL(103,Juin[8])</f>
        <v>1</v>
      </c>
      <c r="K13" s="23">
        <f>SUBTOTAL(103,Juin[9])</f>
        <v>1</v>
      </c>
      <c r="L13" s="23">
        <f>SUBTOTAL(103,Juin[10])</f>
        <v>1</v>
      </c>
      <c r="M13" s="23">
        <f>SUBTOTAL(103,Juin[11])</f>
        <v>1</v>
      </c>
      <c r="N13" s="23">
        <f>SUBTOTAL(103,Juin[12])</f>
        <v>0</v>
      </c>
      <c r="O13" s="23">
        <f>SUBTOTAL(103,Juin[13])</f>
        <v>1</v>
      </c>
      <c r="P13" s="23">
        <f>SUBTOTAL(103,Juin[14])</f>
        <v>1</v>
      </c>
      <c r="Q13" s="23">
        <f>SUBTOTAL(103,Juin[15])</f>
        <v>1</v>
      </c>
      <c r="R13" s="23">
        <f>SUBTOTAL(103,Juin[16])</f>
        <v>1</v>
      </c>
      <c r="S13" s="23">
        <f>SUBTOTAL(103,Juin[17])</f>
        <v>1</v>
      </c>
      <c r="T13" s="23">
        <f>SUBTOTAL(103,Juin[18])</f>
        <v>1</v>
      </c>
      <c r="U13" s="23">
        <f>SUBTOTAL(103,Juin[19])</f>
        <v>0</v>
      </c>
      <c r="V13" s="23">
        <f>SUBTOTAL(103,Juin[20])</f>
        <v>1</v>
      </c>
      <c r="W13" s="23">
        <f>SUBTOTAL(103,Juin[21])</f>
        <v>1</v>
      </c>
      <c r="X13" s="23">
        <f>SUBTOTAL(103,Juin[22])</f>
        <v>1</v>
      </c>
      <c r="Y13" s="23">
        <f>SUBTOTAL(103,Juin[23])</f>
        <v>1</v>
      </c>
      <c r="Z13" s="23">
        <f>SUBTOTAL(103,Juin[24])</f>
        <v>1</v>
      </c>
      <c r="AA13" s="23">
        <f>SUBTOTAL(103,Juin[25])</f>
        <v>1</v>
      </c>
      <c r="AB13" s="23">
        <f>SUBTOTAL(103,Juin[26])</f>
        <v>0</v>
      </c>
      <c r="AC13" s="23">
        <f>SUBTOTAL(103,Juin[27])</f>
        <v>1</v>
      </c>
      <c r="AD13" s="23">
        <f>SUBTOTAL(103,Juin[28])</f>
        <v>1</v>
      </c>
      <c r="AE13" s="23">
        <f>SUBTOTAL(103,Juin[29])</f>
        <v>1</v>
      </c>
      <c r="AF13" s="23">
        <f>SUBTOTAL(109,Juin[30])</f>
        <v>0</v>
      </c>
      <c r="AG13" s="23">
        <f>SUBTOTAL(109,Juin[31])</f>
        <v>0</v>
      </c>
      <c r="AH13" s="23">
        <f>SUBTOTAL(109,Juin[Total des jours])</f>
        <v>27</v>
      </c>
    </row>
  </sheetData>
  <mergeCells count="6">
    <mergeCell ref="C5:AG5"/>
    <mergeCell ref="D3:E3"/>
    <mergeCell ref="G3:I3"/>
    <mergeCell ref="K3:L3"/>
    <mergeCell ref="N3:Q3"/>
    <mergeCell ref="S3:V3"/>
  </mergeCells>
  <conditionalFormatting sqref="C8:AG12">
    <cfRule type="expression" priority="19" stopIfTrue="1">
      <formula>C8=""</formula>
    </cfRule>
  </conditionalFormatting>
  <conditionalFormatting sqref="C8:AG12">
    <cfRule type="expression" dxfId="870" priority="20" stopIfTrue="1">
      <formula>C8=CléPersonnalisée2</formula>
    </cfRule>
    <cfRule type="expression" dxfId="869" priority="21" stopIfTrue="1">
      <formula>C8=CléPersonnalisée1</formula>
    </cfRule>
    <cfRule type="expression" dxfId="868" priority="22" stopIfTrue="1">
      <formula>C8=CléMaladie</formula>
    </cfRule>
    <cfRule type="expression" dxfId="867" priority="23" stopIfTrue="1">
      <formula>C8=CléPersonnel</formula>
    </cfRule>
    <cfRule type="expression" dxfId="866" priority="24" stopIfTrue="1">
      <formula>C8=CléCongé</formula>
    </cfRule>
  </conditionalFormatting>
  <conditionalFormatting sqref="AH8:AH12">
    <cfRule type="dataBar" priority="25">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e juin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R3 M3"/>
    <dataValidation allowBlank="1" showInputMessage="1" showErrorMessage="1" prompt="Entrez une étiquette pour décrire la clé personnalisée à gauche" sqref="S3 N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68"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A1:AH13"/>
  <sheetViews>
    <sheetView showGridLines="0" zoomScaleNormal="100" workbookViewId="0">
      <selection activeCell="C8" sqref="C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c r="N3" s="39" t="s">
        <v>23</v>
      </c>
      <c r="O3" s="39"/>
      <c r="P3" s="39"/>
      <c r="Q3" s="39"/>
      <c r="R3" s="26"/>
      <c r="S3" s="40" t="s">
        <v>67</v>
      </c>
      <c r="T3" s="39"/>
      <c r="U3" s="39"/>
      <c r="V3" s="39"/>
    </row>
    <row r="4" spans="2:34" ht="15" customHeight="1" x14ac:dyDescent="0.25">
      <c r="B4" s="12"/>
    </row>
    <row r="5" spans="2:34" ht="30" customHeight="1" x14ac:dyDescent="0.25">
      <c r="B5" s="11" t="s">
        <v>53</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TEXT(WEEKDAY(DATE(AnnéeCalendrier,7,1),1),"jjj")</f>
        <v>ven</v>
      </c>
      <c r="D6" s="2" t="str">
        <f>TEXT(WEEKDAY(DATE(AnnéeCalendrier,7,2),1),"jjj")</f>
        <v>sam</v>
      </c>
      <c r="E6" s="2" t="str">
        <f>TEXT(WEEKDAY(DATE(AnnéeCalendrier,7,3),1),"jjj")</f>
        <v>dim</v>
      </c>
      <c r="F6" s="2" t="str">
        <f>TEXT(WEEKDAY(DATE(AnnéeCalendrier,7,4),1),"jjj")</f>
        <v>lun</v>
      </c>
      <c r="G6" s="2" t="str">
        <f>TEXT(WEEKDAY(DATE(AnnéeCalendrier,7,5),1),"jjj")</f>
        <v>mar</v>
      </c>
      <c r="H6" s="2" t="str">
        <f>TEXT(WEEKDAY(DATE(AnnéeCalendrier,7,6),1),"jjj")</f>
        <v>mer</v>
      </c>
      <c r="I6" s="2" t="str">
        <f>TEXT(WEEKDAY(DATE(AnnéeCalendrier,7,7),1),"jjj")</f>
        <v>jeu</v>
      </c>
      <c r="J6" s="2" t="str">
        <f>TEXT(WEEKDAY(DATE(AnnéeCalendrier,7,8),1),"jjj")</f>
        <v>ven</v>
      </c>
      <c r="K6" s="2" t="str">
        <f>TEXT(WEEKDAY(DATE(AnnéeCalendrier,7,9),1),"jjj")</f>
        <v>sam</v>
      </c>
      <c r="L6" s="2" t="str">
        <f>TEXT(WEEKDAY(DATE(AnnéeCalendrier,7,10),1),"jjj")</f>
        <v>dim</v>
      </c>
      <c r="M6" s="2" t="str">
        <f>TEXT(WEEKDAY(DATE(AnnéeCalendrier,7,11),1),"jjj")</f>
        <v>lun</v>
      </c>
      <c r="N6" s="2" t="str">
        <f>TEXT(WEEKDAY(DATE(AnnéeCalendrier,7,12),1),"jjj")</f>
        <v>mar</v>
      </c>
      <c r="O6" s="2" t="str">
        <f>TEXT(WEEKDAY(DATE(AnnéeCalendrier,7,13),1),"jjj")</f>
        <v>mer</v>
      </c>
      <c r="P6" s="2" t="str">
        <f>TEXT(WEEKDAY(DATE(AnnéeCalendrier,7,14),1),"jjj")</f>
        <v>jeu</v>
      </c>
      <c r="Q6" s="2" t="str">
        <f>TEXT(WEEKDAY(DATE(AnnéeCalendrier,7,15),1),"jjj")</f>
        <v>ven</v>
      </c>
      <c r="R6" s="2" t="str">
        <f>TEXT(WEEKDAY(DATE(AnnéeCalendrier,7,16),1),"jjj")</f>
        <v>sam</v>
      </c>
      <c r="S6" s="2" t="str">
        <f>TEXT(WEEKDAY(DATE(AnnéeCalendrier,7,17),1),"jjj")</f>
        <v>dim</v>
      </c>
      <c r="T6" s="2" t="str">
        <f>TEXT(WEEKDAY(DATE(AnnéeCalendrier,7,18),1),"jjj")</f>
        <v>lun</v>
      </c>
      <c r="U6" s="2" t="str">
        <f>TEXT(WEEKDAY(DATE(AnnéeCalendrier,7,19),1),"jjj")</f>
        <v>mar</v>
      </c>
      <c r="V6" s="2" t="str">
        <f>TEXT(WEEKDAY(DATE(AnnéeCalendrier,7,20),1),"jjj")</f>
        <v>mer</v>
      </c>
      <c r="W6" s="2" t="str">
        <f>TEXT(WEEKDAY(DATE(AnnéeCalendrier,7,21),1),"jjj")</f>
        <v>jeu</v>
      </c>
      <c r="X6" s="2" t="str">
        <f>TEXT(WEEKDAY(DATE(AnnéeCalendrier,7,22),1),"jjj")</f>
        <v>ven</v>
      </c>
      <c r="Y6" s="2" t="str">
        <f>TEXT(WEEKDAY(DATE(AnnéeCalendrier,7,23),1),"jjj")</f>
        <v>sam</v>
      </c>
      <c r="Z6" s="2" t="str">
        <f>TEXT(WEEKDAY(DATE(AnnéeCalendrier,7,24),1),"jjj")</f>
        <v>dim</v>
      </c>
      <c r="AA6" s="2" t="str">
        <f>TEXT(WEEKDAY(DATE(AnnéeCalendrier,7,25),1),"jjj")</f>
        <v>lun</v>
      </c>
      <c r="AB6" s="2" t="str">
        <f>TEXT(WEEKDAY(DATE(AnnéeCalendrier,7,26),1),"jjj")</f>
        <v>mar</v>
      </c>
      <c r="AC6" s="2" t="str">
        <f>TEXT(WEEKDAY(DATE(AnnéeCalendrier,7,27),1),"jjj")</f>
        <v>mer</v>
      </c>
      <c r="AD6" s="2" t="str">
        <f>TEXT(WEEKDAY(DATE(AnnéeCalendrier,7,28),1),"jjj")</f>
        <v>jeu</v>
      </c>
      <c r="AE6" s="2" t="str">
        <f>TEXT(WEEKDAY(DATE(AnnéeCalendrier,7,29),1),"jjj")</f>
        <v>ven</v>
      </c>
      <c r="AF6" s="2" t="str">
        <f>TEXT(WEEKDAY(DATE(AnnéeCalendrier,7,30),1),"jjj")</f>
        <v>sam</v>
      </c>
      <c r="AG6" s="2" t="str">
        <f>TEXT(WEEKDAY(DATE(AnnéeCalendrier,7,31),1),"jjj")</f>
        <v>dim</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29"/>
      <c r="F8" s="3"/>
      <c r="G8" s="3"/>
      <c r="H8" s="3"/>
      <c r="I8" s="3"/>
      <c r="J8" s="3"/>
      <c r="K8" s="3"/>
      <c r="L8" s="29"/>
      <c r="M8" s="3"/>
      <c r="N8" s="3"/>
      <c r="O8" s="3"/>
      <c r="P8" s="26"/>
      <c r="Q8" s="3"/>
      <c r="R8" s="3"/>
      <c r="S8" s="29"/>
      <c r="T8" s="3"/>
      <c r="U8" s="3"/>
      <c r="V8" s="3"/>
      <c r="W8" s="3"/>
      <c r="X8" s="3"/>
      <c r="Y8" s="3"/>
      <c r="Z8" s="37"/>
      <c r="AA8" s="3"/>
      <c r="AB8" s="3"/>
      <c r="AC8" s="3"/>
      <c r="AD8" s="3"/>
      <c r="AE8" s="3"/>
      <c r="AF8" s="3"/>
      <c r="AG8" s="29"/>
      <c r="AH8" s="9">
        <f>COUNTA(Juillet[[#This Row],[1]:[31]])</f>
        <v>0</v>
      </c>
    </row>
    <row r="9" spans="2:34" ht="30" customHeight="1" x14ac:dyDescent="0.25">
      <c r="B9" s="15" t="str">
        <f>'Noms des employés'!B5</f>
        <v xml:space="preserve">2 - Laïla </v>
      </c>
      <c r="C9" s="3" t="s">
        <v>12</v>
      </c>
      <c r="D9" s="3" t="s">
        <v>12</v>
      </c>
      <c r="E9" s="29"/>
      <c r="F9" s="3" t="s">
        <v>12</v>
      </c>
      <c r="G9" s="3" t="s">
        <v>12</v>
      </c>
      <c r="H9" s="3" t="s">
        <v>12</v>
      </c>
      <c r="I9" s="3" t="s">
        <v>12</v>
      </c>
      <c r="J9" s="3" t="s">
        <v>12</v>
      </c>
      <c r="K9" s="3" t="s">
        <v>12</v>
      </c>
      <c r="L9" s="29"/>
      <c r="M9" s="3" t="s">
        <v>12</v>
      </c>
      <c r="N9" s="3" t="s">
        <v>12</v>
      </c>
      <c r="O9" s="3" t="s">
        <v>12</v>
      </c>
      <c r="P9" s="26"/>
      <c r="Q9" s="3" t="s">
        <v>12</v>
      </c>
      <c r="R9" s="3" t="s">
        <v>12</v>
      </c>
      <c r="S9" s="29"/>
      <c r="T9" s="3" t="s">
        <v>12</v>
      </c>
      <c r="U9" s="3"/>
      <c r="V9" s="3"/>
      <c r="W9" s="3"/>
      <c r="X9" s="3"/>
      <c r="Y9" s="3"/>
      <c r="Z9" s="29"/>
      <c r="AA9" s="3"/>
      <c r="AB9" s="3"/>
      <c r="AC9" s="3"/>
      <c r="AD9" s="3"/>
      <c r="AE9" s="3"/>
      <c r="AF9" s="3"/>
      <c r="AG9" s="29"/>
      <c r="AH9" s="9">
        <f>COUNTA(Juillet[[#This Row],[1]:[31]])</f>
        <v>14</v>
      </c>
    </row>
    <row r="10" spans="2:34" ht="30" customHeight="1" x14ac:dyDescent="0.25">
      <c r="B10" s="15" t="str">
        <f>'Noms des employés'!B6</f>
        <v>3 - Jean-Claude</v>
      </c>
      <c r="C10" s="3"/>
      <c r="D10" s="3"/>
      <c r="E10" s="29"/>
      <c r="F10" s="3"/>
      <c r="G10" s="3"/>
      <c r="H10" s="3"/>
      <c r="I10" s="3"/>
      <c r="J10" s="3"/>
      <c r="K10" s="3"/>
      <c r="L10" s="29"/>
      <c r="M10" s="3"/>
      <c r="N10" s="3"/>
      <c r="O10" s="3"/>
      <c r="P10" s="26"/>
      <c r="Q10" s="3" t="s">
        <v>4</v>
      </c>
      <c r="R10" s="3"/>
      <c r="S10" s="29"/>
      <c r="T10" s="3"/>
      <c r="U10" s="3"/>
      <c r="V10" s="3" t="s">
        <v>4</v>
      </c>
      <c r="W10" s="3"/>
      <c r="X10" s="3"/>
      <c r="Y10" s="3"/>
      <c r="Z10" s="29"/>
      <c r="AA10" s="3" t="s">
        <v>4</v>
      </c>
      <c r="AB10" s="3" t="s">
        <v>4</v>
      </c>
      <c r="AC10" s="3" t="s">
        <v>4</v>
      </c>
      <c r="AD10" s="3" t="s">
        <v>4</v>
      </c>
      <c r="AE10" s="3" t="s">
        <v>4</v>
      </c>
      <c r="AF10" s="3" t="s">
        <v>4</v>
      </c>
      <c r="AG10" s="29"/>
      <c r="AH10" s="9">
        <f>COUNTA(Juillet[[#This Row],[1]:[31]])</f>
        <v>8</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COUNTA(Juillet[[#This Row],[1]:[31]])</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COUNTA(Juillet[[#This Row],[1]:[31]])</f>
        <v>0</v>
      </c>
    </row>
    <row r="13" spans="2:34" ht="30" customHeight="1" x14ac:dyDescent="0.25">
      <c r="B13" s="22" t="str">
        <f>NomMois&amp;" Total"</f>
        <v>Juillet Total</v>
      </c>
      <c r="C13" s="23">
        <f>SUBTOTAL(103,Juillet[1])</f>
        <v>1</v>
      </c>
      <c r="D13" s="23">
        <f>SUBTOTAL(103,Juillet[2])</f>
        <v>1</v>
      </c>
      <c r="E13" s="23">
        <f>SUBTOTAL(103,Juillet[3])</f>
        <v>0</v>
      </c>
      <c r="F13" s="23">
        <f>SUBTOTAL(103,Juillet[4])</f>
        <v>1</v>
      </c>
      <c r="G13" s="23">
        <f>SUBTOTAL(103,Juillet[5])</f>
        <v>1</v>
      </c>
      <c r="H13" s="23">
        <f>SUBTOTAL(103,Juillet[6])</f>
        <v>1</v>
      </c>
      <c r="I13" s="23">
        <f>SUBTOTAL(103,Juillet[7])</f>
        <v>1</v>
      </c>
      <c r="J13" s="23">
        <f>SUBTOTAL(103,Juillet[8])</f>
        <v>1</v>
      </c>
      <c r="K13" s="23">
        <f>SUBTOTAL(103,Juillet[9])</f>
        <v>1</v>
      </c>
      <c r="L13" s="23">
        <f>SUBTOTAL(103,Juillet[10])</f>
        <v>0</v>
      </c>
      <c r="M13" s="23">
        <f>SUBTOTAL(103,Juillet[11])</f>
        <v>1</v>
      </c>
      <c r="N13" s="23">
        <f>SUBTOTAL(103,Juillet[12])</f>
        <v>1</v>
      </c>
      <c r="O13" s="23">
        <f>SUBTOTAL(103,Juillet[13])</f>
        <v>1</v>
      </c>
      <c r="P13" s="23">
        <f>SUBTOTAL(103,Juillet[14])</f>
        <v>0</v>
      </c>
      <c r="Q13" s="23">
        <f>SUBTOTAL(103,Juillet[15])</f>
        <v>2</v>
      </c>
      <c r="R13" s="23">
        <f>SUBTOTAL(103,Juillet[16])</f>
        <v>1</v>
      </c>
      <c r="S13" s="23">
        <f>SUBTOTAL(103,Juillet[17])</f>
        <v>0</v>
      </c>
      <c r="T13" s="23">
        <f>SUBTOTAL(103,Juillet[18])</f>
        <v>1</v>
      </c>
      <c r="U13" s="23">
        <f>SUBTOTAL(103,Juillet[19])</f>
        <v>0</v>
      </c>
      <c r="V13" s="23">
        <f>SUBTOTAL(103,Juillet[20])</f>
        <v>1</v>
      </c>
      <c r="W13" s="23">
        <f>SUBTOTAL(103,Juillet[21])</f>
        <v>0</v>
      </c>
      <c r="X13" s="23">
        <f>SUBTOTAL(103,Juillet[22])</f>
        <v>0</v>
      </c>
      <c r="Y13" s="23">
        <f>SUBTOTAL(103,Juillet[23])</f>
        <v>0</v>
      </c>
      <c r="Z13" s="23">
        <f>SUBTOTAL(103,Juillet[24])</f>
        <v>0</v>
      </c>
      <c r="AA13" s="23">
        <f>SUBTOTAL(103,Juillet[25])</f>
        <v>1</v>
      </c>
      <c r="AB13" s="23">
        <f>SUBTOTAL(103,Juillet[26])</f>
        <v>1</v>
      </c>
      <c r="AC13" s="23">
        <f>SUBTOTAL(103,Juillet[27])</f>
        <v>1</v>
      </c>
      <c r="AD13" s="23">
        <f>SUBTOTAL(103,Juillet[28])</f>
        <v>1</v>
      </c>
      <c r="AE13" s="23">
        <f>SUBTOTAL(103,Juillet[29])</f>
        <v>1</v>
      </c>
      <c r="AF13" s="23">
        <f>SUBTOTAL(109,Juillet[30])</f>
        <v>0</v>
      </c>
      <c r="AG13" s="23">
        <f>SUBTOTAL(109,Juillet[31])</f>
        <v>0</v>
      </c>
      <c r="AH13" s="23">
        <f>SUBTOTAL(109,Juillet[Total des jours])</f>
        <v>22</v>
      </c>
    </row>
  </sheetData>
  <mergeCells count="6">
    <mergeCell ref="C5:AG5"/>
    <mergeCell ref="D3:E3"/>
    <mergeCell ref="G3:I3"/>
    <mergeCell ref="K3:L3"/>
    <mergeCell ref="N3:Q3"/>
    <mergeCell ref="S3:V3"/>
  </mergeCells>
  <conditionalFormatting sqref="C11:AG12 C8:O10 Q8:AG10">
    <cfRule type="expression" priority="37" stopIfTrue="1">
      <formula>C8=""</formula>
    </cfRule>
  </conditionalFormatting>
  <conditionalFormatting sqref="C11:AG12 C8:O10 Q8:AG10">
    <cfRule type="expression" dxfId="342" priority="38" stopIfTrue="1">
      <formula>C8=CléPersonnalisée2</formula>
    </cfRule>
    <cfRule type="expression" dxfId="341" priority="39" stopIfTrue="1">
      <formula>C8=CléPersonnalisée1</formula>
    </cfRule>
    <cfRule type="expression" dxfId="340" priority="40" stopIfTrue="1">
      <formula>C8=CléMaladie</formula>
    </cfRule>
    <cfRule type="expression" dxfId="339" priority="41" stopIfTrue="1">
      <formula>C8=CléPersonnel</formula>
    </cfRule>
    <cfRule type="expression" dxfId="338" priority="42" stopIfTrue="1">
      <formula>C8=CléCongé</formula>
    </cfRule>
  </conditionalFormatting>
  <conditionalFormatting sqref="AH8:AH12">
    <cfRule type="dataBar" priority="43">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conditionalFormatting sqref="R3">
    <cfRule type="expression" priority="7" stopIfTrue="1">
      <formula>R3=""</formula>
    </cfRule>
    <cfRule type="expression" dxfId="337" priority="8" stopIfTrue="1">
      <formula>R3=CléPersonnalisée2</formula>
    </cfRule>
    <cfRule type="expression" dxfId="336" priority="9" stopIfTrue="1">
      <formula>R3=CléPersonnalisée1</formula>
    </cfRule>
    <cfRule type="expression" dxfId="335" priority="10" stopIfTrue="1">
      <formula>R3=CléMaladie</formula>
    </cfRule>
    <cfRule type="expression" dxfId="334" priority="11" stopIfTrue="1">
      <formula>R3=CléPersonnel</formula>
    </cfRule>
    <cfRule type="expression" dxfId="333" priority="12" stopIfTrue="1">
      <formula>R3=CléCongé</formula>
    </cfRule>
  </conditionalFormatting>
  <conditionalFormatting sqref="P8:P10">
    <cfRule type="expression" priority="1" stopIfTrue="1">
      <formula>P8=""</formula>
    </cfRule>
    <cfRule type="expression" dxfId="332" priority="2" stopIfTrue="1">
      <formula>P8=CléPersonnalisée2</formula>
    </cfRule>
    <cfRule type="expression" dxfId="331" priority="3" stopIfTrue="1">
      <formula>P8=CléPersonnalisée1</formula>
    </cfRule>
    <cfRule type="expression" dxfId="330" priority="4" stopIfTrue="1">
      <formula>P8=CléMaladie</formula>
    </cfRule>
    <cfRule type="expression" dxfId="329" priority="5" stopIfTrue="1">
      <formula>P8=CléPersonnel</formula>
    </cfRule>
    <cfRule type="expression" dxfId="328" priority="6" stopIfTrue="1">
      <formula>P8=CléCongé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Entrez une étiquette pour décrire la clé personnalisée à gauche" sqref="N3 S3"/>
    <dataValidation allowBlank="1" showInputMessage="1" showErrorMessage="1" prompt="Entrez une lettre et personnalisez l’étiquette à droite pour ajouter un élément de clé" sqref="M3 R3 P8:P10"/>
    <dataValidation allowBlank="1" showInputMessage="1" showErrorMessage="1" prompt="La lettre « M » indique une absence pour cause de maladie" sqref="J3"/>
    <dataValidation allowBlank="1" showInputMessage="1" showErrorMessage="1" prompt="La lettre « P » indique une absence pour motifs personnels" sqref="F3"/>
    <dataValidation allowBlank="1" showInputMessage="1" showErrorMessage="1" prompt="La lettre « C » indique une absence pour cause de congé" sqref="C3"/>
    <dataValidation allowBlank="1" showInputMessage="1" showErrorMessage="1" prompt="Le titre mis à jour automatiquement figure dans cette cellule. Pour modifier le titre, mettez à jour la cellule B1 de la feuille de calcul Janvier" sqref="B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Suivez les absences du mois de juillet dans cette feuille de calcul" sqref="A2"/>
    <dataValidation allowBlank="1" showInputMessage="1" showErrorMessage="1" prompt="Calcule automatiquement le nombre total de jours d’absence d’un employé durant ce mois dans cette colonne" sqref="AH7"/>
    <dataValidation allowBlank="1" showInputMessage="1" showErrorMessage="1" prompt="Année mise à jour automatiquement en fonction de l’année entrée dans la feuille de calcul Janvier" sqref="AH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H13"/>
  <sheetViews>
    <sheetView showGridLines="0" zoomScaleNormal="100" workbookViewId="0">
      <selection activeCell="C8" sqref="C8"/>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50.1" customHeight="1" x14ac:dyDescent="0.25">
      <c r="B2" s="12" t="str">
        <f>Titre_Absence_Employé</f>
        <v>Calendrier des absences des employés</v>
      </c>
    </row>
    <row r="3" spans="2:34" ht="15" customHeight="1" x14ac:dyDescent="0.25">
      <c r="B3" s="17" t="s">
        <v>1</v>
      </c>
      <c r="C3" s="4" t="s">
        <v>4</v>
      </c>
      <c r="D3" s="39" t="s">
        <v>7</v>
      </c>
      <c r="E3" s="39"/>
      <c r="F3" s="5" t="s">
        <v>10</v>
      </c>
      <c r="G3" s="39" t="s">
        <v>14</v>
      </c>
      <c r="H3" s="39"/>
      <c r="I3" s="39"/>
      <c r="J3" s="6" t="s">
        <v>12</v>
      </c>
      <c r="K3" s="39" t="s">
        <v>19</v>
      </c>
      <c r="L3" s="39"/>
      <c r="M3" s="7"/>
      <c r="N3" s="40"/>
      <c r="O3" s="39"/>
      <c r="P3" s="39"/>
      <c r="Q3" s="39"/>
      <c r="R3" s="26"/>
      <c r="S3" s="40" t="s">
        <v>60</v>
      </c>
      <c r="T3" s="39"/>
      <c r="U3" s="39"/>
      <c r="V3" s="39"/>
    </row>
    <row r="4" spans="2:34" ht="15" customHeight="1" x14ac:dyDescent="0.25">
      <c r="B4" s="12"/>
    </row>
    <row r="5" spans="2:34" ht="30" customHeight="1" x14ac:dyDescent="0.25">
      <c r="B5" s="11" t="s">
        <v>54</v>
      </c>
      <c r="C5" s="38" t="s">
        <v>5</v>
      </c>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8"/>
      <c r="AG5" s="38"/>
      <c r="AH5" s="11">
        <f>AnnéeCalendrier</f>
        <v>2022</v>
      </c>
    </row>
    <row r="6" spans="2:34" ht="15" customHeight="1" x14ac:dyDescent="0.25">
      <c r="B6" s="11"/>
      <c r="C6" s="2" t="str">
        <f>TEXT(WEEKDAY(DATE(AnnéeCalendrier,8,1),1),"jjj")</f>
        <v>lun</v>
      </c>
      <c r="D6" s="2" t="str">
        <f>TEXT(WEEKDAY(DATE(AnnéeCalendrier,8,2),1),"jjj")</f>
        <v>mar</v>
      </c>
      <c r="E6" s="2" t="str">
        <f>TEXT(WEEKDAY(DATE(AnnéeCalendrier,8,3),1),"jjj")</f>
        <v>mer</v>
      </c>
      <c r="F6" s="2" t="str">
        <f>TEXT(WEEKDAY(DATE(AnnéeCalendrier,8,4),1),"jjj")</f>
        <v>jeu</v>
      </c>
      <c r="G6" s="2" t="str">
        <f>TEXT(WEEKDAY(DATE(AnnéeCalendrier,8,5),1),"jjj")</f>
        <v>ven</v>
      </c>
      <c r="H6" s="2" t="str">
        <f>TEXT(WEEKDAY(DATE(AnnéeCalendrier,8,6),1),"jjj")</f>
        <v>sam</v>
      </c>
      <c r="I6" s="2" t="str">
        <f>TEXT(WEEKDAY(DATE(AnnéeCalendrier,8,7),1),"jjj")</f>
        <v>dim</v>
      </c>
      <c r="J6" s="2" t="str">
        <f>TEXT(WEEKDAY(DATE(AnnéeCalendrier,8,8),1),"jjj")</f>
        <v>lun</v>
      </c>
      <c r="K6" s="2" t="str">
        <f>TEXT(WEEKDAY(DATE(AnnéeCalendrier,8,9),1),"jjj")</f>
        <v>mar</v>
      </c>
      <c r="L6" s="2" t="str">
        <f>TEXT(WEEKDAY(DATE(AnnéeCalendrier,8,10),1),"jjj")</f>
        <v>mer</v>
      </c>
      <c r="M6" s="2" t="str">
        <f>TEXT(WEEKDAY(DATE(AnnéeCalendrier,8,11),1),"jjj")</f>
        <v>jeu</v>
      </c>
      <c r="N6" s="2" t="str">
        <f>TEXT(WEEKDAY(DATE(AnnéeCalendrier,8,12),1),"jjj")</f>
        <v>ven</v>
      </c>
      <c r="O6" s="2" t="str">
        <f>TEXT(WEEKDAY(DATE(AnnéeCalendrier,8,13),1),"jjj")</f>
        <v>sam</v>
      </c>
      <c r="P6" s="2" t="str">
        <f>TEXT(WEEKDAY(DATE(AnnéeCalendrier,8,14),1),"jjj")</f>
        <v>dim</v>
      </c>
      <c r="Q6" s="2" t="str">
        <f>TEXT(WEEKDAY(DATE(AnnéeCalendrier,8,15),1),"jjj")</f>
        <v>lun</v>
      </c>
      <c r="R6" s="2" t="str">
        <f>TEXT(WEEKDAY(DATE(AnnéeCalendrier,8,16),1),"jjj")</f>
        <v>mar</v>
      </c>
      <c r="S6" s="2" t="str">
        <f>TEXT(WEEKDAY(DATE(AnnéeCalendrier,8,17),1),"jjj")</f>
        <v>mer</v>
      </c>
      <c r="T6" s="2" t="str">
        <f>TEXT(WEEKDAY(DATE(AnnéeCalendrier,8,18),1),"jjj")</f>
        <v>jeu</v>
      </c>
      <c r="U6" s="2" t="str">
        <f>TEXT(WEEKDAY(DATE(AnnéeCalendrier,8,19),1),"jjj")</f>
        <v>ven</v>
      </c>
      <c r="V6" s="2" t="str">
        <f>TEXT(WEEKDAY(DATE(AnnéeCalendrier,8,20),1),"jjj")</f>
        <v>sam</v>
      </c>
      <c r="W6" s="2" t="str">
        <f>TEXT(WEEKDAY(DATE(AnnéeCalendrier,8,21),1),"jjj")</f>
        <v>dim</v>
      </c>
      <c r="X6" s="2" t="str">
        <f>TEXT(WEEKDAY(DATE(AnnéeCalendrier,8,22),1),"jjj")</f>
        <v>lun</v>
      </c>
      <c r="Y6" s="2" t="str">
        <f>TEXT(WEEKDAY(DATE(AnnéeCalendrier,8,23),1),"jjj")</f>
        <v>mar</v>
      </c>
      <c r="Z6" s="2" t="str">
        <f>TEXT(WEEKDAY(DATE(AnnéeCalendrier,8,24),1),"jjj")</f>
        <v>mer</v>
      </c>
      <c r="AA6" s="2" t="str">
        <f>TEXT(WEEKDAY(DATE(AnnéeCalendrier,8,25),1),"jjj")</f>
        <v>jeu</v>
      </c>
      <c r="AB6" s="2" t="str">
        <f>TEXT(WEEKDAY(DATE(AnnéeCalendrier,8,26),1),"jjj")</f>
        <v>ven</v>
      </c>
      <c r="AC6" s="2" t="str">
        <f>TEXT(WEEKDAY(DATE(AnnéeCalendrier,8,27),1),"jjj")</f>
        <v>sam</v>
      </c>
      <c r="AD6" s="2" t="str">
        <f>TEXT(WEEKDAY(DATE(AnnéeCalendrier,8,28),1),"jjj")</f>
        <v>dim</v>
      </c>
      <c r="AE6" s="2" t="str">
        <f>TEXT(WEEKDAY(DATE(AnnéeCalendrier,8,29),1),"jjj")</f>
        <v>lun</v>
      </c>
      <c r="AF6" s="2" t="str">
        <f>TEXT(WEEKDAY(DATE(AnnéeCalendrier,8,30),1),"jjj")</f>
        <v>mar</v>
      </c>
      <c r="AG6" s="2" t="str">
        <f>TEXT(WEEKDAY(DATE(AnnéeCalendrier,8,31),1),"jjj")</f>
        <v>mer</v>
      </c>
      <c r="AH6" s="11"/>
    </row>
    <row r="7" spans="2:34" ht="15" customHeight="1" x14ac:dyDescent="0.25">
      <c r="B7" s="13" t="s">
        <v>3</v>
      </c>
      <c r="C7" s="3" t="s">
        <v>6</v>
      </c>
      <c r="D7" s="3" t="s">
        <v>8</v>
      </c>
      <c r="E7" s="3" t="s">
        <v>9</v>
      </c>
      <c r="F7" s="3" t="s">
        <v>11</v>
      </c>
      <c r="G7" s="3" t="s">
        <v>13</v>
      </c>
      <c r="H7" s="3" t="s">
        <v>15</v>
      </c>
      <c r="I7" s="3" t="s">
        <v>16</v>
      </c>
      <c r="J7" s="3" t="s">
        <v>17</v>
      </c>
      <c r="K7" s="3" t="s">
        <v>18</v>
      </c>
      <c r="L7" s="3" t="s">
        <v>20</v>
      </c>
      <c r="M7" s="3" t="s">
        <v>21</v>
      </c>
      <c r="N7" s="3" t="s">
        <v>22</v>
      </c>
      <c r="O7" s="3" t="s">
        <v>24</v>
      </c>
      <c r="P7" s="3" t="s">
        <v>25</v>
      </c>
      <c r="Q7" s="3" t="s">
        <v>26</v>
      </c>
      <c r="R7" s="3" t="s">
        <v>27</v>
      </c>
      <c r="S7" s="3" t="s">
        <v>29</v>
      </c>
      <c r="T7" s="3" t="s">
        <v>30</v>
      </c>
      <c r="U7" s="3" t="s">
        <v>31</v>
      </c>
      <c r="V7" s="3" t="s">
        <v>32</v>
      </c>
      <c r="W7" s="3" t="s">
        <v>33</v>
      </c>
      <c r="X7" s="3" t="s">
        <v>34</v>
      </c>
      <c r="Y7" s="3" t="s">
        <v>35</v>
      </c>
      <c r="Z7" s="3" t="s">
        <v>36</v>
      </c>
      <c r="AA7" s="3" t="s">
        <v>37</v>
      </c>
      <c r="AB7" s="3" t="s">
        <v>38</v>
      </c>
      <c r="AC7" s="3" t="s">
        <v>39</v>
      </c>
      <c r="AD7" s="3" t="s">
        <v>40</v>
      </c>
      <c r="AE7" s="3" t="s">
        <v>41</v>
      </c>
      <c r="AF7" s="3" t="s">
        <v>42</v>
      </c>
      <c r="AG7" s="3" t="s">
        <v>43</v>
      </c>
      <c r="AH7" s="14" t="s">
        <v>45</v>
      </c>
    </row>
    <row r="8" spans="2:34" ht="30" customHeight="1" x14ac:dyDescent="0.25">
      <c r="B8" s="15" t="str">
        <f>'Noms des employés'!B4</f>
        <v>1 - Carole</v>
      </c>
      <c r="C8" s="3"/>
      <c r="D8" s="3"/>
      <c r="E8" s="3"/>
      <c r="F8" s="3"/>
      <c r="G8" s="3"/>
      <c r="H8" s="3"/>
      <c r="I8" s="37"/>
      <c r="J8" s="3"/>
      <c r="K8" s="3"/>
      <c r="L8" s="3"/>
      <c r="M8" s="3"/>
      <c r="N8" s="3"/>
      <c r="O8" s="3"/>
      <c r="P8" s="37"/>
      <c r="Q8" s="26"/>
      <c r="R8" s="3"/>
      <c r="S8" s="3"/>
      <c r="T8" s="3"/>
      <c r="U8" s="3"/>
      <c r="V8" s="3"/>
      <c r="W8" s="37"/>
      <c r="X8" s="3"/>
      <c r="Y8" s="3"/>
      <c r="Z8" s="3"/>
      <c r="AA8" s="3"/>
      <c r="AB8" s="3"/>
      <c r="AC8" s="3"/>
      <c r="AD8" s="37"/>
      <c r="AE8" s="3"/>
      <c r="AF8" s="3"/>
      <c r="AG8" s="3"/>
      <c r="AH8" s="9">
        <f>COUNTA(Août[[#This Row],[1]:[31]])-COUNTIF(Août[[#This Row],[1]:[31]],"F")</f>
        <v>0</v>
      </c>
    </row>
    <row r="9" spans="2:34" ht="30" customHeight="1" x14ac:dyDescent="0.25">
      <c r="B9" s="15" t="str">
        <f>'Noms des employés'!B5</f>
        <v xml:space="preserve">2 - Laïla </v>
      </c>
      <c r="C9" s="3"/>
      <c r="D9" s="3"/>
      <c r="E9" s="3"/>
      <c r="F9" s="3"/>
      <c r="G9" s="3"/>
      <c r="H9" s="3"/>
      <c r="I9" s="29"/>
      <c r="J9" s="3"/>
      <c r="K9" s="3"/>
      <c r="L9" s="3"/>
      <c r="M9" s="3"/>
      <c r="N9" s="3"/>
      <c r="O9" s="3"/>
      <c r="P9" s="29"/>
      <c r="Q9" s="26"/>
      <c r="R9" s="3"/>
      <c r="S9" s="3"/>
      <c r="T9" s="3"/>
      <c r="U9" s="3"/>
      <c r="V9" s="3"/>
      <c r="W9" s="29"/>
      <c r="X9" s="3"/>
      <c r="Y9" s="3"/>
      <c r="Z9" s="3"/>
      <c r="AA9" s="3"/>
      <c r="AB9" s="3"/>
      <c r="AC9" s="3"/>
      <c r="AD9" s="29"/>
      <c r="AE9" s="3"/>
      <c r="AF9" s="3"/>
      <c r="AG9" s="3"/>
      <c r="AH9" s="9">
        <f>COUNTA(Août[[#This Row],[1]:[31]])-COUNTIF(Août[[#This Row],[1]:[31]],"F")</f>
        <v>0</v>
      </c>
    </row>
    <row r="10" spans="2:34" ht="30" customHeight="1" x14ac:dyDescent="0.25">
      <c r="B10" s="15" t="str">
        <f>'Noms des employés'!B6</f>
        <v>3 - Jean-Claude</v>
      </c>
      <c r="C10" s="3" t="s">
        <v>4</v>
      </c>
      <c r="D10" s="3" t="s">
        <v>4</v>
      </c>
      <c r="E10" s="3" t="s">
        <v>4</v>
      </c>
      <c r="F10" s="3" t="s">
        <v>4</v>
      </c>
      <c r="G10" s="3" t="s">
        <v>4</v>
      </c>
      <c r="H10" s="3" t="s">
        <v>4</v>
      </c>
      <c r="I10" s="29"/>
      <c r="J10" s="3" t="s">
        <v>4</v>
      </c>
      <c r="K10" s="3" t="s">
        <v>4</v>
      </c>
      <c r="L10" s="3" t="s">
        <v>4</v>
      </c>
      <c r="M10" s="3" t="s">
        <v>4</v>
      </c>
      <c r="N10" s="3" t="s">
        <v>4</v>
      </c>
      <c r="O10" s="3" t="s">
        <v>4</v>
      </c>
      <c r="P10" s="29"/>
      <c r="Q10" s="26"/>
      <c r="R10" s="3"/>
      <c r="S10" s="3"/>
      <c r="T10" s="3"/>
      <c r="U10" s="3"/>
      <c r="V10" s="3"/>
      <c r="W10" s="29"/>
      <c r="X10" s="3"/>
      <c r="Y10" s="3"/>
      <c r="Z10" s="3"/>
      <c r="AA10" s="3"/>
      <c r="AB10" s="3"/>
      <c r="AC10" s="3"/>
      <c r="AD10" s="29"/>
      <c r="AE10" s="3"/>
      <c r="AF10" s="3"/>
      <c r="AG10" s="3"/>
      <c r="AH10" s="9">
        <f>COUNTA(Août[[#This Row],[1]:[31]])-COUNTIF(Août[[#This Row],[1]:[31]],"F")</f>
        <v>12</v>
      </c>
    </row>
    <row r="11" spans="2:34" ht="30" hidden="1" customHeight="1" x14ac:dyDescent="0.25">
      <c r="B11" s="15">
        <f>'Noms des employés'!B7</f>
        <v>0</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f>COUNTA(Août[[#This Row],[1]:[31]])-COUNTIF(Août[[#This Row],[1]:[31]],"F")</f>
        <v>0</v>
      </c>
    </row>
    <row r="12" spans="2:34" ht="30" hidden="1" customHeight="1" x14ac:dyDescent="0.25">
      <c r="B12" s="15">
        <f>'Noms des employés'!B8</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COUNTA(Août[[#This Row],[1]:[31]])-COUNTIF(Août[[#This Row],[1]:[31]],"F")</f>
        <v>0</v>
      </c>
    </row>
    <row r="13" spans="2:34" ht="30" customHeight="1" x14ac:dyDescent="0.25">
      <c r="B13" s="22" t="str">
        <f>NomMois&amp;" Total"</f>
        <v>Août Total</v>
      </c>
      <c r="C13" s="23">
        <f>SUBTOTAL(103,Août[1])</f>
        <v>1</v>
      </c>
      <c r="D13" s="23">
        <f>SUBTOTAL(103,Août[2])</f>
        <v>1</v>
      </c>
      <c r="E13" s="23">
        <f>SUBTOTAL(103,Août[3])</f>
        <v>1</v>
      </c>
      <c r="F13" s="23">
        <f>SUBTOTAL(103,Août[4])</f>
        <v>1</v>
      </c>
      <c r="G13" s="23">
        <f>SUBTOTAL(103,Août[5])</f>
        <v>1</v>
      </c>
      <c r="H13" s="23">
        <f>SUBTOTAL(103,Août[6])</f>
        <v>1</v>
      </c>
      <c r="I13" s="23">
        <f>SUBTOTAL(103,Août[7])</f>
        <v>0</v>
      </c>
      <c r="J13" s="23">
        <f>SUBTOTAL(103,Août[8])</f>
        <v>1</v>
      </c>
      <c r="K13" s="23">
        <f>SUBTOTAL(103,Août[9])</f>
        <v>1</v>
      </c>
      <c r="L13" s="23">
        <f>SUBTOTAL(103,Août[10])</f>
        <v>1</v>
      </c>
      <c r="M13" s="23">
        <f>SUBTOTAL(103,Août[11])</f>
        <v>1</v>
      </c>
      <c r="N13" s="23">
        <f>SUBTOTAL(103,Août[12])</f>
        <v>1</v>
      </c>
      <c r="O13" s="23">
        <f>SUBTOTAL(103,Août[13])</f>
        <v>1</v>
      </c>
      <c r="P13" s="23">
        <f>SUBTOTAL(103,Août[14])</f>
        <v>0</v>
      </c>
      <c r="Q13" s="23">
        <f>SUBTOTAL(103,Août[15])</f>
        <v>0</v>
      </c>
      <c r="R13" s="23">
        <f>SUBTOTAL(103,Août[16])</f>
        <v>0</v>
      </c>
      <c r="S13" s="23">
        <f>SUBTOTAL(103,Août[17])</f>
        <v>0</v>
      </c>
      <c r="T13" s="23">
        <f>SUBTOTAL(103,Août[18])</f>
        <v>0</v>
      </c>
      <c r="U13" s="23">
        <f>SUBTOTAL(103,Août[19])</f>
        <v>0</v>
      </c>
      <c r="V13" s="23">
        <f>SUBTOTAL(103,Août[20])</f>
        <v>0</v>
      </c>
      <c r="W13" s="23">
        <f>SUBTOTAL(103,Août[21])</f>
        <v>0</v>
      </c>
      <c r="X13" s="23">
        <f>SUBTOTAL(103,Août[22])</f>
        <v>0</v>
      </c>
      <c r="Y13" s="23">
        <f>SUBTOTAL(103,Août[23])</f>
        <v>0</v>
      </c>
      <c r="Z13" s="23">
        <f>SUBTOTAL(103,Août[24])</f>
        <v>0</v>
      </c>
      <c r="AA13" s="23">
        <f>SUBTOTAL(103,Août[25])</f>
        <v>0</v>
      </c>
      <c r="AB13" s="23">
        <f>SUBTOTAL(103,Août[26])</f>
        <v>0</v>
      </c>
      <c r="AC13" s="23">
        <f>SUBTOTAL(103,Août[27])</f>
        <v>0</v>
      </c>
      <c r="AD13" s="23">
        <f>SUBTOTAL(103,Août[28])</f>
        <v>0</v>
      </c>
      <c r="AE13" s="23">
        <f>SUBTOTAL(103,Août[29])</f>
        <v>0</v>
      </c>
      <c r="AF13" s="23">
        <f>SUBTOTAL(109,Août[30])</f>
        <v>0</v>
      </c>
      <c r="AG13" s="23">
        <f>SUBTOTAL(109,Août[31])</f>
        <v>0</v>
      </c>
      <c r="AH13" s="23">
        <f>SUBTOTAL(109,Août[Total des jours])</f>
        <v>12</v>
      </c>
    </row>
  </sheetData>
  <mergeCells count="6">
    <mergeCell ref="C5:AG5"/>
    <mergeCell ref="D3:E3"/>
    <mergeCell ref="G3:I3"/>
    <mergeCell ref="K3:L3"/>
    <mergeCell ref="N3:Q3"/>
    <mergeCell ref="S3:V3"/>
  </mergeCells>
  <conditionalFormatting sqref="I8 C11:AG12 R10:AG10 W8 C10:P10 P8 AD8">
    <cfRule type="expression" priority="97" stopIfTrue="1">
      <formula>C8=""</formula>
    </cfRule>
  </conditionalFormatting>
  <conditionalFormatting sqref="I8 C11:AG12 R10:AG10 W8 C10:P10 P8 AD8">
    <cfRule type="expression" dxfId="760" priority="98" stopIfTrue="1">
      <formula>C8=CléPersonnalisée2</formula>
    </cfRule>
    <cfRule type="expression" dxfId="759" priority="99" stopIfTrue="1">
      <formula>C8=CléPersonnalisée1</formula>
    </cfRule>
    <cfRule type="expression" dxfId="758" priority="100" stopIfTrue="1">
      <formula>C8=CléMaladie</formula>
    </cfRule>
    <cfRule type="expression" dxfId="757" priority="101" stopIfTrue="1">
      <formula>C8=CléPersonnel</formula>
    </cfRule>
    <cfRule type="expression" dxfId="756" priority="102" stopIfTrue="1">
      <formula>C8=CléCongé</formula>
    </cfRule>
  </conditionalFormatting>
  <conditionalFormatting sqref="AH8:AH12">
    <cfRule type="dataBar" priority="103">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conditionalFormatting sqref="R3">
    <cfRule type="expression" priority="85" stopIfTrue="1">
      <formula>R3=""</formula>
    </cfRule>
  </conditionalFormatting>
  <conditionalFormatting sqref="R3">
    <cfRule type="expression" dxfId="755" priority="86" stopIfTrue="1">
      <formula>R3=CléPersonnalisée2</formula>
    </cfRule>
    <cfRule type="expression" dxfId="754" priority="87" stopIfTrue="1">
      <formula>R3=CléPersonnalisée1</formula>
    </cfRule>
    <cfRule type="expression" dxfId="753" priority="88" stopIfTrue="1">
      <formula>R3=CléMaladie</formula>
    </cfRule>
    <cfRule type="expression" dxfId="752" priority="89" stopIfTrue="1">
      <formula>R3=CléPersonnel</formula>
    </cfRule>
    <cfRule type="expression" dxfId="751" priority="90" stopIfTrue="1">
      <formula>R3=CléCongé</formula>
    </cfRule>
  </conditionalFormatting>
  <conditionalFormatting sqref="C9:P9 R9:AG9">
    <cfRule type="expression" priority="43" stopIfTrue="1">
      <formula>C9=""</formula>
    </cfRule>
  </conditionalFormatting>
  <conditionalFormatting sqref="C9:P9 R9:AG9">
    <cfRule type="expression" dxfId="750" priority="44" stopIfTrue="1">
      <formula>C9=CléPersonnalisée2</formula>
    </cfRule>
    <cfRule type="expression" dxfId="749" priority="45" stopIfTrue="1">
      <formula>C9=CléPersonnalisée1</formula>
    </cfRule>
    <cfRule type="expression" dxfId="748" priority="46" stopIfTrue="1">
      <formula>C9=CléMaladie</formula>
    </cfRule>
    <cfRule type="expression" dxfId="747" priority="47" stopIfTrue="1">
      <formula>C9=CléPersonnel</formula>
    </cfRule>
    <cfRule type="expression" dxfId="746" priority="48" stopIfTrue="1">
      <formula>C9=CléCongé</formula>
    </cfRule>
  </conditionalFormatting>
  <conditionalFormatting sqref="Q9:Q10">
    <cfRule type="expression" priority="37" stopIfTrue="1">
      <formula>Q9=""</formula>
    </cfRule>
    <cfRule type="expression" dxfId="745" priority="38" stopIfTrue="1">
      <formula>Q9=CléPersonnalisée2</formula>
    </cfRule>
    <cfRule type="expression" dxfId="744" priority="39" stopIfTrue="1">
      <formula>Q9=CléPersonnalisée1</formula>
    </cfRule>
    <cfRule type="expression" dxfId="743" priority="40" stopIfTrue="1">
      <formula>Q9=CléMaladie</formula>
    </cfRule>
    <cfRule type="expression" dxfId="742" priority="41" stopIfTrue="1">
      <formula>Q9=CléPersonnel</formula>
    </cfRule>
    <cfRule type="expression" dxfId="741" priority="42" stopIfTrue="1">
      <formula>Q9=CléCongé</formula>
    </cfRule>
  </conditionalFormatting>
  <conditionalFormatting sqref="C8:H8">
    <cfRule type="expression" priority="31" stopIfTrue="1">
      <formula>C8=""</formula>
    </cfRule>
  </conditionalFormatting>
  <conditionalFormatting sqref="C8:H8">
    <cfRule type="expression" dxfId="269" priority="32" stopIfTrue="1">
      <formula>C8=CléPersonnalisée2</formula>
    </cfRule>
    <cfRule type="expression" dxfId="268" priority="33" stopIfTrue="1">
      <formula>C8=CléPersonnalisée1</formula>
    </cfRule>
    <cfRule type="expression" dxfId="267" priority="34" stopIfTrue="1">
      <formula>C8=CléMaladie</formula>
    </cfRule>
    <cfRule type="expression" dxfId="266" priority="35" stopIfTrue="1">
      <formula>C8=CléPersonnel</formula>
    </cfRule>
    <cfRule type="expression" dxfId="265" priority="36" stopIfTrue="1">
      <formula>C8=CléCongé</formula>
    </cfRule>
  </conditionalFormatting>
  <conditionalFormatting sqref="J8:O8">
    <cfRule type="expression" priority="25" stopIfTrue="1">
      <formula>J8=""</formula>
    </cfRule>
  </conditionalFormatting>
  <conditionalFormatting sqref="J8:O8">
    <cfRule type="expression" dxfId="259" priority="26" stopIfTrue="1">
      <formula>J8=CléPersonnalisée2</formula>
    </cfRule>
    <cfRule type="expression" dxfId="258" priority="27" stopIfTrue="1">
      <formula>J8=CléPersonnalisée1</formula>
    </cfRule>
    <cfRule type="expression" dxfId="257" priority="28" stopIfTrue="1">
      <formula>J8=CléMaladie</formula>
    </cfRule>
    <cfRule type="expression" dxfId="256" priority="29" stopIfTrue="1">
      <formula>J8=CléPersonnel</formula>
    </cfRule>
    <cfRule type="expression" dxfId="255" priority="30" stopIfTrue="1">
      <formula>J8=CléCongé</formula>
    </cfRule>
  </conditionalFormatting>
  <conditionalFormatting sqref="R8:V8">
    <cfRule type="expression" priority="19" stopIfTrue="1">
      <formula>R8=""</formula>
    </cfRule>
  </conditionalFormatting>
  <conditionalFormatting sqref="R8:V8">
    <cfRule type="expression" dxfId="249" priority="20" stopIfTrue="1">
      <formula>R8=CléPersonnalisée2</formula>
    </cfRule>
    <cfRule type="expression" dxfId="248" priority="21" stopIfTrue="1">
      <formula>R8=CléPersonnalisée1</formula>
    </cfRule>
    <cfRule type="expression" dxfId="247" priority="22" stopIfTrue="1">
      <formula>R8=CléMaladie</formula>
    </cfRule>
    <cfRule type="expression" dxfId="246" priority="23" stopIfTrue="1">
      <formula>R8=CléPersonnel</formula>
    </cfRule>
    <cfRule type="expression" dxfId="245" priority="24" stopIfTrue="1">
      <formula>R8=CléCongé</formula>
    </cfRule>
  </conditionalFormatting>
  <conditionalFormatting sqref="X8:AC8">
    <cfRule type="expression" priority="13" stopIfTrue="1">
      <formula>X8=""</formula>
    </cfRule>
  </conditionalFormatting>
  <conditionalFormatting sqref="X8:AC8">
    <cfRule type="expression" dxfId="239" priority="14" stopIfTrue="1">
      <formula>X8=CléPersonnalisée2</formula>
    </cfRule>
    <cfRule type="expression" dxfId="238" priority="15" stopIfTrue="1">
      <formula>X8=CléPersonnalisée1</formula>
    </cfRule>
    <cfRule type="expression" dxfId="237" priority="16" stopIfTrue="1">
      <formula>X8=CléMaladie</formula>
    </cfRule>
    <cfRule type="expression" dxfId="236" priority="17" stopIfTrue="1">
      <formula>X8=CléPersonnel</formula>
    </cfRule>
    <cfRule type="expression" dxfId="235" priority="18" stopIfTrue="1">
      <formula>X8=CléCongé</formula>
    </cfRule>
  </conditionalFormatting>
  <conditionalFormatting sqref="AE8:AG8">
    <cfRule type="expression" priority="7" stopIfTrue="1">
      <formula>AE8=""</formula>
    </cfRule>
  </conditionalFormatting>
  <conditionalFormatting sqref="AE8:AG8">
    <cfRule type="expression" dxfId="229" priority="8" stopIfTrue="1">
      <formula>AE8=CléPersonnalisée2</formula>
    </cfRule>
    <cfRule type="expression" dxfId="228" priority="9" stopIfTrue="1">
      <formula>AE8=CléPersonnalisée1</formula>
    </cfRule>
    <cfRule type="expression" dxfId="227" priority="10" stopIfTrue="1">
      <formula>AE8=CléMaladie</formula>
    </cfRule>
    <cfRule type="expression" dxfId="226" priority="11" stopIfTrue="1">
      <formula>AE8=CléPersonnel</formula>
    </cfRule>
    <cfRule type="expression" dxfId="225" priority="12" stopIfTrue="1">
      <formula>AE8=CléCongé</formula>
    </cfRule>
  </conditionalFormatting>
  <conditionalFormatting sqref="Q8">
    <cfRule type="expression" priority="1" stopIfTrue="1">
      <formula>Q8=""</formula>
    </cfRule>
    <cfRule type="expression" dxfId="219" priority="2" stopIfTrue="1">
      <formula>Q8=CléPersonnalisée2</formula>
    </cfRule>
    <cfRule type="expression" dxfId="218" priority="3" stopIfTrue="1">
      <formula>Q8=CléPersonnalisée1</formula>
    </cfRule>
    <cfRule type="expression" dxfId="217" priority="4" stopIfTrue="1">
      <formula>Q8=CléMaladie</formula>
    </cfRule>
    <cfRule type="expression" dxfId="216" priority="5" stopIfTrue="1">
      <formula>Q8=CléPersonnel</formula>
    </cfRule>
    <cfRule type="expression" dxfId="215" priority="6" stopIfTrue="1">
      <formula>Q8=CléCongé</formula>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dataValidation allowBlank="1" showInputMessage="1" showErrorMessage="1" prompt="Année mise à jour automatiquement en fonction de l’année entrée dans la feuille de calcul Janvier" sqref="AH5"/>
    <dataValidation allowBlank="1" showInputMessage="1" showErrorMessage="1" prompt="Calcule automatiquement le nombre total de jours d’absence d’un employé durant ce mois dans cette colonne" sqref="AH7"/>
    <dataValidation allowBlank="1" showInputMessage="1" showErrorMessage="1" prompt="Suivez les absences du mois d’août dans cette feuille de calcul" sqref="A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dataValidation allowBlank="1" showInputMessage="1" showErrorMessage="1" prompt="Le titre mis à jour automatiquement figure dans cette cellule. Pour modifier le titre, mettez à jour la cellule B1 de la feuille de calcul Janvier" sqref="B2"/>
    <dataValidation allowBlank="1" showInputMessage="1" showErrorMessage="1" prompt="La lettre « C » indique une absence pour cause de congé" sqref="C3"/>
    <dataValidation allowBlank="1" showInputMessage="1" showErrorMessage="1" prompt="La lettre « P » indique une absence pour motifs personnels" sqref="F3"/>
    <dataValidation allowBlank="1" showInputMessage="1" showErrorMessage="1" prompt="La lettre « M » indique une absence pour cause de maladie" sqref="J3"/>
    <dataValidation allowBlank="1" showInputMessage="1" showErrorMessage="1" prompt="Entrez une lettre et personnalisez l’étiquette à droite pour ajouter un élément de clé" sqref="M3 R3 Q8:Q10"/>
    <dataValidation allowBlank="1" showInputMessage="1" showErrorMessage="1" prompt="Entrez une étiquette pour décrire la clé personnalisée à gauche" sqref="N3 S3"/>
    <dataValidation allowBlank="1" showInputMessage="1" showErrorMessage="1" prompt="Cette ligne définit les clés utilisées dans le tableau : Congé en C2, Personnel en F2 et Congé maladie en J2. Les cellules M2 et R2 sont personnalisables  " sqref="B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AH8:AH12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B8:B12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4"/>
  <sheetViews>
    <sheetView showGridLines="0" zoomScaleNormal="100" workbookViewId="0">
      <selection activeCell="AB9" sqref="AB9:AG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28.5" customHeight="1" x14ac:dyDescent="0.25"/>
    <row r="3" spans="2:34" ht="50.1" customHeight="1" x14ac:dyDescent="0.25">
      <c r="B3" s="12" t="str">
        <f>Titre_Absence_Employé</f>
        <v>Calendrier des absences des employés</v>
      </c>
    </row>
    <row r="4" spans="2:34" ht="15" customHeight="1" x14ac:dyDescent="0.25">
      <c r="B4" s="17" t="s">
        <v>1</v>
      </c>
      <c r="C4" s="4" t="s">
        <v>4</v>
      </c>
      <c r="D4" s="39" t="s">
        <v>7</v>
      </c>
      <c r="E4" s="39"/>
      <c r="F4" s="5" t="s">
        <v>10</v>
      </c>
      <c r="G4" s="39" t="s">
        <v>14</v>
      </c>
      <c r="H4" s="39"/>
      <c r="I4" s="39"/>
      <c r="J4" s="6" t="s">
        <v>12</v>
      </c>
      <c r="K4" s="39" t="s">
        <v>19</v>
      </c>
      <c r="L4" s="39"/>
      <c r="M4" s="7"/>
      <c r="N4" s="39" t="s">
        <v>23</v>
      </c>
      <c r="O4" s="39"/>
      <c r="P4" s="39"/>
      <c r="Q4" s="39"/>
      <c r="R4" s="8"/>
      <c r="S4" s="40"/>
      <c r="T4" s="39"/>
      <c r="U4" s="39"/>
      <c r="V4" s="39"/>
    </row>
    <row r="5" spans="2:34" ht="15" customHeight="1" x14ac:dyDescent="0.25">
      <c r="B5" s="12"/>
    </row>
    <row r="6" spans="2:34" ht="30" customHeight="1" x14ac:dyDescent="0.25">
      <c r="B6" s="11" t="s">
        <v>55</v>
      </c>
      <c r="C6" s="38" t="s">
        <v>5</v>
      </c>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11">
        <f>AnnéeCalendrier</f>
        <v>2022</v>
      </c>
    </row>
    <row r="7" spans="2:34" ht="15" customHeight="1" x14ac:dyDescent="0.25">
      <c r="B7" s="11"/>
      <c r="C7" s="2" t="str">
        <f>TEXT(WEEKDAY(DATE(AnnéeCalendrier,9,1),1),"jjj")</f>
        <v>jeu</v>
      </c>
      <c r="D7" s="2" t="str">
        <f>TEXT(WEEKDAY(DATE(AnnéeCalendrier,9,2),1),"jjj")</f>
        <v>ven</v>
      </c>
      <c r="E7" s="2" t="str">
        <f>TEXT(WEEKDAY(DATE(AnnéeCalendrier,9,3),1),"jjj")</f>
        <v>sam</v>
      </c>
      <c r="F7" s="2" t="str">
        <f>TEXT(WEEKDAY(DATE(AnnéeCalendrier,9,4),1),"jjj")</f>
        <v>dim</v>
      </c>
      <c r="G7" s="2" t="str">
        <f>TEXT(WEEKDAY(DATE(AnnéeCalendrier,9,5),1),"jjj")</f>
        <v>lun</v>
      </c>
      <c r="H7" s="2" t="str">
        <f>TEXT(WEEKDAY(DATE(AnnéeCalendrier,9,6),1),"jjj")</f>
        <v>mar</v>
      </c>
      <c r="I7" s="2" t="str">
        <f>TEXT(WEEKDAY(DATE(AnnéeCalendrier,9,7),1),"jjj")</f>
        <v>mer</v>
      </c>
      <c r="J7" s="2" t="str">
        <f>TEXT(WEEKDAY(DATE(AnnéeCalendrier,9,8),1),"jjj")</f>
        <v>jeu</v>
      </c>
      <c r="K7" s="2" t="str">
        <f>TEXT(WEEKDAY(DATE(AnnéeCalendrier,9,9),1),"jjj")</f>
        <v>ven</v>
      </c>
      <c r="L7" s="2" t="str">
        <f>TEXT(WEEKDAY(DATE(AnnéeCalendrier,9,10),1),"jjj")</f>
        <v>sam</v>
      </c>
      <c r="M7" s="2" t="str">
        <f>TEXT(WEEKDAY(DATE(AnnéeCalendrier,9,11),1),"jjj")</f>
        <v>dim</v>
      </c>
      <c r="N7" s="2" t="str">
        <f>TEXT(WEEKDAY(DATE(AnnéeCalendrier,9,12),1),"jjj")</f>
        <v>lun</v>
      </c>
      <c r="O7" s="2" t="str">
        <f>TEXT(WEEKDAY(DATE(AnnéeCalendrier,9,13),1),"jjj")</f>
        <v>mar</v>
      </c>
      <c r="P7" s="2" t="str">
        <f>TEXT(WEEKDAY(DATE(AnnéeCalendrier,9,14),1),"jjj")</f>
        <v>mer</v>
      </c>
      <c r="Q7" s="2" t="str">
        <f>TEXT(WEEKDAY(DATE(AnnéeCalendrier,9,15),1),"jjj")</f>
        <v>jeu</v>
      </c>
      <c r="R7" s="2" t="str">
        <f>TEXT(WEEKDAY(DATE(AnnéeCalendrier,9,16),1),"jjj")</f>
        <v>ven</v>
      </c>
      <c r="S7" s="2" t="str">
        <f>TEXT(WEEKDAY(DATE(AnnéeCalendrier,9,17),1),"jjj")</f>
        <v>sam</v>
      </c>
      <c r="T7" s="2" t="str">
        <f>TEXT(WEEKDAY(DATE(AnnéeCalendrier,9,18),1),"jjj")</f>
        <v>dim</v>
      </c>
      <c r="U7" s="2" t="str">
        <f>TEXT(WEEKDAY(DATE(AnnéeCalendrier,9,19),1),"jjj")</f>
        <v>lun</v>
      </c>
      <c r="V7" s="2" t="str">
        <f>TEXT(WEEKDAY(DATE(AnnéeCalendrier,9,20),1),"jjj")</f>
        <v>mar</v>
      </c>
      <c r="W7" s="2" t="str">
        <f>TEXT(WEEKDAY(DATE(AnnéeCalendrier,9,21),1),"jjj")</f>
        <v>mer</v>
      </c>
      <c r="X7" s="2" t="str">
        <f>TEXT(WEEKDAY(DATE(AnnéeCalendrier,9,22),1),"jjj")</f>
        <v>jeu</v>
      </c>
      <c r="Y7" s="2" t="str">
        <f>TEXT(WEEKDAY(DATE(AnnéeCalendrier,9,23),1),"jjj")</f>
        <v>ven</v>
      </c>
      <c r="Z7" s="2" t="str">
        <f>TEXT(WEEKDAY(DATE(AnnéeCalendrier,9,24),1),"jjj")</f>
        <v>sam</v>
      </c>
      <c r="AA7" s="2" t="str">
        <f>TEXT(WEEKDAY(DATE(AnnéeCalendrier,9,25),1),"jjj")</f>
        <v>dim</v>
      </c>
      <c r="AB7" s="2" t="str">
        <f>TEXT(WEEKDAY(DATE(AnnéeCalendrier,9,26),1),"jjj")</f>
        <v>lun</v>
      </c>
      <c r="AC7" s="2" t="str">
        <f>TEXT(WEEKDAY(DATE(AnnéeCalendrier,9,27),1),"jjj")</f>
        <v>mar</v>
      </c>
      <c r="AD7" s="2" t="str">
        <f>TEXT(WEEKDAY(DATE(AnnéeCalendrier,9,28),1),"jjj")</f>
        <v>mer</v>
      </c>
      <c r="AE7" s="2" t="str">
        <f>TEXT(WEEKDAY(DATE(AnnéeCalendrier,9,29),1),"jjj")</f>
        <v>jeu</v>
      </c>
      <c r="AF7" s="2" t="str">
        <f>TEXT(WEEKDAY(DATE(AnnéeCalendrier,9,30),1),"jjj")</f>
        <v>ven</v>
      </c>
      <c r="AG7" s="2"/>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
      <c r="D9" s="3"/>
      <c r="E9" s="3"/>
      <c r="F9" s="37"/>
      <c r="G9" s="3"/>
      <c r="H9" s="3"/>
      <c r="I9" s="3"/>
      <c r="J9" s="3"/>
      <c r="K9" s="3"/>
      <c r="L9" s="3"/>
      <c r="M9" s="37"/>
      <c r="N9" s="3"/>
      <c r="O9" s="3"/>
      <c r="P9" s="3"/>
      <c r="Q9" s="3"/>
      <c r="R9" s="3"/>
      <c r="S9" s="3"/>
      <c r="T9" s="37"/>
      <c r="U9" s="3"/>
      <c r="V9" s="3"/>
      <c r="W9" s="3"/>
      <c r="X9" s="3"/>
      <c r="Y9" s="3"/>
      <c r="Z9" s="3"/>
      <c r="AA9" s="37"/>
      <c r="AB9" s="3"/>
      <c r="AC9" s="3"/>
      <c r="AD9" s="3"/>
      <c r="AE9" s="3"/>
      <c r="AF9" s="3"/>
      <c r="AG9" s="3"/>
      <c r="AH9" s="9">
        <f>COUNTA(Septembre[[#This Row],[1]:[31]])</f>
        <v>0</v>
      </c>
    </row>
    <row r="10" spans="2:34" ht="30" customHeight="1" x14ac:dyDescent="0.25">
      <c r="B10" s="15" t="str">
        <f>'Noms des employés'!B5</f>
        <v xml:space="preserve">2 - Laïla </v>
      </c>
      <c r="C10" s="3"/>
      <c r="D10" s="3"/>
      <c r="E10" s="3"/>
      <c r="F10" s="29"/>
      <c r="G10" s="3"/>
      <c r="H10" s="3"/>
      <c r="I10" s="3"/>
      <c r="J10" s="3"/>
      <c r="K10" s="3"/>
      <c r="L10" s="3"/>
      <c r="M10" s="29"/>
      <c r="N10" s="3"/>
      <c r="O10" s="3"/>
      <c r="P10" s="3"/>
      <c r="Q10" s="3"/>
      <c r="R10" s="3"/>
      <c r="S10" s="3"/>
      <c r="T10" s="29"/>
      <c r="U10" s="3"/>
      <c r="V10" s="3"/>
      <c r="W10" s="3"/>
      <c r="X10" s="3"/>
      <c r="Y10" s="3"/>
      <c r="Z10" s="3"/>
      <c r="AA10" s="29"/>
      <c r="AB10" s="3"/>
      <c r="AC10" s="3"/>
      <c r="AD10" s="3"/>
      <c r="AE10" s="3"/>
      <c r="AF10" s="3"/>
      <c r="AG10" s="3"/>
      <c r="AH10" s="9">
        <f>COUNTA(Septembre[[#This Row],[1]:[31]])</f>
        <v>0</v>
      </c>
    </row>
    <row r="11" spans="2:34" ht="30" customHeight="1" x14ac:dyDescent="0.25">
      <c r="B11" s="15" t="str">
        <f>'Noms des employés'!B6</f>
        <v>3 - Jean-Claude</v>
      </c>
      <c r="C11" s="3"/>
      <c r="D11" s="3"/>
      <c r="E11" s="3"/>
      <c r="F11" s="29"/>
      <c r="G11" s="3"/>
      <c r="H11" s="3"/>
      <c r="I11" s="3"/>
      <c r="J11" s="3"/>
      <c r="K11" s="3"/>
      <c r="L11" s="3"/>
      <c r="M11" s="29"/>
      <c r="N11" s="3"/>
      <c r="O11" s="3"/>
      <c r="P11" s="3"/>
      <c r="Q11" s="3"/>
      <c r="R11" s="3"/>
      <c r="S11" s="3"/>
      <c r="T11" s="29"/>
      <c r="U11" s="3"/>
      <c r="V11" s="3"/>
      <c r="W11" s="3"/>
      <c r="X11" s="3"/>
      <c r="Y11" s="3"/>
      <c r="Z11" s="3"/>
      <c r="AA11" s="29"/>
      <c r="AB11" s="3"/>
      <c r="AC11" s="3"/>
      <c r="AD11" s="3"/>
      <c r="AE11" s="3"/>
      <c r="AF11" s="3"/>
      <c r="AG11" s="3"/>
      <c r="AH11" s="9">
        <f>COUNTA(Septembre[[#This Row],[1]:[31]])</f>
        <v>0</v>
      </c>
    </row>
    <row r="12" spans="2:34" ht="30" hidden="1" customHeight="1" x14ac:dyDescent="0.25">
      <c r="B12" s="15">
        <f>'Noms des employés'!B7</f>
        <v>0</v>
      </c>
      <c r="C12" s="25"/>
      <c r="D12" s="3"/>
      <c r="E12" s="3"/>
      <c r="F12" s="3"/>
      <c r="G12" s="3"/>
      <c r="H12" s="3"/>
      <c r="I12" s="3"/>
      <c r="J12" s="25"/>
      <c r="K12" s="3"/>
      <c r="L12" s="3"/>
      <c r="M12" s="3"/>
      <c r="N12" s="3"/>
      <c r="O12" s="3"/>
      <c r="P12" s="3"/>
      <c r="Q12" s="25"/>
      <c r="R12" s="3"/>
      <c r="S12" s="3"/>
      <c r="T12" s="3"/>
      <c r="U12" s="3"/>
      <c r="V12" s="3"/>
      <c r="W12" s="3"/>
      <c r="X12" s="25"/>
      <c r="Y12" s="3"/>
      <c r="Z12" s="3"/>
      <c r="AA12" s="3"/>
      <c r="AB12" s="3"/>
      <c r="AC12" s="3"/>
      <c r="AD12" s="3"/>
      <c r="AE12" s="25"/>
      <c r="AF12" s="3"/>
      <c r="AG12" s="3"/>
      <c r="AH12" s="9">
        <f>COUNTA(Septembre[[#This Row],[1]:[31]])</f>
        <v>0</v>
      </c>
    </row>
    <row r="13" spans="2:34" ht="30" hidden="1" customHeight="1" x14ac:dyDescent="0.25">
      <c r="B13" s="15">
        <f>'Noms des employés'!B8</f>
        <v>0</v>
      </c>
      <c r="C13" s="25"/>
      <c r="D13" s="3"/>
      <c r="E13" s="3"/>
      <c r="F13" s="3"/>
      <c r="G13" s="3"/>
      <c r="H13" s="3"/>
      <c r="I13" s="3"/>
      <c r="J13" s="25"/>
      <c r="K13" s="3"/>
      <c r="L13" s="3"/>
      <c r="M13" s="3"/>
      <c r="N13" s="3"/>
      <c r="O13" s="3"/>
      <c r="P13" s="3"/>
      <c r="Q13" s="25"/>
      <c r="R13" s="3"/>
      <c r="S13" s="3"/>
      <c r="T13" s="3"/>
      <c r="U13" s="3"/>
      <c r="V13" s="3"/>
      <c r="W13" s="3"/>
      <c r="X13" s="25"/>
      <c r="Y13" s="3"/>
      <c r="Z13" s="3"/>
      <c r="AA13" s="3"/>
      <c r="AB13" s="3"/>
      <c r="AC13" s="3"/>
      <c r="AD13" s="3"/>
      <c r="AE13" s="25"/>
      <c r="AF13" s="3"/>
      <c r="AG13" s="3"/>
      <c r="AH13" s="9">
        <f>COUNTA(Septembre[[#This Row],[1]:[31]])</f>
        <v>0</v>
      </c>
    </row>
    <row r="14" spans="2:34" ht="30" customHeight="1" x14ac:dyDescent="0.25">
      <c r="B14" s="22" t="str">
        <f>NomMois&amp;" Total"</f>
        <v>Septembre Total</v>
      </c>
      <c r="C14" s="23">
        <f>SUBTOTAL(103,Septembre[1])</f>
        <v>0</v>
      </c>
      <c r="D14" s="23">
        <f>SUBTOTAL(103,Septembre[2])</f>
        <v>0</v>
      </c>
      <c r="E14" s="23">
        <f>SUBTOTAL(103,Septembre[3])</f>
        <v>0</v>
      </c>
      <c r="F14" s="23">
        <f>SUBTOTAL(103,Septembre[4])</f>
        <v>0</v>
      </c>
      <c r="G14" s="23">
        <f>SUBTOTAL(103,Septembre[5])</f>
        <v>0</v>
      </c>
      <c r="H14" s="23">
        <f>SUBTOTAL(103,Septembre[6])</f>
        <v>0</v>
      </c>
      <c r="I14" s="23">
        <f>SUBTOTAL(103,Septembre[7])</f>
        <v>0</v>
      </c>
      <c r="J14" s="23">
        <f>SUBTOTAL(103,Septembre[8])</f>
        <v>0</v>
      </c>
      <c r="K14" s="23">
        <f>SUBTOTAL(103,Septembre[9])</f>
        <v>0</v>
      </c>
      <c r="L14" s="23">
        <f>SUBTOTAL(103,Septembre[10])</f>
        <v>0</v>
      </c>
      <c r="M14" s="23">
        <f>SUBTOTAL(103,Septembre[11])</f>
        <v>0</v>
      </c>
      <c r="N14" s="23">
        <f>SUBTOTAL(103,Septembre[12])</f>
        <v>0</v>
      </c>
      <c r="O14" s="23">
        <f>SUBTOTAL(103,Septembre[13])</f>
        <v>0</v>
      </c>
      <c r="P14" s="23">
        <f>SUBTOTAL(103,Septembre[14])</f>
        <v>0</v>
      </c>
      <c r="Q14" s="23">
        <f>SUBTOTAL(103,Septembre[15])</f>
        <v>0</v>
      </c>
      <c r="R14" s="23">
        <f>SUBTOTAL(103,Septembre[16])</f>
        <v>0</v>
      </c>
      <c r="S14" s="23">
        <f>SUBTOTAL(103,Septembre[17])</f>
        <v>0</v>
      </c>
      <c r="T14" s="23">
        <f>SUBTOTAL(103,Septembre[18])</f>
        <v>0</v>
      </c>
      <c r="U14" s="23">
        <f>SUBTOTAL(103,Septembre[19])</f>
        <v>0</v>
      </c>
      <c r="V14" s="23">
        <f>SUBTOTAL(103,Septembre[20])</f>
        <v>0</v>
      </c>
      <c r="W14" s="23">
        <f>SUBTOTAL(103,Septembre[21])</f>
        <v>0</v>
      </c>
      <c r="X14" s="23">
        <f>SUBTOTAL(103,Septembre[22])</f>
        <v>0</v>
      </c>
      <c r="Y14" s="23">
        <f>SUBTOTAL(103,Septembre[23])</f>
        <v>0</v>
      </c>
      <c r="Z14" s="23">
        <f>SUBTOTAL(103,Septembre[24])</f>
        <v>0</v>
      </c>
      <c r="AA14" s="23">
        <f>SUBTOTAL(103,Septembre[25])</f>
        <v>0</v>
      </c>
      <c r="AB14" s="23">
        <f>SUBTOTAL(103,Septembre[26])</f>
        <v>0</v>
      </c>
      <c r="AC14" s="23">
        <f>SUBTOTAL(103,Septembre[27])</f>
        <v>0</v>
      </c>
      <c r="AD14" s="23">
        <f>SUBTOTAL(103,Septembre[28])</f>
        <v>0</v>
      </c>
      <c r="AE14" s="23">
        <f>SUBTOTAL(103,Septembre[29])</f>
        <v>0</v>
      </c>
      <c r="AF14" s="23">
        <f>SUBTOTAL(103,Septembre[30])</f>
        <v>0</v>
      </c>
      <c r="AG14" s="23">
        <f>SUBTOTAL(109,Septembre[31])</f>
        <v>0</v>
      </c>
      <c r="AH14" s="23">
        <f>SUBTOTAL(109,Septembre[Total des jours])</f>
        <v>0</v>
      </c>
    </row>
  </sheetData>
  <mergeCells count="6">
    <mergeCell ref="C6:AG6"/>
    <mergeCell ref="D4:E4"/>
    <mergeCell ref="G4:I4"/>
    <mergeCell ref="K4:L4"/>
    <mergeCell ref="N4:Q4"/>
    <mergeCell ref="S4:V4"/>
  </mergeCells>
  <conditionalFormatting sqref="C10:AG13 F9 M9 T9 AA9">
    <cfRule type="expression" priority="31" stopIfTrue="1">
      <formula>C9=""</formula>
    </cfRule>
  </conditionalFormatting>
  <conditionalFormatting sqref="C10:AG13 F9 M9 T9 AA9">
    <cfRule type="expression" dxfId="671" priority="32" stopIfTrue="1">
      <formula>C9=CléPersonnalisée2</formula>
    </cfRule>
    <cfRule type="expression" dxfId="670" priority="33" stopIfTrue="1">
      <formula>C9=CléPersonnalisée1</formula>
    </cfRule>
    <cfRule type="expression" dxfId="669" priority="34" stopIfTrue="1">
      <formula>C9=CléMaladie</formula>
    </cfRule>
    <cfRule type="expression" dxfId="668" priority="35" stopIfTrue="1">
      <formula>C9=CléPersonnel</formula>
    </cfRule>
    <cfRule type="expression" dxfId="667" priority="36" stopIfTrue="1">
      <formula>C9=CléCongé</formula>
    </cfRule>
  </conditionalFormatting>
  <conditionalFormatting sqref="AH9:AH13">
    <cfRule type="dataBar" priority="37">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conditionalFormatting sqref="C9:E9">
    <cfRule type="expression" priority="25" stopIfTrue="1">
      <formula>C9=""</formula>
    </cfRule>
  </conditionalFormatting>
  <conditionalFormatting sqref="C9:E9">
    <cfRule type="expression" dxfId="209" priority="26" stopIfTrue="1">
      <formula>C9=CléPersonnalisée2</formula>
    </cfRule>
    <cfRule type="expression" dxfId="208" priority="27" stopIfTrue="1">
      <formula>C9=CléPersonnalisée1</formula>
    </cfRule>
    <cfRule type="expression" dxfId="207" priority="28" stopIfTrue="1">
      <formula>C9=CléMaladie</formula>
    </cfRule>
    <cfRule type="expression" dxfId="206" priority="29" stopIfTrue="1">
      <formula>C9=CléPersonnel</formula>
    </cfRule>
    <cfRule type="expression" dxfId="205" priority="30" stopIfTrue="1">
      <formula>C9=CléCongé</formula>
    </cfRule>
  </conditionalFormatting>
  <conditionalFormatting sqref="G9:L9">
    <cfRule type="expression" priority="19" stopIfTrue="1">
      <formula>G9=""</formula>
    </cfRule>
  </conditionalFormatting>
  <conditionalFormatting sqref="G9:L9">
    <cfRule type="expression" dxfId="199" priority="20" stopIfTrue="1">
      <formula>G9=CléPersonnalisée2</formula>
    </cfRule>
    <cfRule type="expression" dxfId="198" priority="21" stopIfTrue="1">
      <formula>G9=CléPersonnalisée1</formula>
    </cfRule>
    <cfRule type="expression" dxfId="197" priority="22" stopIfTrue="1">
      <formula>G9=CléMaladie</formula>
    </cfRule>
    <cfRule type="expression" dxfId="196" priority="23" stopIfTrue="1">
      <formula>G9=CléPersonnel</formula>
    </cfRule>
    <cfRule type="expression" dxfId="195" priority="24" stopIfTrue="1">
      <formula>G9=CléCongé</formula>
    </cfRule>
  </conditionalFormatting>
  <conditionalFormatting sqref="N9:S9">
    <cfRule type="expression" priority="13" stopIfTrue="1">
      <formula>N9=""</formula>
    </cfRule>
  </conditionalFormatting>
  <conditionalFormatting sqref="N9:S9">
    <cfRule type="expression" dxfId="189" priority="14" stopIfTrue="1">
      <formula>N9=CléPersonnalisée2</formula>
    </cfRule>
    <cfRule type="expression" dxfId="188" priority="15" stopIfTrue="1">
      <formula>N9=CléPersonnalisée1</formula>
    </cfRule>
    <cfRule type="expression" dxfId="187" priority="16" stopIfTrue="1">
      <formula>N9=CléMaladie</formula>
    </cfRule>
    <cfRule type="expression" dxfId="186" priority="17" stopIfTrue="1">
      <formula>N9=CléPersonnel</formula>
    </cfRule>
    <cfRule type="expression" dxfId="185" priority="18" stopIfTrue="1">
      <formula>N9=CléCongé</formula>
    </cfRule>
  </conditionalFormatting>
  <conditionalFormatting sqref="U9:Z9">
    <cfRule type="expression" priority="7" stopIfTrue="1">
      <formula>U9=""</formula>
    </cfRule>
  </conditionalFormatting>
  <conditionalFormatting sqref="U9:Z9">
    <cfRule type="expression" dxfId="179" priority="8" stopIfTrue="1">
      <formula>U9=CléPersonnalisée2</formula>
    </cfRule>
    <cfRule type="expression" dxfId="178" priority="9" stopIfTrue="1">
      <formula>U9=CléPersonnalisée1</formula>
    </cfRule>
    <cfRule type="expression" dxfId="177" priority="10" stopIfTrue="1">
      <formula>U9=CléMaladie</formula>
    </cfRule>
    <cfRule type="expression" dxfId="176" priority="11" stopIfTrue="1">
      <formula>U9=CléPersonnel</formula>
    </cfRule>
    <cfRule type="expression" dxfId="175" priority="12" stopIfTrue="1">
      <formula>U9=CléCongé</formula>
    </cfRule>
  </conditionalFormatting>
  <conditionalFormatting sqref="AB9:AG9">
    <cfRule type="expression" priority="1" stopIfTrue="1">
      <formula>AB9=""</formula>
    </cfRule>
  </conditionalFormatting>
  <conditionalFormatting sqref="AB9:AG9">
    <cfRule type="expression" dxfId="169" priority="2" stopIfTrue="1">
      <formula>AB9=CléPersonnalisée2</formula>
    </cfRule>
    <cfRule type="expression" dxfId="168" priority="3" stopIfTrue="1">
      <formula>AB9=CléPersonnalisée1</formula>
    </cfRule>
    <cfRule type="expression" dxfId="167" priority="4" stopIfTrue="1">
      <formula>AB9=CléMaladie</formula>
    </cfRule>
    <cfRule type="expression" dxfId="166" priority="5" stopIfTrue="1">
      <formula>AB9=CléPersonnel</formula>
    </cfRule>
    <cfRule type="expression" dxfId="165" priority="6" stopIfTrue="1">
      <formula>AB9=CléCongé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Entrez une étiquette pour décrire la clé personnalisée à gauche" sqref="N4 S4"/>
    <dataValidation allowBlank="1" showInputMessage="1" showErrorMessage="1" prompt="Entrez une lettre et personnalisez l’étiquette à droite pour ajouter un élément de clé" sqref="M4 R4"/>
    <dataValidation allowBlank="1" showInputMessage="1" showErrorMessage="1" prompt="La lettre « M » indique une absence pour cause de maladie" sqref="J4"/>
    <dataValidation allowBlank="1" showInputMessage="1" showErrorMessage="1" prompt="La lettre « P » indique une absence pour motifs personnels" sqref="F4"/>
    <dataValidation allowBlank="1" showInputMessage="1" showErrorMessage="1" prompt="La lettre « C » indique une absence pour cause de congé" sqref="C4"/>
    <dataValidation allowBlank="1" showInputMessage="1" showErrorMessage="1" prompt="Le titre mis à jour automatiquement figure dans cette cellule. Pour modifier le titre, mettez à jour la cellule B1 de la feuille de calcul Janvier" sqref="B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Suivez les absences du mois de septembre dans cette feuille de calcul" sqref="A3"/>
    <dataValidation allowBlank="1" showInputMessage="1" showErrorMessage="1" prompt="Calcule automatiquement le nombre total de jours d’absence d’un employé durant ce mois dans cette colonne" sqref="AH8"/>
    <dataValidation allowBlank="1" showInputMessage="1" showErrorMessage="1" prompt="Année mise à jour automatiquement en fonction de l’année entrée dans la feuille de calcul Janvier" sqref="AH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s>
  <printOptions horizontalCentered="1"/>
  <pageMargins left="0.23622047244094491" right="0.23622047244094491" top="0.3" bottom="0.74803149606299213" header="0.15748031496062992" footer="0.31496062992125984"/>
  <pageSetup paperSize="9" scale="75" fitToHeight="0" orientation="landscape" r:id="rId1"/>
  <headerFooter differentFirst="1">
    <oddHeader xml:space="preserve">&amp;LIN CONCEPT
</oddHeader>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zoomScaleNormal="100" workbookViewId="0">
      <selection activeCell="AG9" sqref="AG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2" spans="2:34" ht="36.75" customHeight="1" x14ac:dyDescent="0.25"/>
    <row r="3" spans="2:34" ht="50.1" customHeight="1" x14ac:dyDescent="0.25">
      <c r="B3" s="12" t="str">
        <f>Titre_Absence_Employé</f>
        <v>Calendrier des absences des employés</v>
      </c>
    </row>
    <row r="4" spans="2:34" ht="15" customHeight="1" x14ac:dyDescent="0.25">
      <c r="B4" s="17" t="s">
        <v>1</v>
      </c>
      <c r="C4" s="4" t="s">
        <v>4</v>
      </c>
      <c r="D4" s="39" t="s">
        <v>7</v>
      </c>
      <c r="E4" s="39"/>
      <c r="F4" s="5" t="s">
        <v>10</v>
      </c>
      <c r="G4" s="39" t="s">
        <v>14</v>
      </c>
      <c r="H4" s="39"/>
      <c r="I4" s="39"/>
      <c r="J4" s="6" t="s">
        <v>12</v>
      </c>
      <c r="K4" s="39" t="s">
        <v>19</v>
      </c>
      <c r="L4" s="39"/>
      <c r="M4" s="7"/>
      <c r="N4" s="39" t="s">
        <v>23</v>
      </c>
      <c r="O4" s="39"/>
      <c r="P4" s="39"/>
      <c r="Q4" s="39"/>
      <c r="R4" s="8"/>
      <c r="S4" s="40"/>
      <c r="T4" s="39"/>
      <c r="U4" s="39"/>
      <c r="V4" s="39"/>
    </row>
    <row r="5" spans="2:34" ht="15" customHeight="1" x14ac:dyDescent="0.25">
      <c r="B5" s="12"/>
    </row>
    <row r="6" spans="2:34" ht="30" customHeight="1" x14ac:dyDescent="0.25">
      <c r="B6" s="11" t="s">
        <v>56</v>
      </c>
      <c r="C6" s="38" t="s">
        <v>5</v>
      </c>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11">
        <f>AnnéeCalendrier</f>
        <v>2022</v>
      </c>
    </row>
    <row r="7" spans="2:34" ht="15" customHeight="1" x14ac:dyDescent="0.25">
      <c r="B7" s="11"/>
      <c r="C7" s="2" t="str">
        <f>TEXT(WEEKDAY(DATE(AnnéeCalendrier,10,1),1),"jjj")</f>
        <v>sam</v>
      </c>
      <c r="D7" s="2" t="str">
        <f>TEXT(WEEKDAY(DATE(AnnéeCalendrier,10,2),1),"jjj")</f>
        <v>dim</v>
      </c>
      <c r="E7" s="2" t="str">
        <f>TEXT(WEEKDAY(DATE(AnnéeCalendrier,10,3),1),"jjj")</f>
        <v>lun</v>
      </c>
      <c r="F7" s="2" t="str">
        <f>TEXT(WEEKDAY(DATE(AnnéeCalendrier,10,4),1),"jjj")</f>
        <v>mar</v>
      </c>
      <c r="G7" s="2" t="str">
        <f>TEXT(WEEKDAY(DATE(AnnéeCalendrier,10,5),1),"jjj")</f>
        <v>mer</v>
      </c>
      <c r="H7" s="2" t="str">
        <f>TEXT(WEEKDAY(DATE(AnnéeCalendrier,10,6),1),"jjj")</f>
        <v>jeu</v>
      </c>
      <c r="I7" s="2" t="str">
        <f>TEXT(WEEKDAY(DATE(AnnéeCalendrier,10,7),1),"jjj")</f>
        <v>ven</v>
      </c>
      <c r="J7" s="2" t="str">
        <f>TEXT(WEEKDAY(DATE(AnnéeCalendrier,10,8),1),"jjj")</f>
        <v>sam</v>
      </c>
      <c r="K7" s="2" t="str">
        <f>TEXT(WEEKDAY(DATE(AnnéeCalendrier,10,9),1),"jjj")</f>
        <v>dim</v>
      </c>
      <c r="L7" s="2" t="str">
        <f>TEXT(WEEKDAY(DATE(AnnéeCalendrier,10,10),1),"jjj")</f>
        <v>lun</v>
      </c>
      <c r="M7" s="2" t="str">
        <f>TEXT(WEEKDAY(DATE(AnnéeCalendrier,10,11),1),"jjj")</f>
        <v>mar</v>
      </c>
      <c r="N7" s="2" t="str">
        <f>TEXT(WEEKDAY(DATE(AnnéeCalendrier,10,12),1),"jjj")</f>
        <v>mer</v>
      </c>
      <c r="O7" s="2" t="str">
        <f>TEXT(WEEKDAY(DATE(AnnéeCalendrier,10,13),1),"jjj")</f>
        <v>jeu</v>
      </c>
      <c r="P7" s="2" t="str">
        <f>TEXT(WEEKDAY(DATE(AnnéeCalendrier,10,14),1),"jjj")</f>
        <v>ven</v>
      </c>
      <c r="Q7" s="2" t="str">
        <f>TEXT(WEEKDAY(DATE(AnnéeCalendrier,10,15),1),"jjj")</f>
        <v>sam</v>
      </c>
      <c r="R7" s="2" t="str">
        <f>TEXT(WEEKDAY(DATE(AnnéeCalendrier,10,16),1),"jjj")</f>
        <v>dim</v>
      </c>
      <c r="S7" s="2" t="str">
        <f>TEXT(WEEKDAY(DATE(AnnéeCalendrier,10,17),1),"jjj")</f>
        <v>lun</v>
      </c>
      <c r="T7" s="2" t="str">
        <f>TEXT(WEEKDAY(DATE(AnnéeCalendrier,10,18),1),"jjj")</f>
        <v>mar</v>
      </c>
      <c r="U7" s="2" t="str">
        <f>TEXT(WEEKDAY(DATE(AnnéeCalendrier,10,19),1),"jjj")</f>
        <v>mer</v>
      </c>
      <c r="V7" s="2" t="str">
        <f>TEXT(WEEKDAY(DATE(AnnéeCalendrier,10,20),1),"jjj")</f>
        <v>jeu</v>
      </c>
      <c r="W7" s="2" t="str">
        <f>TEXT(WEEKDAY(DATE(AnnéeCalendrier,10,21),1),"jjj")</f>
        <v>ven</v>
      </c>
      <c r="X7" s="2" t="str">
        <f>TEXT(WEEKDAY(DATE(AnnéeCalendrier,10,22),1),"jjj")</f>
        <v>sam</v>
      </c>
      <c r="Y7" s="2" t="str">
        <f>TEXT(WEEKDAY(DATE(AnnéeCalendrier,10,23),1),"jjj")</f>
        <v>dim</v>
      </c>
      <c r="Z7" s="2" t="str">
        <f>TEXT(WEEKDAY(DATE(AnnéeCalendrier,10,24),1),"jjj")</f>
        <v>lun</v>
      </c>
      <c r="AA7" s="2" t="str">
        <f>TEXT(WEEKDAY(DATE(AnnéeCalendrier,10,25),1),"jjj")</f>
        <v>mar</v>
      </c>
      <c r="AB7" s="2" t="str">
        <f>TEXT(WEEKDAY(DATE(AnnéeCalendrier,10,26),1),"jjj")</f>
        <v>mer</v>
      </c>
      <c r="AC7" s="2" t="str">
        <f>TEXT(WEEKDAY(DATE(AnnéeCalendrier,10,27),1),"jjj")</f>
        <v>jeu</v>
      </c>
      <c r="AD7" s="2" t="str">
        <f>TEXT(WEEKDAY(DATE(AnnéeCalendrier,10,28),1),"jjj")</f>
        <v>ven</v>
      </c>
      <c r="AE7" s="2" t="str">
        <f>TEXT(WEEKDAY(DATE(AnnéeCalendrier,10,29),1),"jjj")</f>
        <v>sam</v>
      </c>
      <c r="AF7" s="2" t="str">
        <f>TEXT(WEEKDAY(DATE(AnnéeCalendrier,10,30),1),"jjj")</f>
        <v>dim</v>
      </c>
      <c r="AG7" s="2" t="str">
        <f>TEXT(WEEKDAY(DATE(AnnéeCalendrier,10,31),1),"jjj")</f>
        <v>lun</v>
      </c>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
      <c r="D9" s="37"/>
      <c r="E9" s="3"/>
      <c r="F9" s="3"/>
      <c r="G9" s="3"/>
      <c r="H9" s="3"/>
      <c r="I9" s="3"/>
      <c r="J9" s="3"/>
      <c r="K9" s="37"/>
      <c r="L9" s="3"/>
      <c r="M9" s="3"/>
      <c r="N9" s="3"/>
      <c r="O9" s="3"/>
      <c r="P9" s="3"/>
      <c r="Q9" s="3"/>
      <c r="R9" s="37"/>
      <c r="S9" s="3"/>
      <c r="T9" s="3"/>
      <c r="U9" s="3"/>
      <c r="V9" s="3"/>
      <c r="W9" s="3"/>
      <c r="X9" s="3"/>
      <c r="Y9" s="37"/>
      <c r="Z9" s="3"/>
      <c r="AA9" s="3"/>
      <c r="AB9" s="3"/>
      <c r="AC9" s="3"/>
      <c r="AD9" s="3"/>
      <c r="AE9" s="3"/>
      <c r="AF9" s="37"/>
      <c r="AG9" s="3"/>
      <c r="AH9" s="9">
        <f>COUNTA(Octobre[[#This Row],[1]:[31]])</f>
        <v>0</v>
      </c>
    </row>
    <row r="10" spans="2:34" ht="30" customHeight="1" x14ac:dyDescent="0.25">
      <c r="B10" s="15" t="str">
        <f>'Noms des employés'!B5</f>
        <v xml:space="preserve">2 - Laïla </v>
      </c>
      <c r="C10" s="3"/>
      <c r="D10" s="29"/>
      <c r="E10" s="3"/>
      <c r="F10" s="3"/>
      <c r="G10" s="3"/>
      <c r="H10" s="3"/>
      <c r="I10" s="3"/>
      <c r="J10" s="3"/>
      <c r="K10" s="29"/>
      <c r="L10" s="3"/>
      <c r="M10" s="3"/>
      <c r="N10" s="3"/>
      <c r="O10" s="3"/>
      <c r="P10" s="3"/>
      <c r="Q10" s="3"/>
      <c r="R10" s="29"/>
      <c r="S10" s="3"/>
      <c r="T10" s="3"/>
      <c r="U10" s="3"/>
      <c r="V10" s="3"/>
      <c r="W10" s="3"/>
      <c r="X10" s="3"/>
      <c r="Y10" s="29"/>
      <c r="Z10" s="3"/>
      <c r="AA10" s="3"/>
      <c r="AB10" s="3"/>
      <c r="AC10" s="3"/>
      <c r="AD10" s="3"/>
      <c r="AE10" s="3"/>
      <c r="AF10" s="29"/>
      <c r="AG10" s="3"/>
      <c r="AH10" s="9">
        <f>COUNTA(Octobre[[#This Row],[1]:[31]])</f>
        <v>0</v>
      </c>
    </row>
    <row r="11" spans="2:34" ht="30" customHeight="1" x14ac:dyDescent="0.25">
      <c r="B11" s="15" t="str">
        <f>'Noms des employés'!B6</f>
        <v>3 - Jean-Claude</v>
      </c>
      <c r="C11" s="3"/>
      <c r="D11" s="29"/>
      <c r="E11" s="3"/>
      <c r="F11" s="3"/>
      <c r="G11" s="3"/>
      <c r="H11" s="3"/>
      <c r="I11" s="3"/>
      <c r="J11" s="3"/>
      <c r="K11" s="29"/>
      <c r="L11" s="3"/>
      <c r="M11" s="3"/>
      <c r="N11" s="3"/>
      <c r="O11" s="3"/>
      <c r="P11" s="3"/>
      <c r="Q11" s="3"/>
      <c r="R11" s="29"/>
      <c r="S11" s="3"/>
      <c r="T11" s="3"/>
      <c r="U11" s="3"/>
      <c r="V11" s="3"/>
      <c r="W11" s="3"/>
      <c r="X11" s="3"/>
      <c r="Y11" s="29"/>
      <c r="Z11" s="3"/>
      <c r="AA11" s="3"/>
      <c r="AB11" s="3"/>
      <c r="AC11" s="3"/>
      <c r="AD11" s="3"/>
      <c r="AE11" s="3"/>
      <c r="AF11" s="29"/>
      <c r="AG11" s="3"/>
      <c r="AH11" s="9">
        <f>COUNTA(Octobre[[#This Row],[1]:[31]])</f>
        <v>0</v>
      </c>
    </row>
    <row r="12" spans="2:34" ht="30" hidden="1" customHeight="1" x14ac:dyDescent="0.25">
      <c r="B12" s="15">
        <f>'Noms des employés'!B7</f>
        <v>0</v>
      </c>
      <c r="C12" s="3"/>
      <c r="D12" s="3"/>
      <c r="E12" s="3"/>
      <c r="F12" s="3"/>
      <c r="G12" s="3"/>
      <c r="H12" s="25"/>
      <c r="I12" s="3"/>
      <c r="J12" s="3"/>
      <c r="K12" s="3"/>
      <c r="L12" s="3"/>
      <c r="M12" s="3"/>
      <c r="N12" s="3"/>
      <c r="O12" s="25"/>
      <c r="P12" s="3"/>
      <c r="Q12" s="3"/>
      <c r="R12" s="3"/>
      <c r="S12" s="3"/>
      <c r="T12" s="3"/>
      <c r="U12" s="3"/>
      <c r="V12" s="25"/>
      <c r="W12" s="3"/>
      <c r="X12" s="3"/>
      <c r="Y12" s="3"/>
      <c r="Z12" s="3"/>
      <c r="AA12" s="3"/>
      <c r="AB12" s="3"/>
      <c r="AC12" s="25"/>
      <c r="AD12" s="3"/>
      <c r="AE12" s="3"/>
      <c r="AF12" s="3"/>
      <c r="AG12" s="3"/>
      <c r="AH12" s="9">
        <f>COUNTA(Octobre[[#This Row],[1]:[31]])</f>
        <v>0</v>
      </c>
    </row>
    <row r="13" spans="2:34" ht="30" hidden="1" customHeight="1" x14ac:dyDescent="0.25">
      <c r="B13" s="15">
        <f>'Noms des employés'!B8</f>
        <v>0</v>
      </c>
      <c r="C13" s="3"/>
      <c r="D13" s="3"/>
      <c r="E13" s="3"/>
      <c r="F13" s="3"/>
      <c r="G13" s="3"/>
      <c r="H13" s="25"/>
      <c r="I13" s="3"/>
      <c r="J13" s="3"/>
      <c r="K13" s="3"/>
      <c r="L13" s="3"/>
      <c r="M13" s="3"/>
      <c r="N13" s="3"/>
      <c r="O13" s="25"/>
      <c r="P13" s="3"/>
      <c r="Q13" s="3"/>
      <c r="R13" s="3"/>
      <c r="S13" s="3"/>
      <c r="T13" s="3"/>
      <c r="U13" s="3"/>
      <c r="V13" s="25"/>
      <c r="W13" s="3"/>
      <c r="X13" s="3"/>
      <c r="Y13" s="3"/>
      <c r="Z13" s="3"/>
      <c r="AA13" s="3"/>
      <c r="AB13" s="3"/>
      <c r="AC13" s="25"/>
      <c r="AD13" s="3"/>
      <c r="AE13" s="3"/>
      <c r="AF13" s="3"/>
      <c r="AG13" s="3"/>
      <c r="AH13" s="9">
        <f>COUNTA(Octobre[[#This Row],[1]:[31]])</f>
        <v>0</v>
      </c>
    </row>
    <row r="14" spans="2:34" ht="30" customHeight="1" x14ac:dyDescent="0.25">
      <c r="B14" s="22" t="str">
        <f>NomMois&amp;" Total"</f>
        <v>Octobre Total</v>
      </c>
      <c r="C14" s="23">
        <f>SUBTOTAL(103,Octobre[1])</f>
        <v>0</v>
      </c>
      <c r="D14" s="23">
        <f>SUBTOTAL(103,Octobre[2])</f>
        <v>0</v>
      </c>
      <c r="E14" s="23">
        <f>SUBTOTAL(103,Octobre[3])</f>
        <v>0</v>
      </c>
      <c r="F14" s="23">
        <f>SUBTOTAL(103,Octobre[4])</f>
        <v>0</v>
      </c>
      <c r="G14" s="23">
        <f>SUBTOTAL(103,Octobre[5])</f>
        <v>0</v>
      </c>
      <c r="H14" s="23">
        <f>SUBTOTAL(103,Octobre[6])</f>
        <v>0</v>
      </c>
      <c r="I14" s="23">
        <f>SUBTOTAL(103,Octobre[7])</f>
        <v>0</v>
      </c>
      <c r="J14" s="23">
        <f>SUBTOTAL(103,Octobre[8])</f>
        <v>0</v>
      </c>
      <c r="K14" s="23">
        <f>SUBTOTAL(103,Octobre[9])</f>
        <v>0</v>
      </c>
      <c r="L14" s="23">
        <f>SUBTOTAL(103,Octobre[10])</f>
        <v>0</v>
      </c>
      <c r="M14" s="23">
        <f>SUBTOTAL(103,Octobre[11])</f>
        <v>0</v>
      </c>
      <c r="N14" s="23">
        <f>SUBTOTAL(103,Octobre[12])</f>
        <v>0</v>
      </c>
      <c r="O14" s="23">
        <f>SUBTOTAL(103,Octobre[13])</f>
        <v>0</v>
      </c>
      <c r="P14" s="23">
        <f>SUBTOTAL(103,Octobre[14])</f>
        <v>0</v>
      </c>
      <c r="Q14" s="23">
        <f>SUBTOTAL(103,Octobre[15])</f>
        <v>0</v>
      </c>
      <c r="R14" s="23">
        <f>SUBTOTAL(103,Octobre[16])</f>
        <v>0</v>
      </c>
      <c r="S14" s="23">
        <f>SUBTOTAL(103,Octobre[17])</f>
        <v>0</v>
      </c>
      <c r="T14" s="23">
        <f>SUBTOTAL(103,Octobre[18])</f>
        <v>0</v>
      </c>
      <c r="U14" s="23">
        <f>SUBTOTAL(103,Octobre[19])</f>
        <v>0</v>
      </c>
      <c r="V14" s="23">
        <f>SUBTOTAL(103,Octobre[20])</f>
        <v>0</v>
      </c>
      <c r="W14" s="23">
        <f>SUBTOTAL(103,Octobre[21])</f>
        <v>0</v>
      </c>
      <c r="X14" s="23">
        <f>SUBTOTAL(103,Octobre[22])</f>
        <v>0</v>
      </c>
      <c r="Y14" s="23">
        <f>SUBTOTAL(103,Octobre[23])</f>
        <v>0</v>
      </c>
      <c r="Z14" s="23">
        <f>SUBTOTAL(103,Octobre[24])</f>
        <v>0</v>
      </c>
      <c r="AA14" s="23">
        <f>SUBTOTAL(103,Octobre[25])</f>
        <v>0</v>
      </c>
      <c r="AB14" s="23">
        <f>SUBTOTAL(103,Octobre[26])</f>
        <v>0</v>
      </c>
      <c r="AC14" s="23">
        <f>SUBTOTAL(103,Octobre[27])</f>
        <v>0</v>
      </c>
      <c r="AD14" s="23">
        <f>SUBTOTAL(103,Octobre[28])</f>
        <v>0</v>
      </c>
      <c r="AE14" s="23">
        <f>SUBTOTAL(103,Octobre[29])</f>
        <v>0</v>
      </c>
      <c r="AF14" s="23">
        <f>SUBTOTAL(109,Octobre[30])</f>
        <v>0</v>
      </c>
      <c r="AG14" s="23">
        <f>SUBTOTAL(109,Octobre[31])</f>
        <v>0</v>
      </c>
      <c r="AH14" s="23">
        <f>SUBTOTAL(109,Octobre[Total des jours])</f>
        <v>0</v>
      </c>
    </row>
  </sheetData>
  <mergeCells count="6">
    <mergeCell ref="C6:AG6"/>
    <mergeCell ref="D4:E4"/>
    <mergeCell ref="G4:I4"/>
    <mergeCell ref="K4:L4"/>
    <mergeCell ref="N4:Q4"/>
    <mergeCell ref="S4:V4"/>
  </mergeCells>
  <conditionalFormatting sqref="C10:AG13 D9 K9 R9 Y9 AF9">
    <cfRule type="expression" priority="37" stopIfTrue="1">
      <formula>C9=""</formula>
    </cfRule>
  </conditionalFormatting>
  <conditionalFormatting sqref="C10:AG13 D9 K9 R9 Y9 AF9">
    <cfRule type="expression" dxfId="597" priority="38" stopIfTrue="1">
      <formula>C9=CléPersonnalisée2</formula>
    </cfRule>
    <cfRule type="expression" dxfId="596" priority="39" stopIfTrue="1">
      <formula>C9=CléPersonnalisée1</formula>
    </cfRule>
    <cfRule type="expression" dxfId="595" priority="40" stopIfTrue="1">
      <formula>C9=CléMaladie</formula>
    </cfRule>
    <cfRule type="expression" dxfId="594" priority="41" stopIfTrue="1">
      <formula>C9=CléPersonnel</formula>
    </cfRule>
    <cfRule type="expression" dxfId="593" priority="42" stopIfTrue="1">
      <formula>C9=CléCongé</formula>
    </cfRule>
  </conditionalFormatting>
  <conditionalFormatting sqref="AH9:AH13">
    <cfRule type="dataBar" priority="43">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conditionalFormatting sqref="C9">
    <cfRule type="expression" priority="31" stopIfTrue="1">
      <formula>C9=""</formula>
    </cfRule>
  </conditionalFormatting>
  <conditionalFormatting sqref="C9">
    <cfRule type="expression" dxfId="159" priority="32" stopIfTrue="1">
      <formula>C9=CléPersonnalisée2</formula>
    </cfRule>
    <cfRule type="expression" dxfId="158" priority="33" stopIfTrue="1">
      <formula>C9=CléPersonnalisée1</formula>
    </cfRule>
    <cfRule type="expression" dxfId="157" priority="34" stopIfTrue="1">
      <formula>C9=CléMaladie</formula>
    </cfRule>
    <cfRule type="expression" dxfId="156" priority="35" stopIfTrue="1">
      <formula>C9=CléPersonnel</formula>
    </cfRule>
    <cfRule type="expression" dxfId="155" priority="36" stopIfTrue="1">
      <formula>C9=CléCongé</formula>
    </cfRule>
  </conditionalFormatting>
  <conditionalFormatting sqref="E9:J9">
    <cfRule type="expression" priority="25" stopIfTrue="1">
      <formula>E9=""</formula>
    </cfRule>
  </conditionalFormatting>
  <conditionalFormatting sqref="E9:J9">
    <cfRule type="expression" dxfId="149" priority="26" stopIfTrue="1">
      <formula>E9=CléPersonnalisée2</formula>
    </cfRule>
    <cfRule type="expression" dxfId="148" priority="27" stopIfTrue="1">
      <formula>E9=CléPersonnalisée1</formula>
    </cfRule>
    <cfRule type="expression" dxfId="147" priority="28" stopIfTrue="1">
      <formula>E9=CléMaladie</formula>
    </cfRule>
    <cfRule type="expression" dxfId="146" priority="29" stopIfTrue="1">
      <formula>E9=CléPersonnel</formula>
    </cfRule>
    <cfRule type="expression" dxfId="145" priority="30" stopIfTrue="1">
      <formula>E9=CléCongé</formula>
    </cfRule>
  </conditionalFormatting>
  <conditionalFormatting sqref="L9:Q9">
    <cfRule type="expression" priority="19" stopIfTrue="1">
      <formula>L9=""</formula>
    </cfRule>
  </conditionalFormatting>
  <conditionalFormatting sqref="L9:Q9">
    <cfRule type="expression" dxfId="139" priority="20" stopIfTrue="1">
      <formula>L9=CléPersonnalisée2</formula>
    </cfRule>
    <cfRule type="expression" dxfId="138" priority="21" stopIfTrue="1">
      <formula>L9=CléPersonnalisée1</formula>
    </cfRule>
    <cfRule type="expression" dxfId="137" priority="22" stopIfTrue="1">
      <formula>L9=CléMaladie</formula>
    </cfRule>
    <cfRule type="expression" dxfId="136" priority="23" stopIfTrue="1">
      <formula>L9=CléPersonnel</formula>
    </cfRule>
    <cfRule type="expression" dxfId="135" priority="24" stopIfTrue="1">
      <formula>L9=CléCongé</formula>
    </cfRule>
  </conditionalFormatting>
  <conditionalFormatting sqref="S9:X9">
    <cfRule type="expression" priority="13" stopIfTrue="1">
      <formula>S9=""</formula>
    </cfRule>
  </conditionalFormatting>
  <conditionalFormatting sqref="S9:X9">
    <cfRule type="expression" dxfId="129" priority="14" stopIfTrue="1">
      <formula>S9=CléPersonnalisée2</formula>
    </cfRule>
    <cfRule type="expression" dxfId="128" priority="15" stopIfTrue="1">
      <formula>S9=CléPersonnalisée1</formula>
    </cfRule>
    <cfRule type="expression" dxfId="127" priority="16" stopIfTrue="1">
      <formula>S9=CléMaladie</formula>
    </cfRule>
    <cfRule type="expression" dxfId="126" priority="17" stopIfTrue="1">
      <formula>S9=CléPersonnel</formula>
    </cfRule>
    <cfRule type="expression" dxfId="125" priority="18" stopIfTrue="1">
      <formula>S9=CléCongé</formula>
    </cfRule>
  </conditionalFormatting>
  <conditionalFormatting sqref="Z9:AE9">
    <cfRule type="expression" priority="7" stopIfTrue="1">
      <formula>Z9=""</formula>
    </cfRule>
  </conditionalFormatting>
  <conditionalFormatting sqref="Z9:AE9">
    <cfRule type="expression" dxfId="119" priority="8" stopIfTrue="1">
      <formula>Z9=CléPersonnalisée2</formula>
    </cfRule>
    <cfRule type="expression" dxfId="118" priority="9" stopIfTrue="1">
      <formula>Z9=CléPersonnalisée1</formula>
    </cfRule>
    <cfRule type="expression" dxfId="117" priority="10" stopIfTrue="1">
      <formula>Z9=CléMaladie</formula>
    </cfRule>
    <cfRule type="expression" dxfId="116" priority="11" stopIfTrue="1">
      <formula>Z9=CléPersonnel</formula>
    </cfRule>
    <cfRule type="expression" dxfId="115" priority="12" stopIfTrue="1">
      <formula>Z9=CléCongé</formula>
    </cfRule>
  </conditionalFormatting>
  <conditionalFormatting sqref="AG9">
    <cfRule type="expression" priority="1" stopIfTrue="1">
      <formula>AG9=""</formula>
    </cfRule>
  </conditionalFormatting>
  <conditionalFormatting sqref="AG9">
    <cfRule type="expression" dxfId="109" priority="2" stopIfTrue="1">
      <formula>AG9=CléPersonnalisée2</formula>
    </cfRule>
    <cfRule type="expression" dxfId="108" priority="3" stopIfTrue="1">
      <formula>AG9=CléPersonnalisée1</formula>
    </cfRule>
    <cfRule type="expression" dxfId="107" priority="4" stopIfTrue="1">
      <formula>AG9=CléMaladie</formula>
    </cfRule>
    <cfRule type="expression" dxfId="106" priority="5" stopIfTrue="1">
      <formula>AG9=CléPersonnel</formula>
    </cfRule>
    <cfRule type="expression" dxfId="105" priority="6" stopIfTrue="1">
      <formula>AG9=CléCongé</formula>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 allowBlank="1" showInputMessage="1" showErrorMessage="1" prompt="Année mise à jour automatiquement en fonction de l’année entrée dans la feuille de calcul Janvier" sqref="AH6"/>
    <dataValidation allowBlank="1" showInputMessage="1" showErrorMessage="1" prompt="Calcule automatiquement le nombre total de jours d’absence d’un employé durant ce mois dans cette colonne" sqref="AH8"/>
    <dataValidation allowBlank="1" showInputMessage="1" showErrorMessage="1" prompt="Suivez les absences du mois d’octobre dans cette feuille de calcul" sqref="A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Le titre mis à jour automatiquement figure dans cette cellule. Pour modifier le titre, mettez à jour la cellule B1 de la feuille de calcul Janvier" sqref="B3"/>
    <dataValidation allowBlank="1" showInputMessage="1" showErrorMessage="1" prompt="La lettre « C » indique une absence pour cause de congé" sqref="C4"/>
    <dataValidation allowBlank="1" showInputMessage="1" showErrorMessage="1" prompt="La lettre « P » indique une absence pour motifs personnels" sqref="F4"/>
    <dataValidation allowBlank="1" showInputMessage="1" showErrorMessage="1" prompt="La lettre « M » indique une absence pour cause de maladie" sqref="J4"/>
    <dataValidation allowBlank="1" showInputMessage="1" showErrorMessage="1" prompt="Entrez une lettre et personnalisez l’étiquette à droite pour ajouter un élément de clé" sqref="M4 R4"/>
    <dataValidation allowBlank="1" showInputMessage="1" showErrorMessage="1" prompt="Entrez une étiquette pour décrire la clé personnalisée à gauche" sqref="N4 S4"/>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zoomScaleNormal="100" workbookViewId="0">
      <selection activeCell="M9" sqref="M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49.5" customHeight="1" x14ac:dyDescent="0.25"/>
    <row r="2" spans="2:34" ht="64.5" customHeight="1" x14ac:dyDescent="0.25"/>
    <row r="3" spans="2:34" ht="50.1" customHeight="1" x14ac:dyDescent="0.25">
      <c r="B3" s="12" t="str">
        <f>Titre_Absence_Employé</f>
        <v>Calendrier des absences des employés</v>
      </c>
    </row>
    <row r="4" spans="2:34" ht="15" customHeight="1" x14ac:dyDescent="0.25">
      <c r="B4" s="17" t="s">
        <v>1</v>
      </c>
      <c r="C4" s="4" t="s">
        <v>4</v>
      </c>
      <c r="D4" s="39" t="s">
        <v>7</v>
      </c>
      <c r="E4" s="39"/>
      <c r="F4" s="5" t="s">
        <v>10</v>
      </c>
      <c r="G4" s="39" t="s">
        <v>14</v>
      </c>
      <c r="H4" s="39"/>
      <c r="I4" s="39"/>
      <c r="J4" s="6" t="s">
        <v>12</v>
      </c>
      <c r="K4" s="39" t="s">
        <v>19</v>
      </c>
      <c r="L4" s="39"/>
      <c r="M4" s="7" t="s">
        <v>64</v>
      </c>
      <c r="N4" s="40" t="s">
        <v>63</v>
      </c>
      <c r="O4" s="39"/>
      <c r="P4" s="39"/>
      <c r="Q4" s="39"/>
      <c r="R4" s="27"/>
      <c r="S4" s="40" t="s">
        <v>60</v>
      </c>
      <c r="T4" s="39"/>
      <c r="U4" s="39"/>
      <c r="V4" s="39"/>
    </row>
    <row r="5" spans="2:34" ht="15" customHeight="1" x14ac:dyDescent="0.25">
      <c r="B5" s="12"/>
    </row>
    <row r="6" spans="2:34" ht="30" customHeight="1" x14ac:dyDescent="0.25">
      <c r="B6" s="11" t="s">
        <v>57</v>
      </c>
      <c r="C6" s="38" t="s">
        <v>5</v>
      </c>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11">
        <f>AnnéeCalendrier</f>
        <v>2022</v>
      </c>
    </row>
    <row r="7" spans="2:34" ht="15" customHeight="1" x14ac:dyDescent="0.25">
      <c r="B7" s="11"/>
      <c r="C7" s="2" t="str">
        <f>TEXT(WEEKDAY(DATE(AnnéeCalendrier,11,1),1),"jjj")</f>
        <v>mar</v>
      </c>
      <c r="D7" s="2" t="str">
        <f>TEXT(WEEKDAY(DATE(AnnéeCalendrier,11,2),1),"jjj")</f>
        <v>mer</v>
      </c>
      <c r="E7" s="2" t="str">
        <f>TEXT(WEEKDAY(DATE(AnnéeCalendrier,11,3),1),"jjj")</f>
        <v>jeu</v>
      </c>
      <c r="F7" s="2" t="str">
        <f>TEXT(WEEKDAY(DATE(AnnéeCalendrier,11,4),1),"jjj")</f>
        <v>ven</v>
      </c>
      <c r="G7" s="2" t="str">
        <f>TEXT(WEEKDAY(DATE(AnnéeCalendrier,11,5),1),"jjj")</f>
        <v>sam</v>
      </c>
      <c r="H7" s="2" t="str">
        <f>TEXT(WEEKDAY(DATE(AnnéeCalendrier,11,6),1),"jjj")</f>
        <v>dim</v>
      </c>
      <c r="I7" s="2" t="str">
        <f>TEXT(WEEKDAY(DATE(AnnéeCalendrier,11,7),1),"jjj")</f>
        <v>lun</v>
      </c>
      <c r="J7" s="2" t="str">
        <f>TEXT(WEEKDAY(DATE(AnnéeCalendrier,11,8),1),"jjj")</f>
        <v>mar</v>
      </c>
      <c r="K7" s="2" t="str">
        <f>TEXT(WEEKDAY(DATE(AnnéeCalendrier,11,9),1),"jjj")</f>
        <v>mer</v>
      </c>
      <c r="L7" s="2" t="str">
        <f>TEXT(WEEKDAY(DATE(AnnéeCalendrier,11,10),1),"jjj")</f>
        <v>jeu</v>
      </c>
      <c r="M7" s="2" t="str">
        <f>TEXT(WEEKDAY(DATE(AnnéeCalendrier,11,11),1),"jjj")</f>
        <v>ven</v>
      </c>
      <c r="N7" s="2" t="str">
        <f>TEXT(WEEKDAY(DATE(AnnéeCalendrier,11,12),1),"jjj")</f>
        <v>sam</v>
      </c>
      <c r="O7" s="2" t="str">
        <f>TEXT(WEEKDAY(DATE(AnnéeCalendrier,11,13),1),"jjj")</f>
        <v>dim</v>
      </c>
      <c r="P7" s="2" t="str">
        <f>TEXT(WEEKDAY(DATE(AnnéeCalendrier,11,14),1),"jjj")</f>
        <v>lun</v>
      </c>
      <c r="Q7" s="2" t="str">
        <f>TEXT(WEEKDAY(DATE(AnnéeCalendrier,11,15),1),"jjj")</f>
        <v>mar</v>
      </c>
      <c r="R7" s="2" t="str">
        <f>TEXT(WEEKDAY(DATE(AnnéeCalendrier,11,16),1),"jjj")</f>
        <v>mer</v>
      </c>
      <c r="S7" s="2" t="str">
        <f>TEXT(WEEKDAY(DATE(AnnéeCalendrier,11,17),1),"jjj")</f>
        <v>jeu</v>
      </c>
      <c r="T7" s="2" t="str">
        <f>TEXT(WEEKDAY(DATE(AnnéeCalendrier,11,18),1),"jjj")</f>
        <v>ven</v>
      </c>
      <c r="U7" s="2" t="str">
        <f>TEXT(WEEKDAY(DATE(AnnéeCalendrier,11,19),1),"jjj")</f>
        <v>sam</v>
      </c>
      <c r="V7" s="2" t="str">
        <f>TEXT(WEEKDAY(DATE(AnnéeCalendrier,11,20),1),"jjj")</f>
        <v>dim</v>
      </c>
      <c r="W7" s="2" t="str">
        <f>TEXT(WEEKDAY(DATE(AnnéeCalendrier,11,21),1),"jjj")</f>
        <v>lun</v>
      </c>
      <c r="X7" s="2" t="str">
        <f>TEXT(WEEKDAY(DATE(AnnéeCalendrier,11,22),1),"jjj")</f>
        <v>mar</v>
      </c>
      <c r="Y7" s="2" t="str">
        <f>TEXT(WEEKDAY(DATE(AnnéeCalendrier,11,23),1),"jjj")</f>
        <v>mer</v>
      </c>
      <c r="Z7" s="2" t="str">
        <f>TEXT(WEEKDAY(DATE(AnnéeCalendrier,11,24),1),"jjj")</f>
        <v>jeu</v>
      </c>
      <c r="AA7" s="2" t="str">
        <f>TEXT(WEEKDAY(DATE(AnnéeCalendrier,11,25),1),"jjj")</f>
        <v>ven</v>
      </c>
      <c r="AB7" s="2" t="str">
        <f>TEXT(WEEKDAY(DATE(AnnéeCalendrier,11,26),1),"jjj")</f>
        <v>sam</v>
      </c>
      <c r="AC7" s="2" t="str">
        <f>TEXT(WEEKDAY(DATE(AnnéeCalendrier,11,27),1),"jjj")</f>
        <v>dim</v>
      </c>
      <c r="AD7" s="2" t="str">
        <f>TEXT(WEEKDAY(DATE(AnnéeCalendrier,11,28),1),"jjj")</f>
        <v>lun</v>
      </c>
      <c r="AE7" s="2" t="str">
        <f>TEXT(WEEKDAY(DATE(AnnéeCalendrier,11,29),1),"jjj")</f>
        <v>mar</v>
      </c>
      <c r="AF7" s="2" t="str">
        <f>TEXT(WEEKDAY(DATE(AnnéeCalendrier,11,30),1),"jjj")</f>
        <v>mer</v>
      </c>
      <c r="AG7" s="2"/>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27"/>
      <c r="D9" s="3"/>
      <c r="E9" s="3"/>
      <c r="F9" s="3"/>
      <c r="G9" s="3"/>
      <c r="H9" s="37"/>
      <c r="I9" s="3"/>
      <c r="J9" s="3"/>
      <c r="K9" s="3"/>
      <c r="L9" s="3"/>
      <c r="M9" s="27"/>
      <c r="N9" s="3"/>
      <c r="O9" s="37"/>
      <c r="P9" s="3"/>
      <c r="Q9" s="3"/>
      <c r="R9" s="3"/>
      <c r="S9" s="3"/>
      <c r="T9" s="3"/>
      <c r="U9" s="3"/>
      <c r="V9" s="37"/>
      <c r="W9" s="3"/>
      <c r="X9" s="3"/>
      <c r="Y9" s="3"/>
      <c r="Z9" s="3"/>
      <c r="AA9" s="3"/>
      <c r="AB9" s="3"/>
      <c r="AC9" s="37"/>
      <c r="AD9" s="3"/>
      <c r="AE9" s="3"/>
      <c r="AF9" s="3"/>
      <c r="AG9" s="3"/>
      <c r="AH9" s="9">
        <f>COUNTA(Novembre[[#This Row],[1]:[31]])</f>
        <v>0</v>
      </c>
    </row>
    <row r="10" spans="2:34" ht="30" customHeight="1" x14ac:dyDescent="0.25">
      <c r="B10" s="15" t="str">
        <f>'Noms des employés'!B5</f>
        <v xml:space="preserve">2 - Laïla </v>
      </c>
      <c r="C10" s="27"/>
      <c r="D10" s="3"/>
      <c r="E10" s="3"/>
      <c r="F10" s="3"/>
      <c r="G10" s="3"/>
      <c r="H10" s="29"/>
      <c r="I10" s="3"/>
      <c r="J10" s="3"/>
      <c r="K10" s="3"/>
      <c r="L10" s="3"/>
      <c r="M10" s="27"/>
      <c r="N10" s="3"/>
      <c r="O10" s="29"/>
      <c r="P10" s="3"/>
      <c r="Q10" s="3"/>
      <c r="R10" s="3"/>
      <c r="S10" s="3"/>
      <c r="T10" s="3"/>
      <c r="U10" s="3"/>
      <c r="V10" s="29"/>
      <c r="W10" s="3"/>
      <c r="X10" s="3"/>
      <c r="Y10" s="3"/>
      <c r="Z10" s="3"/>
      <c r="AA10" s="3"/>
      <c r="AB10" s="3"/>
      <c r="AC10" s="29"/>
      <c r="AD10" s="3"/>
      <c r="AE10" s="3"/>
      <c r="AF10" s="3"/>
      <c r="AG10" s="3"/>
      <c r="AH10" s="9">
        <f>COUNTA(Novembre[[#This Row],[1]:[31]])</f>
        <v>0</v>
      </c>
    </row>
    <row r="11" spans="2:34" ht="30" customHeight="1" x14ac:dyDescent="0.25">
      <c r="B11" s="15" t="str">
        <f>'Noms des employés'!B6</f>
        <v>3 - Jean-Claude</v>
      </c>
      <c r="C11" s="27"/>
      <c r="D11" s="3"/>
      <c r="E11" s="3"/>
      <c r="F11" s="3"/>
      <c r="G11" s="3"/>
      <c r="H11" s="29"/>
      <c r="I11" s="3"/>
      <c r="J11" s="3"/>
      <c r="K11" s="3"/>
      <c r="L11" s="3"/>
      <c r="M11" s="27"/>
      <c r="N11" s="3"/>
      <c r="O11" s="29"/>
      <c r="P11" s="3"/>
      <c r="Q11" s="3"/>
      <c r="R11" s="3"/>
      <c r="S11" s="3"/>
      <c r="T11" s="3"/>
      <c r="U11" s="3"/>
      <c r="V11" s="29"/>
      <c r="W11" s="3"/>
      <c r="X11" s="3"/>
      <c r="Y11" s="3"/>
      <c r="Z11" s="3"/>
      <c r="AA11" s="3"/>
      <c r="AB11" s="3"/>
      <c r="AC11" s="29"/>
      <c r="AD11" s="3"/>
      <c r="AE11" s="3"/>
      <c r="AF11" s="3"/>
      <c r="AG11" s="3"/>
      <c r="AH11" s="9">
        <f>COUNTA(Novembre[[#This Row],[1]:[31]])</f>
        <v>0</v>
      </c>
    </row>
    <row r="12" spans="2:34" ht="30" hidden="1" customHeight="1" x14ac:dyDescent="0.25">
      <c r="B12" s="15">
        <f>'Noms des employés'!B7</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COUNTA(Novembre[[#This Row],[1]:[31]])</f>
        <v>0</v>
      </c>
    </row>
    <row r="13" spans="2:34" ht="30" hidden="1" customHeight="1" x14ac:dyDescent="0.25">
      <c r="B13" s="15">
        <f>'Noms des employés'!B8</f>
        <v>0</v>
      </c>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9">
        <f>COUNTA(Novembre[[#This Row],[1]:[31]])</f>
        <v>0</v>
      </c>
    </row>
    <row r="14" spans="2:34" ht="30" customHeight="1" x14ac:dyDescent="0.25">
      <c r="B14" s="22" t="str">
        <f>NomMois&amp;" Total"</f>
        <v>Novembre Total</v>
      </c>
      <c r="C14" s="23">
        <f>SUBTOTAL(103,Novembre[1])</f>
        <v>0</v>
      </c>
      <c r="D14" s="23">
        <f>SUBTOTAL(103,Novembre[2])</f>
        <v>0</v>
      </c>
      <c r="E14" s="23">
        <f>SUBTOTAL(103,Novembre[3])</f>
        <v>0</v>
      </c>
      <c r="F14" s="23">
        <f>SUBTOTAL(103,Novembre[4])</f>
        <v>0</v>
      </c>
      <c r="G14" s="23">
        <f>SUBTOTAL(103,Novembre[5])</f>
        <v>0</v>
      </c>
      <c r="H14" s="23">
        <f>SUBTOTAL(103,Novembre[6])</f>
        <v>0</v>
      </c>
      <c r="I14" s="23">
        <f>SUBTOTAL(103,Novembre[7])</f>
        <v>0</v>
      </c>
      <c r="J14" s="23">
        <f>SUBTOTAL(103,Novembre[8])</f>
        <v>0</v>
      </c>
      <c r="K14" s="23">
        <f>SUBTOTAL(103,Novembre[9])</f>
        <v>0</v>
      </c>
      <c r="L14" s="23">
        <f>SUBTOTAL(103,Novembre[10])</f>
        <v>0</v>
      </c>
      <c r="M14" s="23">
        <f>SUBTOTAL(103,Novembre[11])</f>
        <v>0</v>
      </c>
      <c r="N14" s="23">
        <f>SUBTOTAL(103,Novembre[12])</f>
        <v>0</v>
      </c>
      <c r="O14" s="23">
        <f>SUBTOTAL(103,Novembre[13])</f>
        <v>0</v>
      </c>
      <c r="P14" s="23">
        <f>SUBTOTAL(103,Novembre[14])</f>
        <v>0</v>
      </c>
      <c r="Q14" s="23">
        <f>SUBTOTAL(103,Novembre[15])</f>
        <v>0</v>
      </c>
      <c r="R14" s="23">
        <f>SUBTOTAL(103,Novembre[16])</f>
        <v>0</v>
      </c>
      <c r="S14" s="23">
        <f>SUBTOTAL(103,Novembre[17])</f>
        <v>0</v>
      </c>
      <c r="T14" s="23">
        <f>SUBTOTAL(103,Novembre[18])</f>
        <v>0</v>
      </c>
      <c r="U14" s="23">
        <f>SUBTOTAL(103,Novembre[19])</f>
        <v>0</v>
      </c>
      <c r="V14" s="23">
        <f>SUBTOTAL(103,Novembre[20])</f>
        <v>0</v>
      </c>
      <c r="W14" s="23">
        <f>SUBTOTAL(103,Novembre[21])</f>
        <v>0</v>
      </c>
      <c r="X14" s="23">
        <f>SUBTOTAL(103,Novembre[22])</f>
        <v>0</v>
      </c>
      <c r="Y14" s="23">
        <f>SUBTOTAL(103,Novembre[23])</f>
        <v>0</v>
      </c>
      <c r="Z14" s="23">
        <f>SUBTOTAL(103,Novembre[24])</f>
        <v>0</v>
      </c>
      <c r="AA14" s="23">
        <f>SUBTOTAL(103,Novembre[25])</f>
        <v>0</v>
      </c>
      <c r="AB14" s="23">
        <f>SUBTOTAL(103,Novembre[26])</f>
        <v>0</v>
      </c>
      <c r="AC14" s="23">
        <f>SUBTOTAL(103,Novembre[27])</f>
        <v>0</v>
      </c>
      <c r="AD14" s="23">
        <f>SUBTOTAL(103,Novembre[28])</f>
        <v>0</v>
      </c>
      <c r="AE14" s="23">
        <f>SUBTOTAL(103,Novembre[29])</f>
        <v>0</v>
      </c>
      <c r="AF14" s="23">
        <f>SUBTOTAL(109,Novembre[30])</f>
        <v>0</v>
      </c>
      <c r="AG14" s="23">
        <f>SUBTOTAL(109,Novembre[31])</f>
        <v>0</v>
      </c>
      <c r="AH14" s="23">
        <f>SUBTOTAL(109,Novembre[Total des jours])</f>
        <v>0</v>
      </c>
    </row>
  </sheetData>
  <mergeCells count="6">
    <mergeCell ref="C6:AG6"/>
    <mergeCell ref="D4:E4"/>
    <mergeCell ref="G4:I4"/>
    <mergeCell ref="K4:L4"/>
    <mergeCell ref="N4:Q4"/>
    <mergeCell ref="S4:V4"/>
  </mergeCells>
  <conditionalFormatting sqref="C12:AG13 D10:L11 N10:AG11 H9 O9 V9 AC9">
    <cfRule type="expression" priority="49" stopIfTrue="1">
      <formula>C9=""</formula>
    </cfRule>
  </conditionalFormatting>
  <conditionalFormatting sqref="C12:AG13 D10:L11 N10:AG11 H9 O9 V9 AC9">
    <cfRule type="expression" dxfId="523" priority="50" stopIfTrue="1">
      <formula>C9=CléPersonnalisée2</formula>
    </cfRule>
    <cfRule type="expression" dxfId="522" priority="51" stopIfTrue="1">
      <formula>C9=CléPersonnalisée1</formula>
    </cfRule>
    <cfRule type="expression" dxfId="521" priority="52" stopIfTrue="1">
      <formula>C9=CléMaladie</formula>
    </cfRule>
    <cfRule type="expression" dxfId="520" priority="53" stopIfTrue="1">
      <formula>C9=CléPersonnel</formula>
    </cfRule>
    <cfRule type="expression" dxfId="519" priority="54" stopIfTrue="1">
      <formula>C9=CléCongé</formula>
    </cfRule>
  </conditionalFormatting>
  <conditionalFormatting sqref="AH9:AH13">
    <cfRule type="dataBar" priority="55">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conditionalFormatting sqref="D9:G9">
    <cfRule type="expression" priority="25" stopIfTrue="1">
      <formula>D9=""</formula>
    </cfRule>
  </conditionalFormatting>
  <conditionalFormatting sqref="D9:G9">
    <cfRule type="expression" dxfId="99" priority="26" stopIfTrue="1">
      <formula>D9=CléPersonnalisée2</formula>
    </cfRule>
    <cfRule type="expression" dxfId="98" priority="27" stopIfTrue="1">
      <formula>D9=CléPersonnalisée1</formula>
    </cfRule>
    <cfRule type="expression" dxfId="97" priority="28" stopIfTrue="1">
      <formula>D9=CléMaladie</formula>
    </cfRule>
    <cfRule type="expression" dxfId="96" priority="29" stopIfTrue="1">
      <formula>D9=CléPersonnel</formula>
    </cfRule>
    <cfRule type="expression" dxfId="95" priority="30" stopIfTrue="1">
      <formula>D9=CléCongé</formula>
    </cfRule>
  </conditionalFormatting>
  <conditionalFormatting sqref="I9:L9 N9">
    <cfRule type="expression" priority="19" stopIfTrue="1">
      <formula>I9=""</formula>
    </cfRule>
  </conditionalFormatting>
  <conditionalFormatting sqref="I9:L9 N9">
    <cfRule type="expression" dxfId="89" priority="20" stopIfTrue="1">
      <formula>I9=CléPersonnalisée2</formula>
    </cfRule>
    <cfRule type="expression" dxfId="88" priority="21" stopIfTrue="1">
      <formula>I9=CléPersonnalisée1</formula>
    </cfRule>
    <cfRule type="expression" dxfId="87" priority="22" stopIfTrue="1">
      <formula>I9=CléMaladie</formula>
    </cfRule>
    <cfRule type="expression" dxfId="86" priority="23" stopIfTrue="1">
      <formula>I9=CléPersonnel</formula>
    </cfRule>
    <cfRule type="expression" dxfId="85" priority="24" stopIfTrue="1">
      <formula>I9=CléCongé</formula>
    </cfRule>
  </conditionalFormatting>
  <conditionalFormatting sqref="P9:U9">
    <cfRule type="expression" priority="13" stopIfTrue="1">
      <formula>P9=""</formula>
    </cfRule>
  </conditionalFormatting>
  <conditionalFormatting sqref="P9:U9">
    <cfRule type="expression" dxfId="79" priority="14" stopIfTrue="1">
      <formula>P9=CléPersonnalisée2</formula>
    </cfRule>
    <cfRule type="expression" dxfId="78" priority="15" stopIfTrue="1">
      <formula>P9=CléPersonnalisée1</formula>
    </cfRule>
    <cfRule type="expression" dxfId="77" priority="16" stopIfTrue="1">
      <formula>P9=CléMaladie</formula>
    </cfRule>
    <cfRule type="expression" dxfId="76" priority="17" stopIfTrue="1">
      <formula>P9=CléPersonnel</formula>
    </cfRule>
    <cfRule type="expression" dxfId="75" priority="18" stopIfTrue="1">
      <formula>P9=CléCongé</formula>
    </cfRule>
  </conditionalFormatting>
  <conditionalFormatting sqref="W9:AB9">
    <cfRule type="expression" priority="7" stopIfTrue="1">
      <formula>W9=""</formula>
    </cfRule>
  </conditionalFormatting>
  <conditionalFormatting sqref="W9:AB9">
    <cfRule type="expression" dxfId="69" priority="8" stopIfTrue="1">
      <formula>W9=CléPersonnalisée2</formula>
    </cfRule>
    <cfRule type="expression" dxfId="68" priority="9" stopIfTrue="1">
      <formula>W9=CléPersonnalisée1</formula>
    </cfRule>
    <cfRule type="expression" dxfId="67" priority="10" stopIfTrue="1">
      <formula>W9=CléMaladie</formula>
    </cfRule>
    <cfRule type="expression" dxfId="66" priority="11" stopIfTrue="1">
      <formula>W9=CléPersonnel</formula>
    </cfRule>
    <cfRule type="expression" dxfId="65" priority="12" stopIfTrue="1">
      <formula>W9=CléCongé</formula>
    </cfRule>
  </conditionalFormatting>
  <conditionalFormatting sqref="AD9:AG9">
    <cfRule type="expression" priority="1" stopIfTrue="1">
      <formula>AD9=""</formula>
    </cfRule>
  </conditionalFormatting>
  <conditionalFormatting sqref="AD9:AG9">
    <cfRule type="expression" dxfId="59" priority="2" stopIfTrue="1">
      <formula>AD9=CléPersonnalisée2</formula>
    </cfRule>
    <cfRule type="expression" dxfId="58" priority="3" stopIfTrue="1">
      <formula>AD9=CléPersonnalisée1</formula>
    </cfRule>
    <cfRule type="expression" dxfId="57" priority="4" stopIfTrue="1">
      <formula>AD9=CléMaladie</formula>
    </cfRule>
    <cfRule type="expression" dxfId="56" priority="5" stopIfTrue="1">
      <formula>AD9=CléPersonnel</formula>
    </cfRule>
    <cfRule type="expression" dxfId="55" priority="6" stopIfTrue="1">
      <formula>AD9=CléCongé</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Entrez une étiquette pour décrire la clé personnalisée à gauche" sqref="N4 S4"/>
    <dataValidation allowBlank="1" showInputMessage="1" showErrorMessage="1" prompt="Entrez une lettre et personnalisez l’étiquette à droite pour ajouter un élément de clé" sqref="M4 R4 C9:C11 M9:M11"/>
    <dataValidation allowBlank="1" showInputMessage="1" showErrorMessage="1" prompt="La lettre « M » indique une absence pour cause de maladie" sqref="J4"/>
    <dataValidation allowBlank="1" showInputMessage="1" showErrorMessage="1" prompt="La lettre « P » indique une absence pour motifs personnels" sqref="F4"/>
    <dataValidation allowBlank="1" showInputMessage="1" showErrorMessage="1" prompt="La lettre « C » indique une absence pour cause de congé" sqref="C4"/>
    <dataValidation allowBlank="1" showInputMessage="1" showErrorMessage="1" prompt="Le titre mis à jour automatiquement figure dans cette cellule. Pour modifier le titre, mettez à jour la cellule B1 de la feuille de calcul Janvier" sqref="B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Suivez les absences du mois de novembre dans cette feuille de calcul" sqref="A3"/>
    <dataValidation allowBlank="1" showInputMessage="1" showErrorMessage="1" prompt="Calcule automatiquement le nombre total de jours d’absence d’un employé durant ce mois dans cette colonne" sqref="AH8"/>
    <dataValidation allowBlank="1" showInputMessage="1" showErrorMessage="1" prompt="Année mise à jour automatiquement en fonction de l’année entrée dans la feuille de calcul Janvier" sqref="AH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pageSetUpPr fitToPage="1"/>
  </sheetPr>
  <dimension ref="A1:AH14"/>
  <sheetViews>
    <sheetView showGridLines="0" zoomScaleNormal="100" workbookViewId="0">
      <selection activeCell="E9" sqref="C9:E9"/>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86.25" customHeight="1" x14ac:dyDescent="0.25"/>
    <row r="3" spans="2:34" ht="50.1" customHeight="1" x14ac:dyDescent="0.25">
      <c r="B3" s="12" t="str">
        <f>Titre_Absence_Employé</f>
        <v>Calendrier des absences des employés</v>
      </c>
    </row>
    <row r="4" spans="2:34" ht="15" customHeight="1" x14ac:dyDescent="0.25">
      <c r="B4" s="17" t="s">
        <v>1</v>
      </c>
      <c r="C4" s="4" t="s">
        <v>4</v>
      </c>
      <c r="D4" s="39" t="s">
        <v>7</v>
      </c>
      <c r="E4" s="39"/>
      <c r="F4" s="5" t="s">
        <v>10</v>
      </c>
      <c r="G4" s="39" t="s">
        <v>14</v>
      </c>
      <c r="H4" s="39"/>
      <c r="I4" s="39"/>
      <c r="J4" s="6" t="s">
        <v>12</v>
      </c>
      <c r="K4" s="39" t="s">
        <v>19</v>
      </c>
      <c r="L4" s="39"/>
      <c r="M4" s="7"/>
      <c r="N4" s="40" t="s">
        <v>23</v>
      </c>
      <c r="O4" s="39"/>
      <c r="P4" s="39"/>
      <c r="Q4" s="39"/>
      <c r="R4" s="27"/>
      <c r="S4" s="40" t="s">
        <v>60</v>
      </c>
      <c r="T4" s="39"/>
      <c r="U4" s="39"/>
      <c r="V4" s="39"/>
    </row>
    <row r="5" spans="2:34" ht="15" customHeight="1" x14ac:dyDescent="0.25">
      <c r="B5" s="12"/>
    </row>
    <row r="6" spans="2:34" ht="30" customHeight="1" x14ac:dyDescent="0.25">
      <c r="B6" s="11" t="s">
        <v>58</v>
      </c>
      <c r="C6" s="38" t="s">
        <v>5</v>
      </c>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11">
        <f>AnnéeCalendrier</f>
        <v>2022</v>
      </c>
    </row>
    <row r="7" spans="2:34" ht="15" customHeight="1" x14ac:dyDescent="0.25">
      <c r="B7" s="11"/>
      <c r="C7" s="2" t="str">
        <f>TEXT(WEEKDAY(DATE(AnnéeCalendrier,12,1),1),"jjj")</f>
        <v>jeu</v>
      </c>
      <c r="D7" s="2" t="str">
        <f>TEXT(WEEKDAY(DATE(AnnéeCalendrier,12,2),1),"jjj")</f>
        <v>ven</v>
      </c>
      <c r="E7" s="2" t="str">
        <f>TEXT(WEEKDAY(DATE(AnnéeCalendrier,12,3),1),"jjj")</f>
        <v>sam</v>
      </c>
      <c r="F7" s="2" t="str">
        <f>TEXT(WEEKDAY(DATE(AnnéeCalendrier,12,4),1),"jjj")</f>
        <v>dim</v>
      </c>
      <c r="G7" s="2" t="str">
        <f>TEXT(WEEKDAY(DATE(AnnéeCalendrier,12,5),1),"jjj")</f>
        <v>lun</v>
      </c>
      <c r="H7" s="2" t="str">
        <f>TEXT(WEEKDAY(DATE(AnnéeCalendrier,12,6),1),"jjj")</f>
        <v>mar</v>
      </c>
      <c r="I7" s="2" t="str">
        <f>TEXT(WEEKDAY(DATE(AnnéeCalendrier,12,7),1),"jjj")</f>
        <v>mer</v>
      </c>
      <c r="J7" s="2" t="str">
        <f>TEXT(WEEKDAY(DATE(AnnéeCalendrier,12,8),1),"jjj")</f>
        <v>jeu</v>
      </c>
      <c r="K7" s="2" t="str">
        <f>TEXT(WEEKDAY(DATE(AnnéeCalendrier,12,9),1),"jjj")</f>
        <v>ven</v>
      </c>
      <c r="L7" s="2" t="str">
        <f>TEXT(WEEKDAY(DATE(AnnéeCalendrier,12,10),1),"jjj")</f>
        <v>sam</v>
      </c>
      <c r="M7" s="2" t="str">
        <f>TEXT(WEEKDAY(DATE(AnnéeCalendrier,12,11),1),"jjj")</f>
        <v>dim</v>
      </c>
      <c r="N7" s="2" t="str">
        <f>TEXT(WEEKDAY(DATE(AnnéeCalendrier,12,12),1),"jjj")</f>
        <v>lun</v>
      </c>
      <c r="O7" s="2" t="str">
        <f>TEXT(WEEKDAY(DATE(AnnéeCalendrier,12,13),1),"jjj")</f>
        <v>mar</v>
      </c>
      <c r="P7" s="2" t="str">
        <f>TEXT(WEEKDAY(DATE(AnnéeCalendrier,12,14),1),"jjj")</f>
        <v>mer</v>
      </c>
      <c r="Q7" s="2" t="str">
        <f>TEXT(WEEKDAY(DATE(AnnéeCalendrier,12,15),1),"jjj")</f>
        <v>jeu</v>
      </c>
      <c r="R7" s="2" t="str">
        <f>TEXT(WEEKDAY(DATE(AnnéeCalendrier,12,16),1),"jjj")</f>
        <v>ven</v>
      </c>
      <c r="S7" s="2" t="str">
        <f>TEXT(WEEKDAY(DATE(AnnéeCalendrier,12,17),1),"jjj")</f>
        <v>sam</v>
      </c>
      <c r="T7" s="2" t="str">
        <f>TEXT(WEEKDAY(DATE(AnnéeCalendrier,12,18),1),"jjj")</f>
        <v>dim</v>
      </c>
      <c r="U7" s="2" t="str">
        <f>TEXT(WEEKDAY(DATE(AnnéeCalendrier,12,19),1),"jjj")</f>
        <v>lun</v>
      </c>
      <c r="V7" s="2" t="str">
        <f>TEXT(WEEKDAY(DATE(AnnéeCalendrier,12,20),1),"jjj")</f>
        <v>mar</v>
      </c>
      <c r="W7" s="2" t="str">
        <f>TEXT(WEEKDAY(DATE(AnnéeCalendrier,12,21),1),"jjj")</f>
        <v>mer</v>
      </c>
      <c r="X7" s="2" t="str">
        <f>TEXT(WEEKDAY(DATE(AnnéeCalendrier,12,22),1),"jjj")</f>
        <v>jeu</v>
      </c>
      <c r="Y7" s="2" t="str">
        <f>TEXT(WEEKDAY(DATE(AnnéeCalendrier,12,23),1),"jjj")</f>
        <v>ven</v>
      </c>
      <c r="Z7" s="2" t="str">
        <f>TEXT(WEEKDAY(DATE(AnnéeCalendrier,12,24),1),"jjj")</f>
        <v>sam</v>
      </c>
      <c r="AA7" s="2" t="str">
        <f>TEXT(WEEKDAY(DATE(AnnéeCalendrier,12,25),1),"jjj")</f>
        <v>dim</v>
      </c>
      <c r="AB7" s="2" t="str">
        <f>TEXT(WEEKDAY(DATE(AnnéeCalendrier,12,26),1),"jjj")</f>
        <v>lun</v>
      </c>
      <c r="AC7" s="2" t="str">
        <f>TEXT(WEEKDAY(DATE(AnnéeCalendrier,12,27),1),"jjj")</f>
        <v>mar</v>
      </c>
      <c r="AD7" s="2" t="str">
        <f>TEXT(WEEKDAY(DATE(AnnéeCalendrier,12,28),1),"jjj")</f>
        <v>mer</v>
      </c>
      <c r="AE7" s="2" t="str">
        <f>TEXT(WEEKDAY(DATE(AnnéeCalendrier,12,29),1),"jjj")</f>
        <v>jeu</v>
      </c>
      <c r="AF7" s="2" t="str">
        <f>TEXT(WEEKDAY(DATE(AnnéeCalendrier,12,30),1),"jjj")</f>
        <v>ven</v>
      </c>
      <c r="AG7" s="2" t="str">
        <f>TEXT(WEEKDAY(DATE(AnnéeCalendrier,12,31),1),"jjj")</f>
        <v>sam</v>
      </c>
      <c r="AH7" s="11"/>
    </row>
    <row r="8" spans="2:34" ht="15" customHeight="1" x14ac:dyDescent="0.25">
      <c r="B8" s="13" t="s">
        <v>3</v>
      </c>
      <c r="C8" s="3" t="s">
        <v>6</v>
      </c>
      <c r="D8" s="3" t="s">
        <v>8</v>
      </c>
      <c r="E8" s="3" t="s">
        <v>9</v>
      </c>
      <c r="F8" s="3" t="s">
        <v>11</v>
      </c>
      <c r="G8" s="3" t="s">
        <v>13</v>
      </c>
      <c r="H8" s="3" t="s">
        <v>15</v>
      </c>
      <c r="I8" s="3" t="s">
        <v>16</v>
      </c>
      <c r="J8" s="3" t="s">
        <v>17</v>
      </c>
      <c r="K8" s="3" t="s">
        <v>18</v>
      </c>
      <c r="L8" s="3" t="s">
        <v>20</v>
      </c>
      <c r="M8" s="3" t="s">
        <v>21</v>
      </c>
      <c r="N8" s="3" t="s">
        <v>22</v>
      </c>
      <c r="O8" s="3" t="s">
        <v>24</v>
      </c>
      <c r="P8" s="3" t="s">
        <v>25</v>
      </c>
      <c r="Q8" s="3" t="s">
        <v>26</v>
      </c>
      <c r="R8" s="3" t="s">
        <v>27</v>
      </c>
      <c r="S8" s="3" t="s">
        <v>29</v>
      </c>
      <c r="T8" s="3" t="s">
        <v>30</v>
      </c>
      <c r="U8" s="3" t="s">
        <v>31</v>
      </c>
      <c r="V8" s="3" t="s">
        <v>32</v>
      </c>
      <c r="W8" s="3" t="s">
        <v>33</v>
      </c>
      <c r="X8" s="3" t="s">
        <v>34</v>
      </c>
      <c r="Y8" s="3" t="s">
        <v>35</v>
      </c>
      <c r="Z8" s="3" t="s">
        <v>36</v>
      </c>
      <c r="AA8" s="3" t="s">
        <v>37</v>
      </c>
      <c r="AB8" s="3" t="s">
        <v>38</v>
      </c>
      <c r="AC8" s="3" t="s">
        <v>39</v>
      </c>
      <c r="AD8" s="3" t="s">
        <v>40</v>
      </c>
      <c r="AE8" s="3" t="s">
        <v>41</v>
      </c>
      <c r="AF8" s="3" t="s">
        <v>42</v>
      </c>
      <c r="AG8" s="3" t="s">
        <v>43</v>
      </c>
      <c r="AH8" s="14" t="s">
        <v>45</v>
      </c>
    </row>
    <row r="9" spans="2:34" ht="30" customHeight="1" x14ac:dyDescent="0.25">
      <c r="B9" s="15" t="str">
        <f>'Noms des employés'!B4</f>
        <v>1 - Carole</v>
      </c>
      <c r="C9" s="3"/>
      <c r="D9" s="3"/>
      <c r="E9" s="3"/>
      <c r="F9" s="37"/>
      <c r="G9" s="3"/>
      <c r="H9" s="3"/>
      <c r="I9" s="3"/>
      <c r="J9" s="3"/>
      <c r="K9" s="3"/>
      <c r="L9" s="3"/>
      <c r="M9" s="37"/>
      <c r="N9" s="3"/>
      <c r="O9" s="3"/>
      <c r="P9" s="3"/>
      <c r="Q9" s="3"/>
      <c r="R9" s="3"/>
      <c r="S9" s="3"/>
      <c r="T9" s="37"/>
      <c r="U9" s="3"/>
      <c r="V9" s="3"/>
      <c r="W9" s="3"/>
      <c r="X9" s="3"/>
      <c r="Y9" s="3"/>
      <c r="Z9" s="3"/>
      <c r="AA9" s="37"/>
      <c r="AB9" s="3"/>
      <c r="AC9" s="3"/>
      <c r="AD9" s="3"/>
      <c r="AE9" s="3"/>
      <c r="AF9" s="3"/>
      <c r="AG9" s="3"/>
      <c r="AH9" s="9">
        <f>COUNTA(Décembre[[#This Row],[1]:[31]])</f>
        <v>0</v>
      </c>
    </row>
    <row r="10" spans="2:34" ht="30" customHeight="1" x14ac:dyDescent="0.25">
      <c r="B10" s="15" t="str">
        <f>'Noms des employés'!B5</f>
        <v xml:space="preserve">2 - Laïla </v>
      </c>
      <c r="C10" s="3"/>
      <c r="D10" s="3"/>
      <c r="E10" s="3"/>
      <c r="F10" s="29"/>
      <c r="G10" s="3"/>
      <c r="H10" s="3"/>
      <c r="I10" s="3"/>
      <c r="J10" s="3"/>
      <c r="K10" s="3"/>
      <c r="L10" s="3"/>
      <c r="M10" s="29"/>
      <c r="N10" s="3"/>
      <c r="O10" s="3"/>
      <c r="P10" s="3"/>
      <c r="Q10" s="3"/>
      <c r="R10" s="3"/>
      <c r="S10" s="3"/>
      <c r="T10" s="29"/>
      <c r="U10" s="3"/>
      <c r="V10" s="3"/>
      <c r="W10" s="3"/>
      <c r="X10" s="3"/>
      <c r="Y10" s="3"/>
      <c r="Z10" s="3"/>
      <c r="AA10" s="29"/>
      <c r="AB10" s="3"/>
      <c r="AC10" s="3"/>
      <c r="AD10" s="3"/>
      <c r="AE10" s="3"/>
      <c r="AF10" s="3"/>
      <c r="AG10" s="3"/>
      <c r="AH10" s="9">
        <f>COUNTA(Décembre[[#This Row],[1]:[31]])</f>
        <v>0</v>
      </c>
    </row>
    <row r="11" spans="2:34" ht="30" customHeight="1" x14ac:dyDescent="0.25">
      <c r="B11" s="15" t="str">
        <f>'Noms des employés'!B6</f>
        <v>3 - Jean-Claude</v>
      </c>
      <c r="C11" s="3"/>
      <c r="D11" s="3"/>
      <c r="E11" s="3"/>
      <c r="F11" s="29"/>
      <c r="G11" s="3"/>
      <c r="H11" s="3"/>
      <c r="I11" s="3"/>
      <c r="J11" s="3"/>
      <c r="K11" s="3"/>
      <c r="L11" s="3"/>
      <c r="M11" s="29"/>
      <c r="N11" s="3"/>
      <c r="O11" s="3"/>
      <c r="P11" s="3"/>
      <c r="Q11" s="3"/>
      <c r="R11" s="3"/>
      <c r="S11" s="3"/>
      <c r="T11" s="29"/>
      <c r="U11" s="3"/>
      <c r="V11" s="3"/>
      <c r="W11" s="3"/>
      <c r="X11" s="3"/>
      <c r="Y11" s="3"/>
      <c r="Z11" s="3"/>
      <c r="AA11" s="29"/>
      <c r="AB11" s="3"/>
      <c r="AC11" s="3"/>
      <c r="AD11" s="3"/>
      <c r="AE11" s="3"/>
      <c r="AF11" s="3"/>
      <c r="AG11" s="3"/>
      <c r="AH11" s="9">
        <f>COUNTA(Décembre[[#This Row],[1]:[31]])</f>
        <v>0</v>
      </c>
    </row>
    <row r="12" spans="2:34" ht="30" hidden="1" customHeight="1" x14ac:dyDescent="0.25">
      <c r="B12" s="15">
        <f>'Noms des employés'!B7</f>
        <v>0</v>
      </c>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9">
        <f>COUNTA(Décembre[[#This Row],[1]:[31]])</f>
        <v>0</v>
      </c>
    </row>
    <row r="13" spans="2:34" ht="30" hidden="1" customHeight="1" x14ac:dyDescent="0.25">
      <c r="B13" s="15">
        <f>'Noms des employés'!B8</f>
        <v>0</v>
      </c>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9">
        <f>COUNTA(Décembre[[#This Row],[1]:[31]])</f>
        <v>0</v>
      </c>
    </row>
    <row r="14" spans="2:34" ht="30" customHeight="1" x14ac:dyDescent="0.25">
      <c r="B14" s="22" t="str">
        <f>NomMois&amp;" Total"</f>
        <v>Décembre Total</v>
      </c>
      <c r="C14" s="23">
        <f>SUBTOTAL(103,Décembre[1])</f>
        <v>0</v>
      </c>
      <c r="D14" s="23">
        <f>SUBTOTAL(103,Décembre[2])</f>
        <v>0</v>
      </c>
      <c r="E14" s="23">
        <f>SUBTOTAL(103,Décembre[3])</f>
        <v>0</v>
      </c>
      <c r="F14" s="23">
        <f>SUBTOTAL(103,Décembre[4])</f>
        <v>0</v>
      </c>
      <c r="G14" s="23">
        <f>SUBTOTAL(103,Décembre[5])</f>
        <v>0</v>
      </c>
      <c r="H14" s="23">
        <f>SUBTOTAL(103,Décembre[6])</f>
        <v>0</v>
      </c>
      <c r="I14" s="23">
        <f>SUBTOTAL(103,Décembre[7])</f>
        <v>0</v>
      </c>
      <c r="J14" s="23">
        <f>SUBTOTAL(103,Décembre[8])</f>
        <v>0</v>
      </c>
      <c r="K14" s="23">
        <f>SUBTOTAL(103,Décembre[9])</f>
        <v>0</v>
      </c>
      <c r="L14" s="23">
        <f>SUBTOTAL(103,Décembre[10])</f>
        <v>0</v>
      </c>
      <c r="M14" s="23">
        <f>SUBTOTAL(103,Décembre[11])</f>
        <v>0</v>
      </c>
      <c r="N14" s="23">
        <f>SUBTOTAL(103,Décembre[12])</f>
        <v>0</v>
      </c>
      <c r="O14" s="23">
        <f>SUBTOTAL(103,Décembre[13])</f>
        <v>0</v>
      </c>
      <c r="P14" s="23">
        <f>SUBTOTAL(103,Décembre[14])</f>
        <v>0</v>
      </c>
      <c r="Q14" s="23">
        <f>SUBTOTAL(103,Décembre[15])</f>
        <v>0</v>
      </c>
      <c r="R14" s="23">
        <f>SUBTOTAL(103,Décembre[16])</f>
        <v>0</v>
      </c>
      <c r="S14" s="23">
        <f>SUBTOTAL(103,Décembre[17])</f>
        <v>0</v>
      </c>
      <c r="T14" s="23">
        <f>SUBTOTAL(103,Décembre[18])</f>
        <v>0</v>
      </c>
      <c r="U14" s="23">
        <f>SUBTOTAL(103,Décembre[19])</f>
        <v>0</v>
      </c>
      <c r="V14" s="23">
        <f>SUBTOTAL(103,Décembre[20])</f>
        <v>0</v>
      </c>
      <c r="W14" s="23">
        <f>SUBTOTAL(103,Décembre[21])</f>
        <v>0</v>
      </c>
      <c r="X14" s="23">
        <f>SUBTOTAL(103,Décembre[22])</f>
        <v>0</v>
      </c>
      <c r="Y14" s="23">
        <f>SUBTOTAL(103,Décembre[23])</f>
        <v>0</v>
      </c>
      <c r="Z14" s="23">
        <f>SUBTOTAL(103,Décembre[24])</f>
        <v>0</v>
      </c>
      <c r="AA14" s="23">
        <f>SUBTOTAL(103,Décembre[25])</f>
        <v>0</v>
      </c>
      <c r="AB14" s="23">
        <f>SUBTOTAL(103,Décembre[26])</f>
        <v>0</v>
      </c>
      <c r="AC14" s="23">
        <f>SUBTOTAL(103,Décembre[27])</f>
        <v>0</v>
      </c>
      <c r="AD14" s="23">
        <f>SUBTOTAL(103,Décembre[28])</f>
        <v>0</v>
      </c>
      <c r="AE14" s="23">
        <f>SUBTOTAL(103,Décembre[29])</f>
        <v>0</v>
      </c>
      <c r="AF14" s="23">
        <f>SUBTOTAL(109,Décembre[30])</f>
        <v>0</v>
      </c>
      <c r="AG14" s="23">
        <f>SUBTOTAL(109,Décembre[31])</f>
        <v>0</v>
      </c>
      <c r="AH14" s="23">
        <f>SUBTOTAL(109,Décembre[Total des jours])</f>
        <v>0</v>
      </c>
    </row>
  </sheetData>
  <mergeCells count="6">
    <mergeCell ref="C6:AG6"/>
    <mergeCell ref="D4:E4"/>
    <mergeCell ref="G4:I4"/>
    <mergeCell ref="K4:L4"/>
    <mergeCell ref="N4:Q4"/>
    <mergeCell ref="S4:V4"/>
  </mergeCells>
  <conditionalFormatting sqref="C10:AG13 F9 AA9 T9 M9">
    <cfRule type="expression" priority="55" stopIfTrue="1">
      <formula>C9=""</formula>
    </cfRule>
  </conditionalFormatting>
  <conditionalFormatting sqref="C10:AG13 F9 AA9 T9 M9">
    <cfRule type="expression" dxfId="449" priority="56" stopIfTrue="1">
      <formula>C9=CléPersonnalisée2</formula>
    </cfRule>
    <cfRule type="expression" dxfId="448" priority="57" stopIfTrue="1">
      <formula>C9=CléPersonnalisée1</formula>
    </cfRule>
    <cfRule type="expression" dxfId="447" priority="58" stopIfTrue="1">
      <formula>C9=CléMaladie</formula>
    </cfRule>
    <cfRule type="expression" dxfId="446" priority="59" stopIfTrue="1">
      <formula>C9=CléPersonnel</formula>
    </cfRule>
    <cfRule type="expression" dxfId="445" priority="60" stopIfTrue="1">
      <formula>C9=CléCongé</formula>
    </cfRule>
  </conditionalFormatting>
  <conditionalFormatting sqref="AH9:AH13">
    <cfRule type="dataBar" priority="84">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conditionalFormatting sqref="AB9:AG9">
    <cfRule type="expression" priority="25" stopIfTrue="1">
      <formula>AB9=""</formula>
    </cfRule>
  </conditionalFormatting>
  <conditionalFormatting sqref="AB9:AG9">
    <cfRule type="expression" dxfId="49" priority="26" stopIfTrue="1">
      <formula>AB9=CléPersonnalisée2</formula>
    </cfRule>
    <cfRule type="expression" dxfId="48" priority="27" stopIfTrue="1">
      <formula>AB9=CléPersonnalisée1</formula>
    </cfRule>
    <cfRule type="expression" dxfId="47" priority="28" stopIfTrue="1">
      <formula>AB9=CléMaladie</formula>
    </cfRule>
    <cfRule type="expression" dxfId="46" priority="29" stopIfTrue="1">
      <formula>AB9=CléPersonnel</formula>
    </cfRule>
    <cfRule type="expression" dxfId="45" priority="30" stopIfTrue="1">
      <formula>AB9=CléCongé</formula>
    </cfRule>
  </conditionalFormatting>
  <conditionalFormatting sqref="U9:Z9">
    <cfRule type="expression" priority="19" stopIfTrue="1">
      <formula>U9=""</formula>
    </cfRule>
  </conditionalFormatting>
  <conditionalFormatting sqref="U9:Z9">
    <cfRule type="expression" dxfId="39" priority="20" stopIfTrue="1">
      <formula>U9=CléPersonnalisée2</formula>
    </cfRule>
    <cfRule type="expression" dxfId="38" priority="21" stopIfTrue="1">
      <formula>U9=CléPersonnalisée1</formula>
    </cfRule>
    <cfRule type="expression" dxfId="37" priority="22" stopIfTrue="1">
      <formula>U9=CléMaladie</formula>
    </cfRule>
    <cfRule type="expression" dxfId="36" priority="23" stopIfTrue="1">
      <formula>U9=CléPersonnel</formula>
    </cfRule>
    <cfRule type="expression" dxfId="35" priority="24" stopIfTrue="1">
      <formula>U9=CléCongé</formula>
    </cfRule>
  </conditionalFormatting>
  <conditionalFormatting sqref="N9:S9">
    <cfRule type="expression" priority="13" stopIfTrue="1">
      <formula>N9=""</formula>
    </cfRule>
  </conditionalFormatting>
  <conditionalFormatting sqref="N9:S9">
    <cfRule type="expression" dxfId="29" priority="14" stopIfTrue="1">
      <formula>N9=CléPersonnalisée2</formula>
    </cfRule>
    <cfRule type="expression" dxfId="28" priority="15" stopIfTrue="1">
      <formula>N9=CléPersonnalisée1</formula>
    </cfRule>
    <cfRule type="expression" dxfId="27" priority="16" stopIfTrue="1">
      <formula>N9=CléMaladie</formula>
    </cfRule>
    <cfRule type="expression" dxfId="26" priority="17" stopIfTrue="1">
      <formula>N9=CléPersonnel</formula>
    </cfRule>
    <cfRule type="expression" dxfId="25" priority="18" stopIfTrue="1">
      <formula>N9=CléCongé</formula>
    </cfRule>
  </conditionalFormatting>
  <conditionalFormatting sqref="G9:L9">
    <cfRule type="expression" priority="7" stopIfTrue="1">
      <formula>G9=""</formula>
    </cfRule>
  </conditionalFormatting>
  <conditionalFormatting sqref="G9:L9">
    <cfRule type="expression" dxfId="19" priority="8" stopIfTrue="1">
      <formula>G9=CléPersonnalisée2</formula>
    </cfRule>
    <cfRule type="expression" dxfId="18" priority="9" stopIfTrue="1">
      <formula>G9=CléPersonnalisée1</formula>
    </cfRule>
    <cfRule type="expression" dxfId="17" priority="10" stopIfTrue="1">
      <formula>G9=CléMaladie</formula>
    </cfRule>
    <cfRule type="expression" dxfId="16" priority="11" stopIfTrue="1">
      <formula>G9=CléPersonnel</formula>
    </cfRule>
    <cfRule type="expression" dxfId="15" priority="12" stopIfTrue="1">
      <formula>G9=CléCongé</formula>
    </cfRule>
  </conditionalFormatting>
  <conditionalFormatting sqref="C9:E9">
    <cfRule type="expression" priority="1" stopIfTrue="1">
      <formula>C9=""</formula>
    </cfRule>
  </conditionalFormatting>
  <conditionalFormatting sqref="C9:E9">
    <cfRule type="expression" dxfId="9" priority="2" stopIfTrue="1">
      <formula>C9=CléPersonnalisée2</formula>
    </cfRule>
    <cfRule type="expression" dxfId="8" priority="3" stopIfTrue="1">
      <formula>C9=CléPersonnalisée1</formula>
    </cfRule>
    <cfRule type="expression" dxfId="7" priority="4" stopIfTrue="1">
      <formula>C9=CléMaladie</formula>
    </cfRule>
    <cfRule type="expression" dxfId="6" priority="5" stopIfTrue="1">
      <formula>C9=CléPersonnel</formula>
    </cfRule>
    <cfRule type="expression" dxfId="5" priority="6" stopIfTrue="1">
      <formula>C9=CléCongé</formula>
    </cfRule>
  </conditionalFormatting>
  <dataValidations count="14">
    <dataValidation allowBlank="1" showInputMessage="1" showErrorMessage="1" prompt="Année mise à jour automatiquement en fonction de l’année entrée dans la feuille de calcul Janvier" sqref="AH6"/>
    <dataValidation allowBlank="1" showInputMessage="1" showErrorMessage="1" prompt="Calcule automatiquement le nombre total de jours d’absence d’un employé durant ce mois dans cette colonne" sqref="AH8"/>
    <dataValidation allowBlank="1" showInputMessage="1" showErrorMessage="1" prompt="Suivez les absences du mois de décembre dans cette feuille de calcul" sqref="A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dataValidation allowBlank="1" showInputMessage="1" showErrorMessage="1" prompt="Le titre mis à jour automatiquement figure dans cette cellule. Pour modifier le titre, mettez à jour la cellule B1 de la feuille de calcul Janvier" sqref="B3"/>
    <dataValidation allowBlank="1" showInputMessage="1" showErrorMessage="1" prompt="La lettre « C » indique une absence pour cause de congé" sqref="C4"/>
    <dataValidation allowBlank="1" showInputMessage="1" showErrorMessage="1" prompt="La lettre « P » indique une absence pour motifs personnels" sqref="F4"/>
    <dataValidation allowBlank="1" showInputMessage="1" showErrorMessage="1" prompt="La lettre « M » indique une absence pour cause de maladie" sqref="J4"/>
    <dataValidation allowBlank="1" showInputMessage="1" showErrorMessage="1" prompt="Entrez une lettre et personnalisez l’étiquette à droite pour ajouter un élément de clé" sqref="R4 M4"/>
    <dataValidation allowBlank="1" showInputMessage="1" showErrorMessage="1" prompt="Entrez une étiquette pour décrire la clé personnalisée à gauche" sqref="S4 N4"/>
    <dataValidation allowBlank="1" showInputMessage="1" showErrorMessage="1" prompt="Cette ligne définit les clés utilisées dans le tableau : Congé en C2, Personnel en F2 et Congé maladie en J2. Les cellules M2 et R2 sont personnalisables " sqref="B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B9:B13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B1:B8"/>
  <sheetViews>
    <sheetView showGridLines="0" workbookViewId="0">
      <selection activeCell="B5" sqref="B5"/>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59</v>
      </c>
    </row>
    <row r="2" spans="2:2" ht="15" customHeight="1" x14ac:dyDescent="0.25"/>
    <row r="3" spans="2:2" ht="30" customHeight="1" x14ac:dyDescent="0.25">
      <c r="B3" t="s">
        <v>59</v>
      </c>
    </row>
    <row r="4" spans="2:2" ht="30" customHeight="1" x14ac:dyDescent="0.25">
      <c r="B4" s="21" t="s">
        <v>68</v>
      </c>
    </row>
    <row r="5" spans="2:2" ht="30" customHeight="1" x14ac:dyDescent="0.25">
      <c r="B5" s="21" t="s">
        <v>69</v>
      </c>
    </row>
    <row r="6" spans="2:2" ht="30" customHeight="1" x14ac:dyDescent="0.25">
      <c r="B6" s="21" t="s">
        <v>70</v>
      </c>
    </row>
    <row r="7" spans="2:2" ht="30" customHeight="1" x14ac:dyDescent="0.25">
      <c r="B7" s="21"/>
    </row>
    <row r="8" spans="2:2" ht="30" customHeight="1" x14ac:dyDescent="0.25">
      <c r="B8" s="1"/>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Admin</dc:creator>
  <cp:lastModifiedBy>Michel</cp:lastModifiedBy>
  <cp:lastPrinted>2021-05-17T12:44:25Z</cp:lastPrinted>
  <dcterms:created xsi:type="dcterms:W3CDTF">2016-12-06T04:52:27Z</dcterms:created>
  <dcterms:modified xsi:type="dcterms:W3CDTF">2022-08-20T07:03:26Z</dcterms:modified>
</cp:coreProperties>
</file>