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Michel\Desktop\Excel Forum\"/>
    </mc:Choice>
  </mc:AlternateContent>
  <bookViews>
    <workbookView xWindow="28680" yWindow="-120" windowWidth="29040" windowHeight="15840"/>
  </bookViews>
  <sheets>
    <sheet name="Données" sheetId="1" r:id="rId1"/>
    <sheet name="Listes" sheetId="2" r:id="rId2"/>
  </sheets>
  <definedNames>
    <definedName name="_xlnm._FilterDatabase" localSheetId="0" hidden="1">Données!$C$4:$AJ$141</definedName>
    <definedName name="_xlnm._FilterDatabase" localSheetId="1" hidden="1">Listes!$A$1:$A$13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137" i="1" l="1"/>
  <c r="L54" i="1"/>
  <c r="AH7" i="1" l="1"/>
  <c r="L92" i="1"/>
  <c r="L130" i="1"/>
  <c r="AF34" i="1"/>
  <c r="AG34" i="1" s="1"/>
  <c r="AI71" i="1"/>
  <c r="AI96" i="1"/>
  <c r="AI95" i="1"/>
  <c r="L89" i="1"/>
  <c r="L38" i="1"/>
  <c r="D140" i="1"/>
  <c r="L24" i="1"/>
  <c r="L23" i="1"/>
  <c r="L7" i="1"/>
  <c r="O92" i="1"/>
  <c r="P92" i="1" s="1"/>
  <c r="O137" i="1"/>
  <c r="P137" i="1" s="1"/>
  <c r="O135" i="1"/>
  <c r="P135" i="1" s="1"/>
  <c r="AH135" i="1" s="1"/>
  <c r="O87" i="1"/>
  <c r="P87" i="1" s="1"/>
  <c r="O88" i="1"/>
  <c r="P88" i="1" s="1"/>
  <c r="O91" i="1"/>
  <c r="P91" i="1" s="1"/>
  <c r="O90" i="1"/>
  <c r="P90" i="1" s="1"/>
  <c r="O66" i="1"/>
  <c r="P66" i="1" s="1"/>
  <c r="O89" i="1"/>
  <c r="P89" i="1" s="1"/>
  <c r="O86" i="1"/>
  <c r="P86" i="1" s="1"/>
  <c r="O129" i="1"/>
  <c r="P129" i="1" s="1"/>
  <c r="O84" i="1" l="1"/>
  <c r="P84" i="1" s="1"/>
  <c r="O83" i="1"/>
  <c r="P83" i="1" s="1"/>
  <c r="O82" i="1"/>
  <c r="P82" i="1" s="1"/>
  <c r="O81" i="1"/>
  <c r="P81" i="1" s="1"/>
  <c r="O106" i="1"/>
  <c r="P106" i="1" s="1"/>
  <c r="AH106" i="1" s="1"/>
  <c r="O78" i="1"/>
  <c r="P78" i="1" s="1"/>
  <c r="AH78" i="1" s="1"/>
  <c r="O75" i="1"/>
  <c r="P75" i="1" s="1"/>
  <c r="AH75" i="1" s="1"/>
  <c r="O80" i="1"/>
  <c r="P80" i="1" s="1"/>
  <c r="L135" i="1" l="1"/>
  <c r="P123" i="1" l="1"/>
  <c r="P124" i="1"/>
  <c r="M10" i="1"/>
  <c r="M9" i="1"/>
  <c r="M8" i="1"/>
  <c r="M7" i="1"/>
  <c r="L30" i="1"/>
  <c r="AH92" i="1" l="1"/>
  <c r="AH137" i="1"/>
  <c r="AH65" i="1"/>
  <c r="AH91" i="1"/>
  <c r="AH90" i="1"/>
  <c r="AH64" i="1"/>
  <c r="AH63" i="1"/>
  <c r="AH89" i="1"/>
  <c r="AH62" i="1"/>
  <c r="AH88" i="1"/>
  <c r="AH61" i="1"/>
  <c r="AH60" i="1"/>
  <c r="AH87" i="1"/>
  <c r="AH59" i="1"/>
  <c r="AH58" i="1"/>
  <c r="AH129" i="1"/>
  <c r="AH57" i="1"/>
  <c r="AH56" i="1"/>
  <c r="AH55" i="1"/>
  <c r="AH54" i="1"/>
  <c r="AH53" i="1"/>
  <c r="AH86" i="1"/>
  <c r="AH85" i="1"/>
  <c r="AH52" i="1"/>
  <c r="AH84" i="1"/>
  <c r="AH83" i="1"/>
  <c r="AH82" i="1"/>
  <c r="AH81" i="1"/>
  <c r="AH80" i="1"/>
  <c r="AH79" i="1"/>
  <c r="AH51" i="1"/>
  <c r="AH50" i="1"/>
  <c r="AH49" i="1"/>
  <c r="AH48" i="1"/>
  <c r="AH77" i="1"/>
  <c r="AH47" i="1"/>
  <c r="AH46" i="1"/>
  <c r="AH45" i="1"/>
  <c r="AH44" i="1"/>
  <c r="AH10" i="1"/>
  <c r="AH9" i="1"/>
  <c r="AH8" i="1"/>
  <c r="AH43" i="1"/>
  <c r="AH76" i="1"/>
  <c r="AH42" i="1"/>
  <c r="AH41" i="1"/>
  <c r="AH40" i="1"/>
  <c r="AH6" i="1"/>
  <c r="AH74" i="1"/>
  <c r="AH39" i="1"/>
  <c r="AH38" i="1"/>
  <c r="AH73" i="1"/>
  <c r="AH37" i="1"/>
  <c r="AH72" i="1"/>
  <c r="AH36" i="1"/>
  <c r="AH35" i="1"/>
  <c r="AG92" i="1"/>
  <c r="AG137" i="1"/>
  <c r="AG136" i="1"/>
  <c r="AG135" i="1"/>
  <c r="AG65" i="1"/>
  <c r="AG91" i="1"/>
  <c r="AG90" i="1"/>
  <c r="AG64" i="1"/>
  <c r="AG63" i="1"/>
  <c r="AG66" i="1"/>
  <c r="AG89" i="1"/>
  <c r="AG62" i="1"/>
  <c r="AG88" i="1"/>
  <c r="AG61" i="1"/>
  <c r="AG60" i="1"/>
  <c r="AG87" i="1"/>
  <c r="AG132" i="1"/>
  <c r="AG131" i="1"/>
  <c r="AG59" i="1"/>
  <c r="AG58" i="1"/>
  <c r="AG129" i="1"/>
  <c r="AG57" i="1"/>
  <c r="AG56" i="1"/>
  <c r="AG55" i="1"/>
  <c r="AG54" i="1"/>
  <c r="AG128" i="1"/>
  <c r="AG5" i="1"/>
  <c r="AG53" i="1"/>
  <c r="AG86" i="1"/>
  <c r="AG85" i="1"/>
  <c r="AG52" i="1"/>
  <c r="AG84" i="1"/>
  <c r="AG83" i="1"/>
  <c r="AG82" i="1"/>
  <c r="AG81" i="1"/>
  <c r="AG80" i="1"/>
  <c r="AG79" i="1"/>
  <c r="AG51" i="1"/>
  <c r="AG50" i="1"/>
  <c r="AG49" i="1"/>
  <c r="AG48" i="1"/>
  <c r="AG78" i="1"/>
  <c r="AG77" i="1"/>
  <c r="AG47" i="1"/>
  <c r="AG46" i="1"/>
  <c r="AG45" i="1"/>
  <c r="AG44" i="1"/>
  <c r="AG10" i="1"/>
  <c r="AG9" i="1"/>
  <c r="AG8" i="1"/>
  <c r="AG43" i="1"/>
  <c r="AG76" i="1"/>
  <c r="AG42" i="1"/>
  <c r="AG41" i="1"/>
  <c r="AG7" i="1"/>
  <c r="AI7" i="1" s="1"/>
  <c r="AG40" i="1"/>
  <c r="AG75" i="1"/>
  <c r="AG6" i="1"/>
  <c r="AG74" i="1"/>
  <c r="AG39" i="1"/>
  <c r="AG38" i="1"/>
  <c r="AG73" i="1"/>
  <c r="AG37" i="1"/>
  <c r="AG72" i="1"/>
  <c r="AG36" i="1"/>
  <c r="AG35" i="1"/>
  <c r="AG106" i="1"/>
  <c r="AI106" i="1" s="1"/>
  <c r="M6" i="1"/>
  <c r="AI8" i="1" l="1"/>
  <c r="AI78" i="1"/>
  <c r="AI128" i="1"/>
  <c r="AI43" i="1"/>
  <c r="AI77" i="1"/>
  <c r="AI81" i="1"/>
  <c r="AI59" i="1"/>
  <c r="AI42" i="1"/>
  <c r="AI79" i="1"/>
  <c r="AI38" i="1"/>
  <c r="AI46" i="1"/>
  <c r="AI129" i="1"/>
  <c r="AI39" i="1"/>
  <c r="AI80" i="1"/>
  <c r="AI58" i="1"/>
  <c r="AI48" i="1"/>
  <c r="AI54" i="1"/>
  <c r="AI84" i="1"/>
  <c r="AI55" i="1"/>
  <c r="AI44" i="1"/>
  <c r="AI50" i="1"/>
  <c r="AI52" i="1"/>
  <c r="AI41" i="1"/>
  <c r="AI51" i="1"/>
  <c r="AI57" i="1"/>
  <c r="AI45" i="1"/>
  <c r="AI36" i="1"/>
  <c r="AI37" i="1"/>
  <c r="AI86" i="1"/>
  <c r="AI85" i="1"/>
  <c r="AI83" i="1"/>
  <c r="AI40" i="1"/>
  <c r="AI76" i="1"/>
  <c r="AI75" i="1"/>
  <c r="AI74" i="1"/>
  <c r="AI72" i="1"/>
  <c r="AI56" i="1"/>
  <c r="AI104" i="1"/>
  <c r="AI90" i="1"/>
  <c r="AI60" i="1"/>
  <c r="AI10" i="1"/>
  <c r="AI6" i="1"/>
  <c r="AI73" i="1"/>
  <c r="AI63" i="1"/>
  <c r="AI137" i="1"/>
  <c r="AI87" i="1"/>
  <c r="AI92" i="1"/>
  <c r="AI135" i="1"/>
  <c r="AI35" i="1"/>
  <c r="AI62" i="1"/>
  <c r="AI89" i="1"/>
  <c r="AI94" i="1"/>
  <c r="AI88" i="1"/>
  <c r="AI61" i="1"/>
  <c r="AI91" i="1"/>
  <c r="AI65" i="1"/>
  <c r="AI49" i="1"/>
  <c r="AI47" i="1"/>
  <c r="AI53" i="1"/>
  <c r="AI82" i="1"/>
  <c r="AI64" i="1"/>
  <c r="AI9" i="1"/>
  <c r="M37" i="1" l="1"/>
  <c r="L34" i="1" l="1"/>
  <c r="L33" i="1"/>
  <c r="L28" i="1"/>
  <c r="L27" i="1"/>
  <c r="L22" i="1"/>
  <c r="L136" i="1" l="1"/>
  <c r="L134" i="1"/>
  <c r="L128" i="1"/>
  <c r="L127" i="1"/>
  <c r="L126" i="1"/>
  <c r="L125" i="1"/>
  <c r="L123" i="1"/>
  <c r="L117" i="1"/>
  <c r="L115" i="1"/>
  <c r="L110" i="1"/>
  <c r="L36" i="1"/>
  <c r="L35" i="1"/>
  <c r="L65" i="1"/>
  <c r="L32" i="1"/>
  <c r="L31" i="1"/>
  <c r="L29" i="1"/>
  <c r="L104" i="1"/>
  <c r="L91" i="1"/>
  <c r="L90" i="1"/>
  <c r="L64" i="1"/>
  <c r="L63" i="1"/>
  <c r="L66" i="1"/>
  <c r="N66" i="1" s="1"/>
  <c r="L62" i="1"/>
  <c r="L88" i="1"/>
  <c r="L61" i="1"/>
  <c r="L60" i="1"/>
  <c r="L87" i="1"/>
  <c r="L133" i="1"/>
  <c r="L132" i="1"/>
  <c r="L131" i="1"/>
  <c r="L59" i="1"/>
  <c r="L26" i="1"/>
  <c r="L58" i="1"/>
  <c r="L25" i="1"/>
  <c r="L57" i="1"/>
  <c r="L56" i="1"/>
  <c r="L55" i="1"/>
  <c r="L103" i="1"/>
  <c r="L21" i="1"/>
  <c r="L53" i="1"/>
  <c r="L68" i="1"/>
  <c r="L86" i="1"/>
  <c r="L85" i="1"/>
  <c r="L20" i="1"/>
  <c r="L52" i="1"/>
  <c r="L19" i="1"/>
  <c r="L84" i="1"/>
  <c r="L102" i="1"/>
  <c r="L83" i="1"/>
  <c r="L82" i="1"/>
  <c r="L81" i="1"/>
  <c r="L18" i="1"/>
  <c r="L80" i="1"/>
  <c r="L17" i="1"/>
  <c r="L79" i="1"/>
  <c r="L101" i="1"/>
  <c r="L67" i="1"/>
  <c r="L51" i="1"/>
  <c r="L50" i="1"/>
  <c r="L49" i="1"/>
  <c r="L48" i="1"/>
  <c r="L78" i="1"/>
  <c r="N78" i="1" s="1"/>
  <c r="L16" i="1"/>
  <c r="L77" i="1"/>
  <c r="L15" i="1"/>
  <c r="L14" i="1"/>
  <c r="L47" i="1"/>
  <c r="L13" i="1"/>
  <c r="L12" i="1"/>
  <c r="L46" i="1"/>
  <c r="L11" i="1"/>
  <c r="L45" i="1"/>
  <c r="L44" i="1"/>
  <c r="L10" i="1"/>
  <c r="L9" i="1"/>
  <c r="L124" i="1"/>
  <c r="L8" i="1"/>
  <c r="L122" i="1"/>
  <c r="L100" i="1"/>
  <c r="L121" i="1"/>
  <c r="L43" i="1"/>
  <c r="L76" i="1"/>
  <c r="L99" i="1"/>
  <c r="L42" i="1"/>
  <c r="L120" i="1"/>
  <c r="L119" i="1"/>
  <c r="L118" i="1"/>
  <c r="L41" i="1"/>
  <c r="L116" i="1"/>
  <c r="L114" i="1"/>
  <c r="L113" i="1"/>
  <c r="L112" i="1"/>
  <c r="L40" i="1"/>
  <c r="L111" i="1"/>
  <c r="L75" i="1"/>
  <c r="L6" i="1"/>
  <c r="L74" i="1"/>
  <c r="L39" i="1"/>
  <c r="L109" i="1"/>
  <c r="L73" i="1"/>
  <c r="L108" i="1"/>
  <c r="L107" i="1"/>
  <c r="L37" i="1"/>
  <c r="L72" i="1"/>
  <c r="L106" i="1"/>
  <c r="N106" i="1" s="1"/>
  <c r="L138" i="1"/>
  <c r="L139" i="1"/>
  <c r="L105" i="1"/>
  <c r="L71" i="1"/>
  <c r="L96" i="1"/>
  <c r="L95" i="1"/>
  <c r="L94" i="1"/>
  <c r="L70" i="1"/>
  <c r="L93" i="1"/>
  <c r="L69" i="1"/>
  <c r="L98" i="1"/>
  <c r="L97" i="1"/>
  <c r="K66" i="1"/>
  <c r="K84" i="1"/>
  <c r="K85" i="1"/>
  <c r="K83" i="1"/>
  <c r="K82" i="1"/>
  <c r="K21" i="1"/>
  <c r="K23" i="1"/>
  <c r="K20" i="1"/>
  <c r="K19" i="1"/>
  <c r="K18" i="1"/>
  <c r="K13" i="1"/>
  <c r="K8" i="1"/>
  <c r="K15" i="1"/>
  <c r="K14" i="1"/>
  <c r="K9" i="1"/>
  <c r="K10" i="1"/>
  <c r="K17" i="1"/>
  <c r="K16" i="1"/>
  <c r="K6" i="1"/>
  <c r="K12" i="1"/>
  <c r="K127" i="1"/>
  <c r="K124" i="1" l="1"/>
  <c r="M72" i="1"/>
  <c r="S106" i="1"/>
  <c r="AJ106" i="1" s="1"/>
  <c r="M36" i="1"/>
  <c r="M107" i="1"/>
  <c r="M108" i="1"/>
  <c r="M73" i="1"/>
  <c r="M109" i="1"/>
  <c r="M110" i="1"/>
  <c r="M38" i="1"/>
  <c r="M39" i="1"/>
  <c r="M74" i="1"/>
  <c r="M111" i="1"/>
  <c r="M40" i="1"/>
  <c r="M112" i="1"/>
  <c r="M113" i="1"/>
  <c r="M114" i="1"/>
  <c r="M115" i="1"/>
  <c r="M116" i="1"/>
  <c r="M117" i="1"/>
  <c r="M41" i="1"/>
  <c r="M118" i="1"/>
  <c r="M119" i="1"/>
  <c r="M120" i="1"/>
  <c r="M42" i="1"/>
  <c r="M76" i="1"/>
  <c r="M43" i="1"/>
  <c r="M121" i="1"/>
  <c r="M122" i="1"/>
  <c r="M123" i="1"/>
  <c r="M124" i="1"/>
  <c r="M44" i="1"/>
  <c r="M45" i="1"/>
  <c r="M11" i="1"/>
  <c r="M46" i="1"/>
  <c r="M12" i="1"/>
  <c r="M13" i="1"/>
  <c r="M47" i="1"/>
  <c r="M125" i="1"/>
  <c r="M14" i="1"/>
  <c r="M15" i="1"/>
  <c r="M77" i="1"/>
  <c r="M16" i="1"/>
  <c r="M48" i="1"/>
  <c r="M49" i="1"/>
  <c r="M50" i="1"/>
  <c r="M51" i="1"/>
  <c r="M79" i="1"/>
  <c r="M17" i="1"/>
  <c r="M18" i="1"/>
  <c r="M19" i="1"/>
  <c r="N19" i="1" s="1"/>
  <c r="S19" i="1" s="1"/>
  <c r="M52" i="1"/>
  <c r="N52" i="1" s="1"/>
  <c r="S52" i="1" s="1"/>
  <c r="AJ52" i="1" s="1"/>
  <c r="M20" i="1"/>
  <c r="M53" i="1"/>
  <c r="M21" i="1"/>
  <c r="M126" i="1"/>
  <c r="M22" i="1"/>
  <c r="M127" i="1"/>
  <c r="M23" i="1"/>
  <c r="M24" i="1"/>
  <c r="M54" i="1"/>
  <c r="M55" i="1"/>
  <c r="M56" i="1"/>
  <c r="M57" i="1"/>
  <c r="M25" i="1"/>
  <c r="M58" i="1"/>
  <c r="M26" i="1"/>
  <c r="M59" i="1"/>
  <c r="M133" i="1"/>
  <c r="M60" i="1"/>
  <c r="M61" i="1"/>
  <c r="M134" i="1"/>
  <c r="M27" i="1"/>
  <c r="M28" i="1"/>
  <c r="M62" i="1"/>
  <c r="M63" i="1"/>
  <c r="M64" i="1"/>
  <c r="N90" i="1"/>
  <c r="S90" i="1" s="1"/>
  <c r="AJ90" i="1" s="1"/>
  <c r="M29" i="1"/>
  <c r="M30" i="1"/>
  <c r="M32" i="1"/>
  <c r="M65" i="1"/>
  <c r="M33" i="1"/>
  <c r="N92" i="1"/>
  <c r="S92" i="1" s="1"/>
  <c r="AJ92" i="1" s="1"/>
  <c r="M34" i="1"/>
  <c r="N97" i="1"/>
  <c r="S97" i="1" s="1"/>
  <c r="N98" i="1"/>
  <c r="S98" i="1" s="1"/>
  <c r="N6" i="1"/>
  <c r="S6" i="1" s="1"/>
  <c r="AJ6" i="1" s="1"/>
  <c r="N75" i="1"/>
  <c r="S75" i="1" s="1"/>
  <c r="AJ75" i="1" s="1"/>
  <c r="N7" i="1"/>
  <c r="S7" i="1" s="1"/>
  <c r="AJ7" i="1" s="1"/>
  <c r="N99" i="1"/>
  <c r="S99" i="1" s="1"/>
  <c r="N100" i="1"/>
  <c r="S100" i="1" s="1"/>
  <c r="N8" i="1"/>
  <c r="S8" i="1" s="1"/>
  <c r="AJ8" i="1" s="1"/>
  <c r="N9" i="1"/>
  <c r="S9" i="1" s="1"/>
  <c r="AJ9" i="1" s="1"/>
  <c r="N10" i="1"/>
  <c r="S10" i="1" s="1"/>
  <c r="AJ10" i="1" s="1"/>
  <c r="N67" i="1"/>
  <c r="S67" i="1" s="1"/>
  <c r="N101" i="1"/>
  <c r="S101" i="1" s="1"/>
  <c r="N102" i="1"/>
  <c r="S102" i="1" s="1"/>
  <c r="N68" i="1"/>
  <c r="S68" i="1" s="1"/>
  <c r="N103" i="1"/>
  <c r="S103" i="1" s="1"/>
  <c r="N128" i="1"/>
  <c r="S128" i="1" s="1"/>
  <c r="AJ128" i="1" s="1"/>
  <c r="N89" i="1"/>
  <c r="S89" i="1" s="1"/>
  <c r="AJ89" i="1" s="1"/>
  <c r="N104" i="1"/>
  <c r="S104" i="1" s="1"/>
  <c r="AJ104" i="1" s="1"/>
  <c r="N69" i="1"/>
  <c r="S69" i="1" s="1"/>
  <c r="N135" i="1"/>
  <c r="S135" i="1" s="1"/>
  <c r="AJ135" i="1" s="1"/>
  <c r="N93" i="1"/>
  <c r="S93" i="1" s="1"/>
  <c r="N70" i="1"/>
  <c r="S70" i="1" s="1"/>
  <c r="N137" i="1"/>
  <c r="S137" i="1" s="1"/>
  <c r="AJ137" i="1" s="1"/>
  <c r="N94" i="1"/>
  <c r="S94" i="1" s="1"/>
  <c r="AJ94" i="1" s="1"/>
  <c r="N95" i="1"/>
  <c r="S95" i="1" s="1"/>
  <c r="AJ95" i="1" s="1"/>
  <c r="N96" i="1"/>
  <c r="S96" i="1" s="1"/>
  <c r="AJ96" i="1" s="1"/>
  <c r="N71" i="1"/>
  <c r="S71" i="1" s="1"/>
  <c r="AJ71" i="1" s="1"/>
  <c r="N105" i="1"/>
  <c r="N139" i="1"/>
  <c r="N138" i="1"/>
  <c r="G129" i="1"/>
  <c r="L129" i="1" s="1"/>
  <c r="AJ138" i="1" l="1"/>
  <c r="AJ105" i="1"/>
  <c r="N64" i="1"/>
  <c r="S64" i="1" s="1"/>
  <c r="AJ64" i="1" s="1"/>
  <c r="N84" i="1"/>
  <c r="S84" i="1" s="1"/>
  <c r="AJ84" i="1" s="1"/>
  <c r="N63" i="1"/>
  <c r="S63" i="1" s="1"/>
  <c r="AJ63" i="1" s="1"/>
  <c r="N18" i="1"/>
  <c r="S18" i="1" s="1"/>
  <c r="N86" i="1"/>
  <c r="S86" i="1" s="1"/>
  <c r="AJ86" i="1" s="1"/>
  <c r="N34" i="1"/>
  <c r="N85" i="1"/>
  <c r="S85" i="1" s="1"/>
  <c r="AJ85" i="1" s="1"/>
  <c r="N37" i="1"/>
  <c r="S37" i="1" s="1"/>
  <c r="AJ37" i="1" s="1"/>
  <c r="N117" i="1"/>
  <c r="S117" i="1" s="1"/>
  <c r="N62" i="1"/>
  <c r="S62" i="1" s="1"/>
  <c r="AJ62" i="1" s="1"/>
  <c r="N133" i="1"/>
  <c r="S133" i="1" s="1"/>
  <c r="N12" i="1"/>
  <c r="S12" i="1" s="1"/>
  <c r="N91" i="1"/>
  <c r="S91" i="1" s="1"/>
  <c r="AJ91" i="1" s="1"/>
  <c r="N33" i="1"/>
  <c r="S33" i="1" s="1"/>
  <c r="N123" i="1"/>
  <c r="S123" i="1" s="1"/>
  <c r="N108" i="1"/>
  <c r="S108" i="1" s="1"/>
  <c r="N32" i="1"/>
  <c r="S32" i="1" s="1"/>
  <c r="N48" i="1"/>
  <c r="S48" i="1" s="1"/>
  <c r="AJ48" i="1" s="1"/>
  <c r="N121" i="1"/>
  <c r="S121" i="1" s="1"/>
  <c r="N87" i="1"/>
  <c r="S87" i="1" s="1"/>
  <c r="AJ87" i="1" s="1"/>
  <c r="N74" i="1"/>
  <c r="S74" i="1" s="1"/>
  <c r="AJ74" i="1" s="1"/>
  <c r="N20" i="1"/>
  <c r="S20" i="1" s="1"/>
  <c r="N60" i="1"/>
  <c r="S60" i="1" s="1"/>
  <c r="AJ60" i="1" s="1"/>
  <c r="N55" i="1"/>
  <c r="S55" i="1" s="1"/>
  <c r="AJ55" i="1" s="1"/>
  <c r="N65" i="1"/>
  <c r="S65" i="1" s="1"/>
  <c r="AJ65" i="1" s="1"/>
  <c r="N49" i="1"/>
  <c r="S49" i="1" s="1"/>
  <c r="AJ49" i="1" s="1"/>
  <c r="N56" i="1"/>
  <c r="S56" i="1" s="1"/>
  <c r="AJ56" i="1" s="1"/>
  <c r="N118" i="1"/>
  <c r="S118" i="1" s="1"/>
  <c r="N40" i="1"/>
  <c r="S40" i="1" s="1"/>
  <c r="AJ40" i="1" s="1"/>
  <c r="N57" i="1"/>
  <c r="S57" i="1" s="1"/>
  <c r="AJ57" i="1" s="1"/>
  <c r="N119" i="1"/>
  <c r="S119" i="1" s="1"/>
  <c r="N28" i="1"/>
  <c r="S28" i="1" s="1"/>
  <c r="N21" i="1"/>
  <c r="S21" i="1" s="1"/>
  <c r="N24" i="1"/>
  <c r="S24" i="1" s="1"/>
  <c r="N72" i="1"/>
  <c r="S72" i="1" s="1"/>
  <c r="AJ72" i="1" s="1"/>
  <c r="N116" i="1"/>
  <c r="S116" i="1" s="1"/>
  <c r="N83" i="1"/>
  <c r="S83" i="1" s="1"/>
  <c r="AJ83" i="1" s="1"/>
  <c r="N16" i="1"/>
  <c r="S16" i="1" s="1"/>
  <c r="N43" i="1"/>
  <c r="S43" i="1" s="1"/>
  <c r="AJ43" i="1" s="1"/>
  <c r="N39" i="1"/>
  <c r="S39" i="1" s="1"/>
  <c r="AJ39" i="1" s="1"/>
  <c r="N30" i="1"/>
  <c r="S30" i="1" s="1"/>
  <c r="N53" i="1"/>
  <c r="S53" i="1" s="1"/>
  <c r="AJ53" i="1" s="1"/>
  <c r="N61" i="1"/>
  <c r="S61" i="1" s="1"/>
  <c r="AJ61" i="1" s="1"/>
  <c r="N82" i="1"/>
  <c r="S82" i="1" s="1"/>
  <c r="AJ82" i="1" s="1"/>
  <c r="N124" i="1"/>
  <c r="S124" i="1" s="1"/>
  <c r="N73" i="1"/>
  <c r="S73" i="1" s="1"/>
  <c r="AJ73" i="1" s="1"/>
  <c r="N13" i="1"/>
  <c r="S13" i="1" s="1"/>
  <c r="N112" i="1"/>
  <c r="S112" i="1" s="1"/>
  <c r="N126" i="1"/>
  <c r="S126" i="1" s="1"/>
  <c r="N122" i="1"/>
  <c r="S122" i="1" s="1"/>
  <c r="N41" i="1"/>
  <c r="S41" i="1" s="1"/>
  <c r="AJ41" i="1" s="1"/>
  <c r="N44" i="1"/>
  <c r="S44" i="1" s="1"/>
  <c r="AJ44" i="1" s="1"/>
  <c r="N88" i="1"/>
  <c r="S88" i="1" s="1"/>
  <c r="AJ88" i="1" s="1"/>
  <c r="N25" i="1"/>
  <c r="S25" i="1" s="1"/>
  <c r="N113" i="1"/>
  <c r="S113" i="1" s="1"/>
  <c r="N14" i="1"/>
  <c r="S14" i="1" s="1"/>
  <c r="N42" i="1"/>
  <c r="S42" i="1" s="1"/>
  <c r="AJ42" i="1" s="1"/>
  <c r="N22" i="1"/>
  <c r="S22" i="1" s="1"/>
  <c r="N17" i="1"/>
  <c r="S17" i="1" s="1"/>
  <c r="N127" i="1"/>
  <c r="S127" i="1" s="1"/>
  <c r="N15" i="1"/>
  <c r="S15" i="1" s="1"/>
  <c r="N110" i="1"/>
  <c r="S110" i="1" s="1"/>
  <c r="N29" i="1"/>
  <c r="S29" i="1" s="1"/>
  <c r="N11" i="1"/>
  <c r="S11" i="1" s="1"/>
  <c r="N27" i="1"/>
  <c r="S27" i="1" s="1"/>
  <c r="N45" i="1"/>
  <c r="S45" i="1" s="1"/>
  <c r="AJ45" i="1" s="1"/>
  <c r="N134" i="1"/>
  <c r="S134" i="1" s="1"/>
  <c r="N26" i="1"/>
  <c r="S26" i="1" s="1"/>
  <c r="N23" i="1"/>
  <c r="S23" i="1" s="1"/>
  <c r="N36" i="1"/>
  <c r="S36" i="1" s="1"/>
  <c r="AJ36" i="1" s="1"/>
  <c r="N115" i="1"/>
  <c r="S115" i="1" s="1"/>
  <c r="N107" i="1"/>
  <c r="S107" i="1" s="1"/>
  <c r="N129" i="1"/>
  <c r="S129" i="1" s="1"/>
  <c r="AJ129" i="1" s="1"/>
  <c r="K114" i="1"/>
  <c r="N114" i="1" s="1"/>
  <c r="S114" i="1" s="1"/>
  <c r="K80" i="1"/>
  <c r="N80" i="1" s="1"/>
  <c r="S80" i="1" s="1"/>
  <c r="AJ80" i="1" s="1"/>
  <c r="K81" i="1"/>
  <c r="N81" i="1" s="1"/>
  <c r="S81" i="1" s="1"/>
  <c r="AJ81" i="1" s="1"/>
  <c r="K78" i="1"/>
  <c r="S78" i="1" s="1"/>
  <c r="AJ78" i="1" s="1"/>
  <c r="K79" i="1"/>
  <c r="N79" i="1" s="1"/>
  <c r="S79" i="1" s="1"/>
  <c r="AJ79" i="1" s="1"/>
  <c r="K77" i="1"/>
  <c r="N77" i="1" s="1"/>
  <c r="S77" i="1" s="1"/>
  <c r="AJ77" i="1" s="1"/>
  <c r="K51" i="1"/>
  <c r="N51" i="1" s="1"/>
  <c r="S51" i="1" s="1"/>
  <c r="AJ51" i="1" s="1"/>
  <c r="K46" i="1"/>
  <c r="N46" i="1" s="1"/>
  <c r="S46" i="1" s="1"/>
  <c r="AJ46" i="1" s="1"/>
  <c r="K54" i="1"/>
  <c r="N54" i="1" s="1"/>
  <c r="S54" i="1" s="1"/>
  <c r="AJ54" i="1" s="1"/>
  <c r="K38" i="1"/>
  <c r="N38" i="1" s="1"/>
  <c r="S38" i="1" s="1"/>
  <c r="AJ38" i="1" s="1"/>
  <c r="K58" i="1"/>
  <c r="N58" i="1" s="1"/>
  <c r="S58" i="1" s="1"/>
  <c r="AJ58" i="1" s="1"/>
  <c r="K35" i="1"/>
  <c r="K59" i="1"/>
  <c r="N59" i="1" s="1"/>
  <c r="S59" i="1" s="1"/>
  <c r="AJ59" i="1" s="1"/>
  <c r="K47" i="1"/>
  <c r="N47" i="1" s="1"/>
  <c r="S47" i="1" s="1"/>
  <c r="AJ47" i="1" s="1"/>
  <c r="K50" i="1"/>
  <c r="N50" i="1" s="1"/>
  <c r="S50" i="1" s="1"/>
  <c r="AJ50" i="1" s="1"/>
  <c r="K125" i="1"/>
  <c r="N125" i="1" s="1"/>
  <c r="S125" i="1" s="1"/>
  <c r="K109" i="1"/>
  <c r="N109" i="1" s="1"/>
  <c r="S109" i="1" s="1"/>
  <c r="K111" i="1"/>
  <c r="N111" i="1" s="1"/>
  <c r="S111" i="1" s="1"/>
  <c r="K120" i="1"/>
  <c r="N120" i="1" s="1"/>
  <c r="S120" i="1" s="1"/>
  <c r="K76" i="1"/>
  <c r="N76" i="1" s="1"/>
  <c r="S76" i="1" s="1"/>
  <c r="AJ76" i="1" s="1"/>
  <c r="M35" i="1" l="1"/>
  <c r="N35" i="1" s="1"/>
  <c r="S35" i="1" s="1"/>
  <c r="AJ35" i="1" s="1"/>
  <c r="P134" i="1"/>
  <c r="AF134" i="1"/>
  <c r="AG134" i="1" l="1"/>
  <c r="AH134" i="1"/>
  <c r="AI134" i="1" l="1"/>
  <c r="AJ134" i="1" s="1"/>
  <c r="AH34" i="1"/>
  <c r="AJ34" i="1" s="1"/>
  <c r="O132" i="1"/>
  <c r="O131" i="1"/>
  <c r="AF133" i="1"/>
  <c r="P133" i="1"/>
  <c r="AF127" i="1"/>
  <c r="P127" i="1"/>
  <c r="AF126" i="1"/>
  <c r="P126" i="1"/>
  <c r="AF125" i="1"/>
  <c r="P125" i="1"/>
  <c r="AF124" i="1"/>
  <c r="AF123" i="1"/>
  <c r="AF122" i="1"/>
  <c r="P122" i="1"/>
  <c r="AF121" i="1"/>
  <c r="P121" i="1"/>
  <c r="AF120" i="1"/>
  <c r="P120" i="1"/>
  <c r="AF119" i="1"/>
  <c r="P119" i="1"/>
  <c r="AF118" i="1"/>
  <c r="P118" i="1"/>
  <c r="AF117" i="1"/>
  <c r="P117" i="1"/>
  <c r="AF116" i="1"/>
  <c r="P116" i="1"/>
  <c r="AF115" i="1"/>
  <c r="P115" i="1"/>
  <c r="AF114" i="1"/>
  <c r="P114" i="1"/>
  <c r="AF113" i="1"/>
  <c r="P113" i="1"/>
  <c r="AF112" i="1"/>
  <c r="P112" i="1"/>
  <c r="AF111" i="1"/>
  <c r="P111" i="1"/>
  <c r="AF110" i="1"/>
  <c r="P110" i="1"/>
  <c r="AF109" i="1"/>
  <c r="P109" i="1"/>
  <c r="AF108" i="1"/>
  <c r="P108" i="1"/>
  <c r="AF107" i="1"/>
  <c r="P107" i="1"/>
  <c r="AG107" i="1" l="1"/>
  <c r="AH107" i="1"/>
  <c r="AG111" i="1"/>
  <c r="AH111" i="1"/>
  <c r="AG115" i="1"/>
  <c r="AH115" i="1"/>
  <c r="AG119" i="1"/>
  <c r="AH119" i="1"/>
  <c r="AH123" i="1"/>
  <c r="AG123" i="1"/>
  <c r="AG127" i="1"/>
  <c r="AH127" i="1"/>
  <c r="AG112" i="1"/>
  <c r="AH112" i="1"/>
  <c r="AG116" i="1"/>
  <c r="AH116" i="1"/>
  <c r="AG120" i="1"/>
  <c r="AH120" i="1"/>
  <c r="AH124" i="1"/>
  <c r="AG124" i="1"/>
  <c r="AG133" i="1"/>
  <c r="AH133" i="1"/>
  <c r="AG108" i="1"/>
  <c r="AH108" i="1"/>
  <c r="M131" i="1"/>
  <c r="N131" i="1" s="1"/>
  <c r="S131" i="1" s="1"/>
  <c r="AH131" i="1"/>
  <c r="AI131" i="1" s="1"/>
  <c r="AG109" i="1"/>
  <c r="AH109" i="1"/>
  <c r="AG113" i="1"/>
  <c r="AH113" i="1"/>
  <c r="AG117" i="1"/>
  <c r="AH117" i="1"/>
  <c r="AG121" i="1"/>
  <c r="AH121" i="1"/>
  <c r="AG125" i="1"/>
  <c r="AH125" i="1"/>
  <c r="M132" i="1"/>
  <c r="N132" i="1" s="1"/>
  <c r="S132" i="1" s="1"/>
  <c r="AH132" i="1"/>
  <c r="AI132" i="1" s="1"/>
  <c r="AH110" i="1"/>
  <c r="AG110" i="1"/>
  <c r="AH114" i="1"/>
  <c r="AG114" i="1"/>
  <c r="AH118" i="1"/>
  <c r="AG118" i="1"/>
  <c r="AG122" i="1"/>
  <c r="AH122" i="1"/>
  <c r="AG126" i="1"/>
  <c r="AH126" i="1"/>
  <c r="AF31" i="1"/>
  <c r="AG31" i="1" s="1"/>
  <c r="O31" i="1"/>
  <c r="AF33" i="1"/>
  <c r="AF32" i="1"/>
  <c r="AF30" i="1"/>
  <c r="AF29" i="1"/>
  <c r="AF28" i="1"/>
  <c r="AF27" i="1"/>
  <c r="AF26" i="1"/>
  <c r="AF25" i="1"/>
  <c r="AF24" i="1"/>
  <c r="AF23" i="1"/>
  <c r="AF22" i="1"/>
  <c r="AF21" i="1"/>
  <c r="AF20" i="1"/>
  <c r="AF19" i="1"/>
  <c r="AF18" i="1"/>
  <c r="AF17" i="1"/>
  <c r="AF16" i="1"/>
  <c r="AF15" i="1"/>
  <c r="AF14" i="1"/>
  <c r="AF13" i="1"/>
  <c r="AF12" i="1"/>
  <c r="AF11" i="1"/>
  <c r="AI118" i="1" l="1"/>
  <c r="AJ118" i="1" s="1"/>
  <c r="AI124" i="1"/>
  <c r="AJ124" i="1" s="1"/>
  <c r="AI114" i="1"/>
  <c r="AJ114" i="1" s="1"/>
  <c r="AI123" i="1"/>
  <c r="AJ123" i="1" s="1"/>
  <c r="AI110" i="1"/>
  <c r="AJ110" i="1" s="1"/>
  <c r="AG19" i="1"/>
  <c r="AH19" i="1"/>
  <c r="AH12" i="1"/>
  <c r="AG12" i="1"/>
  <c r="AI117" i="1"/>
  <c r="AJ117" i="1" s="1"/>
  <c r="AG13" i="1"/>
  <c r="AH13" i="1"/>
  <c r="AG14" i="1"/>
  <c r="AH14" i="1"/>
  <c r="AG22" i="1"/>
  <c r="AH22" i="1"/>
  <c r="AH30" i="1"/>
  <c r="AG30" i="1"/>
  <c r="AI122" i="1"/>
  <c r="AJ122" i="1" s="1"/>
  <c r="AJ132" i="1"/>
  <c r="AI113" i="1"/>
  <c r="AJ113" i="1" s="1"/>
  <c r="AI133" i="1"/>
  <c r="AJ133" i="1" s="1"/>
  <c r="AI112" i="1"/>
  <c r="AJ112" i="1" s="1"/>
  <c r="AI115" i="1"/>
  <c r="AJ115" i="1" s="1"/>
  <c r="AG27" i="1"/>
  <c r="AH27" i="1"/>
  <c r="AI126" i="1"/>
  <c r="AJ126" i="1" s="1"/>
  <c r="AG29" i="1"/>
  <c r="AH29" i="1"/>
  <c r="AH23" i="1"/>
  <c r="AG23" i="1"/>
  <c r="AH20" i="1"/>
  <c r="AG20" i="1"/>
  <c r="AI116" i="1"/>
  <c r="AJ116" i="1" s="1"/>
  <c r="AG21" i="1"/>
  <c r="AH21" i="1"/>
  <c r="AG15" i="1"/>
  <c r="AH15" i="1"/>
  <c r="AG32" i="1"/>
  <c r="AH32" i="1"/>
  <c r="AG16" i="1"/>
  <c r="AH16" i="1"/>
  <c r="AG24" i="1"/>
  <c r="AH24" i="1"/>
  <c r="AG33" i="1"/>
  <c r="AH33" i="1"/>
  <c r="AI125" i="1"/>
  <c r="AJ125" i="1" s="1"/>
  <c r="AI109" i="1"/>
  <c r="AJ109" i="1" s="1"/>
  <c r="AI127" i="1"/>
  <c r="AJ127" i="1" s="1"/>
  <c r="AI111" i="1"/>
  <c r="AJ111" i="1" s="1"/>
  <c r="AG11" i="1"/>
  <c r="AH11" i="1"/>
  <c r="AI108" i="1"/>
  <c r="AJ108" i="1" s="1"/>
  <c r="AH25" i="1"/>
  <c r="AG25" i="1"/>
  <c r="M31" i="1"/>
  <c r="N31" i="1" s="1"/>
  <c r="S31" i="1" s="1"/>
  <c r="AH31" i="1"/>
  <c r="AI31" i="1" s="1"/>
  <c r="AG28" i="1"/>
  <c r="AH28" i="1"/>
  <c r="AI119" i="1"/>
  <c r="AJ119" i="1" s="1"/>
  <c r="AG17" i="1"/>
  <c r="AH17" i="1"/>
  <c r="AH18" i="1"/>
  <c r="AG18" i="1"/>
  <c r="AH26" i="1"/>
  <c r="AG26" i="1"/>
  <c r="AI121" i="1"/>
  <c r="AJ121" i="1" s="1"/>
  <c r="AJ131" i="1"/>
  <c r="AI120" i="1"/>
  <c r="AJ120" i="1" s="1"/>
  <c r="AI107" i="1"/>
  <c r="AJ107" i="1" s="1"/>
  <c r="AJ31" i="1" l="1"/>
  <c r="AI25" i="1"/>
  <c r="AJ25" i="1" s="1"/>
  <c r="AI23" i="1"/>
  <c r="AJ23" i="1" s="1"/>
  <c r="AI20" i="1"/>
  <c r="AJ20" i="1" s="1"/>
  <c r="AI12" i="1"/>
  <c r="AJ12" i="1" s="1"/>
  <c r="AI33" i="1"/>
  <c r="AJ33" i="1" s="1"/>
  <c r="AI14" i="1"/>
  <c r="AJ14" i="1" s="1"/>
  <c r="AI17" i="1"/>
  <c r="AJ17" i="1" s="1"/>
  <c r="AI15" i="1"/>
  <c r="AJ15" i="1" s="1"/>
  <c r="AI32" i="1"/>
  <c r="AJ32" i="1" s="1"/>
  <c r="AI27" i="1"/>
  <c r="AJ27" i="1" s="1"/>
  <c r="AI16" i="1"/>
  <c r="AJ16" i="1" s="1"/>
  <c r="AI18" i="1"/>
  <c r="AJ18" i="1" s="1"/>
  <c r="AI22" i="1"/>
  <c r="AJ22" i="1" s="1"/>
  <c r="AI29" i="1"/>
  <c r="AJ29" i="1" s="1"/>
  <c r="AI11" i="1"/>
  <c r="AJ11" i="1" s="1"/>
  <c r="AI24" i="1"/>
  <c r="AJ24" i="1" s="1"/>
  <c r="AI21" i="1"/>
  <c r="AJ21" i="1" s="1"/>
  <c r="AI13" i="1"/>
  <c r="AJ13" i="1" s="1"/>
  <c r="AI26" i="1"/>
  <c r="AJ26" i="1" s="1"/>
  <c r="AI28" i="1"/>
  <c r="AJ28" i="1" s="1"/>
  <c r="AI30" i="1"/>
  <c r="AJ30" i="1" s="1"/>
  <c r="AI19" i="1"/>
  <c r="AJ19" i="1" s="1"/>
  <c r="AH136" i="1"/>
  <c r="AI136" i="1" s="1"/>
  <c r="M136" i="1"/>
  <c r="N136" i="1" s="1"/>
  <c r="S136" i="1" s="1"/>
  <c r="AJ136" i="1" l="1"/>
  <c r="AH66" i="1"/>
  <c r="AI66" i="1" s="1"/>
  <c r="S66" i="1"/>
  <c r="AJ66" i="1" l="1"/>
</calcChain>
</file>

<file path=xl/sharedStrings.xml><?xml version="1.0" encoding="utf-8"?>
<sst xmlns="http://schemas.openxmlformats.org/spreadsheetml/2006/main" count="750" uniqueCount="344">
  <si>
    <t>CODE INTERNE</t>
  </si>
  <si>
    <t>RESIDENCES</t>
  </si>
  <si>
    <t>ZONE</t>
  </si>
  <si>
    <t>JANVIER</t>
  </si>
  <si>
    <t>FEVRIER</t>
  </si>
  <si>
    <t>MARS</t>
  </si>
  <si>
    <t>AVRIL</t>
  </si>
  <si>
    <t>MAI</t>
  </si>
  <si>
    <t>JUIN</t>
  </si>
  <si>
    <t>JUILLET</t>
  </si>
  <si>
    <t>AOÛT</t>
  </si>
  <si>
    <t>SEPTEMBRE</t>
  </si>
  <si>
    <t>OCTOBRE</t>
  </si>
  <si>
    <t>NOVEMBRE</t>
  </si>
  <si>
    <t>DÉCEMBRE</t>
  </si>
  <si>
    <t>Espaces verts</t>
  </si>
  <si>
    <t>0049</t>
  </si>
  <si>
    <t>Fabrique d'allumettes 1</t>
  </si>
  <si>
    <t>0051</t>
  </si>
  <si>
    <t>Kerbel</t>
  </si>
  <si>
    <t>0052</t>
  </si>
  <si>
    <t>Les Tamarins</t>
  </si>
  <si>
    <t>0055</t>
  </si>
  <si>
    <t>Source Marcel 1</t>
  </si>
  <si>
    <t>0056</t>
  </si>
  <si>
    <t>Terrasse Pont Banane</t>
  </si>
  <si>
    <t>0059</t>
  </si>
  <si>
    <t>Lotrobor 1</t>
  </si>
  <si>
    <t>0071</t>
  </si>
  <si>
    <t>Lotrobor 2</t>
  </si>
  <si>
    <t>0074</t>
  </si>
  <si>
    <t>Fabrique d'allumettes 2</t>
  </si>
  <si>
    <t>0083</t>
  </si>
  <si>
    <t>Fabrique d'allumettes 3</t>
  </si>
  <si>
    <t>0085</t>
  </si>
  <si>
    <t>Combavas</t>
  </si>
  <si>
    <t>0092</t>
  </si>
  <si>
    <t>Réservoirs de Stella</t>
  </si>
  <si>
    <t>0094</t>
  </si>
  <si>
    <t>Petit Canal</t>
  </si>
  <si>
    <t>0100</t>
  </si>
  <si>
    <t>Le Lavoir</t>
  </si>
  <si>
    <t>0101</t>
  </si>
  <si>
    <t>Laurency</t>
  </si>
  <si>
    <t>0113</t>
  </si>
  <si>
    <t xml:space="preserve">Tamariniers                   </t>
  </si>
  <si>
    <t>0116</t>
  </si>
  <si>
    <t>Les Flamboyants</t>
  </si>
  <si>
    <t>0135</t>
  </si>
  <si>
    <t xml:space="preserve">Le Cap                        </t>
  </si>
  <si>
    <t>0138</t>
  </si>
  <si>
    <t>Paille en Queue</t>
  </si>
  <si>
    <t>0155</t>
  </si>
  <si>
    <t>Verveines des Indes</t>
  </si>
  <si>
    <t>Ateliers des Sables</t>
  </si>
  <si>
    <t>0156</t>
  </si>
  <si>
    <t>Faham</t>
  </si>
  <si>
    <t>0160</t>
  </si>
  <si>
    <t>Fleurs Jaunes</t>
  </si>
  <si>
    <t>0167</t>
  </si>
  <si>
    <t>Anne Caze</t>
  </si>
  <si>
    <t>0157</t>
  </si>
  <si>
    <t>FANJAN</t>
  </si>
  <si>
    <t>0008</t>
  </si>
  <si>
    <t>Bougainvilliers</t>
  </si>
  <si>
    <t>0009</t>
  </si>
  <si>
    <t>Canal Lilis</t>
  </si>
  <si>
    <t>0011</t>
  </si>
  <si>
    <t>Lacaussade 1</t>
  </si>
  <si>
    <t>0012</t>
  </si>
  <si>
    <t>Chemin Galet 1</t>
  </si>
  <si>
    <t>0018</t>
  </si>
  <si>
    <t>Lacaussade 2</t>
  </si>
  <si>
    <t>0020</t>
  </si>
  <si>
    <t>Les Remparts</t>
  </si>
  <si>
    <t>0022</t>
  </si>
  <si>
    <t>Usine à Vétyver 1</t>
  </si>
  <si>
    <t>0023</t>
  </si>
  <si>
    <t>Cœur de Village 40</t>
  </si>
  <si>
    <t>0024</t>
  </si>
  <si>
    <t>Cœur de Village 45</t>
  </si>
  <si>
    <t>0025</t>
  </si>
  <si>
    <t>Cazala</t>
  </si>
  <si>
    <t>0026</t>
  </si>
  <si>
    <t>Chemin Galet 2</t>
  </si>
  <si>
    <t>0028</t>
  </si>
  <si>
    <t>Les Quais</t>
  </si>
  <si>
    <t>0029</t>
  </si>
  <si>
    <t>Choka Bleu</t>
  </si>
  <si>
    <t>0030</t>
  </si>
  <si>
    <t>La Cure 2</t>
  </si>
  <si>
    <t>0036</t>
  </si>
  <si>
    <t>La Cressonnière</t>
  </si>
  <si>
    <t>0039</t>
  </si>
  <si>
    <t>Usine à Vétyver 2</t>
  </si>
  <si>
    <t>0041</t>
  </si>
  <si>
    <t>Vincendo Bras Panon</t>
  </si>
  <si>
    <t>0042</t>
  </si>
  <si>
    <t>Sentier dela Vierge</t>
  </si>
  <si>
    <t>0054</t>
  </si>
  <si>
    <t>Les Lianes</t>
  </si>
  <si>
    <t>0093</t>
  </si>
  <si>
    <t xml:space="preserve">Takamaka                      </t>
  </si>
  <si>
    <t>0098</t>
  </si>
  <si>
    <t>Jules Vienne</t>
  </si>
  <si>
    <t>0122</t>
  </si>
  <si>
    <t>Josépha Fontaine</t>
  </si>
  <si>
    <t>0133</t>
  </si>
  <si>
    <t>Désiré 2</t>
  </si>
  <si>
    <t>0121</t>
  </si>
  <si>
    <t>Coco Huet - ind</t>
  </si>
  <si>
    <t>Coco Huet - coll</t>
  </si>
  <si>
    <t>0005</t>
  </si>
  <si>
    <t>Bellevue A</t>
  </si>
  <si>
    <t>0007</t>
  </si>
  <si>
    <t>Bellevue B</t>
  </si>
  <si>
    <t>0014</t>
  </si>
  <si>
    <t>Nid Joli</t>
  </si>
  <si>
    <t>0031</t>
  </si>
  <si>
    <t>Orchidées 1</t>
  </si>
  <si>
    <t>0034</t>
  </si>
  <si>
    <t>Orchidées 2</t>
  </si>
  <si>
    <t>0045</t>
  </si>
  <si>
    <t>Molière</t>
  </si>
  <si>
    <t>0047</t>
  </si>
  <si>
    <t>Santolines</t>
  </si>
  <si>
    <t>0084</t>
  </si>
  <si>
    <t>La Bruyère</t>
  </si>
  <si>
    <t>0124</t>
  </si>
  <si>
    <t>Les Rosiers</t>
  </si>
  <si>
    <t>0128</t>
  </si>
  <si>
    <t>Henri Madoré</t>
  </si>
  <si>
    <t>0161</t>
  </si>
  <si>
    <t>Loulou Pitou</t>
  </si>
  <si>
    <t>0104</t>
  </si>
  <si>
    <t>Max Gobetti</t>
  </si>
  <si>
    <t>0109</t>
  </si>
  <si>
    <t>Jean Morel</t>
  </si>
  <si>
    <t>0002</t>
  </si>
  <si>
    <t>Citronnelles</t>
  </si>
  <si>
    <t>0013</t>
  </si>
  <si>
    <t>Hubert Delisle</t>
  </si>
  <si>
    <t>0019</t>
  </si>
  <si>
    <t>La Chapelle</t>
  </si>
  <si>
    <t>0027</t>
  </si>
  <si>
    <t>Concession</t>
  </si>
  <si>
    <t>0053</t>
  </si>
  <si>
    <t>Bérive</t>
  </si>
  <si>
    <t>0063</t>
  </si>
  <si>
    <t>Camphrier</t>
  </si>
  <si>
    <t>0064</t>
  </si>
  <si>
    <t>Abdoul Hay Patel</t>
  </si>
  <si>
    <t>0066</t>
  </si>
  <si>
    <t>Troubadours</t>
  </si>
  <si>
    <t>0090</t>
  </si>
  <si>
    <t>Rolland Raelison</t>
  </si>
  <si>
    <t>0105</t>
  </si>
  <si>
    <t>Les Pêchers</t>
  </si>
  <si>
    <t>0107</t>
  </si>
  <si>
    <t>Jules Arlanda</t>
  </si>
  <si>
    <t>0117</t>
  </si>
  <si>
    <t>Bouton d'Or</t>
  </si>
  <si>
    <t>0139</t>
  </si>
  <si>
    <t>Lié Ethève</t>
  </si>
  <si>
    <t>0050</t>
  </si>
  <si>
    <t>Sodalite</t>
  </si>
  <si>
    <t>0061</t>
  </si>
  <si>
    <t>Sanassama</t>
  </si>
  <si>
    <t>0114</t>
  </si>
  <si>
    <t>Harry Payet</t>
  </si>
  <si>
    <t>Benoîte Boulard</t>
  </si>
  <si>
    <t>Les Pétunias</t>
  </si>
  <si>
    <t>SURFACE ESP VERT DRMS</t>
  </si>
  <si>
    <t>0001</t>
  </si>
  <si>
    <t>La Cure 1</t>
  </si>
  <si>
    <t>Cent Marches</t>
  </si>
  <si>
    <t>0004</t>
  </si>
  <si>
    <t>Caramboles</t>
  </si>
  <si>
    <t>0006</t>
  </si>
  <si>
    <t>Poinsétias</t>
  </si>
  <si>
    <t>0010</t>
  </si>
  <si>
    <t>Bras des Etangs 1</t>
  </si>
  <si>
    <t>0015</t>
  </si>
  <si>
    <t>Bras des Etangs 2</t>
  </si>
  <si>
    <t>0016</t>
  </si>
  <si>
    <t>Le Ruisseau</t>
  </si>
  <si>
    <t>0017</t>
  </si>
  <si>
    <t>Casabianca</t>
  </si>
  <si>
    <t>0021</t>
  </si>
  <si>
    <t>La Forêt</t>
  </si>
  <si>
    <t>0032</t>
  </si>
  <si>
    <t>Don Juan 2</t>
  </si>
  <si>
    <t>Don Juan 1</t>
  </si>
  <si>
    <t>0033</t>
  </si>
  <si>
    <t>Benjoins 1</t>
  </si>
  <si>
    <t>0038</t>
  </si>
  <si>
    <t>0040</t>
  </si>
  <si>
    <t>Les Tourterrelles</t>
  </si>
  <si>
    <t>0043</t>
  </si>
  <si>
    <t>Sentier Belda</t>
  </si>
  <si>
    <t>0044</t>
  </si>
  <si>
    <t>Rempart à Cheval</t>
  </si>
  <si>
    <t>Baies Roses</t>
  </si>
  <si>
    <t>0060</t>
  </si>
  <si>
    <t>0067</t>
  </si>
  <si>
    <t>0068</t>
  </si>
  <si>
    <t>Source Marcel 2</t>
  </si>
  <si>
    <t>0069</t>
  </si>
  <si>
    <t>Benjoins 3</t>
  </si>
  <si>
    <t>0073</t>
  </si>
  <si>
    <t>La Serre</t>
  </si>
  <si>
    <t>0075</t>
  </si>
  <si>
    <t>Foyer Casabianca</t>
  </si>
  <si>
    <t>0076</t>
  </si>
  <si>
    <t>Centre Ville Saint Louis</t>
  </si>
  <si>
    <t>0077</t>
  </si>
  <si>
    <t>Yoshito</t>
  </si>
  <si>
    <t>0079</t>
  </si>
  <si>
    <t>Les Liserons</t>
  </si>
  <si>
    <t>0081</t>
  </si>
  <si>
    <t>3 Cheminées</t>
  </si>
  <si>
    <t>0087</t>
  </si>
  <si>
    <t>Saint Etienne</t>
  </si>
  <si>
    <t>0088</t>
  </si>
  <si>
    <t>Capucines</t>
  </si>
  <si>
    <t>0089</t>
  </si>
  <si>
    <t>Cœur de Village RPA</t>
  </si>
  <si>
    <t>0091</t>
  </si>
  <si>
    <t>Ile Bourbon</t>
  </si>
  <si>
    <t>0095</t>
  </si>
  <si>
    <t>Les Caféiers</t>
  </si>
  <si>
    <t>0111</t>
  </si>
  <si>
    <t>0140</t>
  </si>
  <si>
    <t>Hilaire FONTAINE (ex CD 61-515-516)</t>
  </si>
  <si>
    <t>Hélène TONRU (Ex RPA ST Philippe)</t>
  </si>
  <si>
    <t>RPA DU PARC</t>
  </si>
  <si>
    <t>LES PLATANES</t>
  </si>
  <si>
    <t>LES KAKIS</t>
  </si>
  <si>
    <t>CHARLES EMILIEN GRONDIN (ex Frrg)</t>
  </si>
  <si>
    <t>JEAN MARC HOARAU (ex Californie)</t>
  </si>
  <si>
    <t>PAULE ET GASTON</t>
  </si>
  <si>
    <t>RAISINS MARINES</t>
  </si>
  <si>
    <t>Achat Logt Saint Joseph (Bougainvilliers)</t>
  </si>
  <si>
    <t>Siège</t>
  </si>
  <si>
    <t>Semir</t>
  </si>
  <si>
    <t>0173</t>
  </si>
  <si>
    <t>0174</t>
  </si>
  <si>
    <t>0176</t>
  </si>
  <si>
    <t>0179</t>
  </si>
  <si>
    <t>Saline Barrage</t>
  </si>
  <si>
    <t>0129</t>
  </si>
  <si>
    <t>Christianne (ex amata)</t>
  </si>
  <si>
    <t>0181</t>
  </si>
  <si>
    <t>0184</t>
  </si>
  <si>
    <t>0186</t>
  </si>
  <si>
    <t>0191</t>
  </si>
  <si>
    <t>0195</t>
  </si>
  <si>
    <t>Prestataires</t>
  </si>
  <si>
    <t>Bassins</t>
  </si>
  <si>
    <t>Mascareignes</t>
  </si>
  <si>
    <t>0123</t>
  </si>
  <si>
    <t>Oiseaux de Paradis</t>
  </si>
  <si>
    <t>Espace verts</t>
  </si>
  <si>
    <t>0148</t>
  </si>
  <si>
    <t>0149</t>
  </si>
  <si>
    <t>Rue de l'Eglise</t>
  </si>
  <si>
    <t>Fanfan</t>
  </si>
  <si>
    <t>1</t>
  </si>
  <si>
    <t>3</t>
  </si>
  <si>
    <t>2</t>
  </si>
  <si>
    <t>Action Pro</t>
  </si>
  <si>
    <t>Lacaussade 3</t>
  </si>
  <si>
    <t>RPA Maurice Lebon</t>
  </si>
  <si>
    <t>Désiré 1</t>
  </si>
  <si>
    <t>Z'Ambavilles</t>
  </si>
  <si>
    <t>Benjoins 2</t>
  </si>
  <si>
    <t>RTS</t>
  </si>
  <si>
    <t>Amaye</t>
  </si>
  <si>
    <t>Nombres de Logements</t>
  </si>
  <si>
    <t>SURFACE ESPACE VERT (M²) CONTRAT</t>
  </si>
  <si>
    <t>CCAS</t>
  </si>
  <si>
    <t>OCIDIM</t>
  </si>
  <si>
    <t>CITYA</t>
  </si>
  <si>
    <t>Art de Barrage</t>
  </si>
  <si>
    <t>uniquement épandage</t>
  </si>
  <si>
    <t>Delta surface</t>
  </si>
  <si>
    <t>0099</t>
  </si>
  <si>
    <t>Coût / delta Mensuel</t>
  </si>
  <si>
    <t>Surface Habitable Totale Opération</t>
  </si>
  <si>
    <t>Surface Moyenne utilisée (60 m2)</t>
  </si>
  <si>
    <t>0163</t>
  </si>
  <si>
    <t>0166</t>
  </si>
  <si>
    <t>0153</t>
  </si>
  <si>
    <t>0057</t>
  </si>
  <si>
    <t>0003</t>
  </si>
  <si>
    <t>0901</t>
  </si>
  <si>
    <t>3001</t>
  </si>
  <si>
    <t>3002</t>
  </si>
  <si>
    <t>SURFACE MESUREE 
PRESTATAIRES</t>
  </si>
  <si>
    <t>Légende :</t>
  </si>
  <si>
    <t>Minim sup</t>
  </si>
  <si>
    <t>SURFACE MESUREE ZONE EPANDAGE</t>
  </si>
  <si>
    <t>SURFACE MESUREE BASSIN D'INFILTRATION</t>
  </si>
  <si>
    <t>Prix forfaitaire  au m2 (Marché actuel),</t>
  </si>
  <si>
    <t>Impact sur le Coût moyen à affecter aux locataires (+ou -)</t>
  </si>
  <si>
    <t>écart minimum</t>
  </si>
  <si>
    <t>écart moyen</t>
  </si>
  <si>
    <t>écart important</t>
  </si>
  <si>
    <t>Impact résiduel</t>
  </si>
  <si>
    <t>Nombre de passage prévu au contrat</t>
  </si>
  <si>
    <t>Nombre de passage à rajouter (1 mensuel)</t>
  </si>
  <si>
    <t>Coût unitaire d'un passage (mensuel)</t>
  </si>
  <si>
    <t>Coût supplémentaires pour 12 passages (annuel)</t>
  </si>
  <si>
    <t>Nombre de Logements</t>
  </si>
  <si>
    <t>?</t>
  </si>
  <si>
    <t>Calcul prix forfaitaire au m2 = (prix forfaitre intervention/surface contrat)</t>
  </si>
  <si>
    <t>Nombre d'opérations</t>
  </si>
  <si>
    <t>Les Ombrières (RPA)</t>
  </si>
  <si>
    <t>Opérations avec puits d'infiltration, accès dangereux, intervention à réaliser avec harnais de sécurité</t>
  </si>
  <si>
    <t>Concernant l'opération Chrsitianne l'accès au bassin d'ifiltration est interdit jusqu'au passge de l'expert et mise en place des travaux de sécurisation</t>
  </si>
  <si>
    <t>Concernant l'opération Bras des Etangs 1 et 2 il a été décidé de rétrocéder la totalité de la zone d'épandage à la Commune de Cilaos suite à la mise en place d'une pompe de relevage de l'ensemble du réseau de la zone. Cette zone d'épandage servira de zone de repli en cas de dysfonctionnement de la pompe de relevage.</t>
  </si>
  <si>
    <t>Surface zone d'épandage en attente de retour entreprise</t>
  </si>
  <si>
    <t>opérations sans zone d'espace vert communes ou opérations neuves</t>
  </si>
  <si>
    <t>opérations gérées par le CCAS, syndic ou autres organismes</t>
  </si>
  <si>
    <t xml:space="preserve">Prix forfaire mensuel / intervention
(€ HT) </t>
  </si>
  <si>
    <t>Prix forfaire mensuel / intervention 
(€ TTC)</t>
  </si>
  <si>
    <t>Edouard Vitry</t>
  </si>
  <si>
    <t>Le Manapanien</t>
  </si>
  <si>
    <t>de 0 à 1 euros (y cis 1) par mois / par locataire</t>
  </si>
  <si>
    <t>de 1 à 3 euros  (y cis 3) par mois / par locataire</t>
  </si>
  <si>
    <t>supérieur à 3 euros par mois / par locataire</t>
  </si>
  <si>
    <t>surface habitable total bouton d'or à vérifier (trop faible par rapport aux nombres de logements</t>
  </si>
  <si>
    <t>ATTENTION !!!</t>
  </si>
  <si>
    <t>(+ ou -)</t>
  </si>
  <si>
    <t>Opérations rajoutées nvelle AO</t>
  </si>
  <si>
    <t>SHTP à vérifier</t>
  </si>
  <si>
    <t>PRESTATAIRES</t>
  </si>
  <si>
    <t>SEMIR</t>
  </si>
  <si>
    <t>Neuf</t>
  </si>
  <si>
    <t>Privatif</t>
  </si>
  <si>
    <t>Structure</t>
  </si>
  <si>
    <t>&lt; 100m2</t>
  </si>
  <si>
    <t>&gt; 500 m2</t>
  </si>
  <si>
    <t>entre 100 et 500m2 (y cis 100 &amp; 500)</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</si>
</sst>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 _€_-;\-* #,##0\ _€_-;_-* &quot;-&quot;\ _€_-;_-@_-"/>
    <numFmt numFmtId="44" formatCode="_-* #,##0.00\ &quot;€&quot;_-;\-* #,##0.00\ &quot;€&quot;_-;_-* &quot;-&quot;??\ &quot;€&quot;_-;_-@_-"/>
    <numFmt numFmtId="43" formatCode="_-* #,##0.00\ _€_-;\-* #,##0.00\ _€_-;_-* &quot;-&quot;??\ _€_-;_-@_-"/>
    <numFmt numFmtId="164" formatCode="_-* #,##0.00_-;\-* #,##0.00_-;_-* &quot;-&quot;??_-;_-@_-"/>
    <numFmt numFmtId="165" formatCode="#,##0_ ;\-#,##0\ "/>
    <numFmt numFmtId="166" formatCode="#,##0.00_ ;\-#,##0.00\ "/>
  </numFmts>
  <fonts count="19" x14ac:knownFonts="1">
    <font>
      <sz val="11"/>
      <color theme="1"/>
      <name val="Calibri"/>
      <family val="2"/>
      <scheme val="minor"/>
    </font>
    <font>
      <sz val="11"/>
      <color theme="1"/>
      <name val="Calibri"/>
      <family val="2"/>
      <scheme val="minor"/>
    </font>
    <font>
      <b/>
      <sz val="10"/>
      <color theme="1"/>
      <name val="Arial"/>
      <family val="2"/>
    </font>
    <font>
      <b/>
      <sz val="10"/>
      <color theme="1"/>
      <name val="Arial Narrow"/>
      <family val="2"/>
    </font>
    <font>
      <b/>
      <sz val="11"/>
      <color theme="1"/>
      <name val="Arial Narrow"/>
      <family val="2"/>
    </font>
    <font>
      <sz val="11"/>
      <color theme="1"/>
      <name val="Arial"/>
      <family val="2"/>
    </font>
    <font>
      <sz val="11"/>
      <name val="Arial"/>
      <family val="2"/>
    </font>
    <font>
      <sz val="8"/>
      <name val="Calibri"/>
      <family val="2"/>
      <scheme val="minor"/>
    </font>
    <font>
      <sz val="11"/>
      <color rgb="FFFF0000"/>
      <name val="Calibri"/>
      <family val="2"/>
      <scheme val="minor"/>
    </font>
    <font>
      <b/>
      <sz val="11"/>
      <color rgb="FF0070C0"/>
      <name val="Calibri"/>
      <family val="2"/>
      <scheme val="minor"/>
    </font>
    <font>
      <sz val="11"/>
      <color rgb="FFFF0000"/>
      <name val="Arial"/>
      <family val="2"/>
    </font>
    <font>
      <b/>
      <sz val="11"/>
      <color rgb="FF0070C0"/>
      <name val="Arial"/>
      <family val="2"/>
    </font>
    <font>
      <b/>
      <sz val="9"/>
      <color rgb="FF0070C0"/>
      <name val="Arial"/>
      <family val="2"/>
    </font>
    <font>
      <sz val="11"/>
      <color rgb="FFC00000"/>
      <name val="Calibri"/>
      <family val="2"/>
      <scheme val="minor"/>
    </font>
    <font>
      <b/>
      <sz val="11"/>
      <color rgb="FFC00000"/>
      <name val="Calibri"/>
      <family val="2"/>
      <scheme val="minor"/>
    </font>
    <font>
      <b/>
      <sz val="11"/>
      <color theme="1"/>
      <name val="Calibri"/>
      <family val="2"/>
      <scheme val="minor"/>
    </font>
    <font>
      <b/>
      <sz val="11"/>
      <color theme="1"/>
      <name val="Arial"/>
      <family val="2"/>
    </font>
    <font>
      <b/>
      <sz val="11"/>
      <color rgb="FFFF0000"/>
      <name val="Calibri"/>
      <family val="2"/>
      <scheme val="minor"/>
    </font>
    <font>
      <b/>
      <u/>
      <sz val="11"/>
      <color rgb="FFFF0000"/>
      <name val="Calibri"/>
      <family val="2"/>
      <scheme val="minor"/>
    </font>
  </fonts>
  <fills count="24">
    <fill>
      <patternFill patternType="none"/>
    </fill>
    <fill>
      <patternFill patternType="gray125"/>
    </fill>
    <fill>
      <patternFill patternType="solid">
        <fgColor theme="0"/>
        <bgColor indexed="64"/>
      </patternFill>
    </fill>
    <fill>
      <patternFill patternType="solid">
        <fgColor theme="0"/>
        <bgColor theme="4" tint="0.79998168889431442"/>
      </patternFill>
    </fill>
    <fill>
      <patternFill patternType="solid">
        <fgColor theme="9" tint="0.39997558519241921"/>
        <bgColor indexed="64"/>
      </patternFill>
    </fill>
    <fill>
      <patternFill patternType="solid">
        <fgColor theme="9" tint="0.39997558519241921"/>
        <bgColor theme="4" tint="0.79998168889431442"/>
      </patternFill>
    </fill>
    <fill>
      <patternFill patternType="solid">
        <fgColor theme="9" tint="0.79998168889431442"/>
        <bgColor theme="4" tint="0.79998168889431442"/>
      </patternFill>
    </fill>
    <fill>
      <patternFill patternType="solid">
        <fgColor theme="7" tint="0.79998168889431442"/>
        <bgColor theme="4" tint="0.79998168889431442"/>
      </patternFill>
    </fill>
    <fill>
      <patternFill patternType="solid">
        <fgColor rgb="FFFF7C80"/>
        <bgColor theme="4" tint="0.79998168889431442"/>
      </patternFill>
    </fill>
    <fill>
      <patternFill patternType="solid">
        <fgColor theme="0" tint="-0.14999847407452621"/>
        <bgColor indexed="64"/>
      </patternFill>
    </fill>
    <fill>
      <patternFill patternType="solid">
        <fgColor rgb="FFFF7C80"/>
        <bgColor indexed="64"/>
      </patternFill>
    </fill>
    <fill>
      <patternFill patternType="solid">
        <fgColor theme="7"/>
        <bgColor theme="4" tint="0.79998168889431442"/>
      </patternFill>
    </fill>
    <fill>
      <patternFill patternType="solid">
        <fgColor theme="7"/>
        <bgColor indexed="64"/>
      </patternFill>
    </fill>
    <fill>
      <patternFill patternType="solid">
        <fgColor rgb="FF92D050"/>
        <bgColor indexed="64"/>
      </patternFill>
    </fill>
    <fill>
      <patternFill patternType="solid">
        <fgColor rgb="FF92D050"/>
        <bgColor theme="4" tint="0.79998168889431442"/>
      </patternFill>
    </fill>
    <fill>
      <patternFill patternType="solid">
        <fgColor rgb="FFFFC000"/>
        <bgColor indexed="64"/>
      </patternFill>
    </fill>
    <fill>
      <patternFill patternType="solid">
        <fgColor rgb="FFFFC000"/>
        <bgColor theme="4" tint="0.79998168889431442"/>
      </patternFill>
    </fill>
    <fill>
      <patternFill patternType="solid">
        <fgColor rgb="FFFFCC00"/>
        <bgColor theme="4" tint="0.79998168889431442"/>
      </patternFill>
    </fill>
    <fill>
      <patternFill patternType="solid">
        <fgColor rgb="FFFFCC00"/>
        <bgColor indexed="64"/>
      </patternFill>
    </fill>
    <fill>
      <patternFill patternType="solid">
        <fgColor rgb="FFFFCCFF"/>
        <bgColor indexed="64"/>
      </patternFill>
    </fill>
    <fill>
      <patternFill patternType="solid">
        <fgColor rgb="FFFFCCFF"/>
        <bgColor theme="4" tint="0.79998168889431442"/>
      </patternFill>
    </fill>
    <fill>
      <patternFill patternType="solid">
        <fgColor rgb="FFFFFFCC"/>
        <bgColor indexed="64"/>
      </patternFill>
    </fill>
    <fill>
      <patternFill patternType="solid">
        <fgColor rgb="FFFFFFCC"/>
        <bgColor theme="4" tint="0.79998168889431442"/>
      </patternFill>
    </fill>
    <fill>
      <patternFill patternType="solid">
        <fgColor theme="7" tint="0.59999389629810485"/>
        <bgColor theme="4" tint="0.79998168889431442"/>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s>
  <cellStyleXfs count="4">
    <xf numFmtId="0" fontId="0" fillId="0" borderId="0"/>
    <xf numFmtId="16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147">
    <xf numFmtId="0" fontId="0" fillId="0" borderId="0" xfId="0"/>
    <xf numFmtId="43" fontId="5" fillId="3" borderId="1" xfId="1" applyNumberFormat="1" applyFont="1" applyFill="1" applyBorder="1" applyAlignment="1">
      <alignment horizontal="right" vertical="center"/>
    </xf>
    <xf numFmtId="43" fontId="5" fillId="2" borderId="1" xfId="1" applyNumberFormat="1" applyFont="1" applyFill="1" applyBorder="1" applyAlignment="1">
      <alignment horizontal="right" vertical="center"/>
    </xf>
    <xf numFmtId="0" fontId="5" fillId="2" borderId="1" xfId="0" applyFont="1" applyFill="1" applyBorder="1" applyAlignment="1">
      <alignment horizontal="left" vertical="center" indent="1"/>
    </xf>
    <xf numFmtId="0" fontId="5" fillId="2" borderId="0" xfId="0" applyFont="1" applyFill="1"/>
    <xf numFmtId="43" fontId="5" fillId="2" borderId="1" xfId="0" applyNumberFormat="1" applyFont="1" applyFill="1" applyBorder="1" applyAlignment="1">
      <alignment horizontal="right" vertical="center"/>
    </xf>
    <xf numFmtId="0" fontId="0" fillId="0" borderId="1" xfId="0" applyBorder="1"/>
    <xf numFmtId="0" fontId="5" fillId="3" borderId="1" xfId="0" applyFont="1" applyFill="1" applyBorder="1" applyAlignment="1">
      <alignment horizontal="left" vertical="center" indent="1"/>
    </xf>
    <xf numFmtId="43" fontId="5" fillId="3" borderId="1" xfId="0" applyNumberFormat="1" applyFont="1" applyFill="1" applyBorder="1" applyAlignment="1">
      <alignment horizontal="left" vertical="center" indent="2"/>
    </xf>
    <xf numFmtId="43" fontId="5" fillId="3" borderId="1" xfId="2" applyNumberFormat="1" applyFont="1" applyFill="1" applyBorder="1" applyAlignment="1">
      <alignment vertical="center"/>
    </xf>
    <xf numFmtId="43" fontId="5" fillId="3" borderId="1" xfId="0" applyNumberFormat="1" applyFont="1" applyFill="1" applyBorder="1" applyAlignment="1">
      <alignment vertical="center"/>
    </xf>
    <xf numFmtId="1" fontId="5" fillId="2" borderId="1" xfId="0" applyNumberFormat="1" applyFont="1" applyFill="1" applyBorder="1" applyAlignment="1">
      <alignment horizontal="center" vertical="center"/>
    </xf>
    <xf numFmtId="43" fontId="5" fillId="2" borderId="1" xfId="2" applyNumberFormat="1" applyFont="1" applyFill="1" applyBorder="1" applyAlignment="1">
      <alignment vertical="center"/>
    </xf>
    <xf numFmtId="1" fontId="6" fillId="2" borderId="1" xfId="0" applyNumberFormat="1" applyFont="1" applyFill="1" applyBorder="1" applyAlignment="1">
      <alignment horizontal="center" vertical="center"/>
    </xf>
    <xf numFmtId="0" fontId="5" fillId="0" borderId="1" xfId="0" applyFont="1" applyFill="1" applyBorder="1" applyAlignment="1">
      <alignment horizontal="left" vertical="center" indent="1"/>
    </xf>
    <xf numFmtId="0" fontId="5" fillId="3" borderId="1" xfId="0" applyFont="1" applyFill="1" applyBorder="1" applyAlignment="1">
      <alignment vertical="center"/>
    </xf>
    <xf numFmtId="49" fontId="5" fillId="3" borderId="1" xfId="0" applyNumberFormat="1" applyFont="1" applyFill="1" applyBorder="1" applyAlignment="1">
      <alignment vertical="center"/>
    </xf>
    <xf numFmtId="49" fontId="5" fillId="2" borderId="1" xfId="0" applyNumberFormat="1" applyFont="1" applyFill="1" applyBorder="1" applyAlignment="1">
      <alignment vertical="center"/>
    </xf>
    <xf numFmtId="0" fontId="5" fillId="2" borderId="1" xfId="0" applyFont="1" applyFill="1" applyBorder="1" applyAlignment="1">
      <alignment vertical="center"/>
    </xf>
    <xf numFmtId="1" fontId="5" fillId="2" borderId="1" xfId="0" applyNumberFormat="1" applyFont="1" applyFill="1" applyBorder="1" applyAlignment="1">
      <alignment vertical="center"/>
    </xf>
    <xf numFmtId="165" fontId="5" fillId="3" borderId="1" xfId="2" applyNumberFormat="1" applyFont="1" applyFill="1" applyBorder="1" applyAlignment="1">
      <alignment horizontal="center" vertical="center"/>
    </xf>
    <xf numFmtId="165" fontId="5" fillId="2" borderId="1" xfId="2" applyNumberFormat="1" applyFont="1" applyFill="1" applyBorder="1" applyAlignment="1">
      <alignment horizontal="center" vertical="center"/>
    </xf>
    <xf numFmtId="41" fontId="5" fillId="3" borderId="1" xfId="1" applyNumberFormat="1" applyFont="1" applyFill="1" applyBorder="1" applyAlignment="1">
      <alignment horizontal="center" vertical="center"/>
    </xf>
    <xf numFmtId="41" fontId="5" fillId="2" borderId="1" xfId="1" applyNumberFormat="1" applyFont="1" applyFill="1" applyBorder="1" applyAlignment="1">
      <alignment horizontal="center" vertical="center"/>
    </xf>
    <xf numFmtId="49" fontId="5" fillId="0" borderId="1" xfId="0" applyNumberFormat="1" applyFont="1" applyFill="1" applyBorder="1" applyAlignment="1">
      <alignment vertical="center"/>
    </xf>
    <xf numFmtId="0" fontId="5" fillId="0" borderId="1" xfId="0" applyFont="1" applyFill="1" applyBorder="1" applyAlignment="1">
      <alignment vertical="center"/>
    </xf>
    <xf numFmtId="0" fontId="0" fillId="0" borderId="0" xfId="0" applyAlignment="1">
      <alignment horizontal="center"/>
    </xf>
    <xf numFmtId="166" fontId="5" fillId="3" borderId="1" xfId="2" applyNumberFormat="1" applyFont="1" applyFill="1" applyBorder="1" applyAlignment="1">
      <alignment horizontal="center" vertical="center"/>
    </xf>
    <xf numFmtId="49" fontId="5" fillId="3" borderId="1" xfId="0" applyNumberFormat="1" applyFont="1" applyFill="1" applyBorder="1" applyAlignment="1">
      <alignment horizontal="center" vertical="center"/>
    </xf>
    <xf numFmtId="49" fontId="5" fillId="2"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xf>
    <xf numFmtId="0" fontId="2" fillId="4" borderId="1" xfId="0" applyFont="1" applyFill="1" applyBorder="1" applyAlignment="1">
      <alignment horizontal="center" vertical="center" wrapText="1"/>
    </xf>
    <xf numFmtId="49" fontId="5" fillId="4" borderId="1" xfId="0" applyNumberFormat="1" applyFont="1" applyFill="1" applyBorder="1" applyAlignment="1">
      <alignment horizontal="center" vertical="center"/>
    </xf>
    <xf numFmtId="49" fontId="5" fillId="5" borderId="1" xfId="0" applyNumberFormat="1" applyFont="1" applyFill="1" applyBorder="1" applyAlignment="1">
      <alignment horizontal="center" vertical="center"/>
    </xf>
    <xf numFmtId="165" fontId="5" fillId="7" borderId="1" xfId="2" applyNumberFormat="1" applyFont="1" applyFill="1" applyBorder="1" applyAlignment="1">
      <alignment horizontal="center" vertical="center"/>
    </xf>
    <xf numFmtId="41" fontId="5" fillId="0" borderId="1" xfId="1" applyNumberFormat="1" applyFont="1" applyFill="1" applyBorder="1" applyAlignment="1">
      <alignment horizontal="center" vertical="center"/>
    </xf>
    <xf numFmtId="49" fontId="5" fillId="4" borderId="1" xfId="0" quotePrefix="1" applyNumberFormat="1" applyFont="1" applyFill="1" applyBorder="1" applyAlignment="1">
      <alignment vertical="center"/>
    </xf>
    <xf numFmtId="49" fontId="5" fillId="5" borderId="1" xfId="0" quotePrefix="1" applyNumberFormat="1" applyFont="1" applyFill="1" applyBorder="1" applyAlignment="1">
      <alignment vertical="center"/>
    </xf>
    <xf numFmtId="0" fontId="0" fillId="0" borderId="0" xfId="0" applyBorder="1" applyAlignment="1">
      <alignment horizontal="center"/>
    </xf>
    <xf numFmtId="0" fontId="0" fillId="0" borderId="0" xfId="0" applyAlignment="1">
      <alignment horizontal="right"/>
    </xf>
    <xf numFmtId="1" fontId="0" fillId="0" borderId="1" xfId="0" applyNumberFormat="1" applyBorder="1" applyAlignment="1">
      <alignment horizontal="center"/>
    </xf>
    <xf numFmtId="1" fontId="5" fillId="3" borderId="1" xfId="2" applyNumberFormat="1" applyFont="1" applyFill="1" applyBorder="1" applyAlignment="1">
      <alignment horizontal="center" vertical="center"/>
    </xf>
    <xf numFmtId="1" fontId="5" fillId="2" borderId="1" xfId="0" applyNumberFormat="1" applyFont="1" applyFill="1" applyBorder="1" applyAlignment="1">
      <alignment horizontal="left" vertical="center" indent="1"/>
    </xf>
    <xf numFmtId="1" fontId="5" fillId="3" borderId="1" xfId="1" applyNumberFormat="1" applyFont="1" applyFill="1" applyBorder="1" applyAlignment="1">
      <alignment horizontal="center" vertical="center"/>
    </xf>
    <xf numFmtId="0" fontId="2" fillId="9" borderId="1" xfId="0" applyFont="1" applyFill="1" applyBorder="1" applyAlignment="1">
      <alignment horizontal="left" vertical="center" wrapText="1" indent="2"/>
    </xf>
    <xf numFmtId="0" fontId="2" fillId="9" borderId="1" xfId="0" applyFont="1" applyFill="1" applyBorder="1" applyAlignment="1">
      <alignment horizontal="center" vertical="center" wrapText="1"/>
    </xf>
    <xf numFmtId="0" fontId="3" fillId="9" borderId="1" xfId="0" applyFont="1" applyFill="1" applyBorder="1" applyAlignment="1">
      <alignment horizontal="center" vertical="center" wrapText="1"/>
    </xf>
    <xf numFmtId="43" fontId="3" fillId="9" borderId="1" xfId="0" applyNumberFormat="1" applyFont="1" applyFill="1" applyBorder="1" applyAlignment="1">
      <alignment horizontal="center" vertical="center" wrapText="1"/>
    </xf>
    <xf numFmtId="1" fontId="4" fillId="9" borderId="1" xfId="0" applyNumberFormat="1" applyFont="1" applyFill="1" applyBorder="1" applyAlignment="1">
      <alignment horizontal="center" vertical="center" wrapText="1"/>
    </xf>
    <xf numFmtId="0" fontId="0" fillId="0" borderId="1" xfId="0" applyBorder="1" applyAlignment="1">
      <alignment horizontal="left"/>
    </xf>
    <xf numFmtId="4" fontId="0" fillId="0" borderId="0" xfId="0" applyNumberFormat="1"/>
    <xf numFmtId="4" fontId="3" fillId="9" borderId="1" xfId="0" applyNumberFormat="1" applyFont="1" applyFill="1" applyBorder="1" applyAlignment="1">
      <alignment horizontal="center" vertical="center" wrapText="1"/>
    </xf>
    <xf numFmtId="4" fontId="5" fillId="3" borderId="1" xfId="0" applyNumberFormat="1" applyFont="1" applyFill="1" applyBorder="1" applyAlignment="1">
      <alignment vertical="center"/>
    </xf>
    <xf numFmtId="2" fontId="5" fillId="2" borderId="1" xfId="0" applyNumberFormat="1" applyFont="1" applyFill="1" applyBorder="1" applyAlignment="1">
      <alignment horizontal="center" vertical="center"/>
    </xf>
    <xf numFmtId="43" fontId="5" fillId="2" borderId="1" xfId="2" applyFont="1" applyFill="1" applyBorder="1" applyAlignment="1">
      <alignment horizontal="right" vertical="center"/>
    </xf>
    <xf numFmtId="43" fontId="5" fillId="3" borderId="1" xfId="0" applyNumberFormat="1" applyFont="1" applyFill="1" applyBorder="1" applyAlignment="1">
      <alignment horizontal="right" vertical="center"/>
    </xf>
    <xf numFmtId="43" fontId="5" fillId="3" borderId="1" xfId="2" applyFont="1" applyFill="1" applyBorder="1" applyAlignment="1">
      <alignment horizontal="right" vertical="center"/>
    </xf>
    <xf numFmtId="0" fontId="5" fillId="3"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0" borderId="1" xfId="0" applyFont="1" applyFill="1" applyBorder="1" applyAlignment="1">
      <alignment horizontal="center" vertical="center"/>
    </xf>
    <xf numFmtId="0" fontId="0" fillId="0" borderId="1" xfId="0" applyBorder="1" applyAlignment="1">
      <alignment horizontal="center"/>
    </xf>
    <xf numFmtId="4" fontId="0" fillId="0" borderId="0" xfId="0" applyNumberFormat="1" applyAlignment="1">
      <alignment horizontal="center"/>
    </xf>
    <xf numFmtId="1" fontId="0" fillId="0" borderId="1" xfId="0" applyNumberFormat="1" applyFont="1" applyBorder="1" applyAlignment="1">
      <alignment horizontal="center"/>
    </xf>
    <xf numFmtId="0" fontId="5" fillId="3" borderId="3" xfId="0" applyFont="1" applyFill="1" applyBorder="1" applyAlignment="1">
      <alignment vertical="center"/>
    </xf>
    <xf numFmtId="0" fontId="5" fillId="3" borderId="3" xfId="0" applyFont="1" applyFill="1" applyBorder="1" applyAlignment="1">
      <alignment horizontal="center" vertical="center"/>
    </xf>
    <xf numFmtId="0" fontId="9" fillId="0" borderId="2" xfId="0" applyFont="1" applyBorder="1" applyAlignment="1">
      <alignment horizontal="center"/>
    </xf>
    <xf numFmtId="1" fontId="5" fillId="11" borderId="1" xfId="2" applyNumberFormat="1" applyFont="1" applyFill="1" applyBorder="1" applyAlignment="1">
      <alignment horizontal="center" vertical="center"/>
    </xf>
    <xf numFmtId="1" fontId="10" fillId="11" borderId="1" xfId="2" applyNumberFormat="1" applyFont="1" applyFill="1" applyBorder="1" applyAlignment="1">
      <alignment horizontal="center" vertical="center"/>
    </xf>
    <xf numFmtId="0" fontId="10" fillId="12" borderId="1" xfId="0" applyFont="1" applyFill="1" applyBorder="1" applyAlignment="1">
      <alignment horizontal="center" vertical="center"/>
    </xf>
    <xf numFmtId="0" fontId="11" fillId="3" borderId="5" xfId="0" applyFont="1" applyFill="1" applyBorder="1" applyAlignment="1">
      <alignment vertical="center"/>
    </xf>
    <xf numFmtId="1" fontId="0" fillId="13" borderId="1" xfId="0" applyNumberFormat="1" applyFill="1" applyBorder="1" applyAlignment="1">
      <alignment horizontal="center"/>
    </xf>
    <xf numFmtId="0" fontId="5" fillId="13" borderId="1" xfId="0" applyFont="1" applyFill="1" applyBorder="1" applyAlignment="1">
      <alignment horizontal="left" vertical="center" indent="1"/>
    </xf>
    <xf numFmtId="1" fontId="5" fillId="14" borderId="1" xfId="2" applyNumberFormat="1" applyFont="1" applyFill="1" applyBorder="1" applyAlignment="1">
      <alignment horizontal="center" vertical="center"/>
    </xf>
    <xf numFmtId="0" fontId="5" fillId="14" borderId="1" xfId="0" applyFont="1" applyFill="1" applyBorder="1" applyAlignment="1">
      <alignment horizontal="left" vertical="center" indent="1"/>
    </xf>
    <xf numFmtId="0" fontId="5" fillId="14" borderId="1" xfId="0" applyFont="1" applyFill="1" applyBorder="1" applyAlignment="1">
      <alignment vertical="center"/>
    </xf>
    <xf numFmtId="0" fontId="5" fillId="13" borderId="1" xfId="0" applyFont="1" applyFill="1" applyBorder="1" applyAlignment="1">
      <alignment vertical="center"/>
    </xf>
    <xf numFmtId="0" fontId="5" fillId="15" borderId="1" xfId="0" applyFont="1" applyFill="1" applyBorder="1" applyAlignment="1">
      <alignment horizontal="left" vertical="center" indent="1"/>
    </xf>
    <xf numFmtId="0" fontId="5" fillId="16" borderId="1" xfId="0" applyFont="1" applyFill="1" applyBorder="1" applyAlignment="1">
      <alignment horizontal="left" vertical="center" indent="1"/>
    </xf>
    <xf numFmtId="0" fontId="5" fillId="17" borderId="1" xfId="0" applyFont="1" applyFill="1" applyBorder="1" applyAlignment="1">
      <alignment vertical="center"/>
    </xf>
    <xf numFmtId="0" fontId="5" fillId="18" borderId="1" xfId="0" applyFont="1" applyFill="1" applyBorder="1" applyAlignment="1">
      <alignment vertical="center"/>
    </xf>
    <xf numFmtId="1" fontId="0" fillId="10" borderId="1" xfId="0" applyNumberFormat="1" applyFont="1" applyFill="1" applyBorder="1" applyAlignment="1">
      <alignment horizontal="center"/>
    </xf>
    <xf numFmtId="1" fontId="5" fillId="8" borderId="1" xfId="2" applyNumberFormat="1" applyFont="1" applyFill="1" applyBorder="1" applyAlignment="1">
      <alignment horizontal="center" vertical="center"/>
    </xf>
    <xf numFmtId="1" fontId="0" fillId="2" borderId="1" xfId="0" applyNumberFormat="1" applyFill="1" applyBorder="1" applyAlignment="1">
      <alignment horizontal="center"/>
    </xf>
    <xf numFmtId="1" fontId="5" fillId="20" borderId="1" xfId="2" applyNumberFormat="1" applyFont="1" applyFill="1" applyBorder="1" applyAlignment="1">
      <alignment horizontal="center" vertical="center"/>
    </xf>
    <xf numFmtId="0" fontId="0" fillId="0" borderId="0" xfId="0" applyAlignment="1"/>
    <xf numFmtId="0" fontId="0" fillId="0" borderId="1" xfId="0" applyBorder="1" applyAlignment="1"/>
    <xf numFmtId="0" fontId="0" fillId="0" borderId="8" xfId="0" applyBorder="1" applyAlignment="1"/>
    <xf numFmtId="0" fontId="0" fillId="0" borderId="9" xfId="0" applyBorder="1" applyAlignment="1"/>
    <xf numFmtId="0" fontId="0" fillId="0" borderId="9" xfId="0" applyBorder="1"/>
    <xf numFmtId="0" fontId="2" fillId="9" borderId="12" xfId="0" applyFont="1" applyFill="1" applyBorder="1" applyAlignment="1">
      <alignment horizontal="center" vertical="center" wrapText="1"/>
    </xf>
    <xf numFmtId="1" fontId="0" fillId="12" borderId="1" xfId="0" applyNumberFormat="1" applyFill="1" applyBorder="1" applyAlignment="1">
      <alignment horizontal="center"/>
    </xf>
    <xf numFmtId="1" fontId="8" fillId="12" borderId="1" xfId="0" applyNumberFormat="1" applyFont="1" applyFill="1" applyBorder="1" applyAlignment="1">
      <alignment horizontal="center"/>
    </xf>
    <xf numFmtId="1" fontId="8" fillId="2" borderId="1" xfId="0" applyNumberFormat="1" applyFont="1" applyFill="1" applyBorder="1" applyAlignment="1">
      <alignment horizontal="center"/>
    </xf>
    <xf numFmtId="0" fontId="0" fillId="2" borderId="0" xfId="0" applyFill="1"/>
    <xf numFmtId="0" fontId="0" fillId="0" borderId="1" xfId="0" applyBorder="1" applyAlignment="1">
      <alignment horizontal="center" vertical="center"/>
    </xf>
    <xf numFmtId="2" fontId="5" fillId="15" borderId="1" xfId="0" applyNumberFormat="1" applyFont="1" applyFill="1" applyBorder="1" applyAlignment="1">
      <alignment horizontal="center" vertical="center"/>
    </xf>
    <xf numFmtId="4" fontId="0" fillId="13" borderId="1" xfId="0" applyNumberFormat="1" applyFill="1" applyBorder="1" applyAlignment="1">
      <alignment horizontal="center"/>
    </xf>
    <xf numFmtId="4" fontId="0" fillId="21" borderId="1" xfId="0" applyNumberFormat="1" applyFill="1" applyBorder="1" applyAlignment="1">
      <alignment horizontal="center"/>
    </xf>
    <xf numFmtId="4" fontId="0" fillId="10" borderId="1" xfId="0" applyNumberFormat="1" applyFill="1" applyBorder="1" applyAlignment="1">
      <alignment horizontal="center"/>
    </xf>
    <xf numFmtId="165" fontId="6" fillId="6" borderId="1" xfId="2" applyNumberFormat="1" applyFont="1" applyFill="1" applyBorder="1" applyAlignment="1">
      <alignment horizontal="center" vertical="center"/>
    </xf>
    <xf numFmtId="165" fontId="5" fillId="8" borderId="1" xfId="2" applyNumberFormat="1" applyFont="1" applyFill="1" applyBorder="1" applyAlignment="1">
      <alignment horizontal="center" vertical="center"/>
    </xf>
    <xf numFmtId="0" fontId="0" fillId="19" borderId="1" xfId="0" applyFill="1" applyBorder="1" applyAlignment="1">
      <alignment horizontal="center"/>
    </xf>
    <xf numFmtId="4" fontId="16" fillId="14" borderId="1" xfId="0" applyNumberFormat="1" applyFont="1" applyFill="1" applyBorder="1" applyAlignment="1">
      <alignment horizontal="center" vertical="center"/>
    </xf>
    <xf numFmtId="4" fontId="16" fillId="22" borderId="1" xfId="0" applyNumberFormat="1" applyFont="1" applyFill="1" applyBorder="1" applyAlignment="1">
      <alignment horizontal="center" vertical="center"/>
    </xf>
    <xf numFmtId="4" fontId="16" fillId="14" borderId="1" xfId="0" applyNumberFormat="1" applyFont="1" applyFill="1" applyBorder="1" applyAlignment="1">
      <alignment vertical="center"/>
    </xf>
    <xf numFmtId="4" fontId="16" fillId="8" borderId="1" xfId="0" applyNumberFormat="1" applyFont="1" applyFill="1" applyBorder="1" applyAlignment="1">
      <alignment horizontal="center" vertical="center"/>
    </xf>
    <xf numFmtId="4" fontId="16" fillId="16" borderId="1" xfId="0" applyNumberFormat="1" applyFont="1" applyFill="1" applyBorder="1" applyAlignment="1">
      <alignment horizontal="center" vertical="center"/>
    </xf>
    <xf numFmtId="4" fontId="16" fillId="3" borderId="1" xfId="0" applyNumberFormat="1" applyFont="1" applyFill="1" applyBorder="1" applyAlignment="1">
      <alignment vertical="center"/>
    </xf>
    <xf numFmtId="4" fontId="16" fillId="3" borderId="1" xfId="0" applyNumberFormat="1" applyFont="1" applyFill="1" applyBorder="1" applyAlignment="1">
      <alignment horizontal="right" vertical="center"/>
    </xf>
    <xf numFmtId="2" fontId="15" fillId="13" borderId="1" xfId="0" applyNumberFormat="1" applyFont="1" applyFill="1" applyBorder="1"/>
    <xf numFmtId="2" fontId="16" fillId="13" borderId="1" xfId="0" applyNumberFormat="1" applyFont="1" applyFill="1" applyBorder="1" applyAlignment="1">
      <alignment horizontal="center" vertical="center"/>
    </xf>
    <xf numFmtId="2" fontId="15" fillId="21" borderId="1" xfId="0" applyNumberFormat="1" applyFont="1" applyFill="1" applyBorder="1"/>
    <xf numFmtId="2" fontId="16" fillId="21" borderId="1" xfId="0" applyNumberFormat="1" applyFont="1" applyFill="1" applyBorder="1" applyAlignment="1">
      <alignment horizontal="center" vertical="center"/>
    </xf>
    <xf numFmtId="0" fontId="15" fillId="13" borderId="1" xfId="0" applyFont="1" applyFill="1" applyBorder="1"/>
    <xf numFmtId="2" fontId="16" fillId="10" borderId="1" xfId="0" applyNumberFormat="1" applyFont="1" applyFill="1" applyBorder="1" applyAlignment="1">
      <alignment horizontal="center" vertical="center"/>
    </xf>
    <xf numFmtId="2" fontId="15" fillId="0" borderId="1" xfId="0" applyNumberFormat="1" applyFont="1" applyBorder="1"/>
    <xf numFmtId="2" fontId="15" fillId="10" borderId="1" xfId="0" applyNumberFormat="1" applyFont="1" applyFill="1" applyBorder="1"/>
    <xf numFmtId="2" fontId="15" fillId="15" borderId="1" xfId="0" applyNumberFormat="1" applyFont="1" applyFill="1" applyBorder="1"/>
    <xf numFmtId="2" fontId="16" fillId="15" borderId="1" xfId="0" applyNumberFormat="1" applyFont="1" applyFill="1" applyBorder="1" applyAlignment="1">
      <alignment horizontal="center" vertical="center"/>
    </xf>
    <xf numFmtId="1" fontId="16" fillId="13" borderId="1" xfId="0" applyNumberFormat="1" applyFont="1" applyFill="1" applyBorder="1" applyAlignment="1">
      <alignment horizontal="right" vertical="center"/>
    </xf>
    <xf numFmtId="2" fontId="16" fillId="13" borderId="1" xfId="0" applyNumberFormat="1" applyFont="1" applyFill="1" applyBorder="1" applyAlignment="1">
      <alignment horizontal="center"/>
    </xf>
    <xf numFmtId="0" fontId="16" fillId="13" borderId="1" xfId="0" applyFont="1" applyFill="1" applyBorder="1"/>
    <xf numFmtId="2" fontId="16" fillId="21" borderId="1" xfId="0" applyNumberFormat="1" applyFont="1" applyFill="1" applyBorder="1" applyAlignment="1">
      <alignment horizontal="center"/>
    </xf>
    <xf numFmtId="0" fontId="16" fillId="0" borderId="1" xfId="0" applyFont="1" applyBorder="1"/>
    <xf numFmtId="0" fontId="15" fillId="0" borderId="0" xfId="0" applyFont="1" applyAlignment="1">
      <alignment horizontal="left"/>
    </xf>
    <xf numFmtId="4" fontId="17" fillId="0" borderId="0" xfId="0" applyNumberFormat="1" applyFont="1"/>
    <xf numFmtId="0" fontId="18" fillId="0" borderId="0" xfId="0" applyFont="1"/>
    <xf numFmtId="0" fontId="0" fillId="18" borderId="1" xfId="0" applyFill="1" applyBorder="1" applyAlignment="1">
      <alignment horizontal="center"/>
    </xf>
    <xf numFmtId="4" fontId="0" fillId="18" borderId="1" xfId="0" applyNumberFormat="1" applyFill="1" applyBorder="1" applyAlignment="1">
      <alignment horizontal="center"/>
    </xf>
    <xf numFmtId="4" fontId="5" fillId="17" borderId="1" xfId="0" applyNumberFormat="1" applyFont="1" applyFill="1" applyBorder="1" applyAlignment="1">
      <alignment vertical="center"/>
    </xf>
    <xf numFmtId="4" fontId="16" fillId="23" borderId="1" xfId="0" applyNumberFormat="1" applyFont="1" applyFill="1" applyBorder="1" applyAlignment="1">
      <alignment horizontal="center" vertical="center"/>
    </xf>
    <xf numFmtId="4" fontId="5" fillId="0" borderId="1" xfId="0" applyNumberFormat="1" applyFont="1" applyFill="1" applyBorder="1" applyAlignment="1">
      <alignment vertical="center"/>
    </xf>
    <xf numFmtId="165" fontId="5" fillId="0" borderId="1" xfId="2" applyNumberFormat="1" applyFont="1" applyFill="1" applyBorder="1" applyAlignment="1">
      <alignment horizontal="center" vertical="center"/>
    </xf>
    <xf numFmtId="165" fontId="5" fillId="0" borderId="13" xfId="2" applyNumberFormat="1" applyFont="1" applyFill="1" applyBorder="1" applyAlignment="1">
      <alignment horizontal="center" vertical="center"/>
    </xf>
    <xf numFmtId="1" fontId="8" fillId="0" borderId="1" xfId="0" applyNumberFormat="1" applyFont="1" applyFill="1" applyBorder="1" applyAlignment="1">
      <alignment horizontal="center"/>
    </xf>
    <xf numFmtId="0" fontId="12" fillId="3" borderId="0" xfId="0" applyFont="1" applyFill="1" applyBorder="1" applyAlignment="1">
      <alignment vertical="center"/>
    </xf>
    <xf numFmtId="0" fontId="9" fillId="0" borderId="0" xfId="0" applyFont="1" applyAlignment="1">
      <alignment vertical="center"/>
    </xf>
    <xf numFmtId="0" fontId="13" fillId="0" borderId="0" xfId="0" applyFont="1" applyAlignment="1"/>
    <xf numFmtId="0" fontId="14" fillId="0" borderId="5" xfId="0" applyFont="1" applyBorder="1" applyAlignment="1">
      <alignment vertical="center" wrapText="1"/>
    </xf>
    <xf numFmtId="0" fontId="14" fillId="0" borderId="6" xfId="0" applyFont="1" applyBorder="1" applyAlignment="1">
      <alignment vertical="center" wrapText="1"/>
    </xf>
    <xf numFmtId="0" fontId="14" fillId="0" borderId="4" xfId="0" applyFont="1" applyBorder="1" applyAlignment="1">
      <alignment vertical="center" wrapText="1"/>
    </xf>
    <xf numFmtId="0" fontId="0" fillId="0" borderId="10" xfId="0" applyBorder="1" applyAlignment="1"/>
    <xf numFmtId="0" fontId="0" fillId="0" borderId="0" xfId="0" applyBorder="1" applyAlignment="1"/>
    <xf numFmtId="0" fontId="0" fillId="0" borderId="11" xfId="0" applyBorder="1" applyAlignment="1"/>
    <xf numFmtId="0" fontId="0" fillId="0" borderId="7" xfId="0" applyBorder="1" applyAlignment="1"/>
    <xf numFmtId="0" fontId="0" fillId="0" borderId="8" xfId="0" applyBorder="1" applyAlignment="1"/>
    <xf numFmtId="0" fontId="0" fillId="0" borderId="9" xfId="0" applyBorder="1" applyAlignment="1"/>
  </cellXfs>
  <cellStyles count="4">
    <cellStyle name="Milliers" xfId="1" builtinId="3"/>
    <cellStyle name="Milliers 2" xfId="2"/>
    <cellStyle name="Monétaire 2" xfId="3"/>
    <cellStyle name="Normal" xfId="0" builtinId="0"/>
  </cellStyles>
  <dxfs count="12">
    <dxf>
      <font>
        <b/>
        <i val="0"/>
        <color theme="0"/>
      </font>
      <fill>
        <patternFill>
          <bgColor rgb="FFFF0000"/>
        </patternFill>
      </fill>
    </dxf>
    <dxf>
      <font>
        <b/>
        <i val="0"/>
        <color theme="0"/>
      </font>
      <fill>
        <patternFill>
          <bgColor rgb="FFFF0000"/>
        </patternFill>
      </fill>
    </dxf>
    <dxf>
      <fill>
        <patternFill>
          <bgColor theme="7" tint="0.79998168889431442"/>
        </patternFill>
      </fill>
    </dxf>
    <dxf>
      <fill>
        <patternFill>
          <bgColor theme="7" tint="0.79998168889431442"/>
        </patternFill>
      </fill>
    </dxf>
    <dxf>
      <fill>
        <patternFill>
          <bgColor theme="9" tint="0.79998168889431442"/>
        </patternFill>
      </fill>
    </dxf>
    <dxf>
      <fill>
        <patternFill>
          <bgColor rgb="FFFF0000"/>
        </patternFill>
      </fill>
    </dxf>
    <dxf>
      <fill>
        <patternFill>
          <bgColor rgb="FFFF0000"/>
        </patternFill>
      </fill>
    </dxf>
    <dxf>
      <fill>
        <patternFill>
          <bgColor theme="7" tint="0.79998168889431442"/>
        </patternFill>
      </fill>
    </dxf>
    <dxf>
      <fill>
        <patternFill>
          <bgColor theme="7" tint="0.79998168889431442"/>
        </patternFill>
      </fill>
    </dxf>
    <dxf>
      <fill>
        <patternFill>
          <bgColor theme="9" tint="0.79998168889431442"/>
        </patternFill>
      </fill>
    </dxf>
    <dxf>
      <fill>
        <patternFill>
          <bgColor theme="7" tint="0.79998168889431442"/>
        </patternFill>
      </fill>
    </dxf>
    <dxf>
      <fill>
        <patternFill>
          <bgColor theme="9" tint="0.79998168889431442"/>
        </patternFill>
      </fill>
    </dxf>
  </dxfs>
  <tableStyles count="0" defaultTableStyle="TableStyleMedium2" defaultPivotStyle="PivotStyleLight16"/>
  <colors>
    <mruColors>
      <color rgb="FFFFCC00"/>
      <color rgb="FFFF7C80"/>
      <color rgb="FFFFFFCC"/>
      <color rgb="FFFFCCFF"/>
      <color rgb="FFCC99FF"/>
      <color rgb="FFFFFF99"/>
      <color rgb="FFFFFF66"/>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Prestataires" displayName="Prestataires" ref="A1:A13" totalsRowShown="0">
  <autoFilter ref="A1:A13"/>
  <tableColumns count="1">
    <tableColumn id="1" name="PRESTATAIRES"/>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048563"/>
  <sheetViews>
    <sheetView tabSelected="1" zoomScale="80" zoomScaleNormal="80" workbookViewId="0">
      <pane xSplit="5" ySplit="4" topLeftCell="F5" activePane="bottomRight" state="frozen"/>
      <selection pane="topRight" activeCell="D1" sqref="D1"/>
      <selection pane="bottomLeft" activeCell="A5" sqref="A5"/>
      <selection pane="bottomRight" activeCell="L5" sqref="L5"/>
    </sheetView>
  </sheetViews>
  <sheetFormatPr baseColWidth="10" defaultRowHeight="15" outlineLevelCol="1" x14ac:dyDescent="0.25"/>
  <cols>
    <col min="1" max="1" width="11" style="26" hidden="1" customWidth="1"/>
    <col min="2" max="2" width="0" hidden="1" customWidth="1"/>
    <col min="3" max="3" width="38.28515625" bestFit="1" customWidth="1"/>
    <col min="4" max="4" width="23.42578125" style="26" customWidth="1"/>
    <col min="5" max="5" width="24.28515625" customWidth="1" outlineLevel="1"/>
    <col min="6" max="6" width="28.7109375" bestFit="1" customWidth="1"/>
    <col min="7" max="7" width="16.7109375" style="26" bestFit="1" customWidth="1"/>
    <col min="8" max="8" width="14.85546875" style="26" customWidth="1"/>
    <col min="9" max="9" width="17.7109375" style="26" bestFit="1" customWidth="1"/>
    <col min="10" max="10" width="13.28515625" style="26" customWidth="1"/>
    <col min="11" max="11" width="12.7109375" customWidth="1" outlineLevel="1"/>
    <col min="12" max="12" width="12.7109375" customWidth="1"/>
    <col min="13" max="13" width="12.7109375" customWidth="1" outlineLevel="1"/>
    <col min="14" max="14" width="12.7109375" customWidth="1"/>
    <col min="15" max="15" width="16.7109375" bestFit="1" customWidth="1" outlineLevel="1"/>
    <col min="16" max="16" width="15.7109375" customWidth="1" outlineLevel="1"/>
    <col min="17" max="17" width="15.7109375" style="50" customWidth="1" outlineLevel="1" collapsed="1"/>
    <col min="18" max="18" width="15.7109375" customWidth="1" outlineLevel="1"/>
    <col min="19" max="19" width="19.85546875" style="61" bestFit="1" customWidth="1"/>
    <col min="20" max="20" width="11.5703125" customWidth="1" outlineLevel="1" collapsed="1"/>
    <col min="21" max="27" width="11.5703125" customWidth="1" outlineLevel="1"/>
    <col min="28" max="28" width="16.7109375" customWidth="1" outlineLevel="1"/>
    <col min="29" max="31" width="11.5703125" customWidth="1" outlineLevel="1"/>
    <col min="32" max="32" width="18.85546875" style="26" bestFit="1" customWidth="1"/>
    <col min="33" max="33" width="19.5703125" bestFit="1" customWidth="1"/>
    <col min="34" max="34" width="13.28515625" customWidth="1"/>
    <col min="35" max="35" width="15.5703125" bestFit="1" customWidth="1"/>
    <col min="36" max="36" width="14" bestFit="1" customWidth="1"/>
  </cols>
  <sheetData>
    <row r="1" spans="1:36" ht="15" customHeight="1" x14ac:dyDescent="0.25">
      <c r="C1" s="127" t="s">
        <v>334</v>
      </c>
      <c r="D1" s="99" t="s">
        <v>333</v>
      </c>
      <c r="E1" s="88"/>
      <c r="F1" s="6" t="s">
        <v>341</v>
      </c>
      <c r="G1" s="49" t="s">
        <v>305</v>
      </c>
      <c r="J1" s="70">
        <v>0</v>
      </c>
      <c r="K1" s="84"/>
      <c r="L1" s="85" t="s">
        <v>322</v>
      </c>
      <c r="M1" s="86"/>
      <c r="N1" s="86"/>
      <c r="O1" s="86"/>
      <c r="P1" s="87"/>
      <c r="Q1" s="128" t="s">
        <v>335</v>
      </c>
      <c r="S1" s="96" t="s">
        <v>333</v>
      </c>
      <c r="AF1" s="124" t="s">
        <v>328</v>
      </c>
    </row>
    <row r="2" spans="1:36" x14ac:dyDescent="0.25">
      <c r="C2" s="39" t="s">
        <v>299</v>
      </c>
      <c r="D2" s="34" t="s">
        <v>333</v>
      </c>
      <c r="E2" s="88" t="s">
        <v>300</v>
      </c>
      <c r="F2" s="49" t="s">
        <v>343</v>
      </c>
      <c r="G2" s="49" t="s">
        <v>306</v>
      </c>
      <c r="J2" s="101">
        <v>0</v>
      </c>
      <c r="L2" s="141" t="s">
        <v>321</v>
      </c>
      <c r="M2" s="142"/>
      <c r="N2" s="142"/>
      <c r="O2" s="143"/>
      <c r="R2" s="93"/>
      <c r="S2" s="97" t="s">
        <v>333</v>
      </c>
      <c r="AF2" s="124" t="s">
        <v>329</v>
      </c>
    </row>
    <row r="3" spans="1:36" x14ac:dyDescent="0.25">
      <c r="D3" s="100" t="s">
        <v>333</v>
      </c>
      <c r="E3" s="88"/>
      <c r="F3" s="49" t="s">
        <v>342</v>
      </c>
      <c r="G3" s="49" t="s">
        <v>307</v>
      </c>
      <c r="J3" s="72"/>
      <c r="L3" s="144" t="s">
        <v>323</v>
      </c>
      <c r="M3" s="145"/>
      <c r="N3" s="145"/>
      <c r="O3" s="145"/>
      <c r="P3" s="146"/>
      <c r="S3" s="98" t="s">
        <v>333</v>
      </c>
      <c r="AF3" s="124" t="s">
        <v>330</v>
      </c>
    </row>
    <row r="4" spans="1:36" ht="82.5" x14ac:dyDescent="0.25">
      <c r="A4" s="31" t="s">
        <v>258</v>
      </c>
      <c r="B4" s="31" t="s">
        <v>0</v>
      </c>
      <c r="C4" s="44" t="s">
        <v>1</v>
      </c>
      <c r="D4" s="89" t="s">
        <v>278</v>
      </c>
      <c r="E4" s="45" t="s">
        <v>2</v>
      </c>
      <c r="F4" s="45" t="s">
        <v>257</v>
      </c>
      <c r="G4" s="46" t="s">
        <v>279</v>
      </c>
      <c r="H4" s="46" t="s">
        <v>301</v>
      </c>
      <c r="I4" s="46" t="s">
        <v>302</v>
      </c>
      <c r="J4" s="46" t="s">
        <v>298</v>
      </c>
      <c r="K4" s="46" t="s">
        <v>172</v>
      </c>
      <c r="L4" s="46" t="s">
        <v>285</v>
      </c>
      <c r="M4" s="46" t="s">
        <v>303</v>
      </c>
      <c r="N4" s="46" t="s">
        <v>287</v>
      </c>
      <c r="O4" s="47" t="s">
        <v>324</v>
      </c>
      <c r="P4" s="47" t="s">
        <v>325</v>
      </c>
      <c r="Q4" s="51" t="s">
        <v>288</v>
      </c>
      <c r="R4" s="47" t="s">
        <v>289</v>
      </c>
      <c r="S4" s="51" t="s">
        <v>304</v>
      </c>
      <c r="T4" s="48" t="s">
        <v>3</v>
      </c>
      <c r="U4" s="48" t="s">
        <v>4</v>
      </c>
      <c r="V4" s="48" t="s">
        <v>5</v>
      </c>
      <c r="W4" s="48" t="s">
        <v>6</v>
      </c>
      <c r="X4" s="48" t="s">
        <v>7</v>
      </c>
      <c r="Y4" s="48" t="s">
        <v>8</v>
      </c>
      <c r="Z4" s="48" t="s">
        <v>9</v>
      </c>
      <c r="AA4" s="48" t="s">
        <v>10</v>
      </c>
      <c r="AB4" s="48" t="s">
        <v>11</v>
      </c>
      <c r="AC4" s="48" t="s">
        <v>12</v>
      </c>
      <c r="AD4" s="48" t="s">
        <v>13</v>
      </c>
      <c r="AE4" s="48" t="s">
        <v>14</v>
      </c>
      <c r="AF4" s="48" t="s">
        <v>309</v>
      </c>
      <c r="AG4" s="48" t="s">
        <v>310</v>
      </c>
      <c r="AH4" s="48" t="s">
        <v>311</v>
      </c>
      <c r="AI4" s="48" t="s">
        <v>312</v>
      </c>
      <c r="AJ4" s="48" t="s">
        <v>308</v>
      </c>
    </row>
    <row r="5" spans="1:36" x14ac:dyDescent="0.25">
      <c r="A5" s="28" t="s">
        <v>269</v>
      </c>
      <c r="B5" s="16" t="s">
        <v>173</v>
      </c>
      <c r="C5" s="78" t="s">
        <v>228</v>
      </c>
      <c r="D5" s="57">
        <v>47</v>
      </c>
      <c r="E5" s="3" t="s">
        <v>15</v>
      </c>
      <c r="F5" s="68" t="s">
        <v>314</v>
      </c>
      <c r="G5" s="67" t="s">
        <v>314</v>
      </c>
      <c r="H5" s="41"/>
      <c r="I5" s="40"/>
      <c r="J5" s="91" t="s">
        <v>314</v>
      </c>
      <c r="K5" s="20"/>
      <c r="L5" s="134" t="s">
        <v>314</v>
      </c>
      <c r="M5" s="92" t="s">
        <v>314</v>
      </c>
      <c r="N5" s="92" t="s">
        <v>314</v>
      </c>
      <c r="O5" s="12"/>
      <c r="P5" s="10"/>
      <c r="Q5" s="52">
        <v>3673.82</v>
      </c>
      <c r="R5" s="10">
        <v>60</v>
      </c>
      <c r="S5" s="106"/>
      <c r="T5" s="11"/>
      <c r="U5" s="11"/>
      <c r="V5" s="11"/>
      <c r="W5" s="11"/>
      <c r="X5" s="11"/>
      <c r="Y5" s="11"/>
      <c r="Z5" s="11"/>
      <c r="AA5" s="11"/>
      <c r="AB5" s="11"/>
      <c r="AC5" s="11"/>
      <c r="AD5" s="11"/>
      <c r="AE5" s="11"/>
      <c r="AF5" s="11">
        <v>0</v>
      </c>
      <c r="AG5" s="11">
        <f t="shared" ref="AG5:AG36" si="0">12-AF5</f>
        <v>12</v>
      </c>
      <c r="AH5" s="95"/>
      <c r="AI5" s="117"/>
      <c r="AJ5" s="118"/>
    </row>
    <row r="6" spans="1:36" x14ac:dyDescent="0.25">
      <c r="A6" s="28" t="s">
        <v>267</v>
      </c>
      <c r="B6" s="16" t="s">
        <v>138</v>
      </c>
      <c r="C6" s="18" t="s">
        <v>185</v>
      </c>
      <c r="D6" s="58">
        <v>29</v>
      </c>
      <c r="E6" s="3" t="s">
        <v>15</v>
      </c>
      <c r="F6" s="3" t="s">
        <v>270</v>
      </c>
      <c r="G6" s="41">
        <v>111</v>
      </c>
      <c r="H6" s="41"/>
      <c r="I6" s="40"/>
      <c r="J6" s="40">
        <v>305</v>
      </c>
      <c r="K6" s="21">
        <f>165.4+469.25</f>
        <v>634.65</v>
      </c>
      <c r="L6" s="132">
        <f>J6-G6</f>
        <v>194</v>
      </c>
      <c r="M6" s="27">
        <f t="shared" ref="M6:M37" si="1">O6/G6</f>
        <v>0.45045045045045046</v>
      </c>
      <c r="N6" s="20">
        <f t="shared" ref="N6:N37" si="2">L6*M6</f>
        <v>87.387387387387392</v>
      </c>
      <c r="O6" s="5">
        <v>50</v>
      </c>
      <c r="P6" s="5">
        <v>54.25</v>
      </c>
      <c r="Q6" s="52">
        <v>1931.69</v>
      </c>
      <c r="R6" s="10">
        <v>60</v>
      </c>
      <c r="S6" s="103">
        <f t="shared" ref="S6:S33" si="3">N6/Q6*R6</f>
        <v>2.7143295473099944</v>
      </c>
      <c r="T6" s="11"/>
      <c r="U6" s="11"/>
      <c r="V6" s="11"/>
      <c r="W6" s="11"/>
      <c r="X6" s="11"/>
      <c r="Y6" s="11"/>
      <c r="Z6" s="11"/>
      <c r="AA6" s="11"/>
      <c r="AB6" s="11"/>
      <c r="AC6" s="11"/>
      <c r="AD6" s="11"/>
      <c r="AE6" s="11"/>
      <c r="AF6" s="11">
        <v>10</v>
      </c>
      <c r="AG6" s="11">
        <f t="shared" si="0"/>
        <v>2</v>
      </c>
      <c r="AH6" s="53">
        <f>O6/AF6</f>
        <v>5</v>
      </c>
      <c r="AI6" s="109">
        <f t="shared" ref="AI6:AI33" si="4">(AG6*AH6)/Q6*60</f>
        <v>0.31060884510454573</v>
      </c>
      <c r="AJ6" s="114">
        <f t="shared" ref="AJ6:AJ37" si="5">S6+AI6</f>
        <v>3.0249383924145401</v>
      </c>
    </row>
    <row r="7" spans="1:36" x14ac:dyDescent="0.25">
      <c r="A7" s="28" t="s">
        <v>269</v>
      </c>
      <c r="B7" s="16" t="s">
        <v>294</v>
      </c>
      <c r="C7" s="18" t="s">
        <v>189</v>
      </c>
      <c r="D7" s="58">
        <v>10</v>
      </c>
      <c r="E7" s="7" t="s">
        <v>15</v>
      </c>
      <c r="F7" s="7" t="s">
        <v>270</v>
      </c>
      <c r="G7" s="41">
        <v>1300</v>
      </c>
      <c r="H7" s="41">
        <v>408</v>
      </c>
      <c r="I7" s="40"/>
      <c r="J7" s="40">
        <v>407</v>
      </c>
      <c r="K7" s="23"/>
      <c r="L7" s="132">
        <f>J7+H7-G7</f>
        <v>-485</v>
      </c>
      <c r="M7" s="27">
        <f t="shared" si="1"/>
        <v>0.13692307692307693</v>
      </c>
      <c r="N7" s="20">
        <f t="shared" si="2"/>
        <v>-66.407692307692315</v>
      </c>
      <c r="O7" s="5">
        <v>178</v>
      </c>
      <c r="P7" s="5">
        <v>193.13</v>
      </c>
      <c r="Q7" s="52">
        <v>568.74</v>
      </c>
      <c r="R7" s="10">
        <v>60</v>
      </c>
      <c r="S7" s="105">
        <f t="shared" si="3"/>
        <v>-7.0057698394020802</v>
      </c>
      <c r="T7" s="11"/>
      <c r="U7" s="11"/>
      <c r="V7" s="11"/>
      <c r="W7" s="11"/>
      <c r="X7" s="11"/>
      <c r="Y7" s="11"/>
      <c r="Z7" s="11"/>
      <c r="AA7" s="11"/>
      <c r="AB7" s="11"/>
      <c r="AC7" s="11"/>
      <c r="AD7" s="11"/>
      <c r="AE7" s="11"/>
      <c r="AF7" s="11">
        <v>0</v>
      </c>
      <c r="AG7" s="11">
        <f t="shared" si="0"/>
        <v>12</v>
      </c>
      <c r="AH7" s="53">
        <f>O7/12</f>
        <v>14.833333333333334</v>
      </c>
      <c r="AI7" s="116">
        <f t="shared" si="4"/>
        <v>18.778352146850931</v>
      </c>
      <c r="AJ7" s="114">
        <f t="shared" si="5"/>
        <v>11.77258230744885</v>
      </c>
    </row>
    <row r="8" spans="1:36" x14ac:dyDescent="0.25">
      <c r="A8" s="28" t="s">
        <v>267</v>
      </c>
      <c r="B8" s="16" t="s">
        <v>176</v>
      </c>
      <c r="C8" s="18" t="s">
        <v>197</v>
      </c>
      <c r="D8" s="58">
        <v>44</v>
      </c>
      <c r="E8" s="7" t="s">
        <v>15</v>
      </c>
      <c r="F8" s="7" t="s">
        <v>270</v>
      </c>
      <c r="G8" s="41">
        <v>240</v>
      </c>
      <c r="H8" s="41"/>
      <c r="I8" s="40"/>
      <c r="J8" s="40">
        <v>166</v>
      </c>
      <c r="K8" s="23">
        <f>30.16+24.16+7.91+362.35+195.61+128.34</f>
        <v>748.53000000000009</v>
      </c>
      <c r="L8" s="132">
        <f t="shared" ref="L8:L21" si="6">J8-G8</f>
        <v>-74</v>
      </c>
      <c r="M8" s="27">
        <f t="shared" si="1"/>
        <v>0.20833333333333334</v>
      </c>
      <c r="N8" s="20">
        <f t="shared" si="2"/>
        <v>-15.416666666666668</v>
      </c>
      <c r="O8" s="5">
        <v>50</v>
      </c>
      <c r="P8" s="5">
        <v>54.25</v>
      </c>
      <c r="Q8" s="52">
        <v>2874.35</v>
      </c>
      <c r="R8" s="10">
        <v>60</v>
      </c>
      <c r="S8" s="102">
        <f t="shared" si="3"/>
        <v>-0.32181188790509163</v>
      </c>
      <c r="T8" s="11"/>
      <c r="U8" s="11"/>
      <c r="V8" s="11"/>
      <c r="W8" s="11"/>
      <c r="X8" s="11"/>
      <c r="Y8" s="11"/>
      <c r="Z8" s="11"/>
      <c r="AA8" s="11"/>
      <c r="AB8" s="11"/>
      <c r="AC8" s="11"/>
      <c r="AD8" s="11"/>
      <c r="AE8" s="11"/>
      <c r="AF8" s="11">
        <v>10</v>
      </c>
      <c r="AG8" s="11">
        <f t="shared" si="0"/>
        <v>2</v>
      </c>
      <c r="AH8" s="53">
        <f t="shared" ref="AH8:AH39" si="7">O8/AF8</f>
        <v>5</v>
      </c>
      <c r="AI8" s="109">
        <f t="shared" si="4"/>
        <v>0.20874284620870806</v>
      </c>
      <c r="AJ8" s="110">
        <f t="shared" si="5"/>
        <v>-0.11306904169638357</v>
      </c>
    </row>
    <row r="9" spans="1:36" x14ac:dyDescent="0.25">
      <c r="A9" s="28" t="s">
        <v>267</v>
      </c>
      <c r="B9" s="16" t="s">
        <v>112</v>
      </c>
      <c r="C9" s="18" t="s">
        <v>199</v>
      </c>
      <c r="D9" s="58">
        <v>29</v>
      </c>
      <c r="E9" s="7" t="s">
        <v>15</v>
      </c>
      <c r="F9" s="7" t="s">
        <v>270</v>
      </c>
      <c r="G9" s="41">
        <v>563</v>
      </c>
      <c r="H9" s="41"/>
      <c r="I9" s="40"/>
      <c r="J9" s="40">
        <v>253</v>
      </c>
      <c r="K9" s="23">
        <f>92.41+213.66+43.23+146.54</f>
        <v>495.84000000000003</v>
      </c>
      <c r="L9" s="132">
        <f t="shared" si="6"/>
        <v>-310</v>
      </c>
      <c r="M9" s="27">
        <f t="shared" si="1"/>
        <v>0.19893428063943161</v>
      </c>
      <c r="N9" s="20">
        <f t="shared" si="2"/>
        <v>-61.669626998223798</v>
      </c>
      <c r="O9" s="5">
        <v>112</v>
      </c>
      <c r="P9" s="5">
        <v>121.52</v>
      </c>
      <c r="Q9" s="52">
        <v>1845.14</v>
      </c>
      <c r="R9" s="10">
        <v>60</v>
      </c>
      <c r="S9" s="103">
        <f t="shared" si="3"/>
        <v>-2.0053641565916016</v>
      </c>
      <c r="T9" s="11"/>
      <c r="U9" s="11"/>
      <c r="V9" s="11"/>
      <c r="W9" s="11"/>
      <c r="X9" s="11"/>
      <c r="Y9" s="11"/>
      <c r="Z9" s="11"/>
      <c r="AA9" s="11"/>
      <c r="AB9" s="11"/>
      <c r="AC9" s="11"/>
      <c r="AD9" s="11"/>
      <c r="AE9" s="11"/>
      <c r="AF9" s="11">
        <v>10</v>
      </c>
      <c r="AG9" s="11">
        <f t="shared" si="0"/>
        <v>2</v>
      </c>
      <c r="AH9" s="53">
        <f t="shared" si="7"/>
        <v>11.2</v>
      </c>
      <c r="AI9" s="109">
        <f t="shared" si="4"/>
        <v>0.72840001300714297</v>
      </c>
      <c r="AJ9" s="112">
        <f t="shared" si="5"/>
        <v>-1.2769641435844585</v>
      </c>
    </row>
    <row r="10" spans="1:36" x14ac:dyDescent="0.25">
      <c r="A10" s="28" t="s">
        <v>267</v>
      </c>
      <c r="B10" s="16" t="s">
        <v>178</v>
      </c>
      <c r="C10" s="18" t="s">
        <v>201</v>
      </c>
      <c r="D10" s="58">
        <v>30</v>
      </c>
      <c r="E10" s="7" t="s">
        <v>15</v>
      </c>
      <c r="F10" s="7" t="s">
        <v>270</v>
      </c>
      <c r="G10" s="41">
        <v>563</v>
      </c>
      <c r="H10" s="41"/>
      <c r="I10" s="40"/>
      <c r="J10" s="40">
        <v>328</v>
      </c>
      <c r="K10" s="23">
        <f>316.77+21.36+4.97+40.68+64.95+38.09+276.2</f>
        <v>763.02</v>
      </c>
      <c r="L10" s="132">
        <f t="shared" si="6"/>
        <v>-235</v>
      </c>
      <c r="M10" s="27">
        <f t="shared" si="1"/>
        <v>0.19893428063943161</v>
      </c>
      <c r="N10" s="20">
        <f t="shared" si="2"/>
        <v>-46.749555950266426</v>
      </c>
      <c r="O10" s="5">
        <v>112</v>
      </c>
      <c r="P10" s="5">
        <v>121.52</v>
      </c>
      <c r="Q10" s="52">
        <v>1834.35</v>
      </c>
      <c r="R10" s="10">
        <v>60</v>
      </c>
      <c r="S10" s="103">
        <f t="shared" si="3"/>
        <v>-1.5291374912181348</v>
      </c>
      <c r="T10" s="11"/>
      <c r="U10" s="11"/>
      <c r="V10" s="11"/>
      <c r="W10" s="11"/>
      <c r="X10" s="11"/>
      <c r="Y10" s="11"/>
      <c r="Z10" s="11"/>
      <c r="AA10" s="11"/>
      <c r="AB10" s="11"/>
      <c r="AC10" s="11"/>
      <c r="AD10" s="11"/>
      <c r="AE10" s="11"/>
      <c r="AF10" s="11">
        <v>10</v>
      </c>
      <c r="AG10" s="11">
        <f t="shared" si="0"/>
        <v>2</v>
      </c>
      <c r="AH10" s="53">
        <f t="shared" si="7"/>
        <v>11.2</v>
      </c>
      <c r="AI10" s="109">
        <f t="shared" si="4"/>
        <v>0.73268460217515741</v>
      </c>
      <c r="AJ10" s="110">
        <f t="shared" si="5"/>
        <v>-0.7964528890429774</v>
      </c>
    </row>
    <row r="11" spans="1:36" x14ac:dyDescent="0.25">
      <c r="A11" s="29" t="s">
        <v>267</v>
      </c>
      <c r="B11" s="17" t="s">
        <v>114</v>
      </c>
      <c r="C11" s="18" t="s">
        <v>17</v>
      </c>
      <c r="D11" s="58">
        <v>46</v>
      </c>
      <c r="E11" s="3" t="s">
        <v>15</v>
      </c>
      <c r="F11" s="3" t="s">
        <v>270</v>
      </c>
      <c r="G11" s="41">
        <v>621</v>
      </c>
      <c r="H11" s="41"/>
      <c r="I11" s="40"/>
      <c r="J11" s="40">
        <v>621</v>
      </c>
      <c r="K11" s="23"/>
      <c r="L11" s="132">
        <f t="shared" si="6"/>
        <v>0</v>
      </c>
      <c r="M11" s="27">
        <f t="shared" si="1"/>
        <v>0.19967793880837359</v>
      </c>
      <c r="N11" s="20">
        <f t="shared" si="2"/>
        <v>0</v>
      </c>
      <c r="O11" s="5">
        <v>124</v>
      </c>
      <c r="P11" s="5">
        <v>134.54</v>
      </c>
      <c r="Q11" s="52">
        <v>2834.63</v>
      </c>
      <c r="R11" s="10">
        <v>60</v>
      </c>
      <c r="S11" s="102">
        <f t="shared" si="3"/>
        <v>0</v>
      </c>
      <c r="T11" s="11">
        <v>1</v>
      </c>
      <c r="U11" s="11">
        <v>1</v>
      </c>
      <c r="V11" s="11">
        <v>1</v>
      </c>
      <c r="W11" s="11">
        <v>1</v>
      </c>
      <c r="X11" s="11"/>
      <c r="Y11" s="11">
        <v>1</v>
      </c>
      <c r="Z11" s="11"/>
      <c r="AA11" s="11">
        <v>1</v>
      </c>
      <c r="AB11" s="11">
        <v>1</v>
      </c>
      <c r="AC11" s="11">
        <v>1</v>
      </c>
      <c r="AD11" s="11">
        <v>1</v>
      </c>
      <c r="AE11" s="11">
        <v>1</v>
      </c>
      <c r="AF11" s="11">
        <f t="shared" ref="AF11:AF34" si="8">SUM(T11:AE11)</f>
        <v>10</v>
      </c>
      <c r="AG11" s="11">
        <f t="shared" si="0"/>
        <v>2</v>
      </c>
      <c r="AH11" s="53">
        <f t="shared" si="7"/>
        <v>12.4</v>
      </c>
      <c r="AI11" s="109">
        <f t="shared" si="4"/>
        <v>0.52493623506418818</v>
      </c>
      <c r="AJ11" s="110">
        <f t="shared" si="5"/>
        <v>0.52493623506418818</v>
      </c>
    </row>
    <row r="12" spans="1:36" x14ac:dyDescent="0.25">
      <c r="A12" s="28" t="s">
        <v>269</v>
      </c>
      <c r="B12" s="16" t="s">
        <v>63</v>
      </c>
      <c r="C12" s="15" t="s">
        <v>19</v>
      </c>
      <c r="D12" s="57">
        <v>36</v>
      </c>
      <c r="E12" s="7" t="s">
        <v>15</v>
      </c>
      <c r="F12" s="7" t="s">
        <v>270</v>
      </c>
      <c r="G12" s="41">
        <v>484</v>
      </c>
      <c r="H12" s="41"/>
      <c r="I12" s="40"/>
      <c r="J12" s="40">
        <v>484</v>
      </c>
      <c r="K12" s="22">
        <f>59.17+38.12+147.48+799.31+21.59+21.82+11.99+51.95</f>
        <v>1151.4299999999998</v>
      </c>
      <c r="L12" s="132">
        <f t="shared" si="6"/>
        <v>0</v>
      </c>
      <c r="M12" s="27">
        <f t="shared" si="1"/>
        <v>0.19834710743801653</v>
      </c>
      <c r="N12" s="20">
        <f t="shared" si="2"/>
        <v>0</v>
      </c>
      <c r="O12" s="5">
        <v>96</v>
      </c>
      <c r="P12" s="5">
        <v>104.16</v>
      </c>
      <c r="Q12" s="52">
        <v>2096.64</v>
      </c>
      <c r="R12" s="10">
        <v>60</v>
      </c>
      <c r="S12" s="102">
        <f t="shared" si="3"/>
        <v>0</v>
      </c>
      <c r="T12" s="11">
        <v>1</v>
      </c>
      <c r="U12" s="11">
        <v>1</v>
      </c>
      <c r="V12" s="11">
        <v>1</v>
      </c>
      <c r="W12" s="11">
        <v>1</v>
      </c>
      <c r="X12" s="11"/>
      <c r="Y12" s="11">
        <v>1</v>
      </c>
      <c r="Z12" s="11"/>
      <c r="AA12" s="11">
        <v>1</v>
      </c>
      <c r="AB12" s="11">
        <v>1</v>
      </c>
      <c r="AC12" s="11">
        <v>1</v>
      </c>
      <c r="AD12" s="11">
        <v>1</v>
      </c>
      <c r="AE12" s="11">
        <v>1</v>
      </c>
      <c r="AF12" s="11">
        <f t="shared" si="8"/>
        <v>10</v>
      </c>
      <c r="AG12" s="11">
        <f t="shared" si="0"/>
        <v>2</v>
      </c>
      <c r="AH12" s="53">
        <f t="shared" si="7"/>
        <v>9.6</v>
      </c>
      <c r="AI12" s="109">
        <f t="shared" si="4"/>
        <v>0.5494505494505495</v>
      </c>
      <c r="AJ12" s="110">
        <f t="shared" si="5"/>
        <v>0.5494505494505495</v>
      </c>
    </row>
    <row r="13" spans="1:36" x14ac:dyDescent="0.25">
      <c r="A13" s="29" t="s">
        <v>269</v>
      </c>
      <c r="B13" s="17" t="s">
        <v>65</v>
      </c>
      <c r="C13" s="18" t="s">
        <v>21</v>
      </c>
      <c r="D13" s="58">
        <v>24</v>
      </c>
      <c r="E13" s="3" t="s">
        <v>15</v>
      </c>
      <c r="F13" s="3" t="s">
        <v>270</v>
      </c>
      <c r="G13" s="41">
        <v>220</v>
      </c>
      <c r="H13" s="41"/>
      <c r="I13" s="40"/>
      <c r="J13" s="40">
        <v>220</v>
      </c>
      <c r="K13" s="23">
        <f>41.46+27.44+57.65+264.45+13+159.81+304.97</f>
        <v>868.78</v>
      </c>
      <c r="L13" s="132">
        <f t="shared" si="6"/>
        <v>0</v>
      </c>
      <c r="M13" s="27">
        <f t="shared" si="1"/>
        <v>0.22727272727272727</v>
      </c>
      <c r="N13" s="20">
        <f t="shared" si="2"/>
        <v>0</v>
      </c>
      <c r="O13" s="5">
        <v>50</v>
      </c>
      <c r="P13" s="5">
        <v>54.25</v>
      </c>
      <c r="Q13" s="52">
        <v>1628.42</v>
      </c>
      <c r="R13" s="10">
        <v>60</v>
      </c>
      <c r="S13" s="102">
        <f t="shared" si="3"/>
        <v>0</v>
      </c>
      <c r="T13" s="11">
        <v>1</v>
      </c>
      <c r="U13" s="11">
        <v>1</v>
      </c>
      <c r="V13" s="11">
        <v>1</v>
      </c>
      <c r="W13" s="11">
        <v>1</v>
      </c>
      <c r="X13" s="11"/>
      <c r="Y13" s="11">
        <v>1</v>
      </c>
      <c r="Z13" s="11"/>
      <c r="AA13" s="11">
        <v>1</v>
      </c>
      <c r="AB13" s="11">
        <v>1</v>
      </c>
      <c r="AC13" s="11">
        <v>1</v>
      </c>
      <c r="AD13" s="11">
        <v>1</v>
      </c>
      <c r="AE13" s="11">
        <v>1</v>
      </c>
      <c r="AF13" s="11">
        <f t="shared" si="8"/>
        <v>10</v>
      </c>
      <c r="AG13" s="11">
        <f t="shared" si="0"/>
        <v>2</v>
      </c>
      <c r="AH13" s="53">
        <f t="shared" si="7"/>
        <v>5</v>
      </c>
      <c r="AI13" s="109">
        <f t="shared" si="4"/>
        <v>0.36845531251151425</v>
      </c>
      <c r="AJ13" s="110">
        <f t="shared" si="5"/>
        <v>0.36845531251151425</v>
      </c>
    </row>
    <row r="14" spans="1:36" x14ac:dyDescent="0.25">
      <c r="A14" s="29" t="s">
        <v>267</v>
      </c>
      <c r="B14" s="17" t="s">
        <v>180</v>
      </c>
      <c r="C14" s="18" t="s">
        <v>23</v>
      </c>
      <c r="D14" s="58">
        <v>38</v>
      </c>
      <c r="E14" s="3" t="s">
        <v>15</v>
      </c>
      <c r="F14" s="3" t="s">
        <v>270</v>
      </c>
      <c r="G14" s="41">
        <v>110</v>
      </c>
      <c r="H14" s="41"/>
      <c r="I14" s="40"/>
      <c r="J14" s="40">
        <v>110</v>
      </c>
      <c r="K14" s="23">
        <f>245.2+177.72+533.88+397.79</f>
        <v>1354.59</v>
      </c>
      <c r="L14" s="132">
        <f t="shared" si="6"/>
        <v>0</v>
      </c>
      <c r="M14" s="27">
        <f t="shared" si="1"/>
        <v>0.45454545454545453</v>
      </c>
      <c r="N14" s="20">
        <f t="shared" si="2"/>
        <v>0</v>
      </c>
      <c r="O14" s="5">
        <v>50</v>
      </c>
      <c r="P14" s="5">
        <v>54.25</v>
      </c>
      <c r="Q14" s="52">
        <v>2468.39</v>
      </c>
      <c r="R14" s="10">
        <v>60</v>
      </c>
      <c r="S14" s="102">
        <f t="shared" si="3"/>
        <v>0</v>
      </c>
      <c r="T14" s="11">
        <v>1</v>
      </c>
      <c r="U14" s="11">
        <v>1</v>
      </c>
      <c r="V14" s="11">
        <v>1</v>
      </c>
      <c r="W14" s="11">
        <v>1</v>
      </c>
      <c r="X14" s="11"/>
      <c r="Y14" s="11">
        <v>1</v>
      </c>
      <c r="Z14" s="11"/>
      <c r="AA14" s="11">
        <v>1</v>
      </c>
      <c r="AB14" s="11">
        <v>1</v>
      </c>
      <c r="AC14" s="11">
        <v>1</v>
      </c>
      <c r="AD14" s="11">
        <v>1</v>
      </c>
      <c r="AE14" s="11">
        <v>1</v>
      </c>
      <c r="AF14" s="11">
        <f t="shared" si="8"/>
        <v>10</v>
      </c>
      <c r="AG14" s="11">
        <f t="shared" si="0"/>
        <v>2</v>
      </c>
      <c r="AH14" s="53">
        <f t="shared" si="7"/>
        <v>5</v>
      </c>
      <c r="AI14" s="109">
        <f t="shared" si="4"/>
        <v>0.2430734203266097</v>
      </c>
      <c r="AJ14" s="110">
        <f t="shared" si="5"/>
        <v>0.2430734203266097</v>
      </c>
    </row>
    <row r="15" spans="1:36" x14ac:dyDescent="0.25">
      <c r="A15" s="29" t="s">
        <v>269</v>
      </c>
      <c r="B15" s="17" t="s">
        <v>67</v>
      </c>
      <c r="C15" s="15" t="s">
        <v>25</v>
      </c>
      <c r="D15" s="57">
        <v>30</v>
      </c>
      <c r="E15" s="7" t="s">
        <v>15</v>
      </c>
      <c r="F15" s="7" t="s">
        <v>270</v>
      </c>
      <c r="G15" s="41">
        <v>1979</v>
      </c>
      <c r="H15" s="41"/>
      <c r="I15" s="40"/>
      <c r="J15" s="40">
        <v>1979</v>
      </c>
      <c r="K15" s="22">
        <f>3110</f>
        <v>3110</v>
      </c>
      <c r="L15" s="132">
        <f t="shared" si="6"/>
        <v>0</v>
      </c>
      <c r="M15" s="27">
        <f t="shared" si="1"/>
        <v>0.17988883274381001</v>
      </c>
      <c r="N15" s="20">
        <f t="shared" si="2"/>
        <v>0</v>
      </c>
      <c r="O15" s="5">
        <v>356</v>
      </c>
      <c r="P15" s="5">
        <v>386.26</v>
      </c>
      <c r="Q15" s="52">
        <v>1963.41</v>
      </c>
      <c r="R15" s="10">
        <v>60</v>
      </c>
      <c r="S15" s="102">
        <f t="shared" si="3"/>
        <v>0</v>
      </c>
      <c r="T15" s="11">
        <v>1</v>
      </c>
      <c r="U15" s="11">
        <v>1</v>
      </c>
      <c r="V15" s="11">
        <v>1</v>
      </c>
      <c r="W15" s="11">
        <v>1</v>
      </c>
      <c r="X15" s="11"/>
      <c r="Y15" s="11">
        <v>1</v>
      </c>
      <c r="Z15" s="11"/>
      <c r="AA15" s="11">
        <v>1</v>
      </c>
      <c r="AB15" s="11">
        <v>1</v>
      </c>
      <c r="AC15" s="11">
        <v>1</v>
      </c>
      <c r="AD15" s="11">
        <v>1</v>
      </c>
      <c r="AE15" s="11">
        <v>1</v>
      </c>
      <c r="AF15" s="11">
        <f t="shared" si="8"/>
        <v>10</v>
      </c>
      <c r="AG15" s="11">
        <f t="shared" si="0"/>
        <v>2</v>
      </c>
      <c r="AH15" s="53">
        <f t="shared" si="7"/>
        <v>35.6</v>
      </c>
      <c r="AI15" s="111">
        <f t="shared" si="4"/>
        <v>2.175806377679649</v>
      </c>
      <c r="AJ15" s="112">
        <f t="shared" si="5"/>
        <v>2.175806377679649</v>
      </c>
    </row>
    <row r="16" spans="1:36" x14ac:dyDescent="0.25">
      <c r="A16" s="29" t="s">
        <v>269</v>
      </c>
      <c r="B16" s="17" t="s">
        <v>69</v>
      </c>
      <c r="C16" s="18" t="s">
        <v>27</v>
      </c>
      <c r="D16" s="58">
        <v>48</v>
      </c>
      <c r="E16" s="3" t="s">
        <v>15</v>
      </c>
      <c r="F16" s="3" t="s">
        <v>270</v>
      </c>
      <c r="G16" s="41">
        <v>539</v>
      </c>
      <c r="H16" s="41"/>
      <c r="I16" s="40"/>
      <c r="J16" s="40">
        <v>539</v>
      </c>
      <c r="K16" s="23">
        <f>1840+94.9+514.39+69.19</f>
        <v>2518.48</v>
      </c>
      <c r="L16" s="132">
        <f t="shared" si="6"/>
        <v>0</v>
      </c>
      <c r="M16" s="27">
        <f t="shared" si="1"/>
        <v>0.19851576994434136</v>
      </c>
      <c r="N16" s="20">
        <f t="shared" si="2"/>
        <v>0</v>
      </c>
      <c r="O16" s="5">
        <v>107</v>
      </c>
      <c r="P16" s="5">
        <v>116.1</v>
      </c>
      <c r="Q16" s="52">
        <v>3469.01</v>
      </c>
      <c r="R16" s="10">
        <v>60</v>
      </c>
      <c r="S16" s="102">
        <f t="shared" si="3"/>
        <v>0</v>
      </c>
      <c r="T16" s="11">
        <v>1</v>
      </c>
      <c r="U16" s="11">
        <v>1</v>
      </c>
      <c r="V16" s="11">
        <v>1</v>
      </c>
      <c r="W16" s="11">
        <v>1</v>
      </c>
      <c r="X16" s="11"/>
      <c r="Y16" s="11">
        <v>1</v>
      </c>
      <c r="Z16" s="11"/>
      <c r="AA16" s="11">
        <v>1</v>
      </c>
      <c r="AB16" s="11">
        <v>1</v>
      </c>
      <c r="AC16" s="11">
        <v>1</v>
      </c>
      <c r="AD16" s="11">
        <v>1</v>
      </c>
      <c r="AE16" s="11">
        <v>1</v>
      </c>
      <c r="AF16" s="11">
        <f t="shared" si="8"/>
        <v>10</v>
      </c>
      <c r="AG16" s="11">
        <f t="shared" si="0"/>
        <v>2</v>
      </c>
      <c r="AH16" s="53">
        <f t="shared" si="7"/>
        <v>10.7</v>
      </c>
      <c r="AI16" s="109">
        <f t="shared" si="4"/>
        <v>0.37013441875347719</v>
      </c>
      <c r="AJ16" s="110">
        <f t="shared" si="5"/>
        <v>0.37013441875347719</v>
      </c>
    </row>
    <row r="17" spans="1:36" x14ac:dyDescent="0.25">
      <c r="A17" s="28" t="s">
        <v>267</v>
      </c>
      <c r="B17" s="16" t="s">
        <v>140</v>
      </c>
      <c r="C17" s="15" t="s">
        <v>29</v>
      </c>
      <c r="D17" s="57">
        <v>22</v>
      </c>
      <c r="E17" s="7" t="s">
        <v>15</v>
      </c>
      <c r="F17" s="7" t="s">
        <v>270</v>
      </c>
      <c r="G17" s="41">
        <v>943</v>
      </c>
      <c r="H17" s="41"/>
      <c r="I17" s="40"/>
      <c r="J17" s="40">
        <v>943</v>
      </c>
      <c r="K17" s="22">
        <f>588.78+66.83+1850+751.78+166.03</f>
        <v>3423.4200000000005</v>
      </c>
      <c r="L17" s="132">
        <f t="shared" si="6"/>
        <v>0</v>
      </c>
      <c r="M17" s="27">
        <f t="shared" si="1"/>
        <v>0.20148462354188759</v>
      </c>
      <c r="N17" s="20">
        <f t="shared" si="2"/>
        <v>0</v>
      </c>
      <c r="O17" s="5">
        <v>190</v>
      </c>
      <c r="P17" s="5">
        <v>206.15</v>
      </c>
      <c r="Q17" s="52">
        <v>1525.94</v>
      </c>
      <c r="R17" s="10">
        <v>60</v>
      </c>
      <c r="S17" s="102">
        <f t="shared" si="3"/>
        <v>0</v>
      </c>
      <c r="T17" s="11">
        <v>1</v>
      </c>
      <c r="U17" s="11">
        <v>1</v>
      </c>
      <c r="V17" s="11">
        <v>1</v>
      </c>
      <c r="W17" s="11">
        <v>1</v>
      </c>
      <c r="X17" s="11"/>
      <c r="Y17" s="11">
        <v>1</v>
      </c>
      <c r="Z17" s="11"/>
      <c r="AA17" s="11">
        <v>1</v>
      </c>
      <c r="AB17" s="11">
        <v>1</v>
      </c>
      <c r="AC17" s="11">
        <v>1</v>
      </c>
      <c r="AD17" s="11">
        <v>1</v>
      </c>
      <c r="AE17" s="11">
        <v>1</v>
      </c>
      <c r="AF17" s="11">
        <f t="shared" si="8"/>
        <v>10</v>
      </c>
      <c r="AG17" s="11">
        <f t="shared" si="0"/>
        <v>2</v>
      </c>
      <c r="AH17" s="53">
        <f t="shared" si="7"/>
        <v>19</v>
      </c>
      <c r="AI17" s="111">
        <f t="shared" si="4"/>
        <v>1.4941609761851711</v>
      </c>
      <c r="AJ17" s="112">
        <f t="shared" si="5"/>
        <v>1.4941609761851711</v>
      </c>
    </row>
    <row r="18" spans="1:36" x14ac:dyDescent="0.25">
      <c r="A18" s="29" t="s">
        <v>267</v>
      </c>
      <c r="B18" s="17" t="s">
        <v>116</v>
      </c>
      <c r="C18" s="15" t="s">
        <v>31</v>
      </c>
      <c r="D18" s="57">
        <v>14</v>
      </c>
      <c r="E18" s="7" t="s">
        <v>15</v>
      </c>
      <c r="F18" s="7" t="s">
        <v>270</v>
      </c>
      <c r="G18" s="41">
        <v>298</v>
      </c>
      <c r="H18" s="41"/>
      <c r="I18" s="40"/>
      <c r="J18" s="40">
        <v>298</v>
      </c>
      <c r="K18" s="22">
        <f>305.18+36.76+31.81+48.71+153.41+419.52</f>
        <v>995.39</v>
      </c>
      <c r="L18" s="132">
        <f t="shared" si="6"/>
        <v>0</v>
      </c>
      <c r="M18" s="27">
        <f t="shared" si="1"/>
        <v>0.20134228187919462</v>
      </c>
      <c r="N18" s="20">
        <f t="shared" si="2"/>
        <v>0</v>
      </c>
      <c r="O18" s="5">
        <v>60</v>
      </c>
      <c r="P18" s="5">
        <v>65.099999999999994</v>
      </c>
      <c r="Q18" s="52">
        <v>992.49</v>
      </c>
      <c r="R18" s="10">
        <v>60</v>
      </c>
      <c r="S18" s="102">
        <f t="shared" si="3"/>
        <v>0</v>
      </c>
      <c r="T18" s="11">
        <v>1</v>
      </c>
      <c r="U18" s="11">
        <v>1</v>
      </c>
      <c r="V18" s="11">
        <v>1</v>
      </c>
      <c r="W18" s="11">
        <v>1</v>
      </c>
      <c r="X18" s="11"/>
      <c r="Y18" s="11">
        <v>1</v>
      </c>
      <c r="Z18" s="11"/>
      <c r="AA18" s="11">
        <v>1</v>
      </c>
      <c r="AB18" s="11">
        <v>1</v>
      </c>
      <c r="AC18" s="11">
        <v>1</v>
      </c>
      <c r="AD18" s="11">
        <v>1</v>
      </c>
      <c r="AE18" s="11">
        <v>1</v>
      </c>
      <c r="AF18" s="11">
        <f t="shared" si="8"/>
        <v>10</v>
      </c>
      <c r="AG18" s="11">
        <f t="shared" si="0"/>
        <v>2</v>
      </c>
      <c r="AH18" s="53">
        <f t="shared" si="7"/>
        <v>6</v>
      </c>
      <c r="AI18" s="109">
        <f t="shared" si="4"/>
        <v>0.72544811534625031</v>
      </c>
      <c r="AJ18" s="110">
        <f t="shared" si="5"/>
        <v>0.72544811534625031</v>
      </c>
    </row>
    <row r="19" spans="1:36" x14ac:dyDescent="0.25">
      <c r="A19" s="29" t="s">
        <v>267</v>
      </c>
      <c r="B19" s="17" t="s">
        <v>182</v>
      </c>
      <c r="C19" s="15" t="s">
        <v>33</v>
      </c>
      <c r="D19" s="57">
        <v>30</v>
      </c>
      <c r="E19" s="7" t="s">
        <v>15</v>
      </c>
      <c r="F19" s="7" t="s">
        <v>270</v>
      </c>
      <c r="G19" s="41">
        <v>117</v>
      </c>
      <c r="H19" s="41"/>
      <c r="I19" s="40"/>
      <c r="J19" s="40">
        <v>117</v>
      </c>
      <c r="K19" s="22">
        <f>214.72+20.95+36.76+50.22+153.41</f>
        <v>476.05999999999995</v>
      </c>
      <c r="L19" s="132">
        <f t="shared" si="6"/>
        <v>0</v>
      </c>
      <c r="M19" s="27">
        <f t="shared" si="1"/>
        <v>0.21367521367521367</v>
      </c>
      <c r="N19" s="20">
        <f t="shared" si="2"/>
        <v>0</v>
      </c>
      <c r="O19" s="5">
        <v>25</v>
      </c>
      <c r="P19" s="5">
        <v>27.13</v>
      </c>
      <c r="Q19" s="52">
        <v>2171.73</v>
      </c>
      <c r="R19" s="10">
        <v>60</v>
      </c>
      <c r="S19" s="102">
        <f t="shared" si="3"/>
        <v>0</v>
      </c>
      <c r="T19" s="11">
        <v>1</v>
      </c>
      <c r="U19" s="11">
        <v>1</v>
      </c>
      <c r="V19" s="11">
        <v>1</v>
      </c>
      <c r="W19" s="11">
        <v>1</v>
      </c>
      <c r="X19" s="11"/>
      <c r="Y19" s="11">
        <v>1</v>
      </c>
      <c r="Z19" s="11"/>
      <c r="AA19" s="11">
        <v>1</v>
      </c>
      <c r="AB19" s="11">
        <v>1</v>
      </c>
      <c r="AC19" s="11">
        <v>1</v>
      </c>
      <c r="AD19" s="11">
        <v>1</v>
      </c>
      <c r="AE19" s="11">
        <v>1</v>
      </c>
      <c r="AF19" s="11">
        <f t="shared" si="8"/>
        <v>10</v>
      </c>
      <c r="AG19" s="11">
        <f t="shared" si="0"/>
        <v>2</v>
      </c>
      <c r="AH19" s="53">
        <f t="shared" si="7"/>
        <v>2.5</v>
      </c>
      <c r="AI19" s="109">
        <f t="shared" si="4"/>
        <v>0.13813871890152091</v>
      </c>
      <c r="AJ19" s="110">
        <f t="shared" si="5"/>
        <v>0.13813871890152091</v>
      </c>
    </row>
    <row r="20" spans="1:36" x14ac:dyDescent="0.25">
      <c r="A20" s="29" t="s">
        <v>268</v>
      </c>
      <c r="B20" s="17" t="s">
        <v>184</v>
      </c>
      <c r="C20" s="15" t="s">
        <v>35</v>
      </c>
      <c r="D20" s="57">
        <v>19</v>
      </c>
      <c r="E20" s="7" t="s">
        <v>15</v>
      </c>
      <c r="F20" s="7" t="s">
        <v>270</v>
      </c>
      <c r="G20" s="41">
        <v>326</v>
      </c>
      <c r="H20" s="41"/>
      <c r="I20" s="40"/>
      <c r="J20" s="40">
        <v>326</v>
      </c>
      <c r="K20" s="22">
        <f>14.07+88.47+15.78+24.74+134.44+25.44</f>
        <v>302.94</v>
      </c>
      <c r="L20" s="132">
        <f t="shared" si="6"/>
        <v>0</v>
      </c>
      <c r="M20" s="27">
        <f t="shared" si="1"/>
        <v>0.19938650306748465</v>
      </c>
      <c r="N20" s="20">
        <f t="shared" si="2"/>
        <v>0</v>
      </c>
      <c r="O20" s="5">
        <v>65</v>
      </c>
      <c r="P20" s="5">
        <v>70.53</v>
      </c>
      <c r="Q20" s="52">
        <v>1472.1000000000001</v>
      </c>
      <c r="R20" s="10">
        <v>60</v>
      </c>
      <c r="S20" s="102">
        <f t="shared" si="3"/>
        <v>0</v>
      </c>
      <c r="T20" s="11">
        <v>1</v>
      </c>
      <c r="U20" s="11">
        <v>1</v>
      </c>
      <c r="V20" s="11">
        <v>1</v>
      </c>
      <c r="W20" s="11">
        <v>1</v>
      </c>
      <c r="X20" s="11"/>
      <c r="Y20" s="11">
        <v>1</v>
      </c>
      <c r="Z20" s="11"/>
      <c r="AA20" s="11">
        <v>1</v>
      </c>
      <c r="AB20" s="11">
        <v>1</v>
      </c>
      <c r="AC20" s="11">
        <v>1</v>
      </c>
      <c r="AD20" s="11">
        <v>1</v>
      </c>
      <c r="AE20" s="11">
        <v>1</v>
      </c>
      <c r="AF20" s="11">
        <f t="shared" si="8"/>
        <v>10</v>
      </c>
      <c r="AG20" s="11">
        <f t="shared" si="0"/>
        <v>2</v>
      </c>
      <c r="AH20" s="53">
        <f t="shared" si="7"/>
        <v>6.5</v>
      </c>
      <c r="AI20" s="109">
        <f t="shared" si="4"/>
        <v>0.52985530874261255</v>
      </c>
      <c r="AJ20" s="110">
        <f t="shared" si="5"/>
        <v>0.52985530874261255</v>
      </c>
    </row>
    <row r="21" spans="1:36" x14ac:dyDescent="0.25">
      <c r="A21" s="29" t="s">
        <v>267</v>
      </c>
      <c r="B21" s="17" t="s">
        <v>186</v>
      </c>
      <c r="C21" s="15" t="s">
        <v>37</v>
      </c>
      <c r="D21" s="57">
        <v>34</v>
      </c>
      <c r="E21" s="7" t="s">
        <v>15</v>
      </c>
      <c r="F21" s="7" t="s">
        <v>270</v>
      </c>
      <c r="G21" s="41">
        <v>815</v>
      </c>
      <c r="H21" s="41"/>
      <c r="I21" s="40"/>
      <c r="J21" s="40">
        <v>815</v>
      </c>
      <c r="K21" s="22">
        <f>929.44+176.5+41.18+47.73+9.11+120.63+33.71+254.45+491.45+61.2+123.17+28.23</f>
        <v>2316.8000000000002</v>
      </c>
      <c r="L21" s="132">
        <f t="shared" si="6"/>
        <v>0</v>
      </c>
      <c r="M21" s="27">
        <f t="shared" si="1"/>
        <v>0.2</v>
      </c>
      <c r="N21" s="20">
        <f t="shared" si="2"/>
        <v>0</v>
      </c>
      <c r="O21" s="5">
        <v>163</v>
      </c>
      <c r="P21" s="5">
        <v>176.86</v>
      </c>
      <c r="Q21" s="52">
        <v>2599.3000000000002</v>
      </c>
      <c r="R21" s="10">
        <v>60</v>
      </c>
      <c r="S21" s="102">
        <f t="shared" si="3"/>
        <v>0</v>
      </c>
      <c r="T21" s="19">
        <v>1</v>
      </c>
      <c r="U21" s="19">
        <v>1</v>
      </c>
      <c r="V21" s="19">
        <v>1</v>
      </c>
      <c r="W21" s="19">
        <v>1</v>
      </c>
      <c r="X21" s="19"/>
      <c r="Y21" s="19">
        <v>1</v>
      </c>
      <c r="Z21" s="19"/>
      <c r="AA21" s="19">
        <v>1</v>
      </c>
      <c r="AB21" s="19">
        <v>1</v>
      </c>
      <c r="AC21" s="19">
        <v>1</v>
      </c>
      <c r="AD21" s="19">
        <v>1</v>
      </c>
      <c r="AE21" s="19">
        <v>1</v>
      </c>
      <c r="AF21" s="11">
        <f t="shared" si="8"/>
        <v>10</v>
      </c>
      <c r="AG21" s="11">
        <f t="shared" si="0"/>
        <v>2</v>
      </c>
      <c r="AH21" s="53">
        <f t="shared" si="7"/>
        <v>16.3</v>
      </c>
      <c r="AI21" s="109">
        <f t="shared" si="4"/>
        <v>0.75251029123225477</v>
      </c>
      <c r="AJ21" s="110">
        <f t="shared" si="5"/>
        <v>0.75251029123225477</v>
      </c>
    </row>
    <row r="22" spans="1:36" x14ac:dyDescent="0.25">
      <c r="A22" s="29" t="s">
        <v>269</v>
      </c>
      <c r="B22" s="17" t="s">
        <v>71</v>
      </c>
      <c r="C22" s="18" t="s">
        <v>39</v>
      </c>
      <c r="D22" s="58">
        <v>20</v>
      </c>
      <c r="E22" s="3" t="s">
        <v>15</v>
      </c>
      <c r="F22" s="3" t="s">
        <v>270</v>
      </c>
      <c r="G22" s="41">
        <v>1396</v>
      </c>
      <c r="H22" s="41">
        <v>1378</v>
      </c>
      <c r="I22" s="40"/>
      <c r="J22" s="40">
        <v>280</v>
      </c>
      <c r="K22" s="23"/>
      <c r="L22" s="132">
        <f>J22+H22-G22</f>
        <v>262</v>
      </c>
      <c r="M22" s="27">
        <f t="shared" si="1"/>
        <v>0.21275071633237821</v>
      </c>
      <c r="N22" s="20">
        <f t="shared" si="2"/>
        <v>55.740687679083095</v>
      </c>
      <c r="O22" s="5">
        <v>297</v>
      </c>
      <c r="P22" s="5">
        <v>302.72000000000003</v>
      </c>
      <c r="Q22" s="52">
        <v>1529.4099999999999</v>
      </c>
      <c r="R22" s="10">
        <v>60</v>
      </c>
      <c r="S22" s="103">
        <f t="shared" si="3"/>
        <v>2.1867525782785426</v>
      </c>
      <c r="T22" s="19">
        <v>1</v>
      </c>
      <c r="U22" s="19">
        <v>1</v>
      </c>
      <c r="V22" s="19">
        <v>1</v>
      </c>
      <c r="W22" s="19">
        <v>1</v>
      </c>
      <c r="X22" s="19"/>
      <c r="Y22" s="19">
        <v>1</v>
      </c>
      <c r="Z22" s="19"/>
      <c r="AA22" s="19">
        <v>1</v>
      </c>
      <c r="AB22" s="19">
        <v>1</v>
      </c>
      <c r="AC22" s="19">
        <v>1</v>
      </c>
      <c r="AD22" s="19">
        <v>1</v>
      </c>
      <c r="AE22" s="19">
        <v>1</v>
      </c>
      <c r="AF22" s="11">
        <f t="shared" si="8"/>
        <v>10</v>
      </c>
      <c r="AG22" s="11">
        <f t="shared" si="0"/>
        <v>2</v>
      </c>
      <c r="AH22" s="53">
        <f t="shared" si="7"/>
        <v>29.7</v>
      </c>
      <c r="AI22" s="111">
        <f t="shared" si="4"/>
        <v>2.3303103811273629</v>
      </c>
      <c r="AJ22" s="114">
        <f t="shared" si="5"/>
        <v>4.5170629594059051</v>
      </c>
    </row>
    <row r="23" spans="1:36" x14ac:dyDescent="0.25">
      <c r="A23" s="28" t="s">
        <v>267</v>
      </c>
      <c r="B23" s="16" t="s">
        <v>142</v>
      </c>
      <c r="C23" s="18" t="s">
        <v>41</v>
      </c>
      <c r="D23" s="58">
        <v>14</v>
      </c>
      <c r="E23" s="3" t="s">
        <v>15</v>
      </c>
      <c r="F23" s="3" t="s">
        <v>270</v>
      </c>
      <c r="G23" s="41">
        <v>695</v>
      </c>
      <c r="H23" s="41">
        <v>140</v>
      </c>
      <c r="I23" s="40"/>
      <c r="J23" s="40">
        <v>835</v>
      </c>
      <c r="K23" s="22">
        <f>1450+859.34+731.17+0.02</f>
        <v>3040.53</v>
      </c>
      <c r="L23" s="132">
        <f>H23+J23-G23</f>
        <v>280</v>
      </c>
      <c r="M23" s="27">
        <f t="shared" si="1"/>
        <v>0.20431654676258992</v>
      </c>
      <c r="N23" s="20">
        <f t="shared" si="2"/>
        <v>57.208633093525179</v>
      </c>
      <c r="O23" s="5">
        <v>142</v>
      </c>
      <c r="P23" s="5">
        <v>154.07</v>
      </c>
      <c r="Q23" s="52">
        <v>1008.7699999999999</v>
      </c>
      <c r="R23" s="10">
        <v>60</v>
      </c>
      <c r="S23" s="105">
        <f t="shared" si="3"/>
        <v>3.4026765125960443</v>
      </c>
      <c r="T23" s="19">
        <v>1</v>
      </c>
      <c r="U23" s="19">
        <v>1</v>
      </c>
      <c r="V23" s="19">
        <v>1</v>
      </c>
      <c r="W23" s="19">
        <v>1</v>
      </c>
      <c r="X23" s="19"/>
      <c r="Y23" s="19">
        <v>1</v>
      </c>
      <c r="Z23" s="19"/>
      <c r="AA23" s="19">
        <v>1</v>
      </c>
      <c r="AB23" s="19">
        <v>1</v>
      </c>
      <c r="AC23" s="19">
        <v>1</v>
      </c>
      <c r="AD23" s="19">
        <v>1</v>
      </c>
      <c r="AE23" s="19">
        <v>1</v>
      </c>
      <c r="AF23" s="11">
        <f t="shared" si="8"/>
        <v>10</v>
      </c>
      <c r="AG23" s="11">
        <f t="shared" si="0"/>
        <v>2</v>
      </c>
      <c r="AH23" s="53">
        <f t="shared" si="7"/>
        <v>14.2</v>
      </c>
      <c r="AI23" s="111">
        <f t="shared" si="4"/>
        <v>1.6891858401816076</v>
      </c>
      <c r="AJ23" s="114">
        <f t="shared" si="5"/>
        <v>5.0918623527776514</v>
      </c>
    </row>
    <row r="24" spans="1:36" x14ac:dyDescent="0.25">
      <c r="A24" s="29" t="s">
        <v>269</v>
      </c>
      <c r="B24" s="17" t="s">
        <v>73</v>
      </c>
      <c r="C24" s="18" t="s">
        <v>43</v>
      </c>
      <c r="D24" s="58">
        <v>22</v>
      </c>
      <c r="E24" s="3" t="s">
        <v>15</v>
      </c>
      <c r="F24" s="3" t="s">
        <v>270</v>
      </c>
      <c r="G24" s="41">
        <v>941</v>
      </c>
      <c r="H24" s="41">
        <v>941</v>
      </c>
      <c r="I24" s="40"/>
      <c r="J24" s="40">
        <v>132</v>
      </c>
      <c r="K24" s="22"/>
      <c r="L24" s="132">
        <f>H24+J24-G24</f>
        <v>132</v>
      </c>
      <c r="M24" s="27">
        <f t="shared" si="1"/>
        <v>0.153028692879915</v>
      </c>
      <c r="N24" s="20">
        <f t="shared" si="2"/>
        <v>20.19978746014878</v>
      </c>
      <c r="O24" s="5">
        <v>144</v>
      </c>
      <c r="P24" s="5">
        <v>156.24</v>
      </c>
      <c r="Q24" s="52">
        <v>1688.5</v>
      </c>
      <c r="R24" s="10">
        <v>60</v>
      </c>
      <c r="S24" s="102">
        <f t="shared" si="3"/>
        <v>0.71778930862240253</v>
      </c>
      <c r="T24" s="19">
        <v>1</v>
      </c>
      <c r="U24" s="19">
        <v>1</v>
      </c>
      <c r="V24" s="19">
        <v>1</v>
      </c>
      <c r="W24" s="19">
        <v>1</v>
      </c>
      <c r="X24" s="19"/>
      <c r="Y24" s="19">
        <v>1</v>
      </c>
      <c r="Z24" s="19"/>
      <c r="AA24" s="19">
        <v>1</v>
      </c>
      <c r="AB24" s="19">
        <v>1</v>
      </c>
      <c r="AC24" s="19">
        <v>1</v>
      </c>
      <c r="AD24" s="19">
        <v>1</v>
      </c>
      <c r="AE24" s="19">
        <v>1</v>
      </c>
      <c r="AF24" s="11">
        <f t="shared" si="8"/>
        <v>10</v>
      </c>
      <c r="AG24" s="11">
        <f t="shared" si="0"/>
        <v>2</v>
      </c>
      <c r="AH24" s="53">
        <f t="shared" si="7"/>
        <v>14.4</v>
      </c>
      <c r="AI24" s="111">
        <f t="shared" si="4"/>
        <v>1.023393544566183</v>
      </c>
      <c r="AJ24" s="112">
        <f t="shared" si="5"/>
        <v>1.7411828531885856</v>
      </c>
    </row>
    <row r="25" spans="1:36" x14ac:dyDescent="0.25">
      <c r="A25" s="29" t="s">
        <v>268</v>
      </c>
      <c r="B25" s="17" t="s">
        <v>188</v>
      </c>
      <c r="C25" s="15" t="s">
        <v>45</v>
      </c>
      <c r="D25" s="57">
        <v>81</v>
      </c>
      <c r="E25" s="7" t="s">
        <v>15</v>
      </c>
      <c r="F25" s="7" t="s">
        <v>270</v>
      </c>
      <c r="G25" s="41">
        <v>1691</v>
      </c>
      <c r="H25" s="41"/>
      <c r="I25" s="40"/>
      <c r="J25" s="40">
        <v>1941</v>
      </c>
      <c r="K25" s="22"/>
      <c r="L25" s="132">
        <f>J25-G25</f>
        <v>250</v>
      </c>
      <c r="M25" s="27">
        <f t="shared" si="1"/>
        <v>0.19988172678888233</v>
      </c>
      <c r="N25" s="20">
        <f t="shared" si="2"/>
        <v>49.970431697220583</v>
      </c>
      <c r="O25" s="5">
        <v>338</v>
      </c>
      <c r="P25" s="5">
        <v>366.73</v>
      </c>
      <c r="Q25" s="52">
        <v>6342.3</v>
      </c>
      <c r="R25" s="10">
        <v>60</v>
      </c>
      <c r="S25" s="102">
        <f t="shared" si="3"/>
        <v>0.47273479681396896</v>
      </c>
      <c r="T25" s="11">
        <v>1</v>
      </c>
      <c r="U25" s="11">
        <v>1</v>
      </c>
      <c r="V25" s="11">
        <v>1</v>
      </c>
      <c r="W25" s="11">
        <v>1</v>
      </c>
      <c r="X25" s="11"/>
      <c r="Y25" s="11">
        <v>1</v>
      </c>
      <c r="Z25" s="11"/>
      <c r="AA25" s="11">
        <v>1</v>
      </c>
      <c r="AB25" s="11">
        <v>1</v>
      </c>
      <c r="AC25" s="11">
        <v>1</v>
      </c>
      <c r="AD25" s="11">
        <v>1</v>
      </c>
      <c r="AE25" s="11">
        <v>1</v>
      </c>
      <c r="AF25" s="11">
        <f t="shared" si="8"/>
        <v>10</v>
      </c>
      <c r="AG25" s="11">
        <f t="shared" si="0"/>
        <v>2</v>
      </c>
      <c r="AH25" s="53">
        <f t="shared" si="7"/>
        <v>33.799999999999997</v>
      </c>
      <c r="AI25" s="109">
        <f t="shared" si="4"/>
        <v>0.63951563312993709</v>
      </c>
      <c r="AJ25" s="112">
        <f t="shared" si="5"/>
        <v>1.112250429943906</v>
      </c>
    </row>
    <row r="26" spans="1:36" x14ac:dyDescent="0.25">
      <c r="A26" s="29" t="s">
        <v>269</v>
      </c>
      <c r="B26" s="17" t="s">
        <v>75</v>
      </c>
      <c r="C26" s="15" t="s">
        <v>47</v>
      </c>
      <c r="D26" s="57">
        <v>14</v>
      </c>
      <c r="E26" s="7" t="s">
        <v>15</v>
      </c>
      <c r="F26" s="7" t="s">
        <v>270</v>
      </c>
      <c r="G26" s="41">
        <v>833</v>
      </c>
      <c r="H26" s="41"/>
      <c r="I26" s="40"/>
      <c r="J26" s="40">
        <v>833</v>
      </c>
      <c r="K26" s="22"/>
      <c r="L26" s="132">
        <f>J26-G26</f>
        <v>0</v>
      </c>
      <c r="M26" s="27">
        <f t="shared" si="1"/>
        <v>0.19927971188475391</v>
      </c>
      <c r="N26" s="20">
        <f t="shared" si="2"/>
        <v>0</v>
      </c>
      <c r="O26" s="5">
        <v>166</v>
      </c>
      <c r="P26" s="5">
        <v>180.11</v>
      </c>
      <c r="Q26" s="52">
        <v>931.1</v>
      </c>
      <c r="R26" s="10">
        <v>60</v>
      </c>
      <c r="S26" s="102">
        <f t="shared" si="3"/>
        <v>0</v>
      </c>
      <c r="T26" s="11">
        <v>1</v>
      </c>
      <c r="U26" s="11">
        <v>1</v>
      </c>
      <c r="V26" s="11">
        <v>1</v>
      </c>
      <c r="W26" s="11">
        <v>1</v>
      </c>
      <c r="X26" s="11"/>
      <c r="Y26" s="11">
        <v>1</v>
      </c>
      <c r="Z26" s="11"/>
      <c r="AA26" s="11">
        <v>1</v>
      </c>
      <c r="AB26" s="11">
        <v>1</v>
      </c>
      <c r="AC26" s="11">
        <v>1</v>
      </c>
      <c r="AD26" s="11">
        <v>1</v>
      </c>
      <c r="AE26" s="11">
        <v>1</v>
      </c>
      <c r="AF26" s="11">
        <f t="shared" si="8"/>
        <v>10</v>
      </c>
      <c r="AG26" s="11">
        <f t="shared" si="0"/>
        <v>2</v>
      </c>
      <c r="AH26" s="53">
        <f t="shared" si="7"/>
        <v>16.600000000000001</v>
      </c>
      <c r="AI26" s="111">
        <f t="shared" si="4"/>
        <v>2.1394050048329931</v>
      </c>
      <c r="AJ26" s="112">
        <f t="shared" si="5"/>
        <v>2.1394050048329931</v>
      </c>
    </row>
    <row r="27" spans="1:36" x14ac:dyDescent="0.25">
      <c r="A27" s="29" t="s">
        <v>269</v>
      </c>
      <c r="B27" s="17" t="s">
        <v>77</v>
      </c>
      <c r="C27" s="18" t="s">
        <v>49</v>
      </c>
      <c r="D27" s="58">
        <v>24</v>
      </c>
      <c r="E27" s="3" t="s">
        <v>15</v>
      </c>
      <c r="F27" s="3" t="s">
        <v>270</v>
      </c>
      <c r="G27" s="41">
        <v>2110</v>
      </c>
      <c r="H27" s="41">
        <v>900</v>
      </c>
      <c r="I27" s="40"/>
      <c r="J27" s="40">
        <v>1473</v>
      </c>
      <c r="K27" s="22"/>
      <c r="L27" s="132">
        <f>J27+H27-G27</f>
        <v>263</v>
      </c>
      <c r="M27" s="27">
        <f t="shared" si="1"/>
        <v>0.18625592417061612</v>
      </c>
      <c r="N27" s="20">
        <f t="shared" si="2"/>
        <v>48.985308056872043</v>
      </c>
      <c r="O27" s="5">
        <v>393</v>
      </c>
      <c r="P27" s="5">
        <v>426.41</v>
      </c>
      <c r="Q27" s="52">
        <v>2026.6</v>
      </c>
      <c r="R27" s="10">
        <v>60</v>
      </c>
      <c r="S27" s="103">
        <f t="shared" si="3"/>
        <v>1.4502706421653619</v>
      </c>
      <c r="T27" s="19">
        <v>1</v>
      </c>
      <c r="U27" s="19">
        <v>1</v>
      </c>
      <c r="V27" s="19">
        <v>1</v>
      </c>
      <c r="W27" s="19">
        <v>1</v>
      </c>
      <c r="X27" s="19"/>
      <c r="Y27" s="19">
        <v>1</v>
      </c>
      <c r="Z27" s="19"/>
      <c r="AA27" s="19">
        <v>1</v>
      </c>
      <c r="AB27" s="19">
        <v>1</v>
      </c>
      <c r="AC27" s="19">
        <v>1</v>
      </c>
      <c r="AD27" s="19">
        <v>1</v>
      </c>
      <c r="AE27" s="19">
        <v>1</v>
      </c>
      <c r="AF27" s="11">
        <f t="shared" si="8"/>
        <v>10</v>
      </c>
      <c r="AG27" s="11">
        <f t="shared" si="0"/>
        <v>2</v>
      </c>
      <c r="AH27" s="53">
        <f t="shared" si="7"/>
        <v>39.299999999999997</v>
      </c>
      <c r="AI27" s="111">
        <f t="shared" si="4"/>
        <v>2.3270502319155235</v>
      </c>
      <c r="AJ27" s="114">
        <f t="shared" si="5"/>
        <v>3.7773208740808855</v>
      </c>
    </row>
    <row r="28" spans="1:36" x14ac:dyDescent="0.25">
      <c r="A28" s="29" t="s">
        <v>269</v>
      </c>
      <c r="B28" s="17" t="s">
        <v>79</v>
      </c>
      <c r="C28" s="18" t="s">
        <v>51</v>
      </c>
      <c r="D28" s="58">
        <v>10</v>
      </c>
      <c r="E28" s="14" t="s">
        <v>15</v>
      </c>
      <c r="F28" s="14" t="s">
        <v>270</v>
      </c>
      <c r="G28" s="41">
        <v>1875</v>
      </c>
      <c r="H28" s="41">
        <v>330</v>
      </c>
      <c r="I28" s="40"/>
      <c r="J28" s="40">
        <v>1545</v>
      </c>
      <c r="K28" s="22"/>
      <c r="L28" s="132">
        <f>J28+H28-G28</f>
        <v>0</v>
      </c>
      <c r="M28" s="27">
        <f t="shared" si="1"/>
        <v>0.17973333333333333</v>
      </c>
      <c r="N28" s="20">
        <f t="shared" si="2"/>
        <v>0</v>
      </c>
      <c r="O28" s="5">
        <v>337</v>
      </c>
      <c r="P28" s="5">
        <v>365.65</v>
      </c>
      <c r="Q28" s="52">
        <v>930.17999999999984</v>
      </c>
      <c r="R28" s="10">
        <v>60</v>
      </c>
      <c r="S28" s="102">
        <f t="shared" si="3"/>
        <v>0</v>
      </c>
      <c r="T28" s="19">
        <v>1</v>
      </c>
      <c r="U28" s="19">
        <v>1</v>
      </c>
      <c r="V28" s="19">
        <v>1</v>
      </c>
      <c r="W28" s="19">
        <v>1</v>
      </c>
      <c r="X28" s="19"/>
      <c r="Y28" s="19">
        <v>1</v>
      </c>
      <c r="Z28" s="19"/>
      <c r="AA28" s="19">
        <v>1</v>
      </c>
      <c r="AB28" s="19">
        <v>1</v>
      </c>
      <c r="AC28" s="19">
        <v>1</v>
      </c>
      <c r="AD28" s="19">
        <v>1</v>
      </c>
      <c r="AE28" s="19">
        <v>1</v>
      </c>
      <c r="AF28" s="11">
        <f t="shared" si="8"/>
        <v>10</v>
      </c>
      <c r="AG28" s="11">
        <f t="shared" si="0"/>
        <v>2</v>
      </c>
      <c r="AH28" s="53">
        <f t="shared" si="7"/>
        <v>33.700000000000003</v>
      </c>
      <c r="AI28" s="116">
        <f t="shared" si="4"/>
        <v>4.3475456363284533</v>
      </c>
      <c r="AJ28" s="114">
        <f t="shared" si="5"/>
        <v>4.3475456363284533</v>
      </c>
    </row>
    <row r="29" spans="1:36" x14ac:dyDescent="0.25">
      <c r="A29" s="29" t="s">
        <v>269</v>
      </c>
      <c r="B29" s="17" t="s">
        <v>81</v>
      </c>
      <c r="C29" s="15" t="s">
        <v>53</v>
      </c>
      <c r="D29" s="57">
        <v>16</v>
      </c>
      <c r="E29" s="7" t="s">
        <v>15</v>
      </c>
      <c r="F29" s="7" t="s">
        <v>270</v>
      </c>
      <c r="G29" s="41">
        <v>514</v>
      </c>
      <c r="H29" s="41"/>
      <c r="I29" s="40"/>
      <c r="J29" s="40">
        <v>514</v>
      </c>
      <c r="K29" s="22"/>
      <c r="L29" s="132">
        <f t="shared" ref="L29:L68" si="9">J29-G29</f>
        <v>0</v>
      </c>
      <c r="M29" s="27">
        <f t="shared" si="1"/>
        <v>0.19844357976653695</v>
      </c>
      <c r="N29" s="20">
        <f t="shared" si="2"/>
        <v>0</v>
      </c>
      <c r="O29" s="5">
        <v>102</v>
      </c>
      <c r="P29" s="5">
        <v>110.67</v>
      </c>
      <c r="Q29" s="52">
        <v>1223.02</v>
      </c>
      <c r="R29" s="10">
        <v>60</v>
      </c>
      <c r="S29" s="102">
        <f t="shared" si="3"/>
        <v>0</v>
      </c>
      <c r="T29" s="11">
        <v>1</v>
      </c>
      <c r="U29" s="11">
        <v>1</v>
      </c>
      <c r="V29" s="11">
        <v>1</v>
      </c>
      <c r="W29" s="11">
        <v>1</v>
      </c>
      <c r="X29" s="11"/>
      <c r="Y29" s="11">
        <v>1</v>
      </c>
      <c r="Z29" s="11"/>
      <c r="AA29" s="11">
        <v>1</v>
      </c>
      <c r="AB29" s="11">
        <v>1</v>
      </c>
      <c r="AC29" s="11">
        <v>1</v>
      </c>
      <c r="AD29" s="11">
        <v>1</v>
      </c>
      <c r="AE29" s="11">
        <v>1</v>
      </c>
      <c r="AF29" s="11">
        <f t="shared" si="8"/>
        <v>10</v>
      </c>
      <c r="AG29" s="11">
        <f t="shared" si="0"/>
        <v>2</v>
      </c>
      <c r="AH29" s="53">
        <f t="shared" si="7"/>
        <v>10.199999999999999</v>
      </c>
      <c r="AI29" s="111">
        <f t="shared" si="4"/>
        <v>1.000801295154617</v>
      </c>
      <c r="AJ29" s="110">
        <f t="shared" si="5"/>
        <v>1.000801295154617</v>
      </c>
    </row>
    <row r="30" spans="1:36" x14ac:dyDescent="0.25">
      <c r="A30" s="29" t="s">
        <v>269</v>
      </c>
      <c r="B30" s="17" t="s">
        <v>83</v>
      </c>
      <c r="C30" s="15" t="s">
        <v>56</v>
      </c>
      <c r="D30" s="57">
        <v>30</v>
      </c>
      <c r="E30" s="7" t="s">
        <v>15</v>
      </c>
      <c r="F30" s="7" t="s">
        <v>270</v>
      </c>
      <c r="G30" s="41">
        <v>639</v>
      </c>
      <c r="H30" s="41"/>
      <c r="I30" s="40"/>
      <c r="J30" s="40">
        <v>639</v>
      </c>
      <c r="K30" s="22"/>
      <c r="L30" s="132">
        <f t="shared" si="9"/>
        <v>0</v>
      </c>
      <c r="M30" s="27">
        <f t="shared" si="1"/>
        <v>0.15962441314553991</v>
      </c>
      <c r="N30" s="20">
        <f t="shared" si="2"/>
        <v>0</v>
      </c>
      <c r="O30" s="5">
        <v>102</v>
      </c>
      <c r="P30" s="5">
        <v>110.67</v>
      </c>
      <c r="Q30" s="52">
        <v>2366.15</v>
      </c>
      <c r="R30" s="10">
        <v>60</v>
      </c>
      <c r="S30" s="102">
        <f t="shared" si="3"/>
        <v>0</v>
      </c>
      <c r="T30" s="11">
        <v>1</v>
      </c>
      <c r="U30" s="11">
        <v>1</v>
      </c>
      <c r="V30" s="11">
        <v>1</v>
      </c>
      <c r="W30" s="11">
        <v>1</v>
      </c>
      <c r="X30" s="11"/>
      <c r="Y30" s="11">
        <v>1</v>
      </c>
      <c r="Z30" s="11"/>
      <c r="AA30" s="11">
        <v>1</v>
      </c>
      <c r="AB30" s="11">
        <v>1</v>
      </c>
      <c r="AC30" s="11">
        <v>1</v>
      </c>
      <c r="AD30" s="11">
        <v>1</v>
      </c>
      <c r="AE30" s="11">
        <v>1</v>
      </c>
      <c r="AF30" s="11">
        <f t="shared" si="8"/>
        <v>10</v>
      </c>
      <c r="AG30" s="11">
        <f t="shared" si="0"/>
        <v>2</v>
      </c>
      <c r="AH30" s="53">
        <f t="shared" si="7"/>
        <v>10.199999999999999</v>
      </c>
      <c r="AI30" s="109">
        <f t="shared" si="4"/>
        <v>0.51729602941487218</v>
      </c>
      <c r="AJ30" s="110">
        <f t="shared" si="5"/>
        <v>0.51729602941487218</v>
      </c>
    </row>
    <row r="31" spans="1:36" x14ac:dyDescent="0.25">
      <c r="A31" s="29" t="s">
        <v>267</v>
      </c>
      <c r="B31" s="17" t="s">
        <v>144</v>
      </c>
      <c r="C31" s="15" t="s">
        <v>62</v>
      </c>
      <c r="D31" s="57">
        <v>18</v>
      </c>
      <c r="E31" s="7" t="s">
        <v>15</v>
      </c>
      <c r="F31" s="7" t="s">
        <v>270</v>
      </c>
      <c r="G31" s="41">
        <v>200</v>
      </c>
      <c r="H31" s="41"/>
      <c r="I31" s="40"/>
      <c r="J31" s="40">
        <v>200</v>
      </c>
      <c r="K31" s="22"/>
      <c r="L31" s="132">
        <f t="shared" si="9"/>
        <v>0</v>
      </c>
      <c r="M31" s="27">
        <f t="shared" si="1"/>
        <v>0.19</v>
      </c>
      <c r="N31" s="20">
        <f t="shared" si="2"/>
        <v>0</v>
      </c>
      <c r="O31" s="5">
        <f>G31*0.19</f>
        <v>38</v>
      </c>
      <c r="P31" s="5">
        <v>41.23</v>
      </c>
      <c r="Q31" s="52">
        <v>1306.4100000000001</v>
      </c>
      <c r="R31" s="10">
        <v>60</v>
      </c>
      <c r="S31" s="102">
        <f t="shared" si="3"/>
        <v>0</v>
      </c>
      <c r="T31" s="11">
        <v>1</v>
      </c>
      <c r="U31" s="11">
        <v>1</v>
      </c>
      <c r="V31" s="11">
        <v>1</v>
      </c>
      <c r="W31" s="11">
        <v>1</v>
      </c>
      <c r="X31" s="11"/>
      <c r="Y31" s="11">
        <v>1</v>
      </c>
      <c r="Z31" s="11"/>
      <c r="AA31" s="11">
        <v>1</v>
      </c>
      <c r="AB31" s="11">
        <v>1</v>
      </c>
      <c r="AC31" s="11">
        <v>1</v>
      </c>
      <c r="AD31" s="11">
        <v>1</v>
      </c>
      <c r="AE31" s="11">
        <v>1</v>
      </c>
      <c r="AF31" s="11">
        <f t="shared" si="8"/>
        <v>10</v>
      </c>
      <c r="AG31" s="11">
        <f t="shared" si="0"/>
        <v>2</v>
      </c>
      <c r="AH31" s="53">
        <f t="shared" si="7"/>
        <v>3.8</v>
      </c>
      <c r="AI31" s="109">
        <f t="shared" si="4"/>
        <v>0.34904815486715496</v>
      </c>
      <c r="AJ31" s="110">
        <f t="shared" si="5"/>
        <v>0.34904815486715496</v>
      </c>
    </row>
    <row r="32" spans="1:36" x14ac:dyDescent="0.25">
      <c r="A32" s="29" t="s">
        <v>269</v>
      </c>
      <c r="B32" s="17" t="s">
        <v>85</v>
      </c>
      <c r="C32" s="15" t="s">
        <v>58</v>
      </c>
      <c r="D32" s="57">
        <v>30</v>
      </c>
      <c r="E32" s="7" t="s">
        <v>15</v>
      </c>
      <c r="F32" s="7" t="s">
        <v>270</v>
      </c>
      <c r="G32" s="41">
        <v>254</v>
      </c>
      <c r="H32" s="41"/>
      <c r="I32" s="40"/>
      <c r="J32" s="40">
        <v>254</v>
      </c>
      <c r="K32" s="22"/>
      <c r="L32" s="132">
        <f t="shared" si="9"/>
        <v>0</v>
      </c>
      <c r="M32" s="27">
        <f t="shared" si="1"/>
        <v>0.40157480314960631</v>
      </c>
      <c r="N32" s="20">
        <f t="shared" si="2"/>
        <v>0</v>
      </c>
      <c r="O32" s="5">
        <v>102</v>
      </c>
      <c r="P32" s="5">
        <v>110.67</v>
      </c>
      <c r="Q32" s="52">
        <v>2202.3000000000002</v>
      </c>
      <c r="R32" s="10">
        <v>60</v>
      </c>
      <c r="S32" s="102">
        <f t="shared" si="3"/>
        <v>0</v>
      </c>
      <c r="T32" s="11">
        <v>1</v>
      </c>
      <c r="U32" s="11">
        <v>1</v>
      </c>
      <c r="V32" s="11">
        <v>1</v>
      </c>
      <c r="W32" s="11">
        <v>1</v>
      </c>
      <c r="X32" s="11"/>
      <c r="Y32" s="11">
        <v>1</v>
      </c>
      <c r="Z32" s="11"/>
      <c r="AA32" s="11">
        <v>1</v>
      </c>
      <c r="AB32" s="11">
        <v>1</v>
      </c>
      <c r="AC32" s="11">
        <v>1</v>
      </c>
      <c r="AD32" s="11">
        <v>1</v>
      </c>
      <c r="AE32" s="11">
        <v>1</v>
      </c>
      <c r="AF32" s="11">
        <f t="shared" si="8"/>
        <v>10</v>
      </c>
      <c r="AG32" s="11">
        <f t="shared" si="0"/>
        <v>2</v>
      </c>
      <c r="AH32" s="53">
        <f t="shared" si="7"/>
        <v>10.199999999999999</v>
      </c>
      <c r="AI32" s="109">
        <f t="shared" si="4"/>
        <v>0.55578259092766635</v>
      </c>
      <c r="AJ32" s="110">
        <f t="shared" si="5"/>
        <v>0.55578259092766635</v>
      </c>
    </row>
    <row r="33" spans="1:36" x14ac:dyDescent="0.25">
      <c r="A33" s="29" t="s">
        <v>269</v>
      </c>
      <c r="B33" s="17" t="s">
        <v>87</v>
      </c>
      <c r="C33" s="15" t="s">
        <v>60</v>
      </c>
      <c r="D33" s="57">
        <v>18</v>
      </c>
      <c r="E33" s="7" t="s">
        <v>15</v>
      </c>
      <c r="F33" s="7" t="s">
        <v>270</v>
      </c>
      <c r="G33" s="41">
        <v>223</v>
      </c>
      <c r="H33" s="41"/>
      <c r="I33" s="40"/>
      <c r="J33" s="40">
        <v>223</v>
      </c>
      <c r="K33" s="22"/>
      <c r="L33" s="132">
        <f t="shared" si="9"/>
        <v>0</v>
      </c>
      <c r="M33" s="27">
        <f t="shared" si="1"/>
        <v>0.45739910313901344</v>
      </c>
      <c r="N33" s="20">
        <f t="shared" si="2"/>
        <v>0</v>
      </c>
      <c r="O33" s="5">
        <v>102</v>
      </c>
      <c r="P33" s="5">
        <v>110.67</v>
      </c>
      <c r="Q33" s="52">
        <v>1480.63</v>
      </c>
      <c r="R33" s="10">
        <v>60</v>
      </c>
      <c r="S33" s="102">
        <f t="shared" si="3"/>
        <v>0</v>
      </c>
      <c r="T33" s="11">
        <v>1</v>
      </c>
      <c r="U33" s="11">
        <v>1</v>
      </c>
      <c r="V33" s="11">
        <v>1</v>
      </c>
      <c r="W33" s="11">
        <v>1</v>
      </c>
      <c r="X33" s="11"/>
      <c r="Y33" s="11">
        <v>1</v>
      </c>
      <c r="Z33" s="11"/>
      <c r="AA33" s="11">
        <v>1</v>
      </c>
      <c r="AB33" s="11">
        <v>1</v>
      </c>
      <c r="AC33" s="11">
        <v>1</v>
      </c>
      <c r="AD33" s="11">
        <v>1</v>
      </c>
      <c r="AE33" s="11">
        <v>1</v>
      </c>
      <c r="AF33" s="11">
        <f t="shared" si="8"/>
        <v>10</v>
      </c>
      <c r="AG33" s="11">
        <f t="shared" si="0"/>
        <v>2</v>
      </c>
      <c r="AH33" s="53">
        <f t="shared" si="7"/>
        <v>10.199999999999999</v>
      </c>
      <c r="AI33" s="109">
        <f t="shared" si="4"/>
        <v>0.82667513153184791</v>
      </c>
      <c r="AJ33" s="120">
        <f t="shared" si="5"/>
        <v>0.82667513153184791</v>
      </c>
    </row>
    <row r="34" spans="1:36" x14ac:dyDescent="0.25">
      <c r="A34" s="29" t="s">
        <v>269</v>
      </c>
      <c r="B34" s="17" t="s">
        <v>89</v>
      </c>
      <c r="C34" s="15" t="s">
        <v>54</v>
      </c>
      <c r="D34" s="57">
        <v>21</v>
      </c>
      <c r="E34" s="7" t="s">
        <v>15</v>
      </c>
      <c r="F34" s="7" t="s">
        <v>270</v>
      </c>
      <c r="G34" s="43">
        <v>3694</v>
      </c>
      <c r="H34" s="41"/>
      <c r="I34" s="43"/>
      <c r="J34" s="40">
        <v>3694</v>
      </c>
      <c r="K34" s="22"/>
      <c r="L34" s="132">
        <f t="shared" si="9"/>
        <v>0</v>
      </c>
      <c r="M34" s="27">
        <f t="shared" si="1"/>
        <v>0.17975094748240389</v>
      </c>
      <c r="N34" s="20">
        <f t="shared" si="2"/>
        <v>0</v>
      </c>
      <c r="O34" s="5">
        <v>664</v>
      </c>
      <c r="P34" s="5">
        <v>720.44</v>
      </c>
      <c r="Q34" s="52">
        <v>0</v>
      </c>
      <c r="R34" s="10">
        <v>60</v>
      </c>
      <c r="S34" s="108">
        <v>0</v>
      </c>
      <c r="T34" s="11">
        <v>1</v>
      </c>
      <c r="U34" s="11">
        <v>1</v>
      </c>
      <c r="V34" s="11">
        <v>1</v>
      </c>
      <c r="W34" s="11">
        <v>1</v>
      </c>
      <c r="X34" s="11"/>
      <c r="Y34" s="11">
        <v>1</v>
      </c>
      <c r="Z34" s="11"/>
      <c r="AA34" s="11">
        <v>1</v>
      </c>
      <c r="AB34" s="11">
        <v>1</v>
      </c>
      <c r="AC34" s="11">
        <v>1</v>
      </c>
      <c r="AD34" s="11">
        <v>1</v>
      </c>
      <c r="AE34" s="11">
        <v>1</v>
      </c>
      <c r="AF34" s="11">
        <f t="shared" si="8"/>
        <v>10</v>
      </c>
      <c r="AG34" s="11">
        <f t="shared" si="0"/>
        <v>2</v>
      </c>
      <c r="AH34" s="53">
        <f t="shared" si="7"/>
        <v>66.400000000000006</v>
      </c>
      <c r="AI34" s="115">
        <v>0</v>
      </c>
      <c r="AJ34" s="123">
        <f t="shared" si="5"/>
        <v>0</v>
      </c>
    </row>
    <row r="35" spans="1:36" x14ac:dyDescent="0.25">
      <c r="A35" s="29" t="s">
        <v>267</v>
      </c>
      <c r="B35" s="17" t="s">
        <v>118</v>
      </c>
      <c r="C35" s="15" t="s">
        <v>139</v>
      </c>
      <c r="D35" s="57">
        <v>45</v>
      </c>
      <c r="E35" s="3" t="s">
        <v>15</v>
      </c>
      <c r="F35" s="3" t="s">
        <v>277</v>
      </c>
      <c r="G35" s="41">
        <v>2445</v>
      </c>
      <c r="H35" s="41">
        <v>517</v>
      </c>
      <c r="I35" s="40"/>
      <c r="J35" s="40">
        <v>2714</v>
      </c>
      <c r="K35" s="20">
        <f>81.8+108.9+194.19+122.56+310.22+144.34+31.23+9.88+52.5+169.51+541.73</f>
        <v>1766.8600000000001</v>
      </c>
      <c r="L35" s="132">
        <f t="shared" si="9"/>
        <v>269</v>
      </c>
      <c r="M35" s="27">
        <f t="shared" si="1"/>
        <v>0.22985685071574641</v>
      </c>
      <c r="N35" s="20">
        <f t="shared" si="2"/>
        <v>61.831492842535781</v>
      </c>
      <c r="O35" s="12">
        <v>562</v>
      </c>
      <c r="P35" s="10">
        <v>609.77</v>
      </c>
      <c r="Q35" s="52">
        <v>2880.2</v>
      </c>
      <c r="R35" s="10">
        <v>60</v>
      </c>
      <c r="S35" s="103">
        <f t="shared" ref="S35:S66" si="10">N35/Q35*R35</f>
        <v>1.2880666518131196</v>
      </c>
      <c r="T35" s="11">
        <v>1</v>
      </c>
      <c r="U35" s="11">
        <v>2</v>
      </c>
      <c r="V35" s="11">
        <v>1</v>
      </c>
      <c r="W35" s="11">
        <v>1</v>
      </c>
      <c r="X35" s="11"/>
      <c r="Y35" s="11">
        <v>1</v>
      </c>
      <c r="Z35" s="11"/>
      <c r="AA35" s="11">
        <v>1</v>
      </c>
      <c r="AB35" s="11">
        <v>1</v>
      </c>
      <c r="AC35" s="11">
        <v>1</v>
      </c>
      <c r="AD35" s="11">
        <v>1</v>
      </c>
      <c r="AE35" s="11">
        <v>1</v>
      </c>
      <c r="AF35" s="11">
        <v>11</v>
      </c>
      <c r="AG35" s="11">
        <f t="shared" si="0"/>
        <v>1</v>
      </c>
      <c r="AH35" s="53">
        <f t="shared" si="7"/>
        <v>51.090909090909093</v>
      </c>
      <c r="AI35" s="111">
        <f t="shared" ref="AI35:AI66" si="11">(AG35*AH35)/Q35*60</f>
        <v>1.0643200282808645</v>
      </c>
      <c r="AJ35" s="112">
        <f t="shared" si="5"/>
        <v>2.3523866800939839</v>
      </c>
    </row>
    <row r="36" spans="1:36" x14ac:dyDescent="0.25">
      <c r="A36" s="29" t="s">
        <v>267</v>
      </c>
      <c r="B36" s="17" t="s">
        <v>190</v>
      </c>
      <c r="C36" s="15" t="s">
        <v>113</v>
      </c>
      <c r="D36" s="57">
        <v>50</v>
      </c>
      <c r="E36" s="3" t="s">
        <v>15</v>
      </c>
      <c r="F36" s="3" t="s">
        <v>277</v>
      </c>
      <c r="G36" s="41">
        <v>713</v>
      </c>
      <c r="H36" s="62"/>
      <c r="I36" s="40"/>
      <c r="J36" s="40">
        <v>979</v>
      </c>
      <c r="K36" s="20"/>
      <c r="L36" s="132">
        <f t="shared" si="9"/>
        <v>266</v>
      </c>
      <c r="M36" s="27">
        <f t="shared" si="1"/>
        <v>0.20336605890603085</v>
      </c>
      <c r="N36" s="20">
        <f t="shared" si="2"/>
        <v>54.095371669004209</v>
      </c>
      <c r="O36" s="9">
        <v>145</v>
      </c>
      <c r="P36" s="10">
        <v>157.33000000000001</v>
      </c>
      <c r="Q36" s="52">
        <v>3476.86</v>
      </c>
      <c r="R36" s="10">
        <v>60</v>
      </c>
      <c r="S36" s="102">
        <f t="shared" si="10"/>
        <v>0.93352113692822047</v>
      </c>
      <c r="T36" s="11">
        <v>1</v>
      </c>
      <c r="U36" s="11">
        <v>2</v>
      </c>
      <c r="V36" s="11">
        <v>1</v>
      </c>
      <c r="W36" s="11">
        <v>1</v>
      </c>
      <c r="X36" s="11"/>
      <c r="Y36" s="11">
        <v>1</v>
      </c>
      <c r="Z36" s="11"/>
      <c r="AA36" s="11">
        <v>1</v>
      </c>
      <c r="AB36" s="11">
        <v>1</v>
      </c>
      <c r="AC36" s="11">
        <v>1</v>
      </c>
      <c r="AD36" s="11">
        <v>1</v>
      </c>
      <c r="AE36" s="11">
        <v>1</v>
      </c>
      <c r="AF36" s="11">
        <v>11</v>
      </c>
      <c r="AG36" s="11">
        <f t="shared" si="0"/>
        <v>1</v>
      </c>
      <c r="AH36" s="53">
        <f t="shared" si="7"/>
        <v>13.181818181818182</v>
      </c>
      <c r="AI36" s="109">
        <f t="shared" si="11"/>
        <v>0.22747798039296691</v>
      </c>
      <c r="AJ36" s="112">
        <f t="shared" si="5"/>
        <v>1.1609991173211873</v>
      </c>
    </row>
    <row r="37" spans="1:36" x14ac:dyDescent="0.25">
      <c r="A37" s="29" t="s">
        <v>267</v>
      </c>
      <c r="B37" s="17" t="s">
        <v>193</v>
      </c>
      <c r="C37" s="18" t="s">
        <v>115</v>
      </c>
      <c r="D37" s="58">
        <v>78</v>
      </c>
      <c r="E37" s="3" t="s">
        <v>15</v>
      </c>
      <c r="F37" s="3" t="s">
        <v>277</v>
      </c>
      <c r="G37" s="41">
        <v>713</v>
      </c>
      <c r="H37" s="41"/>
      <c r="I37" s="40"/>
      <c r="J37" s="40">
        <v>683</v>
      </c>
      <c r="K37" s="21"/>
      <c r="L37" s="132">
        <f t="shared" si="9"/>
        <v>-30</v>
      </c>
      <c r="M37" s="27">
        <f t="shared" si="1"/>
        <v>0.20336605890603085</v>
      </c>
      <c r="N37" s="20">
        <f t="shared" si="2"/>
        <v>-6.1009817671809259</v>
      </c>
      <c r="O37" s="12">
        <v>145</v>
      </c>
      <c r="P37" s="10">
        <v>157.33000000000001</v>
      </c>
      <c r="Q37" s="52">
        <v>5571.03</v>
      </c>
      <c r="R37" s="10">
        <v>60</v>
      </c>
      <c r="S37" s="102">
        <f t="shared" si="10"/>
        <v>-6.5707581188910416E-2</v>
      </c>
      <c r="T37" s="11">
        <v>1</v>
      </c>
      <c r="U37" s="11">
        <v>2</v>
      </c>
      <c r="V37" s="11">
        <v>1</v>
      </c>
      <c r="W37" s="11">
        <v>1</v>
      </c>
      <c r="X37" s="11"/>
      <c r="Y37" s="11">
        <v>1</v>
      </c>
      <c r="Z37" s="11"/>
      <c r="AA37" s="11">
        <v>1</v>
      </c>
      <c r="AB37" s="11">
        <v>1</v>
      </c>
      <c r="AC37" s="11">
        <v>1</v>
      </c>
      <c r="AD37" s="11">
        <v>1</v>
      </c>
      <c r="AE37" s="11">
        <v>1</v>
      </c>
      <c r="AF37" s="11">
        <v>11</v>
      </c>
      <c r="AG37" s="11">
        <f t="shared" ref="AG37:AG68" si="12">12-AF37</f>
        <v>1</v>
      </c>
      <c r="AH37" s="53">
        <f t="shared" si="7"/>
        <v>13.181818181818182</v>
      </c>
      <c r="AI37" s="109">
        <f t="shared" si="11"/>
        <v>0.1419681981445246</v>
      </c>
      <c r="AJ37" s="110">
        <f t="shared" si="5"/>
        <v>7.6260616955614188E-2</v>
      </c>
    </row>
    <row r="38" spans="1:36" x14ac:dyDescent="0.25">
      <c r="A38" s="28" t="s">
        <v>267</v>
      </c>
      <c r="B38" s="16" t="s">
        <v>120</v>
      </c>
      <c r="C38" s="15" t="s">
        <v>141</v>
      </c>
      <c r="D38" s="57">
        <v>74</v>
      </c>
      <c r="E38" s="3" t="s">
        <v>15</v>
      </c>
      <c r="F38" s="3" t="s">
        <v>277</v>
      </c>
      <c r="G38" s="41">
        <v>5834</v>
      </c>
      <c r="H38" s="41">
        <v>1344</v>
      </c>
      <c r="I38" s="40"/>
      <c r="J38" s="40">
        <v>4205</v>
      </c>
      <c r="K38" s="20">
        <f>49.56+58.28+15.63+35.25+1240+439.41+15.25+427.29+112.95+279.65+21.83+244.88+287.31+257.17</f>
        <v>3484.46</v>
      </c>
      <c r="L38" s="132">
        <f t="shared" si="9"/>
        <v>-1629</v>
      </c>
      <c r="M38" s="27">
        <f t="shared" ref="M38:M65" si="13">O38/G38</f>
        <v>0.20003428179636612</v>
      </c>
      <c r="N38" s="20">
        <f t="shared" ref="N38:N69" si="14">L38*M38</f>
        <v>-325.85584504628042</v>
      </c>
      <c r="O38" s="12">
        <v>1167</v>
      </c>
      <c r="P38" s="10">
        <v>1266.2</v>
      </c>
      <c r="Q38" s="52">
        <v>5563.26</v>
      </c>
      <c r="R38" s="10">
        <v>60</v>
      </c>
      <c r="S38" s="105">
        <f t="shared" si="10"/>
        <v>-3.5143693990172711</v>
      </c>
      <c r="T38" s="11">
        <v>1</v>
      </c>
      <c r="U38" s="11">
        <v>2</v>
      </c>
      <c r="V38" s="11">
        <v>1</v>
      </c>
      <c r="W38" s="11">
        <v>1</v>
      </c>
      <c r="X38" s="11"/>
      <c r="Y38" s="11">
        <v>1</v>
      </c>
      <c r="Z38" s="11"/>
      <c r="AA38" s="11">
        <v>1</v>
      </c>
      <c r="AB38" s="11">
        <v>1</v>
      </c>
      <c r="AC38" s="11">
        <v>1</v>
      </c>
      <c r="AD38" s="11">
        <v>1</v>
      </c>
      <c r="AE38" s="11">
        <v>1</v>
      </c>
      <c r="AF38" s="11">
        <v>11</v>
      </c>
      <c r="AG38" s="11">
        <f t="shared" si="12"/>
        <v>1</v>
      </c>
      <c r="AH38" s="53">
        <f t="shared" si="7"/>
        <v>106.09090909090909</v>
      </c>
      <c r="AI38" s="111">
        <f t="shared" si="11"/>
        <v>1.1441950484885741</v>
      </c>
      <c r="AJ38" s="112">
        <f t="shared" ref="AJ38:AJ69" si="15">S38+AI38</f>
        <v>-2.3701743505286972</v>
      </c>
    </row>
    <row r="39" spans="1:36" x14ac:dyDescent="0.25">
      <c r="A39" s="29" t="s">
        <v>269</v>
      </c>
      <c r="B39" s="17" t="s">
        <v>91</v>
      </c>
      <c r="C39" s="18" t="s">
        <v>117</v>
      </c>
      <c r="D39" s="58">
        <v>22</v>
      </c>
      <c r="E39" s="3" t="s">
        <v>15</v>
      </c>
      <c r="F39" s="3" t="s">
        <v>277</v>
      </c>
      <c r="G39" s="41">
        <v>163</v>
      </c>
      <c r="H39" s="41"/>
      <c r="I39" s="40"/>
      <c r="J39" s="40">
        <v>150</v>
      </c>
      <c r="K39" s="21"/>
      <c r="L39" s="132">
        <f t="shared" si="9"/>
        <v>-13</v>
      </c>
      <c r="M39" s="27">
        <f t="shared" si="13"/>
        <v>0.24539877300613497</v>
      </c>
      <c r="N39" s="20">
        <f t="shared" si="14"/>
        <v>-3.1901840490797544</v>
      </c>
      <c r="O39" s="12">
        <v>40</v>
      </c>
      <c r="P39" s="10">
        <v>43.4</v>
      </c>
      <c r="Q39" s="52">
        <v>1488.12</v>
      </c>
      <c r="R39" s="10">
        <v>60</v>
      </c>
      <c r="S39" s="102">
        <f t="shared" si="10"/>
        <v>-0.12862608052091584</v>
      </c>
      <c r="T39" s="11">
        <v>1</v>
      </c>
      <c r="U39" s="11">
        <v>2</v>
      </c>
      <c r="V39" s="11">
        <v>1</v>
      </c>
      <c r="W39" s="11">
        <v>1</v>
      </c>
      <c r="X39" s="11"/>
      <c r="Y39" s="11">
        <v>1</v>
      </c>
      <c r="Z39" s="11"/>
      <c r="AA39" s="11">
        <v>1</v>
      </c>
      <c r="AB39" s="11">
        <v>1</v>
      </c>
      <c r="AC39" s="11">
        <v>1</v>
      </c>
      <c r="AD39" s="11">
        <v>1</v>
      </c>
      <c r="AE39" s="11">
        <v>1</v>
      </c>
      <c r="AF39" s="11">
        <v>11</v>
      </c>
      <c r="AG39" s="11">
        <f t="shared" si="12"/>
        <v>1</v>
      </c>
      <c r="AH39" s="53">
        <f t="shared" si="7"/>
        <v>3.6363636363636362</v>
      </c>
      <c r="AI39" s="109">
        <f t="shared" si="11"/>
        <v>0.14661574213223275</v>
      </c>
      <c r="AJ39" s="110">
        <f t="shared" si="15"/>
        <v>1.7989661611316904E-2</v>
      </c>
    </row>
    <row r="40" spans="1:36" x14ac:dyDescent="0.25">
      <c r="A40" s="29" t="s">
        <v>267</v>
      </c>
      <c r="B40" s="17" t="s">
        <v>195</v>
      </c>
      <c r="C40" s="15" t="s">
        <v>143</v>
      </c>
      <c r="D40" s="57">
        <v>38</v>
      </c>
      <c r="E40" s="3" t="s">
        <v>15</v>
      </c>
      <c r="F40" s="3" t="s">
        <v>277</v>
      </c>
      <c r="G40" s="41">
        <v>1121</v>
      </c>
      <c r="H40" s="41">
        <v>420</v>
      </c>
      <c r="I40" s="40"/>
      <c r="J40" s="40">
        <v>1440</v>
      </c>
      <c r="K40" s="20"/>
      <c r="L40" s="132">
        <f t="shared" si="9"/>
        <v>319</v>
      </c>
      <c r="M40" s="27">
        <f t="shared" si="13"/>
        <v>0.23015165031222123</v>
      </c>
      <c r="N40" s="20">
        <f t="shared" si="14"/>
        <v>73.418376449598568</v>
      </c>
      <c r="O40" s="12">
        <v>258</v>
      </c>
      <c r="P40" s="10">
        <v>279.93</v>
      </c>
      <c r="Q40" s="52">
        <v>2621.53</v>
      </c>
      <c r="R40" s="10">
        <v>60</v>
      </c>
      <c r="S40" s="103">
        <f t="shared" si="10"/>
        <v>1.6803555889026307</v>
      </c>
      <c r="T40" s="11">
        <v>1</v>
      </c>
      <c r="U40" s="11">
        <v>2</v>
      </c>
      <c r="V40" s="11">
        <v>1</v>
      </c>
      <c r="W40" s="11">
        <v>1</v>
      </c>
      <c r="X40" s="11"/>
      <c r="Y40" s="11">
        <v>1</v>
      </c>
      <c r="Z40" s="11"/>
      <c r="AA40" s="11">
        <v>1</v>
      </c>
      <c r="AB40" s="11">
        <v>1</v>
      </c>
      <c r="AC40" s="11">
        <v>1</v>
      </c>
      <c r="AD40" s="11">
        <v>1</v>
      </c>
      <c r="AE40" s="11">
        <v>1</v>
      </c>
      <c r="AF40" s="11">
        <v>11</v>
      </c>
      <c r="AG40" s="11">
        <f t="shared" si="12"/>
        <v>1</v>
      </c>
      <c r="AH40" s="53">
        <f t="shared" ref="AH40:AH66" si="16">O40/AF40</f>
        <v>23.454545454545453</v>
      </c>
      <c r="AI40" s="109">
        <f t="shared" si="11"/>
        <v>0.53681351244224829</v>
      </c>
      <c r="AJ40" s="112">
        <f t="shared" si="15"/>
        <v>2.2171691013448789</v>
      </c>
    </row>
    <row r="41" spans="1:36" s="4" customFormat="1" x14ac:dyDescent="0.25">
      <c r="A41" s="29" t="s">
        <v>269</v>
      </c>
      <c r="B41" s="17" t="s">
        <v>93</v>
      </c>
      <c r="C41" s="18" t="s">
        <v>145</v>
      </c>
      <c r="D41" s="58">
        <v>24</v>
      </c>
      <c r="E41" s="3" t="s">
        <v>15</v>
      </c>
      <c r="F41" s="3" t="s">
        <v>277</v>
      </c>
      <c r="G41" s="41">
        <v>311</v>
      </c>
      <c r="H41" s="41"/>
      <c r="I41" s="40"/>
      <c r="J41" s="40">
        <v>654</v>
      </c>
      <c r="K41" s="21"/>
      <c r="L41" s="132">
        <f t="shared" si="9"/>
        <v>343</v>
      </c>
      <c r="M41" s="27">
        <f t="shared" si="13"/>
        <v>0.22508038585209003</v>
      </c>
      <c r="N41" s="20">
        <f t="shared" si="14"/>
        <v>77.20257234726688</v>
      </c>
      <c r="O41" s="12">
        <v>70</v>
      </c>
      <c r="P41" s="10">
        <v>75.95</v>
      </c>
      <c r="Q41" s="52">
        <v>1414</v>
      </c>
      <c r="R41" s="10">
        <v>60</v>
      </c>
      <c r="S41" s="105">
        <f t="shared" si="10"/>
        <v>3.2759224475502209</v>
      </c>
      <c r="T41" s="11">
        <v>1</v>
      </c>
      <c r="U41" s="11">
        <v>2</v>
      </c>
      <c r="V41" s="11">
        <v>1</v>
      </c>
      <c r="W41" s="11">
        <v>1</v>
      </c>
      <c r="X41" s="11"/>
      <c r="Y41" s="11">
        <v>1</v>
      </c>
      <c r="Z41" s="11"/>
      <c r="AA41" s="11">
        <v>1</v>
      </c>
      <c r="AB41" s="11">
        <v>1</v>
      </c>
      <c r="AC41" s="11">
        <v>1</v>
      </c>
      <c r="AD41" s="11">
        <v>1</v>
      </c>
      <c r="AE41" s="11">
        <v>1</v>
      </c>
      <c r="AF41" s="11">
        <v>11</v>
      </c>
      <c r="AG41" s="11">
        <f t="shared" si="12"/>
        <v>1</v>
      </c>
      <c r="AH41" s="53">
        <f t="shared" si="16"/>
        <v>6.3636363636363633</v>
      </c>
      <c r="AI41" s="109">
        <f t="shared" si="11"/>
        <v>0.27002700270027002</v>
      </c>
      <c r="AJ41" s="112">
        <f t="shared" si="15"/>
        <v>3.5459494502504909</v>
      </c>
    </row>
    <row r="42" spans="1:36" s="4" customFormat="1" x14ac:dyDescent="0.25">
      <c r="A42" s="29" t="s">
        <v>268</v>
      </c>
      <c r="B42" s="17" t="s">
        <v>196</v>
      </c>
      <c r="C42" s="18" t="s">
        <v>119</v>
      </c>
      <c r="D42" s="58">
        <v>83</v>
      </c>
      <c r="E42" s="3" t="s">
        <v>15</v>
      </c>
      <c r="F42" s="3" t="s">
        <v>277</v>
      </c>
      <c r="G42" s="41">
        <v>3141</v>
      </c>
      <c r="H42" s="41"/>
      <c r="I42" s="40"/>
      <c r="J42" s="40">
        <v>4132</v>
      </c>
      <c r="K42" s="21"/>
      <c r="L42" s="132">
        <f t="shared" si="9"/>
        <v>991</v>
      </c>
      <c r="M42" s="27">
        <f t="shared" si="13"/>
        <v>0.2387774594078319</v>
      </c>
      <c r="N42" s="20">
        <f t="shared" si="14"/>
        <v>236.6284622731614</v>
      </c>
      <c r="O42" s="12">
        <v>750</v>
      </c>
      <c r="P42" s="10">
        <v>813.75</v>
      </c>
      <c r="Q42" s="52">
        <v>4251.8100000000004</v>
      </c>
      <c r="R42" s="10">
        <v>60</v>
      </c>
      <c r="S42" s="105">
        <f t="shared" si="10"/>
        <v>3.3392150017027298</v>
      </c>
      <c r="T42" s="11">
        <v>1</v>
      </c>
      <c r="U42" s="11">
        <v>2</v>
      </c>
      <c r="V42" s="11">
        <v>1</v>
      </c>
      <c r="W42" s="11">
        <v>1</v>
      </c>
      <c r="X42" s="11"/>
      <c r="Y42" s="11">
        <v>1</v>
      </c>
      <c r="Z42" s="11"/>
      <c r="AA42" s="11">
        <v>1</v>
      </c>
      <c r="AB42" s="11">
        <v>1</v>
      </c>
      <c r="AC42" s="11">
        <v>1</v>
      </c>
      <c r="AD42" s="11">
        <v>1</v>
      </c>
      <c r="AE42" s="11">
        <v>1</v>
      </c>
      <c r="AF42" s="11">
        <v>11</v>
      </c>
      <c r="AG42" s="11">
        <f t="shared" si="12"/>
        <v>1</v>
      </c>
      <c r="AH42" s="53">
        <f t="shared" si="16"/>
        <v>68.181818181818187</v>
      </c>
      <c r="AI42" s="109">
        <f t="shared" si="11"/>
        <v>0.96215707919899773</v>
      </c>
      <c r="AJ42" s="112">
        <f t="shared" si="15"/>
        <v>4.3013720809017277</v>
      </c>
    </row>
    <row r="43" spans="1:36" x14ac:dyDescent="0.25">
      <c r="A43" s="29" t="s">
        <v>269</v>
      </c>
      <c r="B43" s="17" t="s">
        <v>95</v>
      </c>
      <c r="C43" s="15" t="s">
        <v>121</v>
      </c>
      <c r="D43" s="57">
        <v>86</v>
      </c>
      <c r="E43" s="3" t="s">
        <v>15</v>
      </c>
      <c r="F43" s="3" t="s">
        <v>277</v>
      </c>
      <c r="G43" s="41">
        <v>3141</v>
      </c>
      <c r="H43" s="41"/>
      <c r="I43" s="40"/>
      <c r="J43" s="40">
        <v>1978</v>
      </c>
      <c r="K43" s="20"/>
      <c r="L43" s="132">
        <f t="shared" si="9"/>
        <v>-1163</v>
      </c>
      <c r="M43" s="27">
        <f t="shared" si="13"/>
        <v>0.2387774594078319</v>
      </c>
      <c r="N43" s="20">
        <f t="shared" si="14"/>
        <v>-277.6981852913085</v>
      </c>
      <c r="O43" s="12">
        <v>750</v>
      </c>
      <c r="P43" s="10">
        <v>813.75</v>
      </c>
      <c r="Q43" s="52">
        <v>4452.6000000000004</v>
      </c>
      <c r="R43" s="10">
        <v>60</v>
      </c>
      <c r="S43" s="105">
        <f t="shared" si="10"/>
        <v>-3.7420588234915573</v>
      </c>
      <c r="T43" s="11">
        <v>1</v>
      </c>
      <c r="U43" s="11">
        <v>2</v>
      </c>
      <c r="V43" s="11">
        <v>1</v>
      </c>
      <c r="W43" s="11">
        <v>1</v>
      </c>
      <c r="X43" s="11"/>
      <c r="Y43" s="11">
        <v>1</v>
      </c>
      <c r="Z43" s="11"/>
      <c r="AA43" s="11">
        <v>1</v>
      </c>
      <c r="AB43" s="11">
        <v>1</v>
      </c>
      <c r="AC43" s="11">
        <v>1</v>
      </c>
      <c r="AD43" s="11">
        <v>1</v>
      </c>
      <c r="AE43" s="11">
        <v>1</v>
      </c>
      <c r="AF43" s="11">
        <v>11</v>
      </c>
      <c r="AG43" s="11">
        <f t="shared" si="12"/>
        <v>1</v>
      </c>
      <c r="AH43" s="53">
        <f t="shared" si="16"/>
        <v>68.181818181818187</v>
      </c>
      <c r="AI43" s="109">
        <f t="shared" si="11"/>
        <v>0.91876860506425251</v>
      </c>
      <c r="AJ43" s="112">
        <f t="shared" si="15"/>
        <v>-2.8232902184273048</v>
      </c>
    </row>
    <row r="44" spans="1:36" x14ac:dyDescent="0.25">
      <c r="A44" s="29" t="s">
        <v>269</v>
      </c>
      <c r="B44" s="17" t="s">
        <v>97</v>
      </c>
      <c r="C44" s="18" t="s">
        <v>123</v>
      </c>
      <c r="D44" s="58">
        <v>93</v>
      </c>
      <c r="E44" s="3" t="s">
        <v>15</v>
      </c>
      <c r="F44" s="3" t="s">
        <v>277</v>
      </c>
      <c r="G44" s="41">
        <v>1254</v>
      </c>
      <c r="H44" s="41"/>
      <c r="I44" s="40"/>
      <c r="J44" s="40">
        <v>1500</v>
      </c>
      <c r="K44" s="21"/>
      <c r="L44" s="132">
        <f t="shared" si="9"/>
        <v>246</v>
      </c>
      <c r="M44" s="27">
        <f t="shared" si="13"/>
        <v>0.29984051036682613</v>
      </c>
      <c r="N44" s="20">
        <f t="shared" si="14"/>
        <v>73.760765550239228</v>
      </c>
      <c r="O44" s="12">
        <v>376</v>
      </c>
      <c r="P44" s="10">
        <v>407.96</v>
      </c>
      <c r="Q44" s="52">
        <v>2584.98</v>
      </c>
      <c r="R44" s="10">
        <v>60</v>
      </c>
      <c r="S44" s="103">
        <f t="shared" si="10"/>
        <v>1.7120619629607785</v>
      </c>
      <c r="T44" s="11">
        <v>1</v>
      </c>
      <c r="U44" s="11">
        <v>2</v>
      </c>
      <c r="V44" s="11">
        <v>1</v>
      </c>
      <c r="W44" s="11">
        <v>1</v>
      </c>
      <c r="X44" s="11"/>
      <c r="Y44" s="11">
        <v>1</v>
      </c>
      <c r="Z44" s="11"/>
      <c r="AA44" s="11">
        <v>1</v>
      </c>
      <c r="AB44" s="11">
        <v>1</v>
      </c>
      <c r="AC44" s="11">
        <v>1</v>
      </c>
      <c r="AD44" s="11">
        <v>1</v>
      </c>
      <c r="AE44" s="11">
        <v>1</v>
      </c>
      <c r="AF44" s="11">
        <v>11</v>
      </c>
      <c r="AG44" s="11">
        <f t="shared" si="12"/>
        <v>1</v>
      </c>
      <c r="AH44" s="53">
        <f t="shared" si="16"/>
        <v>34.18181818181818</v>
      </c>
      <c r="AI44" s="109">
        <f t="shared" si="11"/>
        <v>0.79339456820133647</v>
      </c>
      <c r="AJ44" s="112">
        <f t="shared" si="15"/>
        <v>2.5054565311621149</v>
      </c>
    </row>
    <row r="45" spans="1:36" x14ac:dyDescent="0.25">
      <c r="A45" s="29" t="s">
        <v>268</v>
      </c>
      <c r="B45" s="17" t="s">
        <v>198</v>
      </c>
      <c r="C45" s="15" t="s">
        <v>125</v>
      </c>
      <c r="D45" s="57">
        <v>29</v>
      </c>
      <c r="E45" s="3" t="s">
        <v>15</v>
      </c>
      <c r="F45" s="3" t="s">
        <v>277</v>
      </c>
      <c r="G45" s="41">
        <v>537</v>
      </c>
      <c r="H45" s="41"/>
      <c r="I45" s="40"/>
      <c r="J45" s="40">
        <v>696</v>
      </c>
      <c r="K45" s="20"/>
      <c r="L45" s="132">
        <f t="shared" si="9"/>
        <v>159</v>
      </c>
      <c r="M45" s="27">
        <f t="shared" si="13"/>
        <v>0.22998137802607077</v>
      </c>
      <c r="N45" s="20">
        <f t="shared" si="14"/>
        <v>36.567039106145252</v>
      </c>
      <c r="O45" s="12">
        <v>123.5</v>
      </c>
      <c r="P45" s="10">
        <v>134</v>
      </c>
      <c r="Q45" s="52">
        <v>1674.37</v>
      </c>
      <c r="R45" s="10">
        <v>60</v>
      </c>
      <c r="S45" s="103">
        <f t="shared" si="10"/>
        <v>1.3103569380535456</v>
      </c>
      <c r="T45" s="11">
        <v>1</v>
      </c>
      <c r="U45" s="11">
        <v>2</v>
      </c>
      <c r="V45" s="11">
        <v>1</v>
      </c>
      <c r="W45" s="11">
        <v>1</v>
      </c>
      <c r="X45" s="11"/>
      <c r="Y45" s="11">
        <v>1</v>
      </c>
      <c r="Z45" s="11"/>
      <c r="AA45" s="11">
        <v>1</v>
      </c>
      <c r="AB45" s="11">
        <v>1</v>
      </c>
      <c r="AC45" s="11">
        <v>1</v>
      </c>
      <c r="AD45" s="11">
        <v>1</v>
      </c>
      <c r="AE45" s="11">
        <v>1</v>
      </c>
      <c r="AF45" s="11">
        <v>11</v>
      </c>
      <c r="AG45" s="11">
        <f t="shared" si="12"/>
        <v>1</v>
      </c>
      <c r="AH45" s="53">
        <f t="shared" si="16"/>
        <v>11.227272727272727</v>
      </c>
      <c r="AI45" s="109">
        <f t="shared" si="11"/>
        <v>0.40232228458247798</v>
      </c>
      <c r="AJ45" s="112">
        <f t="shared" si="15"/>
        <v>1.7126792226360235</v>
      </c>
    </row>
    <row r="46" spans="1:36" x14ac:dyDescent="0.25">
      <c r="A46" s="29" t="s">
        <v>268</v>
      </c>
      <c r="B46" s="17" t="s">
        <v>200</v>
      </c>
      <c r="C46" s="18" t="s">
        <v>165</v>
      </c>
      <c r="D46" s="58">
        <v>16</v>
      </c>
      <c r="E46" s="3" t="s">
        <v>15</v>
      </c>
      <c r="F46" s="3" t="s">
        <v>277</v>
      </c>
      <c r="G46" s="41">
        <v>537</v>
      </c>
      <c r="H46" s="83">
        <v>150</v>
      </c>
      <c r="I46" s="40"/>
      <c r="J46" s="40">
        <v>484</v>
      </c>
      <c r="K46" s="21">
        <f>923.4+969.31</f>
        <v>1892.71</v>
      </c>
      <c r="L46" s="132">
        <f t="shared" si="9"/>
        <v>-53</v>
      </c>
      <c r="M46" s="27">
        <f t="shared" si="13"/>
        <v>0.33519553072625696</v>
      </c>
      <c r="N46" s="20">
        <f t="shared" si="14"/>
        <v>-17.765363128491618</v>
      </c>
      <c r="O46" s="12">
        <v>180</v>
      </c>
      <c r="P46" s="10">
        <v>195.3</v>
      </c>
      <c r="Q46" s="52">
        <v>1020.88</v>
      </c>
      <c r="R46" s="10">
        <v>60</v>
      </c>
      <c r="S46" s="103">
        <f t="shared" si="10"/>
        <v>-1.0441205506127038</v>
      </c>
      <c r="T46" s="11">
        <v>1</v>
      </c>
      <c r="U46" s="11">
        <v>2</v>
      </c>
      <c r="V46" s="11">
        <v>1</v>
      </c>
      <c r="W46" s="11">
        <v>1</v>
      </c>
      <c r="X46" s="11"/>
      <c r="Y46" s="11">
        <v>1</v>
      </c>
      <c r="Z46" s="11"/>
      <c r="AA46" s="11">
        <v>1</v>
      </c>
      <c r="AB46" s="11">
        <v>1</v>
      </c>
      <c r="AC46" s="11">
        <v>1</v>
      </c>
      <c r="AD46" s="11">
        <v>1</v>
      </c>
      <c r="AE46" s="11">
        <v>1</v>
      </c>
      <c r="AF46" s="11">
        <v>11</v>
      </c>
      <c r="AG46" s="11">
        <f t="shared" si="12"/>
        <v>1</v>
      </c>
      <c r="AH46" s="53">
        <f t="shared" si="16"/>
        <v>16.363636363636363</v>
      </c>
      <c r="AI46" s="109">
        <f t="shared" si="11"/>
        <v>0.96173711094171876</v>
      </c>
      <c r="AJ46" s="110">
        <f t="shared" si="15"/>
        <v>-8.2383439670985048E-2</v>
      </c>
    </row>
    <row r="47" spans="1:36" x14ac:dyDescent="0.25">
      <c r="A47" s="29" t="s">
        <v>267</v>
      </c>
      <c r="B47" s="17" t="s">
        <v>122</v>
      </c>
      <c r="C47" s="15" t="s">
        <v>147</v>
      </c>
      <c r="D47" s="57">
        <v>40</v>
      </c>
      <c r="E47" s="3" t="s">
        <v>15</v>
      </c>
      <c r="F47" s="3" t="s">
        <v>277</v>
      </c>
      <c r="G47" s="41">
        <v>1200</v>
      </c>
      <c r="H47" s="41">
        <v>1209</v>
      </c>
      <c r="I47" s="40"/>
      <c r="J47" s="40">
        <v>1979</v>
      </c>
      <c r="K47" s="20">
        <f>699.95+15.82+142.65+1730-1170</f>
        <v>1418.42</v>
      </c>
      <c r="L47" s="132">
        <f t="shared" si="9"/>
        <v>779</v>
      </c>
      <c r="M47" s="27">
        <f t="shared" si="13"/>
        <v>0.25</v>
      </c>
      <c r="N47" s="20">
        <f t="shared" si="14"/>
        <v>194.75</v>
      </c>
      <c r="O47" s="12">
        <v>300</v>
      </c>
      <c r="P47" s="10">
        <v>325.5</v>
      </c>
      <c r="Q47" s="52">
        <v>2700.65</v>
      </c>
      <c r="R47" s="10">
        <v>60</v>
      </c>
      <c r="S47" s="105">
        <f t="shared" si="10"/>
        <v>4.3267361561105657</v>
      </c>
      <c r="T47" s="11">
        <v>1</v>
      </c>
      <c r="U47" s="11">
        <v>2</v>
      </c>
      <c r="V47" s="11">
        <v>1</v>
      </c>
      <c r="W47" s="11">
        <v>1</v>
      </c>
      <c r="X47" s="11"/>
      <c r="Y47" s="11">
        <v>1</v>
      </c>
      <c r="Z47" s="11"/>
      <c r="AA47" s="11">
        <v>1</v>
      </c>
      <c r="AB47" s="11">
        <v>1</v>
      </c>
      <c r="AC47" s="11">
        <v>1</v>
      </c>
      <c r="AD47" s="11">
        <v>1</v>
      </c>
      <c r="AE47" s="11">
        <v>1</v>
      </c>
      <c r="AF47" s="11">
        <v>11</v>
      </c>
      <c r="AG47" s="11">
        <f t="shared" si="12"/>
        <v>1</v>
      </c>
      <c r="AH47" s="53">
        <f t="shared" si="16"/>
        <v>27.272727272727273</v>
      </c>
      <c r="AI47" s="109">
        <f t="shared" si="11"/>
        <v>0.605914737697827</v>
      </c>
      <c r="AJ47" s="114">
        <f t="shared" si="15"/>
        <v>4.9326508938083924</v>
      </c>
    </row>
    <row r="48" spans="1:36" x14ac:dyDescent="0.25">
      <c r="A48" s="28" t="s">
        <v>267</v>
      </c>
      <c r="B48" s="16" t="s">
        <v>124</v>
      </c>
      <c r="C48" s="15" t="s">
        <v>167</v>
      </c>
      <c r="D48" s="57">
        <v>18</v>
      </c>
      <c r="E48" s="3" t="s">
        <v>15</v>
      </c>
      <c r="F48" s="3" t="s">
        <v>277</v>
      </c>
      <c r="G48" s="41">
        <v>1069</v>
      </c>
      <c r="H48" s="41">
        <v>480</v>
      </c>
      <c r="I48" s="40"/>
      <c r="J48" s="40">
        <v>965</v>
      </c>
      <c r="K48" s="20">
        <v>752.7</v>
      </c>
      <c r="L48" s="132">
        <f t="shared" si="9"/>
        <v>-104</v>
      </c>
      <c r="M48" s="27">
        <f t="shared" si="13"/>
        <v>0.23386342376052385</v>
      </c>
      <c r="N48" s="20">
        <f t="shared" si="14"/>
        <v>-24.321796071094482</v>
      </c>
      <c r="O48" s="12">
        <v>250</v>
      </c>
      <c r="P48" s="10">
        <v>271.25</v>
      </c>
      <c r="Q48" s="52">
        <v>1328.5</v>
      </c>
      <c r="R48" s="10">
        <v>60</v>
      </c>
      <c r="S48" s="103">
        <f t="shared" si="10"/>
        <v>-1.0984627506704321</v>
      </c>
      <c r="T48" s="11">
        <v>1</v>
      </c>
      <c r="U48" s="11">
        <v>2</v>
      </c>
      <c r="V48" s="11">
        <v>1</v>
      </c>
      <c r="W48" s="11">
        <v>1</v>
      </c>
      <c r="X48" s="11"/>
      <c r="Y48" s="11">
        <v>1</v>
      </c>
      <c r="Z48" s="11"/>
      <c r="AA48" s="11">
        <v>1</v>
      </c>
      <c r="AB48" s="11">
        <v>1</v>
      </c>
      <c r="AC48" s="11">
        <v>1</v>
      </c>
      <c r="AD48" s="11">
        <v>1</v>
      </c>
      <c r="AE48" s="11">
        <v>1</v>
      </c>
      <c r="AF48" s="11">
        <v>11</v>
      </c>
      <c r="AG48" s="11">
        <f t="shared" si="12"/>
        <v>1</v>
      </c>
      <c r="AH48" s="53">
        <f t="shared" si="16"/>
        <v>22.727272727272727</v>
      </c>
      <c r="AI48" s="111">
        <f t="shared" si="11"/>
        <v>1.0264481472610942</v>
      </c>
      <c r="AJ48" s="110">
        <f t="shared" si="15"/>
        <v>-7.2014603409337852E-2</v>
      </c>
    </row>
    <row r="49" spans="1:36" x14ac:dyDescent="0.25">
      <c r="A49" s="29" t="s">
        <v>268</v>
      </c>
      <c r="B49" s="17" t="s">
        <v>16</v>
      </c>
      <c r="C49" s="15" t="s">
        <v>149</v>
      </c>
      <c r="D49" s="57">
        <v>77</v>
      </c>
      <c r="E49" s="3" t="s">
        <v>15</v>
      </c>
      <c r="F49" s="3" t="s">
        <v>277</v>
      </c>
      <c r="G49" s="41">
        <v>1405</v>
      </c>
      <c r="H49" s="41"/>
      <c r="I49" s="40"/>
      <c r="J49" s="40">
        <v>820</v>
      </c>
      <c r="K49" s="20">
        <v>773.25</v>
      </c>
      <c r="L49" s="132">
        <f t="shared" si="9"/>
        <v>-585</v>
      </c>
      <c r="M49" s="27">
        <f t="shared" si="13"/>
        <v>0.199288256227758</v>
      </c>
      <c r="N49" s="20">
        <f t="shared" si="14"/>
        <v>-116.58362989323844</v>
      </c>
      <c r="O49" s="12">
        <v>280</v>
      </c>
      <c r="P49" s="10">
        <v>303.8</v>
      </c>
      <c r="Q49" s="52">
        <v>5259.39</v>
      </c>
      <c r="R49" s="10">
        <v>60</v>
      </c>
      <c r="S49" s="103">
        <f t="shared" si="10"/>
        <v>-1.330005531743093</v>
      </c>
      <c r="T49" s="11">
        <v>1</v>
      </c>
      <c r="U49" s="11">
        <v>2</v>
      </c>
      <c r="V49" s="11">
        <v>1</v>
      </c>
      <c r="W49" s="11">
        <v>1</v>
      </c>
      <c r="X49" s="11"/>
      <c r="Y49" s="11">
        <v>1</v>
      </c>
      <c r="Z49" s="11"/>
      <c r="AA49" s="11">
        <v>1</v>
      </c>
      <c r="AB49" s="11">
        <v>1</v>
      </c>
      <c r="AC49" s="11">
        <v>1</v>
      </c>
      <c r="AD49" s="11">
        <v>1</v>
      </c>
      <c r="AE49" s="11">
        <v>1</v>
      </c>
      <c r="AF49" s="11">
        <v>11</v>
      </c>
      <c r="AG49" s="11">
        <f t="shared" si="12"/>
        <v>1</v>
      </c>
      <c r="AH49" s="53">
        <f t="shared" si="16"/>
        <v>25.454545454545453</v>
      </c>
      <c r="AI49" s="109">
        <f t="shared" si="11"/>
        <v>0.29038970817389981</v>
      </c>
      <c r="AJ49" s="112">
        <f t="shared" si="15"/>
        <v>-1.0396158235691932</v>
      </c>
    </row>
    <row r="50" spans="1:36" x14ac:dyDescent="0.25">
      <c r="A50" s="29" t="s">
        <v>267</v>
      </c>
      <c r="B50" s="17" t="s">
        <v>164</v>
      </c>
      <c r="C50" s="15" t="s">
        <v>151</v>
      </c>
      <c r="D50" s="57">
        <v>69</v>
      </c>
      <c r="E50" s="3" t="s">
        <v>15</v>
      </c>
      <c r="F50" s="3" t="s">
        <v>277</v>
      </c>
      <c r="G50" s="41">
        <v>24</v>
      </c>
      <c r="H50" s="41"/>
      <c r="I50" s="40"/>
      <c r="J50" s="40">
        <v>124</v>
      </c>
      <c r="K50" s="20">
        <f>35.04+203.65</f>
        <v>238.69</v>
      </c>
      <c r="L50" s="132">
        <f t="shared" si="9"/>
        <v>100</v>
      </c>
      <c r="M50" s="27">
        <f t="shared" si="13"/>
        <v>1.875</v>
      </c>
      <c r="N50" s="20">
        <f t="shared" si="14"/>
        <v>187.5</v>
      </c>
      <c r="O50" s="12">
        <v>45</v>
      </c>
      <c r="P50" s="10">
        <v>48.83</v>
      </c>
      <c r="Q50" s="52">
        <v>4221</v>
      </c>
      <c r="R50" s="10">
        <v>60</v>
      </c>
      <c r="S50" s="103">
        <f t="shared" si="10"/>
        <v>2.6652452025586353</v>
      </c>
      <c r="T50" s="11">
        <v>1</v>
      </c>
      <c r="U50" s="11">
        <v>2</v>
      </c>
      <c r="V50" s="11">
        <v>1</v>
      </c>
      <c r="W50" s="11">
        <v>1</v>
      </c>
      <c r="X50" s="11"/>
      <c r="Y50" s="11">
        <v>1</v>
      </c>
      <c r="Z50" s="11"/>
      <c r="AA50" s="11">
        <v>1</v>
      </c>
      <c r="AB50" s="11">
        <v>1</v>
      </c>
      <c r="AC50" s="11">
        <v>1</v>
      </c>
      <c r="AD50" s="11">
        <v>1</v>
      </c>
      <c r="AE50" s="11">
        <v>1</v>
      </c>
      <c r="AF50" s="11">
        <v>11</v>
      </c>
      <c r="AG50" s="11">
        <f t="shared" si="12"/>
        <v>1</v>
      </c>
      <c r="AH50" s="53">
        <f t="shared" si="16"/>
        <v>4.0909090909090908</v>
      </c>
      <c r="AI50" s="109">
        <f t="shared" si="11"/>
        <v>5.8150804419461133E-2</v>
      </c>
      <c r="AJ50" s="112">
        <f t="shared" si="15"/>
        <v>2.7233960069780965</v>
      </c>
    </row>
    <row r="51" spans="1:36" x14ac:dyDescent="0.25">
      <c r="A51" s="28" t="s">
        <v>268</v>
      </c>
      <c r="B51" s="16" t="s">
        <v>18</v>
      </c>
      <c r="C51" s="15" t="s">
        <v>153</v>
      </c>
      <c r="D51" s="57">
        <v>55</v>
      </c>
      <c r="E51" s="3" t="s">
        <v>15</v>
      </c>
      <c r="F51" s="3" t="s">
        <v>277</v>
      </c>
      <c r="G51" s="41">
        <v>847</v>
      </c>
      <c r="H51" s="41"/>
      <c r="I51" s="40"/>
      <c r="J51" s="40">
        <v>676</v>
      </c>
      <c r="K51" s="20">
        <f>684.66+113.02+186.65+73.55+112.07+463.51+130.8+240.14+121.42+57.13+107.11+33.97+163.29</f>
        <v>2487.3199999999997</v>
      </c>
      <c r="L51" s="132">
        <f t="shared" si="9"/>
        <v>-171</v>
      </c>
      <c r="M51" s="27">
        <f t="shared" si="13"/>
        <v>0.27744982290436837</v>
      </c>
      <c r="N51" s="20">
        <f t="shared" si="14"/>
        <v>-47.443919716646988</v>
      </c>
      <c r="O51" s="12">
        <v>235</v>
      </c>
      <c r="P51" s="10">
        <v>254.97</v>
      </c>
      <c r="Q51" s="52">
        <v>3602.54</v>
      </c>
      <c r="R51" s="10">
        <v>60</v>
      </c>
      <c r="S51" s="102">
        <f t="shared" si="10"/>
        <v>-0.79017448328091267</v>
      </c>
      <c r="T51" s="11">
        <v>1</v>
      </c>
      <c r="U51" s="11">
        <v>2</v>
      </c>
      <c r="V51" s="11">
        <v>1</v>
      </c>
      <c r="W51" s="11">
        <v>1</v>
      </c>
      <c r="X51" s="11"/>
      <c r="Y51" s="11">
        <v>1</v>
      </c>
      <c r="Z51" s="11"/>
      <c r="AA51" s="11">
        <v>1</v>
      </c>
      <c r="AB51" s="11">
        <v>1</v>
      </c>
      <c r="AC51" s="11">
        <v>1</v>
      </c>
      <c r="AD51" s="11">
        <v>1</v>
      </c>
      <c r="AE51" s="11">
        <v>1</v>
      </c>
      <c r="AF51" s="11">
        <v>11</v>
      </c>
      <c r="AG51" s="11">
        <f t="shared" si="12"/>
        <v>1</v>
      </c>
      <c r="AH51" s="53">
        <f t="shared" si="16"/>
        <v>21.363636363636363</v>
      </c>
      <c r="AI51" s="109">
        <f t="shared" si="11"/>
        <v>0.35580956264696073</v>
      </c>
      <c r="AJ51" s="110">
        <f t="shared" si="15"/>
        <v>-0.43436492063395193</v>
      </c>
    </row>
    <row r="52" spans="1:36" x14ac:dyDescent="0.25">
      <c r="A52" s="29" t="s">
        <v>268</v>
      </c>
      <c r="B52" s="17" t="s">
        <v>20</v>
      </c>
      <c r="C52" s="18" t="s">
        <v>127</v>
      </c>
      <c r="D52" s="58">
        <v>88</v>
      </c>
      <c r="E52" s="3" t="s">
        <v>15</v>
      </c>
      <c r="F52" s="3" t="s">
        <v>277</v>
      </c>
      <c r="G52" s="41">
        <v>2027</v>
      </c>
      <c r="H52" s="41"/>
      <c r="I52" s="40"/>
      <c r="J52" s="40">
        <v>1964</v>
      </c>
      <c r="K52" s="21"/>
      <c r="L52" s="132">
        <f t="shared" si="9"/>
        <v>-63</v>
      </c>
      <c r="M52" s="27">
        <f t="shared" si="13"/>
        <v>0.27972372964972864</v>
      </c>
      <c r="N52" s="20">
        <f t="shared" si="14"/>
        <v>-17.622594967932905</v>
      </c>
      <c r="O52" s="12">
        <v>567</v>
      </c>
      <c r="P52" s="10">
        <v>615.20000000000005</v>
      </c>
      <c r="Q52" s="52">
        <v>3795.03</v>
      </c>
      <c r="R52" s="10">
        <v>60</v>
      </c>
      <c r="S52" s="102">
        <f t="shared" si="10"/>
        <v>-0.27861589976257745</v>
      </c>
      <c r="T52" s="11">
        <v>1</v>
      </c>
      <c r="U52" s="11">
        <v>2</v>
      </c>
      <c r="V52" s="11">
        <v>1</v>
      </c>
      <c r="W52" s="11">
        <v>1</v>
      </c>
      <c r="X52" s="11"/>
      <c r="Y52" s="11">
        <v>1</v>
      </c>
      <c r="Z52" s="11"/>
      <c r="AA52" s="11">
        <v>1</v>
      </c>
      <c r="AB52" s="11">
        <v>1</v>
      </c>
      <c r="AC52" s="11">
        <v>1</v>
      </c>
      <c r="AD52" s="11">
        <v>1</v>
      </c>
      <c r="AE52" s="11">
        <v>1</v>
      </c>
      <c r="AF52" s="11">
        <v>11</v>
      </c>
      <c r="AG52" s="11">
        <f t="shared" si="12"/>
        <v>1</v>
      </c>
      <c r="AH52" s="53">
        <f t="shared" si="16"/>
        <v>51.545454545454547</v>
      </c>
      <c r="AI52" s="109">
        <f t="shared" si="11"/>
        <v>0.81494145572690402</v>
      </c>
      <c r="AJ52" s="110">
        <f t="shared" si="15"/>
        <v>0.53632555596432652</v>
      </c>
    </row>
    <row r="53" spans="1:36" x14ac:dyDescent="0.25">
      <c r="A53" s="28" t="s">
        <v>267</v>
      </c>
      <c r="B53" s="16" t="s">
        <v>146</v>
      </c>
      <c r="C53" s="15" t="s">
        <v>155</v>
      </c>
      <c r="D53" s="57">
        <v>42</v>
      </c>
      <c r="E53" s="3" t="s">
        <v>15</v>
      </c>
      <c r="F53" s="3" t="s">
        <v>277</v>
      </c>
      <c r="G53" s="41">
        <v>1568</v>
      </c>
      <c r="H53" s="41"/>
      <c r="I53" s="40"/>
      <c r="J53" s="40">
        <v>356</v>
      </c>
      <c r="K53" s="20"/>
      <c r="L53" s="132">
        <f t="shared" si="9"/>
        <v>-1212</v>
      </c>
      <c r="M53" s="27">
        <f t="shared" si="13"/>
        <v>0.25</v>
      </c>
      <c r="N53" s="20">
        <f t="shared" si="14"/>
        <v>-303</v>
      </c>
      <c r="O53" s="12">
        <v>392</v>
      </c>
      <c r="P53" s="10">
        <v>425.32</v>
      </c>
      <c r="Q53" s="52">
        <v>2007.69</v>
      </c>
      <c r="R53" s="10">
        <v>60</v>
      </c>
      <c r="S53" s="105">
        <f t="shared" si="10"/>
        <v>-9.0551828220492201</v>
      </c>
      <c r="T53" s="11">
        <v>1</v>
      </c>
      <c r="U53" s="11">
        <v>2</v>
      </c>
      <c r="V53" s="11">
        <v>1</v>
      </c>
      <c r="W53" s="11">
        <v>1</v>
      </c>
      <c r="X53" s="11"/>
      <c r="Y53" s="11">
        <v>1</v>
      </c>
      <c r="Z53" s="11"/>
      <c r="AA53" s="11">
        <v>1</v>
      </c>
      <c r="AB53" s="11">
        <v>1</v>
      </c>
      <c r="AC53" s="11">
        <v>1</v>
      </c>
      <c r="AD53" s="11">
        <v>1</v>
      </c>
      <c r="AE53" s="11">
        <v>1</v>
      </c>
      <c r="AF53" s="11">
        <v>11</v>
      </c>
      <c r="AG53" s="11">
        <f t="shared" si="12"/>
        <v>1</v>
      </c>
      <c r="AH53" s="53">
        <f t="shared" si="16"/>
        <v>35.636363636363633</v>
      </c>
      <c r="AI53" s="111">
        <f t="shared" si="11"/>
        <v>1.0649959994729354</v>
      </c>
      <c r="AJ53" s="114">
        <f t="shared" si="15"/>
        <v>-7.9901868225762849</v>
      </c>
    </row>
    <row r="54" spans="1:36" x14ac:dyDescent="0.25">
      <c r="A54" s="29" t="s">
        <v>269</v>
      </c>
      <c r="B54" s="17" t="s">
        <v>99</v>
      </c>
      <c r="C54" s="15" t="s">
        <v>135</v>
      </c>
      <c r="D54" s="57">
        <v>17</v>
      </c>
      <c r="E54" s="3" t="s">
        <v>15</v>
      </c>
      <c r="F54" s="3" t="s">
        <v>277</v>
      </c>
      <c r="G54" s="41">
        <v>860</v>
      </c>
      <c r="H54" s="83">
        <v>360</v>
      </c>
      <c r="I54" s="40"/>
      <c r="J54" s="40">
        <v>780</v>
      </c>
      <c r="K54" s="20">
        <f>44.67+625.58</f>
        <v>670.25</v>
      </c>
      <c r="L54" s="132">
        <f t="shared" si="9"/>
        <v>-80</v>
      </c>
      <c r="M54" s="27">
        <f t="shared" si="13"/>
        <v>0.25</v>
      </c>
      <c r="N54" s="20">
        <f t="shared" si="14"/>
        <v>-20</v>
      </c>
      <c r="O54" s="12">
        <v>215</v>
      </c>
      <c r="P54" s="10">
        <v>233.28</v>
      </c>
      <c r="Q54" s="52">
        <v>1232.6099999999999</v>
      </c>
      <c r="R54" s="10">
        <v>60</v>
      </c>
      <c r="S54" s="102">
        <f t="shared" si="10"/>
        <v>-0.97354394333974259</v>
      </c>
      <c r="T54" s="11">
        <v>1</v>
      </c>
      <c r="U54" s="11">
        <v>2</v>
      </c>
      <c r="V54" s="11">
        <v>1</v>
      </c>
      <c r="W54" s="11">
        <v>1</v>
      </c>
      <c r="X54" s="11"/>
      <c r="Y54" s="11">
        <v>1</v>
      </c>
      <c r="Z54" s="11"/>
      <c r="AA54" s="11">
        <v>1</v>
      </c>
      <c r="AB54" s="11">
        <v>1</v>
      </c>
      <c r="AC54" s="11">
        <v>1</v>
      </c>
      <c r="AD54" s="11">
        <v>1</v>
      </c>
      <c r="AE54" s="11">
        <v>1</v>
      </c>
      <c r="AF54" s="11">
        <v>11</v>
      </c>
      <c r="AG54" s="11">
        <f t="shared" si="12"/>
        <v>1</v>
      </c>
      <c r="AH54" s="53">
        <f t="shared" si="16"/>
        <v>19.545454545454547</v>
      </c>
      <c r="AI54" s="109">
        <f t="shared" si="11"/>
        <v>0.95141794462747575</v>
      </c>
      <c r="AJ54" s="110">
        <f t="shared" si="15"/>
        <v>-2.2125998712266837E-2</v>
      </c>
    </row>
    <row r="55" spans="1:36" x14ac:dyDescent="0.25">
      <c r="A55" s="29" t="s">
        <v>268</v>
      </c>
      <c r="B55" s="17" t="s">
        <v>22</v>
      </c>
      <c r="C55" s="15" t="s">
        <v>157</v>
      </c>
      <c r="D55" s="57">
        <v>20</v>
      </c>
      <c r="E55" s="3" t="s">
        <v>15</v>
      </c>
      <c r="F55" s="3" t="s">
        <v>277</v>
      </c>
      <c r="G55" s="41">
        <v>620</v>
      </c>
      <c r="H55" s="41">
        <v>609</v>
      </c>
      <c r="I55" s="40"/>
      <c r="J55" s="40">
        <v>609</v>
      </c>
      <c r="K55" s="20"/>
      <c r="L55" s="132">
        <f t="shared" si="9"/>
        <v>-11</v>
      </c>
      <c r="M55" s="27">
        <f t="shared" si="13"/>
        <v>0.20161290322580644</v>
      </c>
      <c r="N55" s="20">
        <f t="shared" si="14"/>
        <v>-2.217741935483871</v>
      </c>
      <c r="O55" s="12">
        <v>125</v>
      </c>
      <c r="P55" s="10">
        <v>135.63</v>
      </c>
      <c r="Q55" s="52">
        <v>1707.25</v>
      </c>
      <c r="R55" s="10">
        <v>60</v>
      </c>
      <c r="S55" s="102">
        <f t="shared" si="10"/>
        <v>-7.7940849980396687E-2</v>
      </c>
      <c r="T55" s="11">
        <v>1</v>
      </c>
      <c r="U55" s="11">
        <v>2</v>
      </c>
      <c r="V55" s="11">
        <v>1</v>
      </c>
      <c r="W55" s="11">
        <v>1</v>
      </c>
      <c r="X55" s="11"/>
      <c r="Y55" s="11">
        <v>1</v>
      </c>
      <c r="Z55" s="11"/>
      <c r="AA55" s="11">
        <v>1</v>
      </c>
      <c r="AB55" s="11">
        <v>1</v>
      </c>
      <c r="AC55" s="11">
        <v>1</v>
      </c>
      <c r="AD55" s="11">
        <v>1</v>
      </c>
      <c r="AE55" s="11">
        <v>1</v>
      </c>
      <c r="AF55" s="11">
        <v>11</v>
      </c>
      <c r="AG55" s="11">
        <f t="shared" si="12"/>
        <v>1</v>
      </c>
      <c r="AH55" s="53">
        <f t="shared" si="16"/>
        <v>11.363636363636363</v>
      </c>
      <c r="AI55" s="109">
        <f t="shared" si="11"/>
        <v>0.39936633874252847</v>
      </c>
      <c r="AJ55" s="110">
        <f t="shared" si="15"/>
        <v>0.32142548876213178</v>
      </c>
    </row>
    <row r="56" spans="1:36" x14ac:dyDescent="0.25">
      <c r="A56" s="28" t="s">
        <v>268</v>
      </c>
      <c r="B56" s="16" t="s">
        <v>24</v>
      </c>
      <c r="C56" s="15" t="s">
        <v>159</v>
      </c>
      <c r="D56" s="57">
        <v>75</v>
      </c>
      <c r="E56" s="3" t="s">
        <v>15</v>
      </c>
      <c r="F56" s="3" t="s">
        <v>277</v>
      </c>
      <c r="G56" s="41">
        <v>60</v>
      </c>
      <c r="H56" s="41"/>
      <c r="I56" s="40"/>
      <c r="J56" s="40">
        <v>199</v>
      </c>
      <c r="K56" s="20"/>
      <c r="L56" s="132">
        <f t="shared" si="9"/>
        <v>139</v>
      </c>
      <c r="M56" s="27">
        <f t="shared" si="13"/>
        <v>0.75</v>
      </c>
      <c r="N56" s="20">
        <f t="shared" si="14"/>
        <v>104.25</v>
      </c>
      <c r="O56" s="12">
        <v>45</v>
      </c>
      <c r="P56" s="10">
        <v>48.83</v>
      </c>
      <c r="Q56" s="52">
        <v>5619.25</v>
      </c>
      <c r="R56" s="10">
        <v>60</v>
      </c>
      <c r="S56" s="103">
        <f t="shared" si="10"/>
        <v>1.1131378742714775</v>
      </c>
      <c r="T56" s="13">
        <v>1</v>
      </c>
      <c r="U56" s="11">
        <v>2</v>
      </c>
      <c r="V56" s="11">
        <v>1</v>
      </c>
      <c r="W56" s="11">
        <v>1</v>
      </c>
      <c r="X56" s="11"/>
      <c r="Y56" s="11">
        <v>1</v>
      </c>
      <c r="Z56" s="11"/>
      <c r="AA56" s="11">
        <v>1</v>
      </c>
      <c r="AB56" s="11">
        <v>1</v>
      </c>
      <c r="AC56" s="11">
        <v>1</v>
      </c>
      <c r="AD56" s="11">
        <v>1</v>
      </c>
      <c r="AE56" s="11">
        <v>1</v>
      </c>
      <c r="AF56" s="11">
        <v>11</v>
      </c>
      <c r="AG56" s="11">
        <f t="shared" si="12"/>
        <v>1</v>
      </c>
      <c r="AH56" s="53">
        <f t="shared" si="16"/>
        <v>4.0909090909090908</v>
      </c>
      <c r="AI56" s="109">
        <f t="shared" si="11"/>
        <v>4.3681015340934368E-2</v>
      </c>
      <c r="AJ56" s="112">
        <f t="shared" si="15"/>
        <v>1.1568188896124119</v>
      </c>
    </row>
    <row r="57" spans="1:36" x14ac:dyDescent="0.25">
      <c r="A57" s="28" t="s">
        <v>267</v>
      </c>
      <c r="B57" s="16" t="s">
        <v>293</v>
      </c>
      <c r="C57" s="15" t="s">
        <v>137</v>
      </c>
      <c r="D57" s="57">
        <v>10</v>
      </c>
      <c r="E57" s="3" t="s">
        <v>15</v>
      </c>
      <c r="F57" s="3" t="s">
        <v>277</v>
      </c>
      <c r="G57" s="41">
        <v>320</v>
      </c>
      <c r="H57" s="41">
        <v>300</v>
      </c>
      <c r="I57" s="40"/>
      <c r="J57" s="40">
        <v>720</v>
      </c>
      <c r="K57" s="20"/>
      <c r="L57" s="132">
        <f t="shared" si="9"/>
        <v>400</v>
      </c>
      <c r="M57" s="27">
        <f t="shared" si="13"/>
        <v>0.25</v>
      </c>
      <c r="N57" s="20">
        <f t="shared" si="14"/>
        <v>100</v>
      </c>
      <c r="O57" s="12">
        <v>80</v>
      </c>
      <c r="P57" s="10">
        <v>86.8</v>
      </c>
      <c r="Q57" s="129">
        <v>760.07</v>
      </c>
      <c r="R57" s="10">
        <v>60</v>
      </c>
      <c r="S57" s="105">
        <f t="shared" si="10"/>
        <v>7.8940097622587393</v>
      </c>
      <c r="T57" s="11">
        <v>1</v>
      </c>
      <c r="U57" s="11">
        <v>2</v>
      </c>
      <c r="V57" s="11">
        <v>1</v>
      </c>
      <c r="W57" s="11">
        <v>1</v>
      </c>
      <c r="X57" s="11"/>
      <c r="Y57" s="11">
        <v>1</v>
      </c>
      <c r="Z57" s="11"/>
      <c r="AA57" s="11">
        <v>1</v>
      </c>
      <c r="AB57" s="11">
        <v>1</v>
      </c>
      <c r="AC57" s="11">
        <v>1</v>
      </c>
      <c r="AD57" s="11">
        <v>1</v>
      </c>
      <c r="AE57" s="11">
        <v>1</v>
      </c>
      <c r="AF57" s="11">
        <v>11</v>
      </c>
      <c r="AG57" s="11">
        <f t="shared" si="12"/>
        <v>1</v>
      </c>
      <c r="AH57" s="53">
        <f t="shared" si="16"/>
        <v>7.2727272727272725</v>
      </c>
      <c r="AI57" s="109">
        <f t="shared" si="11"/>
        <v>0.57410980089154462</v>
      </c>
      <c r="AJ57" s="114">
        <f t="shared" si="15"/>
        <v>8.4681195631502835</v>
      </c>
    </row>
    <row r="58" spans="1:36" x14ac:dyDescent="0.25">
      <c r="A58" s="29" t="s">
        <v>268</v>
      </c>
      <c r="B58" s="17" t="s">
        <v>26</v>
      </c>
      <c r="C58" s="15" t="s">
        <v>169</v>
      </c>
      <c r="D58" s="57">
        <v>40</v>
      </c>
      <c r="E58" s="3" t="s">
        <v>15</v>
      </c>
      <c r="F58" s="3" t="s">
        <v>277</v>
      </c>
      <c r="G58" s="41">
        <v>1150</v>
      </c>
      <c r="H58" s="41">
        <v>1340</v>
      </c>
      <c r="I58" s="40"/>
      <c r="J58" s="40">
        <v>1230</v>
      </c>
      <c r="K58" s="20">
        <f>243.63+63.53+400.07+149.08+22.95+36.53+47.63</f>
        <v>963.42000000000007</v>
      </c>
      <c r="L58" s="132">
        <f t="shared" si="9"/>
        <v>80</v>
      </c>
      <c r="M58" s="27">
        <f t="shared" si="13"/>
        <v>0.25043478260869567</v>
      </c>
      <c r="N58" s="20">
        <f t="shared" si="14"/>
        <v>20.034782608695654</v>
      </c>
      <c r="O58" s="12">
        <v>288</v>
      </c>
      <c r="P58" s="10">
        <v>312.48</v>
      </c>
      <c r="Q58" s="52">
        <v>2569.2300000000005</v>
      </c>
      <c r="R58" s="10">
        <v>60</v>
      </c>
      <c r="S58" s="102">
        <f t="shared" si="10"/>
        <v>0.46787829681334059</v>
      </c>
      <c r="T58" s="11">
        <v>1</v>
      </c>
      <c r="U58" s="11">
        <v>2</v>
      </c>
      <c r="V58" s="11">
        <v>1</v>
      </c>
      <c r="W58" s="11">
        <v>1</v>
      </c>
      <c r="X58" s="11"/>
      <c r="Y58" s="11">
        <v>1</v>
      </c>
      <c r="Z58" s="11"/>
      <c r="AA58" s="11">
        <v>1</v>
      </c>
      <c r="AB58" s="11">
        <v>1</v>
      </c>
      <c r="AC58" s="11">
        <v>1</v>
      </c>
      <c r="AD58" s="11">
        <v>1</v>
      </c>
      <c r="AE58" s="11">
        <v>1</v>
      </c>
      <c r="AF58" s="11">
        <v>11</v>
      </c>
      <c r="AG58" s="11">
        <f t="shared" si="12"/>
        <v>1</v>
      </c>
      <c r="AH58" s="53">
        <f t="shared" si="16"/>
        <v>26.181818181818183</v>
      </c>
      <c r="AI58" s="109">
        <f t="shared" si="11"/>
        <v>0.61143186515379733</v>
      </c>
      <c r="AJ58" s="112">
        <f t="shared" si="15"/>
        <v>1.0793101619671379</v>
      </c>
    </row>
    <row r="59" spans="1:36" x14ac:dyDescent="0.25">
      <c r="A59" s="29" t="s">
        <v>267</v>
      </c>
      <c r="B59" s="17" t="s">
        <v>203</v>
      </c>
      <c r="C59" s="15" t="s">
        <v>161</v>
      </c>
      <c r="D59" s="57">
        <v>65</v>
      </c>
      <c r="E59" s="3" t="s">
        <v>15</v>
      </c>
      <c r="F59" s="3" t="s">
        <v>277</v>
      </c>
      <c r="G59" s="41">
        <v>4270</v>
      </c>
      <c r="H59" s="41">
        <v>1700</v>
      </c>
      <c r="I59" s="40">
        <v>1432</v>
      </c>
      <c r="J59" s="40">
        <v>3680</v>
      </c>
      <c r="K59" s="20">
        <f>42.2+60.21+247.27+1700+106.27</f>
        <v>2155.9499999999998</v>
      </c>
      <c r="L59" s="132">
        <f t="shared" si="9"/>
        <v>-590</v>
      </c>
      <c r="M59" s="27">
        <f t="shared" si="13"/>
        <v>0.25011709601873539</v>
      </c>
      <c r="N59" s="20">
        <f t="shared" si="14"/>
        <v>-147.56908665105388</v>
      </c>
      <c r="O59" s="12">
        <v>1068</v>
      </c>
      <c r="P59" s="10">
        <v>1158.78</v>
      </c>
      <c r="Q59" s="131">
        <v>4862.7299999999996</v>
      </c>
      <c r="R59" s="10">
        <v>60</v>
      </c>
      <c r="S59" s="130">
        <f t="shared" si="10"/>
        <v>-1.8208177708947924</v>
      </c>
      <c r="T59" s="11">
        <v>1</v>
      </c>
      <c r="U59" s="11">
        <v>2</v>
      </c>
      <c r="V59" s="11">
        <v>1</v>
      </c>
      <c r="W59" s="11">
        <v>1</v>
      </c>
      <c r="X59" s="11"/>
      <c r="Y59" s="11">
        <v>1</v>
      </c>
      <c r="Z59" s="11"/>
      <c r="AA59" s="11">
        <v>1</v>
      </c>
      <c r="AB59" s="11">
        <v>1</v>
      </c>
      <c r="AC59" s="11">
        <v>1</v>
      </c>
      <c r="AD59" s="11">
        <v>1</v>
      </c>
      <c r="AE59" s="11">
        <v>1</v>
      </c>
      <c r="AF59" s="11">
        <v>11</v>
      </c>
      <c r="AG59" s="11">
        <f t="shared" si="12"/>
        <v>1</v>
      </c>
      <c r="AH59" s="53">
        <f t="shared" si="16"/>
        <v>97.090909090909093</v>
      </c>
      <c r="AI59" s="109">
        <f t="shared" si="11"/>
        <v>1.1979802591249249</v>
      </c>
      <c r="AJ59" s="110">
        <f t="shared" si="15"/>
        <v>-0.62283751176986746</v>
      </c>
    </row>
    <row r="60" spans="1:36" x14ac:dyDescent="0.25">
      <c r="A60" s="28" t="s">
        <v>267</v>
      </c>
      <c r="B60" s="16" t="s">
        <v>166</v>
      </c>
      <c r="C60" s="18" t="s">
        <v>129</v>
      </c>
      <c r="D60" s="58">
        <v>57</v>
      </c>
      <c r="E60" s="3" t="s">
        <v>15</v>
      </c>
      <c r="F60" s="3" t="s">
        <v>277</v>
      </c>
      <c r="G60" s="41">
        <v>928</v>
      </c>
      <c r="H60" s="41"/>
      <c r="I60" s="40"/>
      <c r="J60" s="40">
        <v>932</v>
      </c>
      <c r="K60" s="21"/>
      <c r="L60" s="132">
        <f t="shared" si="9"/>
        <v>4</v>
      </c>
      <c r="M60" s="27">
        <f t="shared" si="13"/>
        <v>0.25</v>
      </c>
      <c r="N60" s="20">
        <f t="shared" si="14"/>
        <v>1</v>
      </c>
      <c r="O60" s="12">
        <v>232</v>
      </c>
      <c r="P60" s="10">
        <v>251.72</v>
      </c>
      <c r="Q60" s="52">
        <v>4557.57</v>
      </c>
      <c r="R60" s="10">
        <v>60</v>
      </c>
      <c r="S60" s="102">
        <f t="shared" si="10"/>
        <v>1.3164910248224384E-2</v>
      </c>
      <c r="T60" s="11">
        <v>1</v>
      </c>
      <c r="U60" s="11">
        <v>2</v>
      </c>
      <c r="V60" s="11">
        <v>1</v>
      </c>
      <c r="W60" s="11">
        <v>1</v>
      </c>
      <c r="X60" s="11"/>
      <c r="Y60" s="11">
        <v>1</v>
      </c>
      <c r="Z60" s="11"/>
      <c r="AA60" s="11">
        <v>1</v>
      </c>
      <c r="AB60" s="11">
        <v>1</v>
      </c>
      <c r="AC60" s="11">
        <v>1</v>
      </c>
      <c r="AD60" s="11">
        <v>1</v>
      </c>
      <c r="AE60" s="11">
        <v>1</v>
      </c>
      <c r="AF60" s="11">
        <v>11</v>
      </c>
      <c r="AG60" s="11">
        <f t="shared" si="12"/>
        <v>1</v>
      </c>
      <c r="AH60" s="53">
        <f t="shared" si="16"/>
        <v>21.09090909090909</v>
      </c>
      <c r="AI60" s="109">
        <f t="shared" si="11"/>
        <v>0.27765992523527788</v>
      </c>
      <c r="AJ60" s="110">
        <f t="shared" si="15"/>
        <v>0.29082483548350224</v>
      </c>
    </row>
    <row r="61" spans="1:36" x14ac:dyDescent="0.25">
      <c r="A61" s="28" t="s">
        <v>267</v>
      </c>
      <c r="B61" s="16" t="s">
        <v>148</v>
      </c>
      <c r="C61" s="15" t="s">
        <v>131</v>
      </c>
      <c r="D61" s="57">
        <v>86</v>
      </c>
      <c r="E61" s="3" t="s">
        <v>15</v>
      </c>
      <c r="F61" s="3" t="s">
        <v>277</v>
      </c>
      <c r="G61" s="41">
        <v>1200</v>
      </c>
      <c r="H61" s="41"/>
      <c r="I61" s="40"/>
      <c r="J61" s="40">
        <v>1830</v>
      </c>
      <c r="K61" s="20"/>
      <c r="L61" s="132">
        <f t="shared" si="9"/>
        <v>630</v>
      </c>
      <c r="M61" s="27">
        <f t="shared" si="13"/>
        <v>0.25</v>
      </c>
      <c r="N61" s="20">
        <f t="shared" si="14"/>
        <v>157.5</v>
      </c>
      <c r="O61" s="12">
        <v>300</v>
      </c>
      <c r="P61" s="10">
        <v>325.5</v>
      </c>
      <c r="Q61" s="52">
        <v>4463.5700000000015</v>
      </c>
      <c r="R61" s="10">
        <v>60</v>
      </c>
      <c r="S61" s="103">
        <f t="shared" si="10"/>
        <v>2.1171394197917803</v>
      </c>
      <c r="T61" s="11">
        <v>1</v>
      </c>
      <c r="U61" s="11">
        <v>2</v>
      </c>
      <c r="V61" s="11">
        <v>1</v>
      </c>
      <c r="W61" s="11">
        <v>1</v>
      </c>
      <c r="X61" s="11"/>
      <c r="Y61" s="11">
        <v>1</v>
      </c>
      <c r="Z61" s="11"/>
      <c r="AA61" s="11">
        <v>1</v>
      </c>
      <c r="AB61" s="11">
        <v>1</v>
      </c>
      <c r="AC61" s="11">
        <v>1</v>
      </c>
      <c r="AD61" s="11">
        <v>1</v>
      </c>
      <c r="AE61" s="11">
        <v>1</v>
      </c>
      <c r="AF61" s="11">
        <v>11</v>
      </c>
      <c r="AG61" s="11">
        <f t="shared" si="12"/>
        <v>1</v>
      </c>
      <c r="AH61" s="53">
        <f t="shared" si="16"/>
        <v>27.272727272727273</v>
      </c>
      <c r="AI61" s="109">
        <f t="shared" si="11"/>
        <v>0.36660422853537322</v>
      </c>
      <c r="AJ61" s="112">
        <f t="shared" si="15"/>
        <v>2.4837436483271533</v>
      </c>
    </row>
    <row r="62" spans="1:36" x14ac:dyDescent="0.25">
      <c r="A62" s="28" t="s">
        <v>267</v>
      </c>
      <c r="B62" s="16" t="s">
        <v>150</v>
      </c>
      <c r="C62" s="15" t="s">
        <v>163</v>
      </c>
      <c r="D62" s="57">
        <v>44</v>
      </c>
      <c r="E62" s="3" t="s">
        <v>15</v>
      </c>
      <c r="F62" s="3" t="s">
        <v>277</v>
      </c>
      <c r="G62" s="41">
        <v>200</v>
      </c>
      <c r="H62" s="41"/>
      <c r="I62" s="40"/>
      <c r="J62" s="40">
        <v>876</v>
      </c>
      <c r="K62" s="20"/>
      <c r="L62" s="132">
        <f t="shared" si="9"/>
        <v>676</v>
      </c>
      <c r="M62" s="27">
        <f t="shared" si="13"/>
        <v>0.25</v>
      </c>
      <c r="N62" s="20">
        <f t="shared" si="14"/>
        <v>169</v>
      </c>
      <c r="O62" s="12">
        <v>50</v>
      </c>
      <c r="P62" s="10">
        <v>54.25</v>
      </c>
      <c r="Q62" s="52">
        <v>3138.87</v>
      </c>
      <c r="R62" s="10">
        <v>60</v>
      </c>
      <c r="S62" s="105">
        <f t="shared" si="10"/>
        <v>3.2304619178239307</v>
      </c>
      <c r="T62" s="11">
        <v>1</v>
      </c>
      <c r="U62" s="11">
        <v>2</v>
      </c>
      <c r="V62" s="11">
        <v>1</v>
      </c>
      <c r="W62" s="11">
        <v>1</v>
      </c>
      <c r="X62" s="11"/>
      <c r="Y62" s="11">
        <v>1</v>
      </c>
      <c r="Z62" s="11"/>
      <c r="AA62" s="11">
        <v>1</v>
      </c>
      <c r="AB62" s="11">
        <v>1</v>
      </c>
      <c r="AC62" s="11">
        <v>1</v>
      </c>
      <c r="AD62" s="11">
        <v>1</v>
      </c>
      <c r="AE62" s="11">
        <v>1</v>
      </c>
      <c r="AF62" s="11">
        <v>11</v>
      </c>
      <c r="AG62" s="11">
        <f t="shared" si="12"/>
        <v>1</v>
      </c>
      <c r="AH62" s="53">
        <f t="shared" si="16"/>
        <v>4.5454545454545459</v>
      </c>
      <c r="AI62" s="109">
        <f t="shared" si="11"/>
        <v>8.6887087623021261E-2</v>
      </c>
      <c r="AJ62" s="114">
        <f t="shared" si="15"/>
        <v>3.3173490054469519</v>
      </c>
    </row>
    <row r="63" spans="1:36" x14ac:dyDescent="0.25">
      <c r="A63" s="28" t="s">
        <v>267</v>
      </c>
      <c r="B63" s="16" t="s">
        <v>152</v>
      </c>
      <c r="C63" s="15" t="s">
        <v>170</v>
      </c>
      <c r="D63" s="57">
        <v>54</v>
      </c>
      <c r="E63" s="3" t="s">
        <v>15</v>
      </c>
      <c r="F63" s="3" t="s">
        <v>277</v>
      </c>
      <c r="G63" s="41">
        <v>2024</v>
      </c>
      <c r="H63" s="41"/>
      <c r="I63" s="40"/>
      <c r="J63" s="40">
        <v>1620</v>
      </c>
      <c r="K63" s="20"/>
      <c r="L63" s="132">
        <f t="shared" si="9"/>
        <v>-404</v>
      </c>
      <c r="M63" s="27">
        <f t="shared" si="13"/>
        <v>0.25</v>
      </c>
      <c r="N63" s="20">
        <f t="shared" si="14"/>
        <v>-101</v>
      </c>
      <c r="O63" s="12">
        <v>506</v>
      </c>
      <c r="P63" s="10">
        <v>549.01</v>
      </c>
      <c r="Q63" s="52">
        <v>5619.25</v>
      </c>
      <c r="R63" s="10">
        <v>60</v>
      </c>
      <c r="S63" s="103">
        <f t="shared" si="10"/>
        <v>-1.0784357343061797</v>
      </c>
      <c r="T63" s="11">
        <v>1</v>
      </c>
      <c r="U63" s="11">
        <v>2</v>
      </c>
      <c r="V63" s="11">
        <v>1</v>
      </c>
      <c r="W63" s="11">
        <v>1</v>
      </c>
      <c r="X63" s="11"/>
      <c r="Y63" s="11">
        <v>1</v>
      </c>
      <c r="Z63" s="11"/>
      <c r="AA63" s="11">
        <v>1</v>
      </c>
      <c r="AB63" s="11">
        <v>1</v>
      </c>
      <c r="AC63" s="11">
        <v>1</v>
      </c>
      <c r="AD63" s="11">
        <v>1</v>
      </c>
      <c r="AE63" s="11">
        <v>1</v>
      </c>
      <c r="AF63" s="11">
        <v>11</v>
      </c>
      <c r="AG63" s="11">
        <f t="shared" si="12"/>
        <v>1</v>
      </c>
      <c r="AH63" s="53">
        <f t="shared" si="16"/>
        <v>46</v>
      </c>
      <c r="AI63" s="109">
        <f t="shared" si="11"/>
        <v>0.49116875027806206</v>
      </c>
      <c r="AJ63" s="110">
        <f t="shared" si="15"/>
        <v>-0.58726698402811761</v>
      </c>
    </row>
    <row r="64" spans="1:36" x14ac:dyDescent="0.25">
      <c r="A64" s="28" t="s">
        <v>269</v>
      </c>
      <c r="B64" s="16" t="s">
        <v>204</v>
      </c>
      <c r="C64" s="15" t="s">
        <v>171</v>
      </c>
      <c r="D64" s="57">
        <v>50</v>
      </c>
      <c r="E64" s="3" t="s">
        <v>15</v>
      </c>
      <c r="F64" s="3" t="s">
        <v>277</v>
      </c>
      <c r="G64" s="41">
        <v>154.30000000000001</v>
      </c>
      <c r="H64" s="41"/>
      <c r="I64" s="40"/>
      <c r="J64" s="40">
        <v>499</v>
      </c>
      <c r="K64" s="20"/>
      <c r="L64" s="132">
        <f t="shared" si="9"/>
        <v>344.7</v>
      </c>
      <c r="M64" s="27">
        <f t="shared" si="13"/>
        <v>0.24996759559300064</v>
      </c>
      <c r="N64" s="20">
        <f t="shared" si="14"/>
        <v>86.163830200907313</v>
      </c>
      <c r="O64" s="12">
        <v>38.57</v>
      </c>
      <c r="P64" s="10">
        <v>41.85</v>
      </c>
      <c r="Q64" s="52">
        <v>4862.7299999999996</v>
      </c>
      <c r="R64" s="10">
        <v>60</v>
      </c>
      <c r="S64" s="103">
        <f t="shared" si="10"/>
        <v>1.0631537864644838</v>
      </c>
      <c r="T64" s="11">
        <v>1</v>
      </c>
      <c r="U64" s="11">
        <v>2</v>
      </c>
      <c r="V64" s="11">
        <v>1</v>
      </c>
      <c r="W64" s="11">
        <v>1</v>
      </c>
      <c r="X64" s="11"/>
      <c r="Y64" s="11">
        <v>1</v>
      </c>
      <c r="Z64" s="11"/>
      <c r="AA64" s="11">
        <v>1</v>
      </c>
      <c r="AB64" s="11">
        <v>1</v>
      </c>
      <c r="AC64" s="11">
        <v>1</v>
      </c>
      <c r="AD64" s="11">
        <v>1</v>
      </c>
      <c r="AE64" s="11">
        <v>1</v>
      </c>
      <c r="AF64" s="11">
        <v>11</v>
      </c>
      <c r="AG64" s="11">
        <f t="shared" si="12"/>
        <v>1</v>
      </c>
      <c r="AH64" s="53">
        <f t="shared" si="16"/>
        <v>3.5063636363636363</v>
      </c>
      <c r="AI64" s="109">
        <f t="shared" si="11"/>
        <v>4.3264137260719433E-2</v>
      </c>
      <c r="AJ64" s="112">
        <f t="shared" si="15"/>
        <v>1.1064179237252032</v>
      </c>
    </row>
    <row r="65" spans="1:36" x14ac:dyDescent="0.25">
      <c r="A65" s="28" t="s">
        <v>268</v>
      </c>
      <c r="B65" s="16" t="s">
        <v>205</v>
      </c>
      <c r="C65" s="18" t="s">
        <v>133</v>
      </c>
      <c r="D65" s="58">
        <v>47</v>
      </c>
      <c r="E65" s="3" t="s">
        <v>15</v>
      </c>
      <c r="F65" s="3" t="s">
        <v>277</v>
      </c>
      <c r="G65" s="41">
        <v>848</v>
      </c>
      <c r="H65" s="41"/>
      <c r="I65" s="40"/>
      <c r="J65" s="40">
        <v>411</v>
      </c>
      <c r="K65" s="21"/>
      <c r="L65" s="132">
        <f t="shared" si="9"/>
        <v>-437</v>
      </c>
      <c r="M65" s="27">
        <f t="shared" si="13"/>
        <v>0.25</v>
      </c>
      <c r="N65" s="20">
        <f t="shared" si="14"/>
        <v>-109.25</v>
      </c>
      <c r="O65" s="12">
        <v>212</v>
      </c>
      <c r="P65" s="10">
        <v>230.02</v>
      </c>
      <c r="Q65" s="52">
        <v>3307.5</v>
      </c>
      <c r="R65" s="10">
        <v>60</v>
      </c>
      <c r="S65" s="103">
        <f t="shared" si="10"/>
        <v>-1.9818594104308389</v>
      </c>
      <c r="T65" s="11">
        <v>1</v>
      </c>
      <c r="U65" s="11">
        <v>2</v>
      </c>
      <c r="V65" s="11">
        <v>1</v>
      </c>
      <c r="W65" s="11">
        <v>1</v>
      </c>
      <c r="X65" s="11"/>
      <c r="Y65" s="11">
        <v>1</v>
      </c>
      <c r="Z65" s="11"/>
      <c r="AA65" s="11">
        <v>1</v>
      </c>
      <c r="AB65" s="11">
        <v>1</v>
      </c>
      <c r="AC65" s="11">
        <v>1</v>
      </c>
      <c r="AD65" s="11">
        <v>1</v>
      </c>
      <c r="AE65" s="11">
        <v>1</v>
      </c>
      <c r="AF65" s="11">
        <v>11</v>
      </c>
      <c r="AG65" s="11">
        <f t="shared" si="12"/>
        <v>1</v>
      </c>
      <c r="AH65" s="53">
        <f t="shared" si="16"/>
        <v>19.272727272727273</v>
      </c>
      <c r="AI65" s="109">
        <f t="shared" si="11"/>
        <v>0.34961863533292104</v>
      </c>
      <c r="AJ65" s="112">
        <f t="shared" si="15"/>
        <v>-1.6322407750979178</v>
      </c>
    </row>
    <row r="66" spans="1:36" x14ac:dyDescent="0.25">
      <c r="A66" s="28" t="s">
        <v>267</v>
      </c>
      <c r="B66" s="16" t="s">
        <v>207</v>
      </c>
      <c r="C66" s="15" t="s">
        <v>249</v>
      </c>
      <c r="D66" s="57">
        <v>110</v>
      </c>
      <c r="E66" s="3" t="s">
        <v>15</v>
      </c>
      <c r="F66" s="3" t="s">
        <v>283</v>
      </c>
      <c r="G66" s="41">
        <v>4925</v>
      </c>
      <c r="H66" s="41">
        <v>2500</v>
      </c>
      <c r="I66" s="40"/>
      <c r="J66" s="40">
        <v>4925</v>
      </c>
      <c r="K66" s="20">
        <f>1590+1100+202.23+74</f>
        <v>2966.23</v>
      </c>
      <c r="L66" s="132">
        <f t="shared" si="9"/>
        <v>0</v>
      </c>
      <c r="M66" s="27">
        <v>0.25</v>
      </c>
      <c r="N66" s="20">
        <f t="shared" si="14"/>
        <v>0</v>
      </c>
      <c r="O66" s="12">
        <f>J66*M66</f>
        <v>1231.25</v>
      </c>
      <c r="P66" s="10">
        <f>O66</f>
        <v>1231.25</v>
      </c>
      <c r="Q66" s="52">
        <v>8949.48</v>
      </c>
      <c r="R66" s="10">
        <v>60</v>
      </c>
      <c r="S66" s="102">
        <f t="shared" si="10"/>
        <v>0</v>
      </c>
      <c r="T66" s="11"/>
      <c r="U66" s="11"/>
      <c r="V66" s="11"/>
      <c r="W66" s="11"/>
      <c r="X66" s="11"/>
      <c r="Y66" s="11"/>
      <c r="Z66" s="11"/>
      <c r="AA66" s="11"/>
      <c r="AB66" s="11"/>
      <c r="AC66" s="11"/>
      <c r="AD66" s="11"/>
      <c r="AE66" s="11"/>
      <c r="AF66" s="11">
        <v>10</v>
      </c>
      <c r="AG66" s="11">
        <f t="shared" si="12"/>
        <v>2</v>
      </c>
      <c r="AH66" s="53">
        <f t="shared" si="16"/>
        <v>123.125</v>
      </c>
      <c r="AI66" s="111">
        <f t="shared" si="11"/>
        <v>1.6509339090092388</v>
      </c>
      <c r="AJ66" s="112">
        <f t="shared" si="15"/>
        <v>1.6509339090092388</v>
      </c>
    </row>
    <row r="67" spans="1:36" x14ac:dyDescent="0.25">
      <c r="A67" s="28" t="s">
        <v>268</v>
      </c>
      <c r="B67" s="16" t="s">
        <v>28</v>
      </c>
      <c r="C67" s="74" t="s">
        <v>317</v>
      </c>
      <c r="D67" s="57">
        <v>54</v>
      </c>
      <c r="E67" s="3" t="s">
        <v>15</v>
      </c>
      <c r="F67" s="71" t="s">
        <v>280</v>
      </c>
      <c r="G67" s="72"/>
      <c r="H67" s="41"/>
      <c r="I67" s="40"/>
      <c r="J67" s="70"/>
      <c r="K67" s="20">
        <v>672.72</v>
      </c>
      <c r="L67" s="132">
        <f t="shared" si="9"/>
        <v>0</v>
      </c>
      <c r="M67" s="27"/>
      <c r="N67" s="20">
        <f t="shared" si="14"/>
        <v>0</v>
      </c>
      <c r="O67" s="12"/>
      <c r="P67" s="10"/>
      <c r="Q67" s="52">
        <v>3248.93</v>
      </c>
      <c r="R67" s="10">
        <v>60</v>
      </c>
      <c r="S67" s="104">
        <f t="shared" ref="S67:S98" si="17">N67/Q67*R67</f>
        <v>0</v>
      </c>
      <c r="T67" s="11"/>
      <c r="U67" s="11"/>
      <c r="V67" s="11"/>
      <c r="W67" s="11"/>
      <c r="X67" s="11"/>
      <c r="Y67" s="11"/>
      <c r="Z67" s="11"/>
      <c r="AA67" s="11"/>
      <c r="AB67" s="11"/>
      <c r="AC67" s="11"/>
      <c r="AD67" s="11"/>
      <c r="AE67" s="11"/>
      <c r="AF67" s="11">
        <v>0</v>
      </c>
      <c r="AG67" s="11">
        <v>0</v>
      </c>
      <c r="AH67" s="11">
        <v>0</v>
      </c>
      <c r="AI67" s="113">
        <v>0</v>
      </c>
      <c r="AJ67" s="110">
        <v>0</v>
      </c>
    </row>
    <row r="68" spans="1:36" x14ac:dyDescent="0.25">
      <c r="A68" s="28" t="s">
        <v>267</v>
      </c>
      <c r="B68" s="16" t="s">
        <v>209</v>
      </c>
      <c r="C68" s="74" t="s">
        <v>226</v>
      </c>
      <c r="D68" s="57">
        <v>27</v>
      </c>
      <c r="E68" s="7" t="s">
        <v>15</v>
      </c>
      <c r="F68" s="73" t="s">
        <v>280</v>
      </c>
      <c r="G68" s="72"/>
      <c r="H68" s="83">
        <v>0</v>
      </c>
      <c r="I68" s="40"/>
      <c r="J68" s="70"/>
      <c r="K68" s="22"/>
      <c r="L68" s="132">
        <f t="shared" si="9"/>
        <v>0</v>
      </c>
      <c r="M68" s="27"/>
      <c r="N68" s="20">
        <f t="shared" si="14"/>
        <v>0</v>
      </c>
      <c r="O68" s="5"/>
      <c r="P68" s="5"/>
      <c r="Q68" s="52">
        <v>1599.37</v>
      </c>
      <c r="R68" s="10">
        <v>60</v>
      </c>
      <c r="S68" s="104">
        <f t="shared" si="17"/>
        <v>0</v>
      </c>
      <c r="T68" s="11"/>
      <c r="U68" s="11"/>
      <c r="V68" s="11"/>
      <c r="W68" s="11"/>
      <c r="X68" s="11"/>
      <c r="Y68" s="11"/>
      <c r="Z68" s="11"/>
      <c r="AA68" s="11"/>
      <c r="AB68" s="11"/>
      <c r="AC68" s="11"/>
      <c r="AD68" s="11"/>
      <c r="AE68" s="11"/>
      <c r="AF68" s="11">
        <v>0</v>
      </c>
      <c r="AG68" s="11">
        <v>0</v>
      </c>
      <c r="AH68" s="11">
        <v>0</v>
      </c>
      <c r="AI68" s="113">
        <v>0</v>
      </c>
      <c r="AJ68" s="110">
        <v>0</v>
      </c>
    </row>
    <row r="69" spans="1:36" x14ac:dyDescent="0.25">
      <c r="A69" s="28" t="s">
        <v>268</v>
      </c>
      <c r="B69" s="16" t="s">
        <v>30</v>
      </c>
      <c r="C69" s="75" t="s">
        <v>272</v>
      </c>
      <c r="D69" s="58">
        <v>55</v>
      </c>
      <c r="E69" s="3" t="s">
        <v>15</v>
      </c>
      <c r="F69" s="71" t="s">
        <v>280</v>
      </c>
      <c r="G69" s="72"/>
      <c r="H69" s="41"/>
      <c r="I69" s="40"/>
      <c r="J69" s="70"/>
      <c r="K69" s="21"/>
      <c r="L69" s="132">
        <f>K69-G69</f>
        <v>0</v>
      </c>
      <c r="M69" s="27"/>
      <c r="N69" s="20">
        <f t="shared" si="14"/>
        <v>0</v>
      </c>
      <c r="O69" s="12"/>
      <c r="P69" s="10"/>
      <c r="Q69" s="52">
        <v>3155.14</v>
      </c>
      <c r="R69" s="10">
        <v>60</v>
      </c>
      <c r="S69" s="104">
        <f t="shared" si="17"/>
        <v>0</v>
      </c>
      <c r="T69" s="11"/>
      <c r="U69" s="11"/>
      <c r="V69" s="11"/>
      <c r="W69" s="11"/>
      <c r="X69" s="11"/>
      <c r="Y69" s="11"/>
      <c r="Z69" s="11"/>
      <c r="AA69" s="11"/>
      <c r="AB69" s="11"/>
      <c r="AC69" s="11"/>
      <c r="AD69" s="11"/>
      <c r="AE69" s="11"/>
      <c r="AF69" s="11">
        <v>0</v>
      </c>
      <c r="AG69" s="11">
        <v>0</v>
      </c>
      <c r="AH69" s="11">
        <v>0</v>
      </c>
      <c r="AI69" s="113">
        <v>0</v>
      </c>
      <c r="AJ69" s="119">
        <v>0</v>
      </c>
    </row>
    <row r="70" spans="1:36" x14ac:dyDescent="0.25">
      <c r="A70" s="28" t="s">
        <v>267</v>
      </c>
      <c r="B70" s="16" t="s">
        <v>211</v>
      </c>
      <c r="C70" s="15" t="s">
        <v>235</v>
      </c>
      <c r="D70" s="57">
        <v>40</v>
      </c>
      <c r="E70" s="3" t="s">
        <v>15</v>
      </c>
      <c r="F70" s="71" t="s">
        <v>280</v>
      </c>
      <c r="G70" s="72"/>
      <c r="H70" s="41"/>
      <c r="I70" s="40">
        <v>82</v>
      </c>
      <c r="J70" s="70"/>
      <c r="K70" s="6">
        <v>564</v>
      </c>
      <c r="L70" s="132">
        <f>K70-G70</f>
        <v>564</v>
      </c>
      <c r="M70" s="27"/>
      <c r="N70" s="20">
        <f t="shared" ref="N70:N101" si="18">L70*M70</f>
        <v>0</v>
      </c>
      <c r="O70" s="6"/>
      <c r="P70" s="6"/>
      <c r="Q70" s="52">
        <v>2344.6600000000008</v>
      </c>
      <c r="R70" s="10">
        <v>60</v>
      </c>
      <c r="S70" s="104">
        <f t="shared" si="17"/>
        <v>0</v>
      </c>
      <c r="T70" s="6"/>
      <c r="U70" s="6"/>
      <c r="V70" s="6"/>
      <c r="W70" s="6"/>
      <c r="X70" s="6"/>
      <c r="Y70" s="6"/>
      <c r="Z70" s="6"/>
      <c r="AA70" s="6"/>
      <c r="AB70" s="6"/>
      <c r="AC70" s="6"/>
      <c r="AD70" s="6"/>
      <c r="AE70" s="6"/>
      <c r="AF70" s="60">
        <v>0</v>
      </c>
      <c r="AG70" s="60">
        <v>0</v>
      </c>
      <c r="AH70" s="6">
        <v>0</v>
      </c>
      <c r="AI70" s="113">
        <v>0</v>
      </c>
      <c r="AJ70" s="121">
        <v>0</v>
      </c>
    </row>
    <row r="71" spans="1:36" x14ac:dyDescent="0.25">
      <c r="A71" s="28" t="s">
        <v>268</v>
      </c>
      <c r="B71" s="16" t="s">
        <v>213</v>
      </c>
      <c r="C71" s="15" t="s">
        <v>241</v>
      </c>
      <c r="D71" s="57">
        <v>30</v>
      </c>
      <c r="E71" s="3" t="s">
        <v>15</v>
      </c>
      <c r="F71" s="71" t="s">
        <v>282</v>
      </c>
      <c r="G71" s="70"/>
      <c r="H71" s="83">
        <v>0</v>
      </c>
      <c r="I71" s="40"/>
      <c r="J71" s="40"/>
      <c r="K71" s="6"/>
      <c r="L71" s="132">
        <f>K71-G71</f>
        <v>0</v>
      </c>
      <c r="M71" s="27"/>
      <c r="N71" s="20">
        <f t="shared" si="18"/>
        <v>0</v>
      </c>
      <c r="O71" s="6"/>
      <c r="P71" s="6"/>
      <c r="Q71" s="52">
        <v>1699.31</v>
      </c>
      <c r="R71" s="10">
        <v>60</v>
      </c>
      <c r="S71" s="104">
        <f t="shared" si="17"/>
        <v>0</v>
      </c>
      <c r="T71" s="6"/>
      <c r="U71" s="6"/>
      <c r="V71" s="6"/>
      <c r="W71" s="6"/>
      <c r="X71" s="6"/>
      <c r="Y71" s="6"/>
      <c r="Z71" s="6"/>
      <c r="AA71" s="6"/>
      <c r="AB71" s="6"/>
      <c r="AC71" s="6"/>
      <c r="AD71" s="6"/>
      <c r="AE71" s="6"/>
      <c r="AF71" s="60">
        <v>0</v>
      </c>
      <c r="AG71" s="60">
        <v>0</v>
      </c>
      <c r="AH71" s="6">
        <v>0</v>
      </c>
      <c r="AI71" s="113">
        <f t="shared" ref="AI71:AI92" si="19">(AG71*AH71)/Q71*60</f>
        <v>0</v>
      </c>
      <c r="AJ71" s="121">
        <f t="shared" ref="AJ71:AJ92" si="20">S71+AI71</f>
        <v>0</v>
      </c>
    </row>
    <row r="72" spans="1:36" x14ac:dyDescent="0.25">
      <c r="A72" s="28" t="s">
        <v>268</v>
      </c>
      <c r="B72" s="16" t="s">
        <v>215</v>
      </c>
      <c r="C72" s="15" t="s">
        <v>179</v>
      </c>
      <c r="D72" s="57">
        <v>34</v>
      </c>
      <c r="E72" s="3" t="s">
        <v>15</v>
      </c>
      <c r="F72" s="3" t="s">
        <v>259</v>
      </c>
      <c r="G72" s="41">
        <v>30</v>
      </c>
      <c r="H72" s="41"/>
      <c r="I72" s="40"/>
      <c r="J72" s="40">
        <v>90</v>
      </c>
      <c r="K72" s="20">
        <v>295.23</v>
      </c>
      <c r="L72" s="132">
        <f t="shared" ref="L72:L88" si="21">J72-G72</f>
        <v>60</v>
      </c>
      <c r="M72" s="27">
        <f>O72/G72</f>
        <v>0.5</v>
      </c>
      <c r="N72" s="20">
        <f t="shared" si="18"/>
        <v>30</v>
      </c>
      <c r="O72" s="54">
        <v>15</v>
      </c>
      <c r="P72" s="55">
        <v>16.28</v>
      </c>
      <c r="Q72" s="52">
        <v>2201.64</v>
      </c>
      <c r="R72" s="10">
        <v>60</v>
      </c>
      <c r="S72" s="102">
        <f t="shared" si="17"/>
        <v>0.81757235515343107</v>
      </c>
      <c r="T72" s="11"/>
      <c r="U72" s="11"/>
      <c r="V72" s="11"/>
      <c r="W72" s="11"/>
      <c r="X72" s="11"/>
      <c r="Y72" s="11"/>
      <c r="Z72" s="11"/>
      <c r="AA72" s="11"/>
      <c r="AB72" s="11"/>
      <c r="AC72" s="11"/>
      <c r="AD72" s="11"/>
      <c r="AE72" s="11"/>
      <c r="AF72" s="11">
        <v>10</v>
      </c>
      <c r="AG72" s="11">
        <f t="shared" ref="AG72:AG92" si="22">12-AF72</f>
        <v>2</v>
      </c>
      <c r="AH72" s="53">
        <f>O72/AF72</f>
        <v>1.5</v>
      </c>
      <c r="AI72" s="109">
        <f t="shared" si="19"/>
        <v>8.1757235515343113E-2</v>
      </c>
      <c r="AJ72" s="110">
        <f t="shared" si="20"/>
        <v>0.89932959066877416</v>
      </c>
    </row>
    <row r="73" spans="1:36" x14ac:dyDescent="0.25">
      <c r="A73" s="28" t="s">
        <v>269</v>
      </c>
      <c r="B73" s="16" t="s">
        <v>217</v>
      </c>
      <c r="C73" s="18" t="s">
        <v>181</v>
      </c>
      <c r="D73" s="58">
        <v>20</v>
      </c>
      <c r="E73" s="7" t="s">
        <v>15</v>
      </c>
      <c r="F73" s="3" t="s">
        <v>259</v>
      </c>
      <c r="G73" s="41">
        <v>587</v>
      </c>
      <c r="H73" s="81">
        <v>0</v>
      </c>
      <c r="I73" s="40"/>
      <c r="J73" s="40">
        <v>587</v>
      </c>
      <c r="K73" s="23"/>
      <c r="L73" s="132">
        <f t="shared" si="21"/>
        <v>0</v>
      </c>
      <c r="M73" s="27">
        <f>O73/G73</f>
        <v>0.19931856899488926</v>
      </c>
      <c r="N73" s="20">
        <f t="shared" si="18"/>
        <v>0</v>
      </c>
      <c r="O73" s="56">
        <v>117</v>
      </c>
      <c r="P73" s="55">
        <v>126.95</v>
      </c>
      <c r="Q73" s="52">
        <v>1279.44</v>
      </c>
      <c r="R73" s="10">
        <v>60</v>
      </c>
      <c r="S73" s="102">
        <f t="shared" si="17"/>
        <v>0</v>
      </c>
      <c r="T73" s="11"/>
      <c r="U73" s="11"/>
      <c r="V73" s="11"/>
      <c r="W73" s="11"/>
      <c r="X73" s="11"/>
      <c r="Y73" s="11"/>
      <c r="Z73" s="11"/>
      <c r="AA73" s="11"/>
      <c r="AB73" s="11"/>
      <c r="AC73" s="11"/>
      <c r="AD73" s="11"/>
      <c r="AE73" s="11"/>
      <c r="AF73" s="11">
        <v>10</v>
      </c>
      <c r="AG73" s="11">
        <f t="shared" si="22"/>
        <v>2</v>
      </c>
      <c r="AH73" s="53">
        <f>O73/AF73</f>
        <v>11.7</v>
      </c>
      <c r="AI73" s="111">
        <f t="shared" si="19"/>
        <v>1.097355092853123</v>
      </c>
      <c r="AJ73" s="110">
        <f t="shared" si="20"/>
        <v>1.097355092853123</v>
      </c>
    </row>
    <row r="74" spans="1:36" x14ac:dyDescent="0.25">
      <c r="A74" s="28" t="s">
        <v>268</v>
      </c>
      <c r="B74" s="16" t="s">
        <v>219</v>
      </c>
      <c r="C74" s="18" t="s">
        <v>183</v>
      </c>
      <c r="D74" s="58">
        <v>11</v>
      </c>
      <c r="E74" s="3" t="s">
        <v>15</v>
      </c>
      <c r="F74" s="3" t="s">
        <v>259</v>
      </c>
      <c r="G74" s="41">
        <v>322</v>
      </c>
      <c r="H74" s="41"/>
      <c r="I74" s="40"/>
      <c r="J74" s="40">
        <v>322</v>
      </c>
      <c r="K74" s="21"/>
      <c r="L74" s="132">
        <f t="shared" si="21"/>
        <v>0</v>
      </c>
      <c r="M74" s="27">
        <f>O74/G74</f>
        <v>0.19875776397515527</v>
      </c>
      <c r="N74" s="20">
        <f t="shared" si="18"/>
        <v>0</v>
      </c>
      <c r="O74" s="54">
        <v>64</v>
      </c>
      <c r="P74" s="55">
        <v>69.44</v>
      </c>
      <c r="Q74" s="52">
        <v>707.24</v>
      </c>
      <c r="R74" s="10">
        <v>60</v>
      </c>
      <c r="S74" s="102">
        <f t="shared" si="17"/>
        <v>0</v>
      </c>
      <c r="T74" s="11"/>
      <c r="U74" s="11"/>
      <c r="V74" s="11"/>
      <c r="W74" s="11"/>
      <c r="X74" s="11"/>
      <c r="Y74" s="11"/>
      <c r="Z74" s="11"/>
      <c r="AA74" s="11"/>
      <c r="AB74" s="11"/>
      <c r="AC74" s="11"/>
      <c r="AD74" s="11"/>
      <c r="AE74" s="11"/>
      <c r="AF74" s="11">
        <v>10</v>
      </c>
      <c r="AG74" s="11">
        <f t="shared" si="22"/>
        <v>2</v>
      </c>
      <c r="AH74" s="53">
        <f>O74/AF74</f>
        <v>6.4</v>
      </c>
      <c r="AI74" s="111">
        <f t="shared" si="19"/>
        <v>1.0859114303489621</v>
      </c>
      <c r="AJ74" s="112">
        <f t="shared" si="20"/>
        <v>1.0859114303489621</v>
      </c>
    </row>
    <row r="75" spans="1:36" x14ac:dyDescent="0.25">
      <c r="A75" s="28" t="s">
        <v>268</v>
      </c>
      <c r="B75" s="16" t="s">
        <v>32</v>
      </c>
      <c r="C75" s="79" t="s">
        <v>187</v>
      </c>
      <c r="D75" s="58">
        <v>16</v>
      </c>
      <c r="E75" s="3" t="s">
        <v>15</v>
      </c>
      <c r="F75" s="76" t="s">
        <v>259</v>
      </c>
      <c r="G75" s="66">
        <v>0</v>
      </c>
      <c r="H75" s="41"/>
      <c r="I75" s="40"/>
      <c r="J75" s="40">
        <v>14</v>
      </c>
      <c r="K75" s="21"/>
      <c r="L75" s="132">
        <f t="shared" si="21"/>
        <v>14</v>
      </c>
      <c r="M75" s="27">
        <v>0.2</v>
      </c>
      <c r="N75" s="20">
        <f t="shared" si="18"/>
        <v>2.8000000000000003</v>
      </c>
      <c r="O75" s="12">
        <f>J75*M75</f>
        <v>2.8000000000000003</v>
      </c>
      <c r="P75" s="10">
        <f>O75*1.085</f>
        <v>3.0380000000000003</v>
      </c>
      <c r="Q75" s="52">
        <v>938.5</v>
      </c>
      <c r="R75" s="10">
        <v>60</v>
      </c>
      <c r="S75" s="102">
        <f t="shared" si="17"/>
        <v>0.17900905700586042</v>
      </c>
      <c r="T75" s="11"/>
      <c r="U75" s="11"/>
      <c r="V75" s="11"/>
      <c r="W75" s="11"/>
      <c r="X75" s="11"/>
      <c r="Y75" s="11"/>
      <c r="Z75" s="11"/>
      <c r="AA75" s="11"/>
      <c r="AB75" s="11"/>
      <c r="AC75" s="11"/>
      <c r="AD75" s="11"/>
      <c r="AE75" s="11"/>
      <c r="AF75" s="11">
        <v>0</v>
      </c>
      <c r="AG75" s="11">
        <f t="shared" si="22"/>
        <v>12</v>
      </c>
      <c r="AH75" s="95">
        <f>P75</f>
        <v>3.0380000000000003</v>
      </c>
      <c r="AI75" s="111">
        <f t="shared" si="19"/>
        <v>2.3306979222163027</v>
      </c>
      <c r="AJ75" s="112">
        <f t="shared" si="20"/>
        <v>2.5097069792221629</v>
      </c>
    </row>
    <row r="76" spans="1:36" x14ac:dyDescent="0.25">
      <c r="A76" s="29" t="s">
        <v>267</v>
      </c>
      <c r="B76" s="17" t="s">
        <v>126</v>
      </c>
      <c r="C76" s="18" t="s">
        <v>194</v>
      </c>
      <c r="D76" s="58">
        <v>24</v>
      </c>
      <c r="E76" s="3" t="s">
        <v>15</v>
      </c>
      <c r="F76" s="3" t="s">
        <v>259</v>
      </c>
      <c r="G76" s="41">
        <v>591</v>
      </c>
      <c r="H76" s="41"/>
      <c r="I76" s="40"/>
      <c r="J76" s="40">
        <v>1002.5</v>
      </c>
      <c r="K76" s="21">
        <f>146.57+11.72+152.67</f>
        <v>310.95999999999998</v>
      </c>
      <c r="L76" s="132">
        <f t="shared" si="21"/>
        <v>411.5</v>
      </c>
      <c r="M76" s="27">
        <f>O76/G76</f>
        <v>0.19966159052453469</v>
      </c>
      <c r="N76" s="20">
        <f t="shared" si="18"/>
        <v>82.160744500846022</v>
      </c>
      <c r="O76" s="54">
        <v>118</v>
      </c>
      <c r="P76" s="55">
        <v>128.03</v>
      </c>
      <c r="Q76" s="52">
        <v>1283.94</v>
      </c>
      <c r="R76" s="10">
        <v>60</v>
      </c>
      <c r="S76" s="105">
        <f t="shared" si="17"/>
        <v>3.839466540532082</v>
      </c>
      <c r="T76" s="11"/>
      <c r="U76" s="11"/>
      <c r="V76" s="11"/>
      <c r="W76" s="11"/>
      <c r="X76" s="11"/>
      <c r="Y76" s="11"/>
      <c r="Z76" s="11"/>
      <c r="AA76" s="11"/>
      <c r="AB76" s="11"/>
      <c r="AC76" s="11"/>
      <c r="AD76" s="11"/>
      <c r="AE76" s="11"/>
      <c r="AF76" s="11">
        <v>10</v>
      </c>
      <c r="AG76" s="11">
        <f t="shared" si="22"/>
        <v>2</v>
      </c>
      <c r="AH76" s="53">
        <f>O76/AF76</f>
        <v>11.8</v>
      </c>
      <c r="AI76" s="111">
        <f t="shared" si="19"/>
        <v>1.1028552736109165</v>
      </c>
      <c r="AJ76" s="114">
        <f t="shared" si="20"/>
        <v>4.9423218141429981</v>
      </c>
    </row>
    <row r="77" spans="1:36" x14ac:dyDescent="0.25">
      <c r="A77" s="28" t="s">
        <v>268</v>
      </c>
      <c r="B77" s="16" t="s">
        <v>34</v>
      </c>
      <c r="C77" s="15" t="s">
        <v>202</v>
      </c>
      <c r="D77" s="57">
        <v>19</v>
      </c>
      <c r="E77" s="7" t="s">
        <v>15</v>
      </c>
      <c r="F77" s="3" t="s">
        <v>259</v>
      </c>
      <c r="G77" s="41">
        <v>136</v>
      </c>
      <c r="H77" s="41"/>
      <c r="I77" s="40"/>
      <c r="J77" s="40">
        <v>117</v>
      </c>
      <c r="K77" s="22">
        <f>253.7+141.36+418.96</f>
        <v>814.02</v>
      </c>
      <c r="L77" s="132">
        <f t="shared" si="21"/>
        <v>-19</v>
      </c>
      <c r="M77" s="27">
        <f>O77/G77</f>
        <v>0.22058823529411764</v>
      </c>
      <c r="N77" s="20">
        <f t="shared" si="18"/>
        <v>-4.1911764705882355</v>
      </c>
      <c r="O77" s="54">
        <v>30</v>
      </c>
      <c r="P77" s="55">
        <v>32.549999999999997</v>
      </c>
      <c r="Q77" s="52">
        <v>1144.28</v>
      </c>
      <c r="R77" s="10">
        <v>60</v>
      </c>
      <c r="S77" s="102">
        <f t="shared" si="17"/>
        <v>-0.21976315957221498</v>
      </c>
      <c r="T77" s="11"/>
      <c r="U77" s="11"/>
      <c r="V77" s="11"/>
      <c r="W77" s="11"/>
      <c r="X77" s="11"/>
      <c r="Y77" s="11"/>
      <c r="Z77" s="11"/>
      <c r="AA77" s="11"/>
      <c r="AB77" s="11"/>
      <c r="AC77" s="11"/>
      <c r="AD77" s="11"/>
      <c r="AE77" s="11"/>
      <c r="AF77" s="11">
        <v>10</v>
      </c>
      <c r="AG77" s="11">
        <f t="shared" si="22"/>
        <v>2</v>
      </c>
      <c r="AH77" s="53">
        <f>O77/AF77</f>
        <v>3</v>
      </c>
      <c r="AI77" s="109">
        <f t="shared" si="19"/>
        <v>0.31460831265074984</v>
      </c>
      <c r="AJ77" s="110">
        <f t="shared" si="20"/>
        <v>9.4845153078534861E-2</v>
      </c>
    </row>
    <row r="78" spans="1:36" x14ac:dyDescent="0.25">
      <c r="A78" s="28" t="s">
        <v>268</v>
      </c>
      <c r="B78" s="16" t="s">
        <v>221</v>
      </c>
      <c r="C78" s="79" t="s">
        <v>275</v>
      </c>
      <c r="D78" s="58">
        <v>14</v>
      </c>
      <c r="E78" s="3" t="s">
        <v>15</v>
      </c>
      <c r="F78" s="76" t="s">
        <v>259</v>
      </c>
      <c r="G78" s="66">
        <v>0</v>
      </c>
      <c r="H78" s="41"/>
      <c r="I78" s="40"/>
      <c r="J78" s="40">
        <v>125</v>
      </c>
      <c r="K78" s="23">
        <f>77.22+431.5+6.75+131.85+43.56+14.46+12.59+16.33+30.66+126.82+159.12</f>
        <v>1050.8600000000001</v>
      </c>
      <c r="L78" s="132">
        <f t="shared" si="21"/>
        <v>125</v>
      </c>
      <c r="M78" s="27">
        <v>0.2</v>
      </c>
      <c r="N78" s="20">
        <f t="shared" si="18"/>
        <v>25</v>
      </c>
      <c r="O78" s="5">
        <f>J78*M78</f>
        <v>25</v>
      </c>
      <c r="P78" s="5">
        <f>O78*1.085</f>
        <v>27.125</v>
      </c>
      <c r="Q78" s="52">
        <v>955.04</v>
      </c>
      <c r="R78" s="10">
        <v>60</v>
      </c>
      <c r="S78" s="103">
        <f t="shared" si="17"/>
        <v>1.5706148433573464</v>
      </c>
      <c r="T78" s="11"/>
      <c r="U78" s="11"/>
      <c r="V78" s="11"/>
      <c r="W78" s="11"/>
      <c r="X78" s="11"/>
      <c r="Y78" s="11"/>
      <c r="Z78" s="11"/>
      <c r="AA78" s="11"/>
      <c r="AB78" s="11"/>
      <c r="AC78" s="11"/>
      <c r="AD78" s="11"/>
      <c r="AE78" s="11"/>
      <c r="AF78" s="11">
        <v>0</v>
      </c>
      <c r="AG78" s="11">
        <f t="shared" si="22"/>
        <v>12</v>
      </c>
      <c r="AH78" s="95">
        <f>P78</f>
        <v>27.125</v>
      </c>
      <c r="AI78" s="116">
        <f t="shared" si="19"/>
        <v>20.449405260512652</v>
      </c>
      <c r="AJ78" s="114">
        <f t="shared" si="20"/>
        <v>22.020020103869999</v>
      </c>
    </row>
    <row r="79" spans="1:36" x14ac:dyDescent="0.25">
      <c r="A79" s="28" t="s">
        <v>268</v>
      </c>
      <c r="B79" s="16" t="s">
        <v>223</v>
      </c>
      <c r="C79" s="15" t="s">
        <v>208</v>
      </c>
      <c r="D79" s="57">
        <v>8</v>
      </c>
      <c r="E79" s="3" t="s">
        <v>15</v>
      </c>
      <c r="F79" s="3" t="s">
        <v>259</v>
      </c>
      <c r="G79" s="41">
        <v>197</v>
      </c>
      <c r="H79" s="41"/>
      <c r="I79" s="40"/>
      <c r="J79" s="40">
        <v>197</v>
      </c>
      <c r="K79" s="20">
        <f>186.65+127.77</f>
        <v>314.42</v>
      </c>
      <c r="L79" s="132">
        <f t="shared" si="21"/>
        <v>0</v>
      </c>
      <c r="M79" s="27">
        <f>O79/G79</f>
        <v>0.20304568527918782</v>
      </c>
      <c r="N79" s="20">
        <f t="shared" si="18"/>
        <v>0</v>
      </c>
      <c r="O79" s="54">
        <v>40</v>
      </c>
      <c r="P79" s="55">
        <v>43.4</v>
      </c>
      <c r="Q79" s="129">
        <v>500.46</v>
      </c>
      <c r="R79" s="10">
        <v>60</v>
      </c>
      <c r="S79" s="102">
        <f t="shared" si="17"/>
        <v>0</v>
      </c>
      <c r="T79" s="11"/>
      <c r="U79" s="11"/>
      <c r="V79" s="11"/>
      <c r="W79" s="11"/>
      <c r="X79" s="11"/>
      <c r="Y79" s="11"/>
      <c r="Z79" s="11"/>
      <c r="AA79" s="11"/>
      <c r="AB79" s="11"/>
      <c r="AC79" s="11"/>
      <c r="AD79" s="11"/>
      <c r="AE79" s="11"/>
      <c r="AF79" s="11">
        <v>10</v>
      </c>
      <c r="AG79" s="11">
        <f t="shared" si="22"/>
        <v>2</v>
      </c>
      <c r="AH79" s="53">
        <f t="shared" ref="AH79:AH92" si="23">O79/AF79</f>
        <v>4</v>
      </c>
      <c r="AI79" s="109">
        <f t="shared" si="19"/>
        <v>0.95911761179714661</v>
      </c>
      <c r="AJ79" s="110">
        <f t="shared" si="20"/>
        <v>0.95911761179714661</v>
      </c>
    </row>
    <row r="80" spans="1:36" x14ac:dyDescent="0.25">
      <c r="A80" s="28" t="s">
        <v>269</v>
      </c>
      <c r="B80" s="16" t="s">
        <v>225</v>
      </c>
      <c r="C80" s="15" t="s">
        <v>210</v>
      </c>
      <c r="D80" s="57">
        <v>12</v>
      </c>
      <c r="E80" s="7" t="s">
        <v>15</v>
      </c>
      <c r="F80" s="3" t="s">
        <v>259</v>
      </c>
      <c r="G80" s="41">
        <v>15</v>
      </c>
      <c r="H80" s="41"/>
      <c r="I80" s="40"/>
      <c r="J80" s="40">
        <v>273</v>
      </c>
      <c r="K80" s="22">
        <f>225.15+14.07+11.06+38.23+23.67</f>
        <v>312.18</v>
      </c>
      <c r="L80" s="132">
        <f t="shared" si="21"/>
        <v>258</v>
      </c>
      <c r="M80" s="27">
        <v>0.2</v>
      </c>
      <c r="N80" s="20">
        <f t="shared" si="18"/>
        <v>51.6</v>
      </c>
      <c r="O80" s="5">
        <f>J80*M80</f>
        <v>54.6</v>
      </c>
      <c r="P80" s="5">
        <f>O80*1.085</f>
        <v>59.241</v>
      </c>
      <c r="Q80" s="52">
        <v>721.36</v>
      </c>
      <c r="R80" s="10">
        <v>60</v>
      </c>
      <c r="S80" s="105">
        <f t="shared" si="17"/>
        <v>4.2918930908284354</v>
      </c>
      <c r="T80" s="11"/>
      <c r="U80" s="11"/>
      <c r="V80" s="11"/>
      <c r="W80" s="11"/>
      <c r="X80" s="11"/>
      <c r="Y80" s="11"/>
      <c r="Z80" s="11"/>
      <c r="AA80" s="11"/>
      <c r="AB80" s="11"/>
      <c r="AC80" s="11"/>
      <c r="AD80" s="11"/>
      <c r="AE80" s="11"/>
      <c r="AF80" s="11">
        <v>10</v>
      </c>
      <c r="AG80" s="11">
        <f t="shared" si="22"/>
        <v>2</v>
      </c>
      <c r="AH80" s="53">
        <f t="shared" si="23"/>
        <v>5.46</v>
      </c>
      <c r="AI80" s="109">
        <f t="shared" si="19"/>
        <v>0.90828435177997113</v>
      </c>
      <c r="AJ80" s="114">
        <f t="shared" si="20"/>
        <v>5.2001774426084069</v>
      </c>
    </row>
    <row r="81" spans="1:36" x14ac:dyDescent="0.25">
      <c r="A81" s="28" t="s">
        <v>267</v>
      </c>
      <c r="B81" s="16" t="s">
        <v>154</v>
      </c>
      <c r="C81" s="15" t="s">
        <v>212</v>
      </c>
      <c r="D81" s="57">
        <v>17</v>
      </c>
      <c r="E81" s="7" t="s">
        <v>15</v>
      </c>
      <c r="F81" s="3" t="s">
        <v>259</v>
      </c>
      <c r="G81" s="41">
        <v>150</v>
      </c>
      <c r="H81" s="41"/>
      <c r="I81" s="40"/>
      <c r="J81" s="40">
        <v>150</v>
      </c>
      <c r="K81" s="22">
        <f>40.06+39.18+43.21+9.03</f>
        <v>131.48000000000002</v>
      </c>
      <c r="L81" s="132">
        <f t="shared" si="21"/>
        <v>0</v>
      </c>
      <c r="M81" s="27">
        <v>0.2</v>
      </c>
      <c r="N81" s="20">
        <f t="shared" si="18"/>
        <v>0</v>
      </c>
      <c r="O81" s="5">
        <f>J81*M81</f>
        <v>30</v>
      </c>
      <c r="P81" s="5">
        <f>O81*1.085</f>
        <v>32.549999999999997</v>
      </c>
      <c r="Q81" s="52">
        <v>1081.49</v>
      </c>
      <c r="R81" s="10">
        <v>60</v>
      </c>
      <c r="S81" s="102">
        <f t="shared" si="17"/>
        <v>0</v>
      </c>
      <c r="T81" s="11"/>
      <c r="U81" s="11"/>
      <c r="V81" s="11"/>
      <c r="W81" s="11"/>
      <c r="X81" s="11"/>
      <c r="Y81" s="11"/>
      <c r="Z81" s="11"/>
      <c r="AA81" s="11"/>
      <c r="AB81" s="11"/>
      <c r="AC81" s="11"/>
      <c r="AD81" s="11"/>
      <c r="AE81" s="11"/>
      <c r="AF81" s="11">
        <v>10</v>
      </c>
      <c r="AG81" s="11">
        <f t="shared" si="22"/>
        <v>2</v>
      </c>
      <c r="AH81" s="53">
        <f t="shared" si="23"/>
        <v>3</v>
      </c>
      <c r="AI81" s="109">
        <f t="shared" si="19"/>
        <v>0.33287409037531557</v>
      </c>
      <c r="AJ81" s="110">
        <f t="shared" si="20"/>
        <v>0.33287409037531557</v>
      </c>
    </row>
    <row r="82" spans="1:36" x14ac:dyDescent="0.25">
      <c r="A82" s="28" t="s">
        <v>269</v>
      </c>
      <c r="B82" s="16" t="s">
        <v>227</v>
      </c>
      <c r="C82" s="15" t="s">
        <v>214</v>
      </c>
      <c r="D82" s="57">
        <v>54</v>
      </c>
      <c r="E82" s="7" t="s">
        <v>15</v>
      </c>
      <c r="F82" s="3" t="s">
        <v>259</v>
      </c>
      <c r="G82" s="41">
        <v>419</v>
      </c>
      <c r="H82" s="41"/>
      <c r="I82" s="40"/>
      <c r="J82" s="40">
        <v>325.3</v>
      </c>
      <c r="K82" s="22">
        <f>480.21+197.78+353.59</f>
        <v>1031.58</v>
      </c>
      <c r="L82" s="132">
        <f t="shared" si="21"/>
        <v>-93.699999999999989</v>
      </c>
      <c r="M82" s="27">
        <v>0.2</v>
      </c>
      <c r="N82" s="20">
        <f t="shared" si="18"/>
        <v>-18.739999999999998</v>
      </c>
      <c r="O82" s="5">
        <f>J82*M82</f>
        <v>65.06</v>
      </c>
      <c r="P82" s="5">
        <f>O82*1.085</f>
        <v>70.590100000000007</v>
      </c>
      <c r="Q82" s="52">
        <v>3445.77</v>
      </c>
      <c r="R82" s="10">
        <v>60</v>
      </c>
      <c r="S82" s="102">
        <f t="shared" si="17"/>
        <v>-0.32631313175284477</v>
      </c>
      <c r="T82" s="11"/>
      <c r="U82" s="11"/>
      <c r="V82" s="11"/>
      <c r="W82" s="11"/>
      <c r="X82" s="11"/>
      <c r="Y82" s="11"/>
      <c r="Z82" s="11"/>
      <c r="AA82" s="11"/>
      <c r="AB82" s="11"/>
      <c r="AC82" s="11"/>
      <c r="AD82" s="11"/>
      <c r="AE82" s="11"/>
      <c r="AF82" s="11">
        <v>10</v>
      </c>
      <c r="AG82" s="11">
        <f t="shared" si="22"/>
        <v>2</v>
      </c>
      <c r="AH82" s="53">
        <f t="shared" si="23"/>
        <v>6.5060000000000002</v>
      </c>
      <c r="AI82" s="109">
        <f t="shared" si="19"/>
        <v>0.22657345092678852</v>
      </c>
      <c r="AJ82" s="110">
        <f t="shared" si="20"/>
        <v>-9.9739680826056248E-2</v>
      </c>
    </row>
    <row r="83" spans="1:36" x14ac:dyDescent="0.25">
      <c r="A83" s="28" t="s">
        <v>268</v>
      </c>
      <c r="B83" s="16" t="s">
        <v>36</v>
      </c>
      <c r="C83" s="15" t="s">
        <v>216</v>
      </c>
      <c r="D83" s="57">
        <v>39</v>
      </c>
      <c r="E83" s="7" t="s">
        <v>15</v>
      </c>
      <c r="F83" s="3" t="s">
        <v>259</v>
      </c>
      <c r="G83" s="41">
        <v>1942</v>
      </c>
      <c r="H83" s="41"/>
      <c r="I83" s="40"/>
      <c r="J83" s="40">
        <v>1800</v>
      </c>
      <c r="K83" s="22">
        <f>1150+347.09</f>
        <v>1497.09</v>
      </c>
      <c r="L83" s="132">
        <f t="shared" si="21"/>
        <v>-142</v>
      </c>
      <c r="M83" s="27">
        <v>0.2</v>
      </c>
      <c r="N83" s="20">
        <f t="shared" si="18"/>
        <v>-28.400000000000002</v>
      </c>
      <c r="O83" s="5">
        <f>J83*M83</f>
        <v>360</v>
      </c>
      <c r="P83" s="5">
        <f>O83*1.085</f>
        <v>390.59999999999997</v>
      </c>
      <c r="Q83" s="52">
        <v>3339.02</v>
      </c>
      <c r="R83" s="10">
        <v>60</v>
      </c>
      <c r="S83" s="102">
        <f t="shared" si="17"/>
        <v>-0.51032937808099388</v>
      </c>
      <c r="T83" s="11"/>
      <c r="U83" s="11"/>
      <c r="V83" s="11"/>
      <c r="W83" s="11"/>
      <c r="X83" s="11"/>
      <c r="Y83" s="11"/>
      <c r="Z83" s="11"/>
      <c r="AA83" s="11"/>
      <c r="AB83" s="11"/>
      <c r="AC83" s="11"/>
      <c r="AD83" s="11"/>
      <c r="AE83" s="11"/>
      <c r="AF83" s="11">
        <v>10</v>
      </c>
      <c r="AG83" s="11">
        <f t="shared" si="22"/>
        <v>2</v>
      </c>
      <c r="AH83" s="53">
        <f t="shared" si="23"/>
        <v>36</v>
      </c>
      <c r="AI83" s="111">
        <f t="shared" si="19"/>
        <v>1.293792789501111</v>
      </c>
      <c r="AJ83" s="110">
        <f t="shared" si="20"/>
        <v>0.78346341142011711</v>
      </c>
    </row>
    <row r="84" spans="1:36" x14ac:dyDescent="0.25">
      <c r="A84" s="29" t="s">
        <v>269</v>
      </c>
      <c r="B84" s="17" t="s">
        <v>101</v>
      </c>
      <c r="C84" s="15" t="s">
        <v>220</v>
      </c>
      <c r="D84" s="57">
        <v>48</v>
      </c>
      <c r="E84" s="7" t="s">
        <v>15</v>
      </c>
      <c r="F84" s="3" t="s">
        <v>259</v>
      </c>
      <c r="G84" s="41">
        <v>1435</v>
      </c>
      <c r="H84" s="41"/>
      <c r="I84" s="40"/>
      <c r="J84" s="40">
        <v>1498.5</v>
      </c>
      <c r="K84" s="22">
        <f>414.52+349.78+47.76+263.35+296.16+158.18+61.44+38.76+52.09+23.77+171.8+188.81</f>
        <v>2066.42</v>
      </c>
      <c r="L84" s="132">
        <f t="shared" si="21"/>
        <v>63.5</v>
      </c>
      <c r="M84" s="27">
        <v>0.2</v>
      </c>
      <c r="N84" s="20">
        <f t="shared" si="18"/>
        <v>12.700000000000001</v>
      </c>
      <c r="O84" s="5">
        <f>J84*M84</f>
        <v>299.7</v>
      </c>
      <c r="P84" s="5">
        <f>O84*1.085</f>
        <v>325.17449999999997</v>
      </c>
      <c r="Q84" s="52">
        <v>3787.02</v>
      </c>
      <c r="R84" s="10">
        <v>60</v>
      </c>
      <c r="S84" s="102">
        <f t="shared" si="17"/>
        <v>0.20121361915173408</v>
      </c>
      <c r="T84" s="11"/>
      <c r="U84" s="11"/>
      <c r="V84" s="11"/>
      <c r="W84" s="11"/>
      <c r="X84" s="11"/>
      <c r="Y84" s="11"/>
      <c r="Z84" s="11"/>
      <c r="AA84" s="11"/>
      <c r="AB84" s="11"/>
      <c r="AC84" s="11"/>
      <c r="AD84" s="11"/>
      <c r="AE84" s="11"/>
      <c r="AF84" s="11">
        <v>10</v>
      </c>
      <c r="AG84" s="11">
        <f t="shared" si="22"/>
        <v>2</v>
      </c>
      <c r="AH84" s="53">
        <f t="shared" si="23"/>
        <v>29.97</v>
      </c>
      <c r="AI84" s="109">
        <f t="shared" si="19"/>
        <v>0.94966490802794801</v>
      </c>
      <c r="AJ84" s="112">
        <f t="shared" si="20"/>
        <v>1.1508785271796822</v>
      </c>
    </row>
    <row r="85" spans="1:36" x14ac:dyDescent="0.25">
      <c r="A85" s="29" t="s">
        <v>268</v>
      </c>
      <c r="B85" s="17" t="s">
        <v>38</v>
      </c>
      <c r="C85" s="15" t="s">
        <v>222</v>
      </c>
      <c r="D85" s="57">
        <v>53</v>
      </c>
      <c r="E85" s="7" t="s">
        <v>15</v>
      </c>
      <c r="F85" s="3" t="s">
        <v>259</v>
      </c>
      <c r="G85" s="41">
        <v>2212</v>
      </c>
      <c r="H85" s="41"/>
      <c r="I85" s="40"/>
      <c r="J85" s="40">
        <v>2087</v>
      </c>
      <c r="K85" s="22">
        <f>321.37+141.92+400.58+2260+15.82+38.1+21.89</f>
        <v>3199.68</v>
      </c>
      <c r="L85" s="132">
        <f t="shared" si="21"/>
        <v>-125</v>
      </c>
      <c r="M85" s="27">
        <v>0.2</v>
      </c>
      <c r="N85" s="20">
        <f t="shared" si="18"/>
        <v>-25</v>
      </c>
      <c r="O85" s="54">
        <v>398</v>
      </c>
      <c r="P85" s="55">
        <v>431.83</v>
      </c>
      <c r="Q85" s="52">
        <v>4113.13</v>
      </c>
      <c r="R85" s="10">
        <v>60</v>
      </c>
      <c r="S85" s="102">
        <f t="shared" si="17"/>
        <v>-0.364685774580429</v>
      </c>
      <c r="T85" s="11"/>
      <c r="U85" s="11"/>
      <c r="V85" s="11"/>
      <c r="W85" s="11"/>
      <c r="X85" s="11"/>
      <c r="Y85" s="11"/>
      <c r="Z85" s="11"/>
      <c r="AA85" s="11"/>
      <c r="AB85" s="11"/>
      <c r="AC85" s="11"/>
      <c r="AD85" s="11"/>
      <c r="AE85" s="11"/>
      <c r="AF85" s="11">
        <v>10</v>
      </c>
      <c r="AG85" s="11">
        <f t="shared" si="22"/>
        <v>2</v>
      </c>
      <c r="AH85" s="53">
        <f t="shared" si="23"/>
        <v>39.799999999999997</v>
      </c>
      <c r="AI85" s="111">
        <f t="shared" si="19"/>
        <v>1.1611595062640858</v>
      </c>
      <c r="AJ85" s="110">
        <f t="shared" si="20"/>
        <v>0.79647373168365676</v>
      </c>
    </row>
    <row r="86" spans="1:36" x14ac:dyDescent="0.25">
      <c r="A86" s="29" t="s">
        <v>267</v>
      </c>
      <c r="B86" s="17" t="s">
        <v>229</v>
      </c>
      <c r="C86" s="15" t="s">
        <v>224</v>
      </c>
      <c r="D86" s="57">
        <v>18</v>
      </c>
      <c r="E86" s="7" t="s">
        <v>15</v>
      </c>
      <c r="F86" s="3" t="s">
        <v>259</v>
      </c>
      <c r="G86" s="41">
        <v>805</v>
      </c>
      <c r="H86" s="83">
        <v>0</v>
      </c>
      <c r="I86" s="40"/>
      <c r="J86" s="40">
        <v>805</v>
      </c>
      <c r="K86" s="22"/>
      <c r="L86" s="132">
        <f t="shared" si="21"/>
        <v>0</v>
      </c>
      <c r="M86" s="27">
        <v>0.2</v>
      </c>
      <c r="N86" s="20">
        <f t="shared" si="18"/>
        <v>0</v>
      </c>
      <c r="O86" s="5">
        <f t="shared" ref="O86:O92" si="24">J86*M86</f>
        <v>161</v>
      </c>
      <c r="P86" s="5">
        <f t="shared" ref="P86:P92" si="25">O86*1.085</f>
        <v>174.685</v>
      </c>
      <c r="Q86" s="52">
        <v>1415.85</v>
      </c>
      <c r="R86" s="10">
        <v>60</v>
      </c>
      <c r="S86" s="102">
        <f t="shared" si="17"/>
        <v>0</v>
      </c>
      <c r="T86" s="11"/>
      <c r="U86" s="11"/>
      <c r="V86" s="11"/>
      <c r="W86" s="11"/>
      <c r="X86" s="11"/>
      <c r="Y86" s="11"/>
      <c r="Z86" s="11"/>
      <c r="AA86" s="11"/>
      <c r="AB86" s="11"/>
      <c r="AC86" s="11"/>
      <c r="AD86" s="11"/>
      <c r="AE86" s="11"/>
      <c r="AF86" s="11">
        <v>10</v>
      </c>
      <c r="AG86" s="11">
        <f t="shared" si="22"/>
        <v>2</v>
      </c>
      <c r="AH86" s="53">
        <f t="shared" si="23"/>
        <v>16.100000000000001</v>
      </c>
      <c r="AI86" s="111">
        <f t="shared" si="19"/>
        <v>1.3645513295899991</v>
      </c>
      <c r="AJ86" s="112">
        <f t="shared" si="20"/>
        <v>1.3645513295899991</v>
      </c>
    </row>
    <row r="87" spans="1:36" x14ac:dyDescent="0.25">
      <c r="A87" s="29" t="s">
        <v>269</v>
      </c>
      <c r="B87" s="17" t="s">
        <v>103</v>
      </c>
      <c r="C87" s="18" t="s">
        <v>261</v>
      </c>
      <c r="D87" s="58">
        <v>23</v>
      </c>
      <c r="E87" s="7" t="s">
        <v>262</v>
      </c>
      <c r="F87" s="7" t="s">
        <v>259</v>
      </c>
      <c r="G87" s="41">
        <v>410</v>
      </c>
      <c r="H87" s="83">
        <v>0</v>
      </c>
      <c r="I87" s="40"/>
      <c r="J87" s="40">
        <v>876</v>
      </c>
      <c r="K87" s="23"/>
      <c r="L87" s="132">
        <f t="shared" si="21"/>
        <v>466</v>
      </c>
      <c r="M87" s="27">
        <v>0.2</v>
      </c>
      <c r="N87" s="20">
        <f t="shared" si="18"/>
        <v>93.2</v>
      </c>
      <c r="O87" s="2">
        <f t="shared" si="24"/>
        <v>175.20000000000002</v>
      </c>
      <c r="P87" s="8">
        <f t="shared" si="25"/>
        <v>190.09200000000001</v>
      </c>
      <c r="Q87" s="52">
        <v>1916.48</v>
      </c>
      <c r="R87" s="10">
        <v>60</v>
      </c>
      <c r="S87" s="103">
        <f t="shared" si="17"/>
        <v>2.9178493905493403</v>
      </c>
      <c r="T87" s="11"/>
      <c r="U87" s="11"/>
      <c r="V87" s="11"/>
      <c r="W87" s="11"/>
      <c r="X87" s="11"/>
      <c r="Y87" s="11"/>
      <c r="Z87" s="11"/>
      <c r="AA87" s="11"/>
      <c r="AB87" s="11"/>
      <c r="AC87" s="11"/>
      <c r="AD87" s="11"/>
      <c r="AE87" s="11"/>
      <c r="AF87" s="11">
        <v>10</v>
      </c>
      <c r="AG87" s="11">
        <f t="shared" si="22"/>
        <v>2</v>
      </c>
      <c r="AH87" s="53">
        <f t="shared" si="23"/>
        <v>17.520000000000003</v>
      </c>
      <c r="AI87" s="111">
        <f t="shared" si="19"/>
        <v>1.0970111871764905</v>
      </c>
      <c r="AJ87" s="114">
        <f t="shared" si="20"/>
        <v>4.0148605777258304</v>
      </c>
    </row>
    <row r="88" spans="1:36" x14ac:dyDescent="0.25">
      <c r="A88" s="29" t="s">
        <v>269</v>
      </c>
      <c r="B88" s="17" t="s">
        <v>286</v>
      </c>
      <c r="C88" s="15" t="s">
        <v>251</v>
      </c>
      <c r="D88" s="57">
        <v>58</v>
      </c>
      <c r="E88" s="3" t="s">
        <v>15</v>
      </c>
      <c r="F88" s="3" t="s">
        <v>259</v>
      </c>
      <c r="G88" s="41">
        <v>654</v>
      </c>
      <c r="H88" s="41"/>
      <c r="I88" s="80">
        <v>200</v>
      </c>
      <c r="J88" s="40">
        <v>1126.2</v>
      </c>
      <c r="K88" s="20"/>
      <c r="L88" s="132">
        <f t="shared" si="21"/>
        <v>472.20000000000005</v>
      </c>
      <c r="M88" s="27">
        <v>0.2</v>
      </c>
      <c r="N88" s="20">
        <f t="shared" si="18"/>
        <v>94.440000000000012</v>
      </c>
      <c r="O88" s="12">
        <f t="shared" si="24"/>
        <v>225.24</v>
      </c>
      <c r="P88" s="10">
        <f t="shared" si="25"/>
        <v>244.3854</v>
      </c>
      <c r="Q88" s="52">
        <v>4263.91</v>
      </c>
      <c r="R88" s="10">
        <v>60</v>
      </c>
      <c r="S88" s="103">
        <f t="shared" si="17"/>
        <v>1.3289211076218779</v>
      </c>
      <c r="T88" s="11"/>
      <c r="U88" s="11"/>
      <c r="V88" s="11"/>
      <c r="W88" s="11"/>
      <c r="X88" s="11"/>
      <c r="Y88" s="11"/>
      <c r="Z88" s="11"/>
      <c r="AA88" s="11"/>
      <c r="AB88" s="11"/>
      <c r="AC88" s="11"/>
      <c r="AD88" s="11"/>
      <c r="AE88" s="11"/>
      <c r="AF88" s="11">
        <v>10</v>
      </c>
      <c r="AG88" s="11">
        <f t="shared" si="22"/>
        <v>2</v>
      </c>
      <c r="AH88" s="53">
        <f t="shared" si="23"/>
        <v>22.524000000000001</v>
      </c>
      <c r="AI88" s="109">
        <f t="shared" si="19"/>
        <v>0.63389705692662368</v>
      </c>
      <c r="AJ88" s="112">
        <f t="shared" si="20"/>
        <v>1.9628181645485014</v>
      </c>
    </row>
    <row r="89" spans="1:36" x14ac:dyDescent="0.25">
      <c r="A89" s="29" t="s">
        <v>268</v>
      </c>
      <c r="B89" s="17" t="s">
        <v>40</v>
      </c>
      <c r="C89" s="15" t="s">
        <v>249</v>
      </c>
      <c r="D89" s="57">
        <v>110</v>
      </c>
      <c r="E89" s="3" t="s">
        <v>284</v>
      </c>
      <c r="F89" s="3" t="s">
        <v>259</v>
      </c>
      <c r="G89" s="41">
        <v>4971</v>
      </c>
      <c r="H89" s="41">
        <v>4397</v>
      </c>
      <c r="I89" s="80">
        <v>190</v>
      </c>
      <c r="J89" s="40">
        <v>4397</v>
      </c>
      <c r="K89" s="20"/>
      <c r="L89" s="133">
        <f>J89+I89-G89</f>
        <v>-384</v>
      </c>
      <c r="M89" s="27">
        <v>0.2</v>
      </c>
      <c r="N89" s="20">
        <f t="shared" si="18"/>
        <v>-76.800000000000011</v>
      </c>
      <c r="O89" s="12">
        <f t="shared" si="24"/>
        <v>879.40000000000009</v>
      </c>
      <c r="P89" s="10">
        <f t="shared" si="25"/>
        <v>954.14900000000011</v>
      </c>
      <c r="Q89" s="52">
        <v>8949.48</v>
      </c>
      <c r="R89" s="10">
        <v>60</v>
      </c>
      <c r="S89" s="102">
        <f t="shared" si="17"/>
        <v>-0.51489025060673921</v>
      </c>
      <c r="T89" s="11"/>
      <c r="U89" s="11"/>
      <c r="V89" s="11"/>
      <c r="W89" s="11"/>
      <c r="X89" s="11"/>
      <c r="Y89" s="11"/>
      <c r="Z89" s="11"/>
      <c r="AA89" s="11"/>
      <c r="AB89" s="11"/>
      <c r="AC89" s="11"/>
      <c r="AD89" s="11"/>
      <c r="AE89" s="11"/>
      <c r="AF89" s="11">
        <v>10</v>
      </c>
      <c r="AG89" s="11">
        <f t="shared" si="22"/>
        <v>2</v>
      </c>
      <c r="AH89" s="53">
        <f t="shared" si="23"/>
        <v>87.940000000000012</v>
      </c>
      <c r="AI89" s="111">
        <f t="shared" si="19"/>
        <v>1.179152308290538</v>
      </c>
      <c r="AJ89" s="110">
        <f t="shared" si="20"/>
        <v>0.66426205768379876</v>
      </c>
    </row>
    <row r="90" spans="1:36" x14ac:dyDescent="0.25">
      <c r="A90" s="29" t="s">
        <v>268</v>
      </c>
      <c r="B90" s="17" t="s">
        <v>42</v>
      </c>
      <c r="C90" s="15" t="s">
        <v>265</v>
      </c>
      <c r="D90" s="57">
        <v>18</v>
      </c>
      <c r="E90" s="3" t="s">
        <v>15</v>
      </c>
      <c r="F90" s="3" t="s">
        <v>259</v>
      </c>
      <c r="G90" s="41">
        <v>270</v>
      </c>
      <c r="H90" s="41"/>
      <c r="I90" s="40"/>
      <c r="J90" s="40">
        <v>179</v>
      </c>
      <c r="K90" s="20"/>
      <c r="L90" s="132">
        <f>J90-G90</f>
        <v>-91</v>
      </c>
      <c r="M90" s="27">
        <v>0.2</v>
      </c>
      <c r="N90" s="20">
        <f t="shared" si="18"/>
        <v>-18.2</v>
      </c>
      <c r="O90" s="12">
        <f t="shared" si="24"/>
        <v>35.800000000000004</v>
      </c>
      <c r="P90" s="10">
        <f t="shared" si="25"/>
        <v>38.843000000000004</v>
      </c>
      <c r="Q90" s="52">
        <v>1130.8599999999999</v>
      </c>
      <c r="R90" s="10">
        <v>60</v>
      </c>
      <c r="S90" s="102">
        <f t="shared" si="17"/>
        <v>-0.96563677201421927</v>
      </c>
      <c r="T90" s="11"/>
      <c r="U90" s="11"/>
      <c r="V90" s="11"/>
      <c r="W90" s="11"/>
      <c r="X90" s="11"/>
      <c r="Y90" s="11"/>
      <c r="Z90" s="11"/>
      <c r="AA90" s="11"/>
      <c r="AB90" s="11"/>
      <c r="AC90" s="11"/>
      <c r="AD90" s="11"/>
      <c r="AE90" s="11"/>
      <c r="AF90" s="11">
        <v>10</v>
      </c>
      <c r="AG90" s="11">
        <f t="shared" si="22"/>
        <v>2</v>
      </c>
      <c r="AH90" s="53">
        <f t="shared" si="23"/>
        <v>3.5800000000000005</v>
      </c>
      <c r="AI90" s="109">
        <f t="shared" si="19"/>
        <v>0.37988787294625337</v>
      </c>
      <c r="AJ90" s="110">
        <f t="shared" si="20"/>
        <v>-0.5857488990679659</v>
      </c>
    </row>
    <row r="91" spans="1:36" x14ac:dyDescent="0.25">
      <c r="A91" s="28" t="s">
        <v>267</v>
      </c>
      <c r="B91" s="16" t="s">
        <v>134</v>
      </c>
      <c r="C91" s="15" t="s">
        <v>266</v>
      </c>
      <c r="D91" s="57">
        <v>24</v>
      </c>
      <c r="E91" s="3" t="s">
        <v>15</v>
      </c>
      <c r="F91" s="3" t="s">
        <v>259</v>
      </c>
      <c r="G91" s="41">
        <v>1318</v>
      </c>
      <c r="H91" s="83">
        <v>0</v>
      </c>
      <c r="I91" s="40"/>
      <c r="J91" s="40">
        <v>1035</v>
      </c>
      <c r="K91" s="20"/>
      <c r="L91" s="132">
        <f>J91-G91</f>
        <v>-283</v>
      </c>
      <c r="M91" s="27">
        <v>0.2</v>
      </c>
      <c r="N91" s="20">
        <f t="shared" si="18"/>
        <v>-56.6</v>
      </c>
      <c r="O91" s="12">
        <f t="shared" si="24"/>
        <v>207</v>
      </c>
      <c r="P91" s="10">
        <f t="shared" si="25"/>
        <v>224.595</v>
      </c>
      <c r="Q91" s="52">
        <v>1832.54</v>
      </c>
      <c r="R91" s="10">
        <v>60</v>
      </c>
      <c r="S91" s="103">
        <f t="shared" si="17"/>
        <v>-1.8531655516387091</v>
      </c>
      <c r="T91" s="11"/>
      <c r="U91" s="11"/>
      <c r="V91" s="11"/>
      <c r="W91" s="11"/>
      <c r="X91" s="11"/>
      <c r="Y91" s="11"/>
      <c r="Z91" s="11"/>
      <c r="AA91" s="11"/>
      <c r="AB91" s="11"/>
      <c r="AC91" s="11"/>
      <c r="AD91" s="11"/>
      <c r="AE91" s="11"/>
      <c r="AF91" s="11">
        <v>10</v>
      </c>
      <c r="AG91" s="11">
        <f t="shared" si="22"/>
        <v>2</v>
      </c>
      <c r="AH91" s="53">
        <f t="shared" si="23"/>
        <v>20.7</v>
      </c>
      <c r="AI91" s="111">
        <f t="shared" si="19"/>
        <v>1.3554956508452749</v>
      </c>
      <c r="AJ91" s="110">
        <f t="shared" si="20"/>
        <v>-0.49766990079343421</v>
      </c>
    </row>
    <row r="92" spans="1:36" x14ac:dyDescent="0.25">
      <c r="A92" s="28" t="s">
        <v>267</v>
      </c>
      <c r="B92" s="16" t="s">
        <v>156</v>
      </c>
      <c r="C92" s="15" t="s">
        <v>237</v>
      </c>
      <c r="D92" s="57">
        <v>35</v>
      </c>
      <c r="E92" s="3" t="s">
        <v>15</v>
      </c>
      <c r="F92" s="3" t="s">
        <v>259</v>
      </c>
      <c r="G92" s="41">
        <v>2022</v>
      </c>
      <c r="H92" s="83">
        <v>0</v>
      </c>
      <c r="I92" s="42"/>
      <c r="J92" s="40">
        <v>2146</v>
      </c>
      <c r="K92" s="6"/>
      <c r="L92" s="132">
        <f>J92-G92</f>
        <v>124</v>
      </c>
      <c r="M92" s="27">
        <v>0.2</v>
      </c>
      <c r="N92" s="20">
        <f t="shared" si="18"/>
        <v>24.8</v>
      </c>
      <c r="O92" s="6">
        <f t="shared" si="24"/>
        <v>429.20000000000005</v>
      </c>
      <c r="P92" s="10">
        <f t="shared" si="25"/>
        <v>465.68200000000002</v>
      </c>
      <c r="Q92" s="52">
        <v>2289.4999999999995</v>
      </c>
      <c r="R92" s="10">
        <v>60</v>
      </c>
      <c r="S92" s="102">
        <f t="shared" si="17"/>
        <v>0.6499235640969645</v>
      </c>
      <c r="T92" s="6"/>
      <c r="U92" s="6"/>
      <c r="V92" s="6"/>
      <c r="W92" s="6"/>
      <c r="X92" s="6"/>
      <c r="Y92" s="6"/>
      <c r="Z92" s="6"/>
      <c r="AA92" s="6"/>
      <c r="AB92" s="6"/>
      <c r="AC92" s="6"/>
      <c r="AD92" s="6"/>
      <c r="AE92" s="6"/>
      <c r="AF92" s="11">
        <v>10</v>
      </c>
      <c r="AG92" s="11">
        <f t="shared" si="22"/>
        <v>2</v>
      </c>
      <c r="AH92" s="53">
        <f t="shared" si="23"/>
        <v>42.92</v>
      </c>
      <c r="AI92" s="111">
        <f t="shared" si="19"/>
        <v>2.2495741428259448</v>
      </c>
      <c r="AJ92" s="122">
        <f t="shared" si="20"/>
        <v>2.8994977069229093</v>
      </c>
    </row>
    <row r="93" spans="1:36" x14ac:dyDescent="0.25">
      <c r="A93" s="28" t="s">
        <v>267</v>
      </c>
      <c r="B93" s="16" t="s">
        <v>158</v>
      </c>
      <c r="C93" s="15" t="s">
        <v>233</v>
      </c>
      <c r="D93" s="57">
        <v>96</v>
      </c>
      <c r="E93" s="3" t="s">
        <v>15</v>
      </c>
      <c r="F93" s="71" t="s">
        <v>338</v>
      </c>
      <c r="G93" s="70">
        <v>0</v>
      </c>
      <c r="H93" s="41"/>
      <c r="I93" s="40"/>
      <c r="J93" s="40">
        <v>0</v>
      </c>
      <c r="K93" s="6"/>
      <c r="L93" s="132">
        <f t="shared" ref="L93:L98" si="26">K93-G93</f>
        <v>0</v>
      </c>
      <c r="M93" s="27"/>
      <c r="N93" s="20">
        <f t="shared" si="18"/>
        <v>0</v>
      </c>
      <c r="O93" s="6"/>
      <c r="P93" s="6"/>
      <c r="Q93" s="52">
        <v>5878.04</v>
      </c>
      <c r="R93" s="10">
        <v>60</v>
      </c>
      <c r="S93" s="104">
        <f t="shared" si="17"/>
        <v>0</v>
      </c>
      <c r="T93" s="6"/>
      <c r="U93" s="6"/>
      <c r="V93" s="6"/>
      <c r="W93" s="6"/>
      <c r="X93" s="6"/>
      <c r="Y93" s="6"/>
      <c r="Z93" s="6"/>
      <c r="AA93" s="6"/>
      <c r="AB93" s="6"/>
      <c r="AC93" s="6"/>
      <c r="AD93" s="6"/>
      <c r="AE93" s="6"/>
      <c r="AF93" s="60">
        <v>0</v>
      </c>
      <c r="AG93" s="94">
        <v>0</v>
      </c>
      <c r="AH93" s="6">
        <v>0</v>
      </c>
      <c r="AI93" s="113">
        <v>0</v>
      </c>
      <c r="AJ93" s="121">
        <v>0</v>
      </c>
    </row>
    <row r="94" spans="1:36" x14ac:dyDescent="0.25">
      <c r="A94" s="28" t="s">
        <v>267</v>
      </c>
      <c r="B94" s="16" t="s">
        <v>136</v>
      </c>
      <c r="C94" s="25" t="s">
        <v>238</v>
      </c>
      <c r="D94" s="59">
        <v>21</v>
      </c>
      <c r="E94" s="3" t="s">
        <v>15</v>
      </c>
      <c r="F94" s="71" t="s">
        <v>338</v>
      </c>
      <c r="G94" s="70">
        <v>0</v>
      </c>
      <c r="H94" s="41">
        <v>767</v>
      </c>
      <c r="I94" s="82"/>
      <c r="J94" s="40">
        <v>0</v>
      </c>
      <c r="K94" s="6">
        <v>750</v>
      </c>
      <c r="L94" s="132">
        <f t="shared" si="26"/>
        <v>750</v>
      </c>
      <c r="M94" s="27"/>
      <c r="N94" s="20">
        <f t="shared" si="18"/>
        <v>0</v>
      </c>
      <c r="O94" s="6"/>
      <c r="P94" s="6"/>
      <c r="Q94" s="52">
        <v>1607.06</v>
      </c>
      <c r="R94" s="10">
        <v>60</v>
      </c>
      <c r="S94" s="104">
        <f t="shared" si="17"/>
        <v>0</v>
      </c>
      <c r="T94" s="6"/>
      <c r="U94" s="6"/>
      <c r="V94" s="6"/>
      <c r="W94" s="6"/>
      <c r="X94" s="6"/>
      <c r="Y94" s="6"/>
      <c r="Z94" s="6"/>
      <c r="AA94" s="6"/>
      <c r="AB94" s="6"/>
      <c r="AC94" s="6"/>
      <c r="AD94" s="6"/>
      <c r="AE94" s="6"/>
      <c r="AF94" s="60">
        <v>0</v>
      </c>
      <c r="AG94" s="11">
        <v>0</v>
      </c>
      <c r="AH94" s="53">
        <v>0</v>
      </c>
      <c r="AI94" s="109">
        <f>(AG94*AH94)/Q94*60</f>
        <v>0</v>
      </c>
      <c r="AJ94" s="121">
        <f>S94+AI94</f>
        <v>0</v>
      </c>
    </row>
    <row r="95" spans="1:36" x14ac:dyDescent="0.25">
      <c r="A95" s="28" t="s">
        <v>269</v>
      </c>
      <c r="B95" s="16" t="s">
        <v>231</v>
      </c>
      <c r="C95" s="15" t="s">
        <v>239</v>
      </c>
      <c r="D95" s="57">
        <v>24</v>
      </c>
      <c r="E95" s="3" t="s">
        <v>15</v>
      </c>
      <c r="F95" s="71" t="s">
        <v>338</v>
      </c>
      <c r="G95" s="70">
        <v>0</v>
      </c>
      <c r="H95" s="41"/>
      <c r="I95" s="40"/>
      <c r="J95" s="40">
        <v>0</v>
      </c>
      <c r="K95" s="6"/>
      <c r="L95" s="132">
        <f t="shared" si="26"/>
        <v>0</v>
      </c>
      <c r="M95" s="27"/>
      <c r="N95" s="20">
        <f t="shared" si="18"/>
        <v>0</v>
      </c>
      <c r="O95" s="6"/>
      <c r="P95" s="6"/>
      <c r="Q95" s="52">
        <v>1541.83</v>
      </c>
      <c r="R95" s="10">
        <v>60</v>
      </c>
      <c r="S95" s="104">
        <f t="shared" si="17"/>
        <v>0</v>
      </c>
      <c r="T95" s="6"/>
      <c r="U95" s="6"/>
      <c r="V95" s="6"/>
      <c r="W95" s="6"/>
      <c r="X95" s="6"/>
      <c r="Y95" s="6"/>
      <c r="Z95" s="6"/>
      <c r="AA95" s="6"/>
      <c r="AB95" s="6"/>
      <c r="AC95" s="6"/>
      <c r="AD95" s="6"/>
      <c r="AE95" s="6"/>
      <c r="AF95" s="60">
        <v>0</v>
      </c>
      <c r="AG95" s="60">
        <v>0</v>
      </c>
      <c r="AH95" s="6">
        <v>0</v>
      </c>
      <c r="AI95" s="113">
        <f>(AG95*AH95)/Q95*60</f>
        <v>0</v>
      </c>
      <c r="AJ95" s="121">
        <f>S95+AI95</f>
        <v>0</v>
      </c>
    </row>
    <row r="96" spans="1:36" x14ac:dyDescent="0.25">
      <c r="A96" s="28"/>
      <c r="B96" s="16"/>
      <c r="C96" s="15" t="s">
        <v>240</v>
      </c>
      <c r="D96" s="57">
        <v>23</v>
      </c>
      <c r="E96" s="3" t="s">
        <v>15</v>
      </c>
      <c r="F96" s="71" t="s">
        <v>281</v>
      </c>
      <c r="G96" s="70"/>
      <c r="H96" s="41"/>
      <c r="I96" s="40"/>
      <c r="J96" s="70"/>
      <c r="K96" s="6"/>
      <c r="L96" s="132">
        <f t="shared" si="26"/>
        <v>0</v>
      </c>
      <c r="M96" s="27"/>
      <c r="N96" s="20">
        <f t="shared" si="18"/>
        <v>0</v>
      </c>
      <c r="O96" s="6"/>
      <c r="P96" s="6"/>
      <c r="Q96" s="52">
        <v>1332.5</v>
      </c>
      <c r="R96" s="10">
        <v>60</v>
      </c>
      <c r="S96" s="104">
        <f t="shared" si="17"/>
        <v>0</v>
      </c>
      <c r="T96" s="6"/>
      <c r="U96" s="6"/>
      <c r="V96" s="6"/>
      <c r="W96" s="6"/>
      <c r="X96" s="6"/>
      <c r="Y96" s="6"/>
      <c r="Z96" s="6"/>
      <c r="AA96" s="6"/>
      <c r="AB96" s="6"/>
      <c r="AC96" s="6"/>
      <c r="AD96" s="6"/>
      <c r="AE96" s="6"/>
      <c r="AF96" s="60">
        <v>0</v>
      </c>
      <c r="AG96" s="60">
        <v>0</v>
      </c>
      <c r="AH96" s="6">
        <v>0</v>
      </c>
      <c r="AI96" s="113">
        <f>(AG96*AH96)/Q96*60</f>
        <v>0</v>
      </c>
      <c r="AJ96" s="121">
        <f>S96+AI96</f>
        <v>0</v>
      </c>
    </row>
    <row r="97" spans="1:36" x14ac:dyDescent="0.25">
      <c r="A97" s="28" t="s">
        <v>268</v>
      </c>
      <c r="B97" s="16" t="s">
        <v>44</v>
      </c>
      <c r="C97" s="74" t="s">
        <v>175</v>
      </c>
      <c r="D97" s="57">
        <v>10</v>
      </c>
      <c r="E97" s="3" t="s">
        <v>15</v>
      </c>
      <c r="F97" s="71" t="s">
        <v>339</v>
      </c>
      <c r="G97" s="70">
        <v>0</v>
      </c>
      <c r="H97" s="40"/>
      <c r="I97" s="40"/>
      <c r="J97" s="40">
        <v>0</v>
      </c>
      <c r="K97" s="20"/>
      <c r="L97" s="132">
        <f t="shared" si="26"/>
        <v>0</v>
      </c>
      <c r="M97" s="27"/>
      <c r="N97" s="20">
        <f t="shared" si="18"/>
        <v>0</v>
      </c>
      <c r="O97" s="12"/>
      <c r="P97" s="10"/>
      <c r="Q97" s="52">
        <v>739.76</v>
      </c>
      <c r="R97" s="10">
        <v>60</v>
      </c>
      <c r="S97" s="104">
        <f t="shared" si="17"/>
        <v>0</v>
      </c>
      <c r="T97" s="11"/>
      <c r="U97" s="11"/>
      <c r="V97" s="11"/>
      <c r="W97" s="11"/>
      <c r="X97" s="11"/>
      <c r="Y97" s="11"/>
      <c r="Z97" s="11"/>
      <c r="AA97" s="11"/>
      <c r="AB97" s="11"/>
      <c r="AC97" s="11"/>
      <c r="AD97" s="11"/>
      <c r="AE97" s="11"/>
      <c r="AF97" s="11">
        <v>0</v>
      </c>
      <c r="AG97" s="11">
        <v>0</v>
      </c>
      <c r="AH97" s="11">
        <v>0</v>
      </c>
      <c r="AI97" s="113">
        <v>0</v>
      </c>
      <c r="AJ97" s="110">
        <v>0</v>
      </c>
    </row>
    <row r="98" spans="1:36" x14ac:dyDescent="0.25">
      <c r="A98" s="28" t="s">
        <v>267</v>
      </c>
      <c r="B98" s="16" t="s">
        <v>168</v>
      </c>
      <c r="C98" s="74" t="s">
        <v>177</v>
      </c>
      <c r="D98" s="57">
        <v>6</v>
      </c>
      <c r="E98" s="3" t="s">
        <v>15</v>
      </c>
      <c r="F98" s="71" t="s">
        <v>339</v>
      </c>
      <c r="G98" s="70">
        <v>0</v>
      </c>
      <c r="H98" s="40"/>
      <c r="I98" s="40"/>
      <c r="J98" s="40">
        <v>0</v>
      </c>
      <c r="K98" s="20"/>
      <c r="L98" s="132">
        <f t="shared" si="26"/>
        <v>0</v>
      </c>
      <c r="M98" s="27"/>
      <c r="N98" s="20">
        <f t="shared" si="18"/>
        <v>0</v>
      </c>
      <c r="O98" s="12"/>
      <c r="P98" s="10"/>
      <c r="Q98" s="52">
        <v>283.04000000000002</v>
      </c>
      <c r="R98" s="10">
        <v>60</v>
      </c>
      <c r="S98" s="104">
        <f t="shared" si="17"/>
        <v>0</v>
      </c>
      <c r="T98" s="11"/>
      <c r="U98" s="11"/>
      <c r="V98" s="11"/>
      <c r="W98" s="11"/>
      <c r="X98" s="11"/>
      <c r="Y98" s="11"/>
      <c r="Z98" s="11"/>
      <c r="AA98" s="11"/>
      <c r="AB98" s="11"/>
      <c r="AC98" s="11"/>
      <c r="AD98" s="11"/>
      <c r="AE98" s="11"/>
      <c r="AF98" s="11">
        <v>0</v>
      </c>
      <c r="AG98" s="11">
        <v>0</v>
      </c>
      <c r="AH98" s="11">
        <v>0</v>
      </c>
      <c r="AI98" s="113">
        <v>0</v>
      </c>
      <c r="AJ98" s="110">
        <v>0</v>
      </c>
    </row>
    <row r="99" spans="1:36" x14ac:dyDescent="0.25">
      <c r="A99" s="28" t="s">
        <v>268</v>
      </c>
      <c r="B99" s="16" t="s">
        <v>46</v>
      </c>
      <c r="C99" s="75" t="s">
        <v>192</v>
      </c>
      <c r="D99" s="58">
        <v>8</v>
      </c>
      <c r="E99" s="3" t="s">
        <v>15</v>
      </c>
      <c r="F99" s="71" t="s">
        <v>339</v>
      </c>
      <c r="G99" s="70">
        <v>0</v>
      </c>
      <c r="H99" s="41"/>
      <c r="I99" s="40"/>
      <c r="J99" s="40">
        <v>0</v>
      </c>
      <c r="K99" s="21"/>
      <c r="L99" s="132">
        <f t="shared" ref="L99:L104" si="27">J99-G99</f>
        <v>0</v>
      </c>
      <c r="M99" s="27"/>
      <c r="N99" s="20">
        <f t="shared" si="18"/>
        <v>0</v>
      </c>
      <c r="O99" s="12"/>
      <c r="P99" s="10"/>
      <c r="Q99" s="52">
        <v>502.54</v>
      </c>
      <c r="R99" s="10">
        <v>60</v>
      </c>
      <c r="S99" s="104">
        <f t="shared" ref="S99:S130" si="28">N99/Q99*R99</f>
        <v>0</v>
      </c>
      <c r="T99" s="11"/>
      <c r="U99" s="11"/>
      <c r="V99" s="11"/>
      <c r="W99" s="11"/>
      <c r="X99" s="11"/>
      <c r="Y99" s="11"/>
      <c r="Z99" s="11"/>
      <c r="AA99" s="11"/>
      <c r="AB99" s="11"/>
      <c r="AC99" s="11"/>
      <c r="AD99" s="11"/>
      <c r="AE99" s="11"/>
      <c r="AF99" s="11">
        <v>0</v>
      </c>
      <c r="AG99" s="11">
        <v>0</v>
      </c>
      <c r="AH99" s="11">
        <v>0</v>
      </c>
      <c r="AI99" s="113">
        <v>0</v>
      </c>
      <c r="AJ99" s="110">
        <v>0</v>
      </c>
    </row>
    <row r="100" spans="1:36" x14ac:dyDescent="0.25">
      <c r="A100" s="28" t="s">
        <v>267</v>
      </c>
      <c r="B100" s="16" t="s">
        <v>229</v>
      </c>
      <c r="C100" s="75" t="s">
        <v>191</v>
      </c>
      <c r="D100" s="58">
        <v>20</v>
      </c>
      <c r="E100" s="7" t="s">
        <v>15</v>
      </c>
      <c r="F100" s="71" t="s">
        <v>339</v>
      </c>
      <c r="G100" s="70">
        <v>0</v>
      </c>
      <c r="H100" s="41"/>
      <c r="I100" s="40"/>
      <c r="J100" s="40">
        <v>0</v>
      </c>
      <c r="K100" s="23"/>
      <c r="L100" s="132">
        <f t="shared" si="27"/>
        <v>0</v>
      </c>
      <c r="M100" s="27"/>
      <c r="N100" s="20">
        <f t="shared" si="18"/>
        <v>0</v>
      </c>
      <c r="O100" s="2"/>
      <c r="P100" s="8"/>
      <c r="Q100" s="52">
        <v>977.69</v>
      </c>
      <c r="R100" s="10">
        <v>60</v>
      </c>
      <c r="S100" s="104">
        <f t="shared" si="28"/>
        <v>0</v>
      </c>
      <c r="T100" s="11"/>
      <c r="U100" s="11"/>
      <c r="V100" s="11"/>
      <c r="W100" s="11"/>
      <c r="X100" s="11"/>
      <c r="Y100" s="11"/>
      <c r="Z100" s="11"/>
      <c r="AA100" s="11"/>
      <c r="AB100" s="11"/>
      <c r="AC100" s="11"/>
      <c r="AD100" s="11"/>
      <c r="AE100" s="11"/>
      <c r="AF100" s="11">
        <v>0</v>
      </c>
      <c r="AG100" s="11">
        <v>0</v>
      </c>
      <c r="AH100" s="11">
        <v>0</v>
      </c>
      <c r="AI100" s="113">
        <v>0</v>
      </c>
      <c r="AJ100" s="110">
        <v>0</v>
      </c>
    </row>
    <row r="101" spans="1:36" x14ac:dyDescent="0.25">
      <c r="A101" s="29" t="s">
        <v>269</v>
      </c>
      <c r="B101" s="17" t="s">
        <v>109</v>
      </c>
      <c r="C101" s="74" t="s">
        <v>206</v>
      </c>
      <c r="D101" s="57">
        <v>6</v>
      </c>
      <c r="E101" s="3" t="s">
        <v>15</v>
      </c>
      <c r="F101" s="71" t="s">
        <v>339</v>
      </c>
      <c r="G101" s="70">
        <v>0</v>
      </c>
      <c r="H101" s="41"/>
      <c r="I101" s="40"/>
      <c r="J101" s="40">
        <v>0</v>
      </c>
      <c r="K101" s="20"/>
      <c r="L101" s="132">
        <f t="shared" si="27"/>
        <v>0</v>
      </c>
      <c r="M101" s="27"/>
      <c r="N101" s="20">
        <f t="shared" si="18"/>
        <v>0</v>
      </c>
      <c r="O101" s="12"/>
      <c r="P101" s="10"/>
      <c r="Q101" s="52">
        <v>509</v>
      </c>
      <c r="R101" s="10">
        <v>60</v>
      </c>
      <c r="S101" s="104">
        <f t="shared" si="28"/>
        <v>0</v>
      </c>
      <c r="T101" s="11"/>
      <c r="U101" s="11"/>
      <c r="V101" s="11"/>
      <c r="W101" s="11"/>
      <c r="X101" s="11"/>
      <c r="Y101" s="11"/>
      <c r="Z101" s="11"/>
      <c r="AA101" s="11"/>
      <c r="AB101" s="11"/>
      <c r="AC101" s="11"/>
      <c r="AD101" s="11"/>
      <c r="AE101" s="11"/>
      <c r="AF101" s="11">
        <v>0</v>
      </c>
      <c r="AG101" s="11">
        <v>0</v>
      </c>
      <c r="AH101" s="11">
        <v>0</v>
      </c>
      <c r="AI101" s="113">
        <v>0</v>
      </c>
      <c r="AJ101" s="110">
        <v>0</v>
      </c>
    </row>
    <row r="102" spans="1:36" x14ac:dyDescent="0.25">
      <c r="A102" s="29" t="s">
        <v>269</v>
      </c>
      <c r="B102" s="17" t="s">
        <v>109</v>
      </c>
      <c r="C102" s="74" t="s">
        <v>218</v>
      </c>
      <c r="D102" s="57">
        <v>16</v>
      </c>
      <c r="E102" s="7" t="s">
        <v>15</v>
      </c>
      <c r="F102" s="71" t="s">
        <v>339</v>
      </c>
      <c r="G102" s="70">
        <v>0</v>
      </c>
      <c r="H102" s="41"/>
      <c r="I102" s="40"/>
      <c r="J102" s="40">
        <v>0</v>
      </c>
      <c r="K102" s="22"/>
      <c r="L102" s="132">
        <f t="shared" si="27"/>
        <v>0</v>
      </c>
      <c r="M102" s="27"/>
      <c r="N102" s="20">
        <f t="shared" ref="N102:N133" si="29">L102*M102</f>
        <v>0</v>
      </c>
      <c r="O102" s="5"/>
      <c r="P102" s="5"/>
      <c r="Q102" s="52">
        <v>1126.0899999999999</v>
      </c>
      <c r="R102" s="10">
        <v>60</v>
      </c>
      <c r="S102" s="104">
        <f t="shared" si="28"/>
        <v>0</v>
      </c>
      <c r="T102" s="11"/>
      <c r="U102" s="11"/>
      <c r="V102" s="11"/>
      <c r="W102" s="11"/>
      <c r="X102" s="11"/>
      <c r="Y102" s="11"/>
      <c r="Z102" s="11"/>
      <c r="AA102" s="11"/>
      <c r="AB102" s="11"/>
      <c r="AC102" s="11"/>
      <c r="AD102" s="11"/>
      <c r="AE102" s="11"/>
      <c r="AF102" s="11">
        <v>0</v>
      </c>
      <c r="AG102" s="11">
        <v>0</v>
      </c>
      <c r="AH102" s="11">
        <v>0</v>
      </c>
      <c r="AI102" s="113">
        <v>0</v>
      </c>
      <c r="AJ102" s="110">
        <v>0</v>
      </c>
    </row>
    <row r="103" spans="1:36" x14ac:dyDescent="0.25">
      <c r="A103" s="29" t="s">
        <v>269</v>
      </c>
      <c r="B103" s="17" t="s">
        <v>105</v>
      </c>
      <c r="C103" s="75" t="s">
        <v>230</v>
      </c>
      <c r="D103" s="58">
        <v>5</v>
      </c>
      <c r="E103" s="3" t="s">
        <v>15</v>
      </c>
      <c r="F103" s="71" t="s">
        <v>339</v>
      </c>
      <c r="G103" s="70">
        <v>0</v>
      </c>
      <c r="H103" s="41"/>
      <c r="I103" s="40"/>
      <c r="J103" s="40">
        <v>0</v>
      </c>
      <c r="K103" s="23"/>
      <c r="L103" s="132">
        <f t="shared" si="27"/>
        <v>0</v>
      </c>
      <c r="M103" s="27"/>
      <c r="N103" s="20">
        <f t="shared" si="29"/>
        <v>0</v>
      </c>
      <c r="O103" s="5"/>
      <c r="P103" s="5"/>
      <c r="Q103" s="52">
        <v>478.81</v>
      </c>
      <c r="R103" s="10">
        <v>60</v>
      </c>
      <c r="S103" s="104">
        <f t="shared" si="28"/>
        <v>0</v>
      </c>
      <c r="T103" s="19"/>
      <c r="U103" s="19"/>
      <c r="V103" s="19"/>
      <c r="W103" s="19"/>
      <c r="X103" s="19"/>
      <c r="Y103" s="19"/>
      <c r="Z103" s="19"/>
      <c r="AA103" s="19"/>
      <c r="AB103" s="19"/>
      <c r="AC103" s="19"/>
      <c r="AD103" s="19"/>
      <c r="AE103" s="19"/>
      <c r="AF103" s="11">
        <v>0</v>
      </c>
      <c r="AG103" s="19">
        <v>0</v>
      </c>
      <c r="AH103" s="19">
        <v>0</v>
      </c>
      <c r="AI103" s="113">
        <v>0</v>
      </c>
      <c r="AJ103" s="110">
        <v>0</v>
      </c>
    </row>
    <row r="104" spans="1:36" x14ac:dyDescent="0.25">
      <c r="A104" s="29" t="s">
        <v>267</v>
      </c>
      <c r="B104" s="17" t="s">
        <v>260</v>
      </c>
      <c r="C104" s="75" t="s">
        <v>274</v>
      </c>
      <c r="D104" s="59">
        <v>9</v>
      </c>
      <c r="E104" s="3"/>
      <c r="F104" s="71" t="s">
        <v>339</v>
      </c>
      <c r="G104" s="70">
        <v>0</v>
      </c>
      <c r="H104" s="41"/>
      <c r="I104" s="40"/>
      <c r="J104" s="40">
        <v>0</v>
      </c>
      <c r="K104" s="20"/>
      <c r="L104" s="132">
        <f t="shared" si="27"/>
        <v>0</v>
      </c>
      <c r="M104" s="27"/>
      <c r="N104" s="20">
        <f t="shared" si="29"/>
        <v>0</v>
      </c>
      <c r="O104" s="12"/>
      <c r="P104" s="10"/>
      <c r="Q104" s="52">
        <v>809.21</v>
      </c>
      <c r="R104" s="10">
        <v>60</v>
      </c>
      <c r="S104" s="104">
        <f t="shared" si="28"/>
        <v>0</v>
      </c>
      <c r="T104" s="11"/>
      <c r="U104" s="11"/>
      <c r="V104" s="11"/>
      <c r="W104" s="11"/>
      <c r="X104" s="11"/>
      <c r="Y104" s="11"/>
      <c r="Z104" s="11"/>
      <c r="AA104" s="11"/>
      <c r="AB104" s="11"/>
      <c r="AC104" s="11"/>
      <c r="AD104" s="11"/>
      <c r="AE104" s="11"/>
      <c r="AF104" s="11">
        <v>0</v>
      </c>
      <c r="AG104" s="11">
        <v>0</v>
      </c>
      <c r="AH104" s="53">
        <v>0</v>
      </c>
      <c r="AI104" s="109">
        <f>(AG104*AH104)/Q104*60</f>
        <v>0</v>
      </c>
      <c r="AJ104" s="110">
        <f t="shared" ref="AJ104:AJ129" si="30">S104+AI104</f>
        <v>0</v>
      </c>
    </row>
    <row r="105" spans="1:36" x14ac:dyDescent="0.25">
      <c r="A105" s="29" t="s">
        <v>267</v>
      </c>
      <c r="B105" s="17" t="s">
        <v>128</v>
      </c>
      <c r="C105" s="74" t="s">
        <v>242</v>
      </c>
      <c r="D105" s="57">
        <v>1</v>
      </c>
      <c r="E105" s="3" t="s">
        <v>15</v>
      </c>
      <c r="F105" s="71" t="s">
        <v>339</v>
      </c>
      <c r="G105" s="70">
        <v>0</v>
      </c>
      <c r="H105" s="41"/>
      <c r="I105" s="40"/>
      <c r="J105" s="40">
        <v>0</v>
      </c>
      <c r="K105" s="6"/>
      <c r="L105" s="132">
        <f>K105-G105</f>
        <v>0</v>
      </c>
      <c r="M105" s="27"/>
      <c r="N105" s="20">
        <f t="shared" si="29"/>
        <v>0</v>
      </c>
      <c r="O105" s="6"/>
      <c r="P105" s="6"/>
      <c r="Q105" s="52">
        <v>0</v>
      </c>
      <c r="R105" s="10">
        <v>60</v>
      </c>
      <c r="S105" s="104">
        <v>0</v>
      </c>
      <c r="T105" s="6"/>
      <c r="U105" s="6"/>
      <c r="V105" s="6"/>
      <c r="W105" s="6"/>
      <c r="X105" s="6"/>
      <c r="Y105" s="6"/>
      <c r="Z105" s="6"/>
      <c r="AA105" s="6"/>
      <c r="AB105" s="6"/>
      <c r="AC105" s="6"/>
      <c r="AD105" s="6"/>
      <c r="AE105" s="6"/>
      <c r="AF105" s="60">
        <v>0</v>
      </c>
      <c r="AG105" s="11">
        <v>0</v>
      </c>
      <c r="AH105" s="53">
        <v>0</v>
      </c>
      <c r="AI105" s="109">
        <v>0</v>
      </c>
      <c r="AJ105" s="121">
        <f t="shared" si="30"/>
        <v>0</v>
      </c>
    </row>
    <row r="106" spans="1:36" x14ac:dyDescent="0.25">
      <c r="A106" s="28" t="s">
        <v>267</v>
      </c>
      <c r="B106" s="16" t="s">
        <v>130</v>
      </c>
      <c r="C106" s="78" t="s">
        <v>174</v>
      </c>
      <c r="D106" s="57">
        <v>30</v>
      </c>
      <c r="E106" s="3" t="s">
        <v>15</v>
      </c>
      <c r="F106" s="76" t="s">
        <v>276</v>
      </c>
      <c r="G106" s="66">
        <v>0</v>
      </c>
      <c r="H106" s="62"/>
      <c r="I106" s="40"/>
      <c r="J106" s="40">
        <v>9</v>
      </c>
      <c r="K106" s="20">
        <v>75.63</v>
      </c>
      <c r="L106" s="132">
        <f>J106-G106</f>
        <v>9</v>
      </c>
      <c r="M106" s="27">
        <v>0.21</v>
      </c>
      <c r="N106" s="20">
        <f t="shared" si="29"/>
        <v>1.89</v>
      </c>
      <c r="O106" s="12">
        <f>J106*M106</f>
        <v>1.89</v>
      </c>
      <c r="P106" s="10">
        <f t="shared" ref="P106:P127" si="31">O106</f>
        <v>1.89</v>
      </c>
      <c r="Q106" s="52">
        <v>1951.49</v>
      </c>
      <c r="R106" s="10">
        <v>60</v>
      </c>
      <c r="S106" s="102">
        <f t="shared" ref="S106:S129" si="32">N106/Q106*R106</f>
        <v>5.8109444578245337E-2</v>
      </c>
      <c r="T106" s="11"/>
      <c r="U106" s="11"/>
      <c r="V106" s="11"/>
      <c r="W106" s="11"/>
      <c r="X106" s="11"/>
      <c r="Y106" s="11"/>
      <c r="Z106" s="11"/>
      <c r="AA106" s="11"/>
      <c r="AB106" s="11"/>
      <c r="AC106" s="11"/>
      <c r="AD106" s="11"/>
      <c r="AE106" s="11"/>
      <c r="AF106" s="11">
        <v>0</v>
      </c>
      <c r="AG106" s="11">
        <f t="shared" ref="AG106:AG129" si="33">12-AF106</f>
        <v>12</v>
      </c>
      <c r="AH106" s="53">
        <f>P106</f>
        <v>1.89</v>
      </c>
      <c r="AI106" s="109">
        <f t="shared" ref="AI106:AI129" si="34">(AG106*AH106)/Q106*60</f>
        <v>0.69731333493894399</v>
      </c>
      <c r="AJ106" s="110">
        <f t="shared" si="30"/>
        <v>0.75542277951718928</v>
      </c>
    </row>
    <row r="107" spans="1:36" x14ac:dyDescent="0.25">
      <c r="A107" s="28" t="s">
        <v>268</v>
      </c>
      <c r="B107" s="16" t="s">
        <v>250</v>
      </c>
      <c r="C107" s="15" t="s">
        <v>64</v>
      </c>
      <c r="D107" s="57">
        <v>26</v>
      </c>
      <c r="E107" s="7" t="s">
        <v>15</v>
      </c>
      <c r="F107" s="7" t="s">
        <v>276</v>
      </c>
      <c r="G107" s="41">
        <v>245</v>
      </c>
      <c r="H107" s="41"/>
      <c r="I107" s="40"/>
      <c r="J107" s="40">
        <v>74.7</v>
      </c>
      <c r="K107" s="22">
        <v>244.71</v>
      </c>
      <c r="L107" s="132">
        <f>J107-G107</f>
        <v>-170.3</v>
      </c>
      <c r="M107" s="27">
        <f t="shared" ref="M107:M127" si="35">O107/G107</f>
        <v>0.20816326530612245</v>
      </c>
      <c r="N107" s="20">
        <f t="shared" si="29"/>
        <v>-35.450204081632656</v>
      </c>
      <c r="O107" s="1">
        <v>51</v>
      </c>
      <c r="P107" s="8">
        <f t="shared" si="31"/>
        <v>51</v>
      </c>
      <c r="Q107" s="52">
        <v>1814.1</v>
      </c>
      <c r="R107" s="10">
        <v>60</v>
      </c>
      <c r="S107" s="103">
        <f t="shared" si="32"/>
        <v>-1.1724889724369989</v>
      </c>
      <c r="T107" s="11">
        <v>1</v>
      </c>
      <c r="U107" s="11">
        <v>1</v>
      </c>
      <c r="V107" s="11">
        <v>1</v>
      </c>
      <c r="W107" s="11">
        <v>1</v>
      </c>
      <c r="X107" s="11">
        <v>1</v>
      </c>
      <c r="Y107" s="11"/>
      <c r="Z107" s="11">
        <v>1</v>
      </c>
      <c r="AA107" s="11"/>
      <c r="AB107" s="11">
        <v>1</v>
      </c>
      <c r="AC107" s="11">
        <v>1</v>
      </c>
      <c r="AD107" s="11">
        <v>1</v>
      </c>
      <c r="AE107" s="11">
        <v>1</v>
      </c>
      <c r="AF107" s="11">
        <f t="shared" ref="AF107:AF127" si="36">SUM(T107:AE107)</f>
        <v>10</v>
      </c>
      <c r="AG107" s="11">
        <f t="shared" si="33"/>
        <v>2</v>
      </c>
      <c r="AH107" s="53">
        <f t="shared" ref="AH107:AH127" si="37">O107/AF107</f>
        <v>5.0999999999999996</v>
      </c>
      <c r="AI107" s="109">
        <f t="shared" si="34"/>
        <v>0.33735736728956506</v>
      </c>
      <c r="AJ107" s="110">
        <f t="shared" si="30"/>
        <v>-0.83513160514743379</v>
      </c>
    </row>
    <row r="108" spans="1:36" x14ac:dyDescent="0.25">
      <c r="A108" s="29" t="s">
        <v>269</v>
      </c>
      <c r="B108" s="17" t="s">
        <v>107</v>
      </c>
      <c r="C108" s="18" t="s">
        <v>66</v>
      </c>
      <c r="D108" s="58">
        <v>23</v>
      </c>
      <c r="E108" s="7" t="s">
        <v>15</v>
      </c>
      <c r="F108" s="7" t="s">
        <v>276</v>
      </c>
      <c r="G108" s="41">
        <v>224</v>
      </c>
      <c r="H108" s="41"/>
      <c r="I108" s="40"/>
      <c r="J108" s="40">
        <v>231.8</v>
      </c>
      <c r="K108" s="23"/>
      <c r="L108" s="132">
        <f>J108-G108</f>
        <v>7.8000000000000114</v>
      </c>
      <c r="M108" s="27">
        <f t="shared" si="35"/>
        <v>0.20982142857142858</v>
      </c>
      <c r="N108" s="20">
        <f t="shared" si="29"/>
        <v>1.6366071428571454</v>
      </c>
      <c r="O108" s="2">
        <v>47</v>
      </c>
      <c r="P108" s="8">
        <f t="shared" si="31"/>
        <v>47</v>
      </c>
      <c r="Q108" s="52">
        <v>1716.5</v>
      </c>
      <c r="R108" s="10">
        <v>60</v>
      </c>
      <c r="S108" s="102">
        <f t="shared" si="32"/>
        <v>5.7207357163663687E-2</v>
      </c>
      <c r="T108" s="11">
        <v>1</v>
      </c>
      <c r="U108" s="11">
        <v>1</v>
      </c>
      <c r="V108" s="11">
        <v>1</v>
      </c>
      <c r="W108" s="11">
        <v>1</v>
      </c>
      <c r="X108" s="11">
        <v>1</v>
      </c>
      <c r="Y108" s="11"/>
      <c r="Z108" s="11">
        <v>1</v>
      </c>
      <c r="AA108" s="11"/>
      <c r="AB108" s="11">
        <v>1</v>
      </c>
      <c r="AC108" s="11">
        <v>1</v>
      </c>
      <c r="AD108" s="11">
        <v>1</v>
      </c>
      <c r="AE108" s="11">
        <v>1</v>
      </c>
      <c r="AF108" s="11">
        <f t="shared" si="36"/>
        <v>10</v>
      </c>
      <c r="AG108" s="11">
        <f t="shared" si="33"/>
        <v>2</v>
      </c>
      <c r="AH108" s="53">
        <f t="shared" si="37"/>
        <v>4.7</v>
      </c>
      <c r="AI108" s="109">
        <f t="shared" si="34"/>
        <v>0.32857558986309354</v>
      </c>
      <c r="AJ108" s="110">
        <f t="shared" si="30"/>
        <v>0.38578294702675725</v>
      </c>
    </row>
    <row r="109" spans="1:36" x14ac:dyDescent="0.25">
      <c r="A109" s="29" t="s">
        <v>268</v>
      </c>
      <c r="B109" s="17" t="s">
        <v>48</v>
      </c>
      <c r="C109" s="18" t="s">
        <v>68</v>
      </c>
      <c r="D109" s="58">
        <v>36</v>
      </c>
      <c r="E109" s="7" t="s">
        <v>15</v>
      </c>
      <c r="F109" s="7" t="s">
        <v>276</v>
      </c>
      <c r="G109" s="41">
        <v>42</v>
      </c>
      <c r="H109" s="41"/>
      <c r="I109" s="40"/>
      <c r="J109" s="40">
        <v>388</v>
      </c>
      <c r="K109" s="23">
        <f>370.63+36.31</f>
        <v>406.94</v>
      </c>
      <c r="L109" s="132">
        <f>J109-G109</f>
        <v>346</v>
      </c>
      <c r="M109" s="27">
        <f t="shared" si="35"/>
        <v>0.21428571428571427</v>
      </c>
      <c r="N109" s="20">
        <f t="shared" si="29"/>
        <v>74.142857142857139</v>
      </c>
      <c r="O109" s="2">
        <v>9</v>
      </c>
      <c r="P109" s="8">
        <f t="shared" si="31"/>
        <v>9</v>
      </c>
      <c r="Q109" s="52">
        <v>2246.31</v>
      </c>
      <c r="R109" s="10">
        <v>60</v>
      </c>
      <c r="S109" s="103">
        <f t="shared" si="32"/>
        <v>1.9803906978873926</v>
      </c>
      <c r="T109" s="11">
        <v>1</v>
      </c>
      <c r="U109" s="11">
        <v>1</v>
      </c>
      <c r="V109" s="11">
        <v>1</v>
      </c>
      <c r="W109" s="11">
        <v>1</v>
      </c>
      <c r="X109" s="11">
        <v>1</v>
      </c>
      <c r="Y109" s="11"/>
      <c r="Z109" s="11">
        <v>1</v>
      </c>
      <c r="AA109" s="11"/>
      <c r="AB109" s="11">
        <v>1</v>
      </c>
      <c r="AC109" s="11">
        <v>1</v>
      </c>
      <c r="AD109" s="11">
        <v>1</v>
      </c>
      <c r="AE109" s="11">
        <v>1</v>
      </c>
      <c r="AF109" s="11">
        <f t="shared" si="36"/>
        <v>10</v>
      </c>
      <c r="AG109" s="11">
        <f t="shared" si="33"/>
        <v>2</v>
      </c>
      <c r="AH109" s="53">
        <f t="shared" si="37"/>
        <v>0.9</v>
      </c>
      <c r="AI109" s="109">
        <f t="shared" si="34"/>
        <v>4.8078849312873116E-2</v>
      </c>
      <c r="AJ109" s="112">
        <f t="shared" si="30"/>
        <v>2.0284695472002658</v>
      </c>
    </row>
    <row r="110" spans="1:36" x14ac:dyDescent="0.25">
      <c r="A110" s="29" t="s">
        <v>268</v>
      </c>
      <c r="B110" s="17" t="s">
        <v>50</v>
      </c>
      <c r="C110" s="18" t="s">
        <v>70</v>
      </c>
      <c r="D110" s="58">
        <v>30</v>
      </c>
      <c r="E110" s="7" t="s">
        <v>15</v>
      </c>
      <c r="F110" s="7" t="s">
        <v>276</v>
      </c>
      <c r="G110" s="41">
        <v>771</v>
      </c>
      <c r="H110" s="41">
        <v>836</v>
      </c>
      <c r="I110" s="40"/>
      <c r="J110" s="40">
        <v>163</v>
      </c>
      <c r="K110" s="23">
        <v>4069.29</v>
      </c>
      <c r="L110" s="132">
        <f>(J110+H110)-G110</f>
        <v>228</v>
      </c>
      <c r="M110" s="27">
        <f t="shared" si="35"/>
        <v>0.21011673151750973</v>
      </c>
      <c r="N110" s="20">
        <f t="shared" si="29"/>
        <v>47.906614785992218</v>
      </c>
      <c r="O110" s="2">
        <v>162</v>
      </c>
      <c r="P110" s="8">
        <f t="shared" si="31"/>
        <v>162</v>
      </c>
      <c r="Q110" s="52">
        <v>2125.98</v>
      </c>
      <c r="R110" s="10">
        <v>60</v>
      </c>
      <c r="S110" s="103">
        <f t="shared" si="32"/>
        <v>1.3520338324723342</v>
      </c>
      <c r="T110" s="11">
        <v>1</v>
      </c>
      <c r="U110" s="11">
        <v>1</v>
      </c>
      <c r="V110" s="11">
        <v>1</v>
      </c>
      <c r="W110" s="11">
        <v>1</v>
      </c>
      <c r="X110" s="11">
        <v>1</v>
      </c>
      <c r="Y110" s="11"/>
      <c r="Z110" s="11">
        <v>1</v>
      </c>
      <c r="AA110" s="11"/>
      <c r="AB110" s="11">
        <v>1</v>
      </c>
      <c r="AC110" s="11">
        <v>1</v>
      </c>
      <c r="AD110" s="11">
        <v>1</v>
      </c>
      <c r="AE110" s="11">
        <v>1</v>
      </c>
      <c r="AF110" s="11">
        <f t="shared" si="36"/>
        <v>10</v>
      </c>
      <c r="AG110" s="11">
        <f t="shared" si="33"/>
        <v>2</v>
      </c>
      <c r="AH110" s="53">
        <f t="shared" si="37"/>
        <v>16.2</v>
      </c>
      <c r="AI110" s="109">
        <f t="shared" si="34"/>
        <v>0.91440182880365761</v>
      </c>
      <c r="AJ110" s="112">
        <f t="shared" si="30"/>
        <v>2.2664356612759917</v>
      </c>
    </row>
    <row r="111" spans="1:36" x14ac:dyDescent="0.25">
      <c r="A111" s="28" t="s">
        <v>267</v>
      </c>
      <c r="B111" s="16" t="s">
        <v>162</v>
      </c>
      <c r="C111" s="18" t="s">
        <v>72</v>
      </c>
      <c r="D111" s="58">
        <v>12</v>
      </c>
      <c r="E111" s="7" t="s">
        <v>15</v>
      </c>
      <c r="F111" s="7" t="s">
        <v>276</v>
      </c>
      <c r="G111" s="41">
        <v>70</v>
      </c>
      <c r="H111" s="41"/>
      <c r="I111" s="40"/>
      <c r="J111" s="40">
        <v>60.5</v>
      </c>
      <c r="K111" s="23">
        <f>14.3+24.4+51.2</f>
        <v>89.9</v>
      </c>
      <c r="L111" s="132">
        <f>J111-G111</f>
        <v>-9.5</v>
      </c>
      <c r="M111" s="27">
        <f t="shared" si="35"/>
        <v>0.21428571428571427</v>
      </c>
      <c r="N111" s="20">
        <f t="shared" si="29"/>
        <v>-2.0357142857142856</v>
      </c>
      <c r="O111" s="2">
        <v>15</v>
      </c>
      <c r="P111" s="8">
        <f t="shared" si="31"/>
        <v>15</v>
      </c>
      <c r="Q111" s="52">
        <v>809.92</v>
      </c>
      <c r="R111" s="10">
        <v>60</v>
      </c>
      <c r="S111" s="102">
        <f t="shared" si="32"/>
        <v>-0.15080854546480782</v>
      </c>
      <c r="T111" s="11">
        <v>1</v>
      </c>
      <c r="U111" s="11">
        <v>1</v>
      </c>
      <c r="V111" s="11">
        <v>1</v>
      </c>
      <c r="W111" s="11">
        <v>1</v>
      </c>
      <c r="X111" s="11">
        <v>1</v>
      </c>
      <c r="Y111" s="11"/>
      <c r="Z111" s="11">
        <v>1</v>
      </c>
      <c r="AA111" s="11"/>
      <c r="AB111" s="11">
        <v>1</v>
      </c>
      <c r="AC111" s="11">
        <v>1</v>
      </c>
      <c r="AD111" s="11">
        <v>1</v>
      </c>
      <c r="AE111" s="11">
        <v>1</v>
      </c>
      <c r="AF111" s="11">
        <f t="shared" si="36"/>
        <v>10</v>
      </c>
      <c r="AG111" s="11">
        <f t="shared" si="33"/>
        <v>2</v>
      </c>
      <c r="AH111" s="53">
        <f t="shared" si="37"/>
        <v>1.5</v>
      </c>
      <c r="AI111" s="109">
        <f t="shared" si="34"/>
        <v>0.22224417226392731</v>
      </c>
      <c r="AJ111" s="110">
        <f t="shared" si="30"/>
        <v>7.1435626799119495E-2</v>
      </c>
    </row>
    <row r="112" spans="1:36" x14ac:dyDescent="0.25">
      <c r="A112" s="28" t="s">
        <v>268</v>
      </c>
      <c r="B112" s="16" t="s">
        <v>232</v>
      </c>
      <c r="C112" s="18" t="s">
        <v>74</v>
      </c>
      <c r="D112" s="58">
        <v>22</v>
      </c>
      <c r="E112" s="7" t="s">
        <v>15</v>
      </c>
      <c r="F112" s="7" t="s">
        <v>276</v>
      </c>
      <c r="G112" s="41">
        <v>130</v>
      </c>
      <c r="H112" s="41"/>
      <c r="I112" s="40"/>
      <c r="J112" s="40">
        <v>146.85</v>
      </c>
      <c r="K112" s="23"/>
      <c r="L112" s="133">
        <f>J112-G112</f>
        <v>16.849999999999994</v>
      </c>
      <c r="M112" s="27">
        <f t="shared" si="35"/>
        <v>0.2076923076923077</v>
      </c>
      <c r="N112" s="20">
        <f t="shared" si="29"/>
        <v>3.4996153846153835</v>
      </c>
      <c r="O112" s="2">
        <v>27</v>
      </c>
      <c r="P112" s="8">
        <f t="shared" si="31"/>
        <v>27</v>
      </c>
      <c r="Q112" s="52">
        <v>1282.17</v>
      </c>
      <c r="R112" s="10">
        <v>60</v>
      </c>
      <c r="S112" s="102">
        <f t="shared" si="32"/>
        <v>0.16376683519106125</v>
      </c>
      <c r="T112" s="11">
        <v>1</v>
      </c>
      <c r="U112" s="11">
        <v>1</v>
      </c>
      <c r="V112" s="11">
        <v>1</v>
      </c>
      <c r="W112" s="11">
        <v>1</v>
      </c>
      <c r="X112" s="11">
        <v>1</v>
      </c>
      <c r="Y112" s="11"/>
      <c r="Z112" s="11">
        <v>1</v>
      </c>
      <c r="AA112" s="11"/>
      <c r="AB112" s="11">
        <v>1</v>
      </c>
      <c r="AC112" s="11">
        <v>1</v>
      </c>
      <c r="AD112" s="11">
        <v>1</v>
      </c>
      <c r="AE112" s="11">
        <v>1</v>
      </c>
      <c r="AF112" s="11">
        <f t="shared" si="36"/>
        <v>10</v>
      </c>
      <c r="AG112" s="11">
        <f t="shared" si="33"/>
        <v>2</v>
      </c>
      <c r="AH112" s="53">
        <f t="shared" si="37"/>
        <v>2.7</v>
      </c>
      <c r="AI112" s="109">
        <f t="shared" si="34"/>
        <v>0.25269660029481272</v>
      </c>
      <c r="AJ112" s="110">
        <f t="shared" si="30"/>
        <v>0.41646343548587395</v>
      </c>
    </row>
    <row r="113" spans="1:36" x14ac:dyDescent="0.25">
      <c r="A113" s="28" t="s">
        <v>268</v>
      </c>
      <c r="B113" s="16" t="s">
        <v>232</v>
      </c>
      <c r="C113" s="18" t="s">
        <v>76</v>
      </c>
      <c r="D113" s="58">
        <v>44</v>
      </c>
      <c r="E113" s="7" t="s">
        <v>15</v>
      </c>
      <c r="F113" s="7" t="s">
        <v>276</v>
      </c>
      <c r="G113" s="41">
        <v>502</v>
      </c>
      <c r="H113" s="41"/>
      <c r="I113" s="40"/>
      <c r="J113" s="40">
        <v>603</v>
      </c>
      <c r="K113" s="23">
        <v>1523.82</v>
      </c>
      <c r="L113" s="132">
        <f>J113-G113</f>
        <v>101</v>
      </c>
      <c r="M113" s="27">
        <f t="shared" si="35"/>
        <v>0.20916334661354583</v>
      </c>
      <c r="N113" s="20">
        <f t="shared" si="29"/>
        <v>21.12549800796813</v>
      </c>
      <c r="O113" s="2">
        <v>105</v>
      </c>
      <c r="P113" s="8">
        <f t="shared" si="31"/>
        <v>105</v>
      </c>
      <c r="Q113" s="52">
        <v>2767.42</v>
      </c>
      <c r="R113" s="10">
        <v>60</v>
      </c>
      <c r="S113" s="102">
        <f t="shared" si="32"/>
        <v>0.45801861679039962</v>
      </c>
      <c r="T113" s="11">
        <v>1</v>
      </c>
      <c r="U113" s="11">
        <v>1</v>
      </c>
      <c r="V113" s="11">
        <v>1</v>
      </c>
      <c r="W113" s="11">
        <v>1</v>
      </c>
      <c r="X113" s="11">
        <v>1</v>
      </c>
      <c r="Y113" s="11"/>
      <c r="Z113" s="11">
        <v>1</v>
      </c>
      <c r="AA113" s="11"/>
      <c r="AB113" s="11">
        <v>1</v>
      </c>
      <c r="AC113" s="11">
        <v>1</v>
      </c>
      <c r="AD113" s="11">
        <v>1</v>
      </c>
      <c r="AE113" s="11">
        <v>1</v>
      </c>
      <c r="AF113" s="11">
        <f t="shared" si="36"/>
        <v>10</v>
      </c>
      <c r="AG113" s="11">
        <f t="shared" si="33"/>
        <v>2</v>
      </c>
      <c r="AH113" s="53">
        <f t="shared" si="37"/>
        <v>10.5</v>
      </c>
      <c r="AI113" s="109">
        <f t="shared" si="34"/>
        <v>0.45529771411639725</v>
      </c>
      <c r="AJ113" s="110">
        <f t="shared" si="30"/>
        <v>0.91331633090679687</v>
      </c>
    </row>
    <row r="114" spans="1:36" x14ac:dyDescent="0.25">
      <c r="A114" s="28" t="s">
        <v>267</v>
      </c>
      <c r="B114" s="16" t="s">
        <v>158</v>
      </c>
      <c r="C114" s="18" t="s">
        <v>78</v>
      </c>
      <c r="D114" s="58">
        <v>40</v>
      </c>
      <c r="E114" s="7" t="s">
        <v>15</v>
      </c>
      <c r="F114" s="7" t="s">
        <v>276</v>
      </c>
      <c r="G114" s="41">
        <v>1544</v>
      </c>
      <c r="H114" s="41"/>
      <c r="I114" s="40"/>
      <c r="J114" s="40">
        <v>1710</v>
      </c>
      <c r="K114" s="23">
        <f>198.9+309.88+1350</f>
        <v>1858.78</v>
      </c>
      <c r="L114" s="132">
        <f>J114-G114</f>
        <v>166</v>
      </c>
      <c r="M114" s="27">
        <f t="shared" si="35"/>
        <v>0.20984455958549222</v>
      </c>
      <c r="N114" s="20">
        <f t="shared" si="29"/>
        <v>34.834196891191709</v>
      </c>
      <c r="O114" s="2">
        <v>324</v>
      </c>
      <c r="P114" s="8">
        <f t="shared" si="31"/>
        <v>324</v>
      </c>
      <c r="Q114" s="52">
        <v>2524.89</v>
      </c>
      <c r="R114" s="10">
        <v>60</v>
      </c>
      <c r="S114" s="102">
        <f t="shared" si="32"/>
        <v>0.82777935413879522</v>
      </c>
      <c r="T114" s="11">
        <v>1</v>
      </c>
      <c r="U114" s="11">
        <v>1</v>
      </c>
      <c r="V114" s="11">
        <v>1</v>
      </c>
      <c r="W114" s="11">
        <v>1</v>
      </c>
      <c r="X114" s="11">
        <v>1</v>
      </c>
      <c r="Y114" s="11"/>
      <c r="Z114" s="11">
        <v>1</v>
      </c>
      <c r="AA114" s="11"/>
      <c r="AB114" s="11">
        <v>1</v>
      </c>
      <c r="AC114" s="11">
        <v>1</v>
      </c>
      <c r="AD114" s="11">
        <v>1</v>
      </c>
      <c r="AE114" s="11">
        <v>1</v>
      </c>
      <c r="AF114" s="11">
        <f t="shared" si="36"/>
        <v>10</v>
      </c>
      <c r="AG114" s="11">
        <f t="shared" si="33"/>
        <v>2</v>
      </c>
      <c r="AH114" s="53">
        <f t="shared" si="37"/>
        <v>32.4</v>
      </c>
      <c r="AI114" s="111">
        <f t="shared" si="34"/>
        <v>1.5398690636027708</v>
      </c>
      <c r="AJ114" s="112">
        <f t="shared" si="30"/>
        <v>2.3676484177415658</v>
      </c>
    </row>
    <row r="115" spans="1:36" x14ac:dyDescent="0.25">
      <c r="A115" s="28" t="s">
        <v>267</v>
      </c>
      <c r="B115" s="16" t="s">
        <v>160</v>
      </c>
      <c r="C115" s="18" t="s">
        <v>80</v>
      </c>
      <c r="D115" s="58">
        <v>45</v>
      </c>
      <c r="E115" s="7" t="s">
        <v>15</v>
      </c>
      <c r="F115" s="7" t="s">
        <v>276</v>
      </c>
      <c r="G115" s="41">
        <v>768</v>
      </c>
      <c r="H115" s="41">
        <v>306</v>
      </c>
      <c r="I115" s="40"/>
      <c r="J115" s="40">
        <v>608</v>
      </c>
      <c r="K115" s="23">
        <v>1850</v>
      </c>
      <c r="L115" s="132">
        <f>(J115+H115)-G115</f>
        <v>146</v>
      </c>
      <c r="M115" s="27">
        <f t="shared" si="35"/>
        <v>0.20963541666666666</v>
      </c>
      <c r="N115" s="20">
        <f t="shared" si="29"/>
        <v>30.606770833333332</v>
      </c>
      <c r="O115" s="2">
        <v>161</v>
      </c>
      <c r="P115" s="8">
        <f t="shared" si="31"/>
        <v>161</v>
      </c>
      <c r="Q115" s="52">
        <v>2682.36</v>
      </c>
      <c r="R115" s="10">
        <v>60</v>
      </c>
      <c r="S115" s="102">
        <f t="shared" si="32"/>
        <v>0.68462333542104703</v>
      </c>
      <c r="T115" s="11">
        <v>1</v>
      </c>
      <c r="U115" s="11">
        <v>1</v>
      </c>
      <c r="V115" s="11">
        <v>1</v>
      </c>
      <c r="W115" s="11">
        <v>1</v>
      </c>
      <c r="X115" s="11">
        <v>1</v>
      </c>
      <c r="Y115" s="11"/>
      <c r="Z115" s="11">
        <v>1</v>
      </c>
      <c r="AA115" s="11"/>
      <c r="AB115" s="11">
        <v>1</v>
      </c>
      <c r="AC115" s="11">
        <v>1</v>
      </c>
      <c r="AD115" s="11">
        <v>1</v>
      </c>
      <c r="AE115" s="11">
        <v>1</v>
      </c>
      <c r="AF115" s="11">
        <f t="shared" si="36"/>
        <v>10</v>
      </c>
      <c r="AG115" s="11">
        <f t="shared" si="33"/>
        <v>2</v>
      </c>
      <c r="AH115" s="53">
        <f t="shared" si="37"/>
        <v>16.100000000000001</v>
      </c>
      <c r="AI115" s="109">
        <f t="shared" si="34"/>
        <v>0.72026126247036193</v>
      </c>
      <c r="AJ115" s="112">
        <f t="shared" si="30"/>
        <v>1.4048845978914088</v>
      </c>
    </row>
    <row r="116" spans="1:36" x14ac:dyDescent="0.25">
      <c r="A116" s="28" t="s">
        <v>267</v>
      </c>
      <c r="B116" s="16" t="s">
        <v>263</v>
      </c>
      <c r="C116" s="18" t="s">
        <v>82</v>
      </c>
      <c r="D116" s="58">
        <v>57</v>
      </c>
      <c r="E116" s="7" t="s">
        <v>15</v>
      </c>
      <c r="F116" s="7" t="s">
        <v>276</v>
      </c>
      <c r="G116" s="41">
        <v>676</v>
      </c>
      <c r="H116" s="41"/>
      <c r="I116" s="40"/>
      <c r="J116" s="40">
        <v>777</v>
      </c>
      <c r="K116" s="23">
        <v>1011.54</v>
      </c>
      <c r="L116" s="132">
        <f>J116-G116</f>
        <v>101</v>
      </c>
      <c r="M116" s="27">
        <f t="shared" si="35"/>
        <v>0.21005917159763313</v>
      </c>
      <c r="N116" s="20">
        <f t="shared" si="29"/>
        <v>21.215976331360945</v>
      </c>
      <c r="O116" s="2">
        <v>142</v>
      </c>
      <c r="P116" s="8">
        <f t="shared" si="31"/>
        <v>142</v>
      </c>
      <c r="Q116" s="52">
        <v>2988.32</v>
      </c>
      <c r="R116" s="10">
        <v>60</v>
      </c>
      <c r="S116" s="102">
        <f t="shared" si="32"/>
        <v>0.42597800097769206</v>
      </c>
      <c r="T116" s="11">
        <v>1</v>
      </c>
      <c r="U116" s="11">
        <v>1</v>
      </c>
      <c r="V116" s="11">
        <v>1</v>
      </c>
      <c r="W116" s="11">
        <v>1</v>
      </c>
      <c r="X116" s="11">
        <v>1</v>
      </c>
      <c r="Y116" s="11"/>
      <c r="Z116" s="11">
        <v>1</v>
      </c>
      <c r="AA116" s="11"/>
      <c r="AB116" s="11">
        <v>1</v>
      </c>
      <c r="AC116" s="11">
        <v>1</v>
      </c>
      <c r="AD116" s="11">
        <v>1</v>
      </c>
      <c r="AE116" s="11">
        <v>1</v>
      </c>
      <c r="AF116" s="11">
        <f t="shared" si="36"/>
        <v>10</v>
      </c>
      <c r="AG116" s="11">
        <f t="shared" si="33"/>
        <v>2</v>
      </c>
      <c r="AH116" s="53">
        <f t="shared" si="37"/>
        <v>14.2</v>
      </c>
      <c r="AI116" s="109">
        <f t="shared" si="34"/>
        <v>0.57022005675429677</v>
      </c>
      <c r="AJ116" s="110">
        <f t="shared" si="30"/>
        <v>0.99619805773198888</v>
      </c>
    </row>
    <row r="117" spans="1:36" x14ac:dyDescent="0.25">
      <c r="A117" s="28" t="s">
        <v>268</v>
      </c>
      <c r="B117" s="16" t="s">
        <v>264</v>
      </c>
      <c r="C117" s="18" t="s">
        <v>84</v>
      </c>
      <c r="D117" s="58">
        <v>32</v>
      </c>
      <c r="E117" s="7" t="s">
        <v>15</v>
      </c>
      <c r="F117" s="7" t="s">
        <v>276</v>
      </c>
      <c r="G117" s="41">
        <v>511</v>
      </c>
      <c r="H117" s="41">
        <v>670</v>
      </c>
      <c r="I117" s="40"/>
      <c r="J117" s="40">
        <v>138.5</v>
      </c>
      <c r="K117" s="23"/>
      <c r="L117" s="132">
        <f>(J117+H117)-G117</f>
        <v>297.5</v>
      </c>
      <c r="M117" s="27">
        <f t="shared" si="35"/>
        <v>0.20939334637964774</v>
      </c>
      <c r="N117" s="20">
        <f t="shared" si="29"/>
        <v>62.294520547945204</v>
      </c>
      <c r="O117" s="2">
        <v>107</v>
      </c>
      <c r="P117" s="8">
        <f t="shared" si="31"/>
        <v>107</v>
      </c>
      <c r="Q117" s="52">
        <v>1824.42</v>
      </c>
      <c r="R117" s="10">
        <v>60</v>
      </c>
      <c r="S117" s="103">
        <f t="shared" si="32"/>
        <v>2.0486901222726739</v>
      </c>
      <c r="T117" s="11">
        <v>1</v>
      </c>
      <c r="U117" s="11">
        <v>1</v>
      </c>
      <c r="V117" s="11">
        <v>1</v>
      </c>
      <c r="W117" s="11">
        <v>1</v>
      </c>
      <c r="X117" s="11">
        <v>1</v>
      </c>
      <c r="Y117" s="11"/>
      <c r="Z117" s="11">
        <v>1</v>
      </c>
      <c r="AA117" s="11"/>
      <c r="AB117" s="11">
        <v>1</v>
      </c>
      <c r="AC117" s="11">
        <v>1</v>
      </c>
      <c r="AD117" s="11">
        <v>1</v>
      </c>
      <c r="AE117" s="11">
        <v>1</v>
      </c>
      <c r="AF117" s="11">
        <f t="shared" si="36"/>
        <v>10</v>
      </c>
      <c r="AG117" s="11">
        <f t="shared" si="33"/>
        <v>2</v>
      </c>
      <c r="AH117" s="53">
        <f t="shared" si="37"/>
        <v>10.7</v>
      </c>
      <c r="AI117" s="109">
        <f t="shared" si="34"/>
        <v>0.7037853125924951</v>
      </c>
      <c r="AJ117" s="112">
        <f t="shared" si="30"/>
        <v>2.7524754348651692</v>
      </c>
    </row>
    <row r="118" spans="1:36" x14ac:dyDescent="0.25">
      <c r="A118" s="33" t="s">
        <v>268</v>
      </c>
      <c r="B118" s="37" t="s">
        <v>292</v>
      </c>
      <c r="C118" s="18" t="s">
        <v>86</v>
      </c>
      <c r="D118" s="58">
        <v>29</v>
      </c>
      <c r="E118" s="7" t="s">
        <v>15</v>
      </c>
      <c r="F118" s="7" t="s">
        <v>276</v>
      </c>
      <c r="G118" s="41">
        <v>662</v>
      </c>
      <c r="H118" s="41"/>
      <c r="I118" s="40"/>
      <c r="J118" s="40">
        <v>639</v>
      </c>
      <c r="K118" s="23">
        <v>521.24</v>
      </c>
      <c r="L118" s="132">
        <f>J118-G118</f>
        <v>-23</v>
      </c>
      <c r="M118" s="27">
        <f t="shared" si="35"/>
        <v>0.20996978851963746</v>
      </c>
      <c r="N118" s="20">
        <f t="shared" si="29"/>
        <v>-4.8293051359516612</v>
      </c>
      <c r="O118" s="2">
        <v>139</v>
      </c>
      <c r="P118" s="8">
        <f t="shared" si="31"/>
        <v>139</v>
      </c>
      <c r="Q118" s="52">
        <v>1675.58</v>
      </c>
      <c r="R118" s="10">
        <v>60</v>
      </c>
      <c r="S118" s="102">
        <f t="shared" si="32"/>
        <v>-0.17293015442837684</v>
      </c>
      <c r="T118" s="11">
        <v>1</v>
      </c>
      <c r="U118" s="11">
        <v>1</v>
      </c>
      <c r="V118" s="11">
        <v>1</v>
      </c>
      <c r="W118" s="11">
        <v>1</v>
      </c>
      <c r="X118" s="11">
        <v>1</v>
      </c>
      <c r="Y118" s="11"/>
      <c r="Z118" s="11">
        <v>1</v>
      </c>
      <c r="AA118" s="11"/>
      <c r="AB118" s="11">
        <v>1</v>
      </c>
      <c r="AC118" s="11">
        <v>1</v>
      </c>
      <c r="AD118" s="11">
        <v>1</v>
      </c>
      <c r="AE118" s="11">
        <v>1</v>
      </c>
      <c r="AF118" s="11">
        <f t="shared" si="36"/>
        <v>10</v>
      </c>
      <c r="AG118" s="11">
        <f t="shared" si="33"/>
        <v>2</v>
      </c>
      <c r="AH118" s="53">
        <f t="shared" si="37"/>
        <v>13.9</v>
      </c>
      <c r="AI118" s="111">
        <f t="shared" si="34"/>
        <v>0.99547619331813464</v>
      </c>
      <c r="AJ118" s="110">
        <f t="shared" si="30"/>
        <v>0.82254603888975786</v>
      </c>
    </row>
    <row r="119" spans="1:36" x14ac:dyDescent="0.25">
      <c r="A119" s="28" t="s">
        <v>268</v>
      </c>
      <c r="B119" s="16" t="s">
        <v>52</v>
      </c>
      <c r="C119" s="18" t="s">
        <v>88</v>
      </c>
      <c r="D119" s="58">
        <v>26</v>
      </c>
      <c r="E119" s="7" t="s">
        <v>15</v>
      </c>
      <c r="F119" s="7" t="s">
        <v>276</v>
      </c>
      <c r="G119" s="41">
        <v>34</v>
      </c>
      <c r="H119" s="41"/>
      <c r="I119" s="40"/>
      <c r="J119" s="40">
        <v>34</v>
      </c>
      <c r="K119" s="23"/>
      <c r="L119" s="132">
        <f>J119-G119</f>
        <v>0</v>
      </c>
      <c r="M119" s="27">
        <f t="shared" si="35"/>
        <v>0.20588235294117646</v>
      </c>
      <c r="N119" s="20">
        <f t="shared" si="29"/>
        <v>0</v>
      </c>
      <c r="O119" s="2">
        <v>7</v>
      </c>
      <c r="P119" s="8">
        <f t="shared" si="31"/>
        <v>7</v>
      </c>
      <c r="Q119" s="52">
        <v>1453.66</v>
      </c>
      <c r="R119" s="10">
        <v>60</v>
      </c>
      <c r="S119" s="102">
        <f t="shared" si="32"/>
        <v>0</v>
      </c>
      <c r="T119" s="11">
        <v>1</v>
      </c>
      <c r="U119" s="11">
        <v>1</v>
      </c>
      <c r="V119" s="11">
        <v>1</v>
      </c>
      <c r="W119" s="11">
        <v>1</v>
      </c>
      <c r="X119" s="11">
        <v>1</v>
      </c>
      <c r="Y119" s="11"/>
      <c r="Z119" s="11">
        <v>1</v>
      </c>
      <c r="AA119" s="11"/>
      <c r="AB119" s="11">
        <v>1</v>
      </c>
      <c r="AC119" s="11">
        <v>1</v>
      </c>
      <c r="AD119" s="11">
        <v>1</v>
      </c>
      <c r="AE119" s="11">
        <v>1</v>
      </c>
      <c r="AF119" s="11">
        <f t="shared" si="36"/>
        <v>10</v>
      </c>
      <c r="AG119" s="11">
        <f t="shared" si="33"/>
        <v>2</v>
      </c>
      <c r="AH119" s="53">
        <f t="shared" si="37"/>
        <v>0.7</v>
      </c>
      <c r="AI119" s="109">
        <f t="shared" si="34"/>
        <v>5.7785176726332148E-2</v>
      </c>
      <c r="AJ119" s="110">
        <f t="shared" si="30"/>
        <v>5.7785176726332148E-2</v>
      </c>
    </row>
    <row r="120" spans="1:36" x14ac:dyDescent="0.25">
      <c r="A120" s="28" t="s">
        <v>268</v>
      </c>
      <c r="B120" s="16" t="s">
        <v>55</v>
      </c>
      <c r="C120" s="18" t="s">
        <v>90</v>
      </c>
      <c r="D120" s="58">
        <v>18</v>
      </c>
      <c r="E120" s="7" t="s">
        <v>15</v>
      </c>
      <c r="F120" s="7" t="s">
        <v>276</v>
      </c>
      <c r="G120" s="41">
        <v>280</v>
      </c>
      <c r="H120" s="41"/>
      <c r="I120" s="40"/>
      <c r="J120" s="40">
        <v>331</v>
      </c>
      <c r="K120" s="23">
        <f>90.19+157.96</f>
        <v>248.15</v>
      </c>
      <c r="L120" s="132">
        <f>J120-G120</f>
        <v>51</v>
      </c>
      <c r="M120" s="27">
        <f t="shared" si="35"/>
        <v>0.21071428571428572</v>
      </c>
      <c r="N120" s="20">
        <f t="shared" si="29"/>
        <v>10.746428571428572</v>
      </c>
      <c r="O120" s="2">
        <v>59</v>
      </c>
      <c r="P120" s="8">
        <f t="shared" si="31"/>
        <v>59</v>
      </c>
      <c r="Q120" s="52">
        <v>1007.53</v>
      </c>
      <c r="R120" s="10">
        <v>60</v>
      </c>
      <c r="S120" s="102">
        <f t="shared" si="32"/>
        <v>0.63996676454866286</v>
      </c>
      <c r="T120" s="11">
        <v>1</v>
      </c>
      <c r="U120" s="11">
        <v>1</v>
      </c>
      <c r="V120" s="11">
        <v>1</v>
      </c>
      <c r="W120" s="11">
        <v>1</v>
      </c>
      <c r="X120" s="11">
        <v>1</v>
      </c>
      <c r="Y120" s="11"/>
      <c r="Z120" s="11">
        <v>1</v>
      </c>
      <c r="AA120" s="11"/>
      <c r="AB120" s="11">
        <v>1</v>
      </c>
      <c r="AC120" s="11">
        <v>1</v>
      </c>
      <c r="AD120" s="11">
        <v>1</v>
      </c>
      <c r="AE120" s="11">
        <v>1</v>
      </c>
      <c r="AF120" s="11">
        <f t="shared" si="36"/>
        <v>10</v>
      </c>
      <c r="AG120" s="11">
        <f t="shared" si="33"/>
        <v>2</v>
      </c>
      <c r="AH120" s="53">
        <f t="shared" si="37"/>
        <v>5.9</v>
      </c>
      <c r="AI120" s="109">
        <f t="shared" si="34"/>
        <v>0.70270860421029657</v>
      </c>
      <c r="AJ120" s="112">
        <f t="shared" si="30"/>
        <v>1.3426753687589594</v>
      </c>
    </row>
    <row r="121" spans="1:36" x14ac:dyDescent="0.25">
      <c r="A121" s="28" t="s">
        <v>268</v>
      </c>
      <c r="B121" s="16" t="s">
        <v>61</v>
      </c>
      <c r="C121" s="18" t="s">
        <v>92</v>
      </c>
      <c r="D121" s="58">
        <v>45</v>
      </c>
      <c r="E121" s="7" t="s">
        <v>15</v>
      </c>
      <c r="F121" s="7" t="s">
        <v>276</v>
      </c>
      <c r="G121" s="41">
        <v>632</v>
      </c>
      <c r="H121" s="41"/>
      <c r="I121" s="40"/>
      <c r="J121" s="40">
        <v>687</v>
      </c>
      <c r="K121" s="23"/>
      <c r="L121" s="132">
        <f>J121-G121</f>
        <v>55</v>
      </c>
      <c r="M121" s="27">
        <f t="shared" si="35"/>
        <v>0.21044303797468356</v>
      </c>
      <c r="N121" s="20">
        <f t="shared" si="29"/>
        <v>11.574367088607595</v>
      </c>
      <c r="O121" s="2">
        <v>133</v>
      </c>
      <c r="P121" s="8">
        <f t="shared" si="31"/>
        <v>133</v>
      </c>
      <c r="Q121" s="52">
        <v>2473.6400000000003</v>
      </c>
      <c r="R121" s="10">
        <v>60</v>
      </c>
      <c r="S121" s="102">
        <f t="shared" si="32"/>
        <v>0.2807449852510695</v>
      </c>
      <c r="T121" s="11">
        <v>1</v>
      </c>
      <c r="U121" s="11">
        <v>1</v>
      </c>
      <c r="V121" s="11">
        <v>1</v>
      </c>
      <c r="W121" s="11">
        <v>1</v>
      </c>
      <c r="X121" s="11">
        <v>1</v>
      </c>
      <c r="Y121" s="11"/>
      <c r="Z121" s="11">
        <v>1</v>
      </c>
      <c r="AA121" s="11"/>
      <c r="AB121" s="11">
        <v>1</v>
      </c>
      <c r="AC121" s="11">
        <v>1</v>
      </c>
      <c r="AD121" s="11">
        <v>1</v>
      </c>
      <c r="AE121" s="11">
        <v>1</v>
      </c>
      <c r="AF121" s="11">
        <f t="shared" si="36"/>
        <v>10</v>
      </c>
      <c r="AG121" s="11">
        <f t="shared" si="33"/>
        <v>2</v>
      </c>
      <c r="AH121" s="53">
        <f t="shared" si="37"/>
        <v>13.3</v>
      </c>
      <c r="AI121" s="109">
        <f t="shared" si="34"/>
        <v>0.64520302064973067</v>
      </c>
      <c r="AJ121" s="110">
        <f t="shared" si="30"/>
        <v>0.92594800590080018</v>
      </c>
    </row>
    <row r="122" spans="1:36" x14ac:dyDescent="0.25">
      <c r="A122" s="28" t="s">
        <v>268</v>
      </c>
      <c r="B122" s="16" t="s">
        <v>57</v>
      </c>
      <c r="C122" s="18" t="s">
        <v>94</v>
      </c>
      <c r="D122" s="58">
        <v>28</v>
      </c>
      <c r="E122" s="7" t="s">
        <v>15</v>
      </c>
      <c r="F122" s="7" t="s">
        <v>276</v>
      </c>
      <c r="G122" s="41">
        <v>198</v>
      </c>
      <c r="H122" s="41"/>
      <c r="I122" s="40"/>
      <c r="J122" s="40">
        <v>136</v>
      </c>
      <c r="K122" s="23">
        <v>933.82</v>
      </c>
      <c r="L122" s="132">
        <f>J122-G122</f>
        <v>-62</v>
      </c>
      <c r="M122" s="27">
        <f t="shared" si="35"/>
        <v>0.21212121212121213</v>
      </c>
      <c r="N122" s="20">
        <f t="shared" si="29"/>
        <v>-13.151515151515152</v>
      </c>
      <c r="O122" s="2">
        <v>42</v>
      </c>
      <c r="P122" s="8">
        <f t="shared" si="31"/>
        <v>42</v>
      </c>
      <c r="Q122" s="52">
        <v>1437.28</v>
      </c>
      <c r="R122" s="10">
        <v>60</v>
      </c>
      <c r="S122" s="102">
        <f t="shared" si="32"/>
        <v>-0.54901682976936239</v>
      </c>
      <c r="T122" s="11">
        <v>1</v>
      </c>
      <c r="U122" s="11">
        <v>1</v>
      </c>
      <c r="V122" s="11">
        <v>1</v>
      </c>
      <c r="W122" s="11">
        <v>1</v>
      </c>
      <c r="X122" s="11">
        <v>1</v>
      </c>
      <c r="Y122" s="11"/>
      <c r="Z122" s="11">
        <v>1</v>
      </c>
      <c r="AA122" s="11"/>
      <c r="AB122" s="11">
        <v>1</v>
      </c>
      <c r="AC122" s="11">
        <v>1</v>
      </c>
      <c r="AD122" s="11">
        <v>1</v>
      </c>
      <c r="AE122" s="11">
        <v>1</v>
      </c>
      <c r="AF122" s="11">
        <f t="shared" si="36"/>
        <v>10</v>
      </c>
      <c r="AG122" s="11">
        <f t="shared" si="33"/>
        <v>2</v>
      </c>
      <c r="AH122" s="53">
        <f t="shared" si="37"/>
        <v>4.2</v>
      </c>
      <c r="AI122" s="109">
        <f t="shared" si="34"/>
        <v>0.35066236223978631</v>
      </c>
      <c r="AJ122" s="110">
        <f t="shared" si="30"/>
        <v>-0.19835446752957608</v>
      </c>
    </row>
    <row r="123" spans="1:36" x14ac:dyDescent="0.25">
      <c r="A123" s="29" t="s">
        <v>267</v>
      </c>
      <c r="B123" s="17" t="s">
        <v>132</v>
      </c>
      <c r="C123" s="18" t="s">
        <v>96</v>
      </c>
      <c r="D123" s="58">
        <v>32</v>
      </c>
      <c r="E123" s="7" t="s">
        <v>15</v>
      </c>
      <c r="F123" s="7" t="s">
        <v>276</v>
      </c>
      <c r="G123" s="41">
        <v>2794</v>
      </c>
      <c r="H123" s="41">
        <v>1364</v>
      </c>
      <c r="I123" s="40"/>
      <c r="J123" s="40">
        <v>1565</v>
      </c>
      <c r="K123" s="23"/>
      <c r="L123" s="132">
        <f>(H123+J123)-G123</f>
        <v>135</v>
      </c>
      <c r="M123" s="27">
        <f t="shared" si="35"/>
        <v>0.21009305654974947</v>
      </c>
      <c r="N123" s="20">
        <f t="shared" si="29"/>
        <v>28.362562634216179</v>
      </c>
      <c r="O123" s="2">
        <v>587</v>
      </c>
      <c r="P123" s="8">
        <f t="shared" si="31"/>
        <v>587</v>
      </c>
      <c r="Q123" s="52">
        <v>1925.2</v>
      </c>
      <c r="R123" s="10">
        <v>60</v>
      </c>
      <c r="S123" s="102">
        <f t="shared" si="32"/>
        <v>0.88393608874556961</v>
      </c>
      <c r="T123" s="11">
        <v>1</v>
      </c>
      <c r="U123" s="11">
        <v>1</v>
      </c>
      <c r="V123" s="11">
        <v>1</v>
      </c>
      <c r="W123" s="11">
        <v>1</v>
      </c>
      <c r="X123" s="11">
        <v>1</v>
      </c>
      <c r="Y123" s="11"/>
      <c r="Z123" s="11">
        <v>1</v>
      </c>
      <c r="AA123" s="11"/>
      <c r="AB123" s="11">
        <v>1</v>
      </c>
      <c r="AC123" s="11">
        <v>1</v>
      </c>
      <c r="AD123" s="11">
        <v>1</v>
      </c>
      <c r="AE123" s="11">
        <v>1</v>
      </c>
      <c r="AF123" s="11">
        <f t="shared" si="36"/>
        <v>10</v>
      </c>
      <c r="AG123" s="11">
        <f t="shared" si="33"/>
        <v>2</v>
      </c>
      <c r="AH123" s="53">
        <f t="shared" si="37"/>
        <v>58.7</v>
      </c>
      <c r="AI123" s="116">
        <f t="shared" si="34"/>
        <v>3.6588406399335134</v>
      </c>
      <c r="AJ123" s="114">
        <f t="shared" si="30"/>
        <v>4.5427767286790832</v>
      </c>
    </row>
    <row r="124" spans="1:36" x14ac:dyDescent="0.25">
      <c r="A124" s="32" t="s">
        <v>269</v>
      </c>
      <c r="B124" s="36" t="s">
        <v>290</v>
      </c>
      <c r="C124" s="18" t="s">
        <v>98</v>
      </c>
      <c r="D124" s="58">
        <v>23</v>
      </c>
      <c r="E124" s="7" t="s">
        <v>15</v>
      </c>
      <c r="F124" s="7" t="s">
        <v>276</v>
      </c>
      <c r="G124" s="41">
        <v>126</v>
      </c>
      <c r="H124" s="41"/>
      <c r="I124" s="40"/>
      <c r="J124" s="40">
        <v>136.4</v>
      </c>
      <c r="K124" s="23">
        <f>217.31+35.56+24.95</f>
        <v>277.82</v>
      </c>
      <c r="L124" s="132">
        <f>J124-G124</f>
        <v>10.400000000000006</v>
      </c>
      <c r="M124" s="27">
        <f t="shared" si="35"/>
        <v>0.20634920634920634</v>
      </c>
      <c r="N124" s="20">
        <f t="shared" si="29"/>
        <v>2.1460317460317473</v>
      </c>
      <c r="O124" s="2">
        <v>26</v>
      </c>
      <c r="P124" s="8">
        <f t="shared" si="31"/>
        <v>26</v>
      </c>
      <c r="Q124" s="52">
        <v>1414.13</v>
      </c>
      <c r="R124" s="10">
        <v>60</v>
      </c>
      <c r="S124" s="102">
        <f t="shared" si="32"/>
        <v>9.1053796158701697E-2</v>
      </c>
      <c r="T124" s="11">
        <v>1</v>
      </c>
      <c r="U124" s="11">
        <v>1</v>
      </c>
      <c r="V124" s="11">
        <v>1</v>
      </c>
      <c r="W124" s="11">
        <v>1</v>
      </c>
      <c r="X124" s="11">
        <v>1</v>
      </c>
      <c r="Y124" s="11"/>
      <c r="Z124" s="11">
        <v>1</v>
      </c>
      <c r="AA124" s="11"/>
      <c r="AB124" s="11">
        <v>1</v>
      </c>
      <c r="AC124" s="11">
        <v>1</v>
      </c>
      <c r="AD124" s="11">
        <v>1</v>
      </c>
      <c r="AE124" s="11">
        <v>1</v>
      </c>
      <c r="AF124" s="11">
        <f t="shared" si="36"/>
        <v>10</v>
      </c>
      <c r="AG124" s="11">
        <f t="shared" si="33"/>
        <v>2</v>
      </c>
      <c r="AH124" s="53">
        <f t="shared" si="37"/>
        <v>2.6</v>
      </c>
      <c r="AI124" s="109">
        <f t="shared" si="34"/>
        <v>0.22063035223070013</v>
      </c>
      <c r="AJ124" s="110">
        <f t="shared" si="30"/>
        <v>0.31168414838940184</v>
      </c>
    </row>
    <row r="125" spans="1:36" x14ac:dyDescent="0.25">
      <c r="A125" s="33" t="s">
        <v>269</v>
      </c>
      <c r="B125" s="37" t="s">
        <v>291</v>
      </c>
      <c r="C125" s="18" t="s">
        <v>100</v>
      </c>
      <c r="D125" s="58">
        <v>16</v>
      </c>
      <c r="E125" s="7" t="s">
        <v>15</v>
      </c>
      <c r="F125" s="7" t="s">
        <v>276</v>
      </c>
      <c r="G125" s="41">
        <v>784</v>
      </c>
      <c r="H125" s="41">
        <v>686</v>
      </c>
      <c r="I125" s="40"/>
      <c r="J125" s="40">
        <v>539</v>
      </c>
      <c r="K125" s="35">
        <f>238.21+147.41+62.94+70.84+14.88</f>
        <v>534.28</v>
      </c>
      <c r="L125" s="132">
        <f t="shared" ref="L125:L130" si="38">J125+H125-G125</f>
        <v>441</v>
      </c>
      <c r="M125" s="27">
        <f t="shared" si="35"/>
        <v>0.21045918367346939</v>
      </c>
      <c r="N125" s="20">
        <f t="shared" si="29"/>
        <v>92.8125</v>
      </c>
      <c r="O125" s="2">
        <v>165</v>
      </c>
      <c r="P125" s="8">
        <f t="shared" si="31"/>
        <v>165</v>
      </c>
      <c r="Q125" s="52">
        <v>1053</v>
      </c>
      <c r="R125" s="10">
        <v>60</v>
      </c>
      <c r="S125" s="105">
        <f t="shared" si="32"/>
        <v>5.2884615384615392</v>
      </c>
      <c r="T125" s="11">
        <v>1</v>
      </c>
      <c r="U125" s="11">
        <v>1</v>
      </c>
      <c r="V125" s="11">
        <v>1</v>
      </c>
      <c r="W125" s="11">
        <v>1</v>
      </c>
      <c r="X125" s="11">
        <v>1</v>
      </c>
      <c r="Y125" s="11"/>
      <c r="Z125" s="11">
        <v>1</v>
      </c>
      <c r="AA125" s="11"/>
      <c r="AB125" s="11">
        <v>1</v>
      </c>
      <c r="AC125" s="11">
        <v>1</v>
      </c>
      <c r="AD125" s="11">
        <v>1</v>
      </c>
      <c r="AE125" s="11">
        <v>1</v>
      </c>
      <c r="AF125" s="11">
        <f t="shared" si="36"/>
        <v>10</v>
      </c>
      <c r="AG125" s="11">
        <f t="shared" si="33"/>
        <v>2</v>
      </c>
      <c r="AH125" s="53">
        <f t="shared" si="37"/>
        <v>16.5</v>
      </c>
      <c r="AI125" s="111">
        <f t="shared" si="34"/>
        <v>1.8803418803418805</v>
      </c>
      <c r="AJ125" s="114">
        <f t="shared" si="30"/>
        <v>7.16880341880342</v>
      </c>
    </row>
    <row r="126" spans="1:36" x14ac:dyDescent="0.25">
      <c r="A126" s="28" t="s">
        <v>268</v>
      </c>
      <c r="B126" s="16" t="s">
        <v>59</v>
      </c>
      <c r="C126" s="18" t="s">
        <v>102</v>
      </c>
      <c r="D126" s="58">
        <v>14</v>
      </c>
      <c r="E126" s="7" t="s">
        <v>15</v>
      </c>
      <c r="F126" s="7" t="s">
        <v>276</v>
      </c>
      <c r="G126" s="41">
        <v>1002</v>
      </c>
      <c r="H126" s="41">
        <v>503</v>
      </c>
      <c r="I126" s="40"/>
      <c r="J126" s="40">
        <v>85</v>
      </c>
      <c r="K126" s="23"/>
      <c r="L126" s="132">
        <f t="shared" si="38"/>
        <v>-414</v>
      </c>
      <c r="M126" s="27">
        <f t="shared" si="35"/>
        <v>0.20958083832335328</v>
      </c>
      <c r="N126" s="20">
        <f t="shared" si="29"/>
        <v>-86.766467065868255</v>
      </c>
      <c r="O126" s="2">
        <v>210</v>
      </c>
      <c r="P126" s="8">
        <f t="shared" si="31"/>
        <v>210</v>
      </c>
      <c r="Q126" s="52">
        <v>1141.9100000000001</v>
      </c>
      <c r="R126" s="10">
        <v>60</v>
      </c>
      <c r="S126" s="105">
        <f t="shared" si="32"/>
        <v>-4.5590178069656062</v>
      </c>
      <c r="T126" s="11">
        <v>1</v>
      </c>
      <c r="U126" s="11">
        <v>1</v>
      </c>
      <c r="V126" s="11">
        <v>1</v>
      </c>
      <c r="W126" s="11">
        <v>1</v>
      </c>
      <c r="X126" s="11">
        <v>1</v>
      </c>
      <c r="Y126" s="11"/>
      <c r="Z126" s="11">
        <v>1</v>
      </c>
      <c r="AA126" s="11"/>
      <c r="AB126" s="11">
        <v>1</v>
      </c>
      <c r="AC126" s="11">
        <v>1</v>
      </c>
      <c r="AD126" s="11">
        <v>1</v>
      </c>
      <c r="AE126" s="11">
        <v>1</v>
      </c>
      <c r="AF126" s="11">
        <f t="shared" si="36"/>
        <v>10</v>
      </c>
      <c r="AG126" s="11">
        <f t="shared" si="33"/>
        <v>2</v>
      </c>
      <c r="AH126" s="53">
        <f t="shared" si="37"/>
        <v>21</v>
      </c>
      <c r="AI126" s="111">
        <f t="shared" si="34"/>
        <v>2.2068289094587135</v>
      </c>
      <c r="AJ126" s="112">
        <f t="shared" si="30"/>
        <v>-2.3521888975068928</v>
      </c>
    </row>
    <row r="127" spans="1:36" x14ac:dyDescent="0.25">
      <c r="A127" s="28" t="s">
        <v>267</v>
      </c>
      <c r="B127" s="16" t="s">
        <v>245</v>
      </c>
      <c r="C127" s="18" t="s">
        <v>104</v>
      </c>
      <c r="D127" s="58">
        <v>30</v>
      </c>
      <c r="E127" s="7" t="s">
        <v>15</v>
      </c>
      <c r="F127" s="7" t="s">
        <v>276</v>
      </c>
      <c r="G127" s="41">
        <v>1539</v>
      </c>
      <c r="H127" s="41">
        <v>1101</v>
      </c>
      <c r="I127" s="40"/>
      <c r="J127" s="40">
        <v>558.20000000000005</v>
      </c>
      <c r="K127" s="23">
        <f>41.5+65.64+35+9.91+33.14+24.08+1100+170.44</f>
        <v>1479.71</v>
      </c>
      <c r="L127" s="132">
        <f t="shared" si="38"/>
        <v>120.20000000000005</v>
      </c>
      <c r="M127" s="27">
        <f t="shared" si="35"/>
        <v>0.20987654320987653</v>
      </c>
      <c r="N127" s="20">
        <f t="shared" si="29"/>
        <v>25.227160493827167</v>
      </c>
      <c r="O127" s="2">
        <v>323</v>
      </c>
      <c r="P127" s="8">
        <f t="shared" si="31"/>
        <v>323</v>
      </c>
      <c r="Q127" s="52">
        <v>2229.4600000000005</v>
      </c>
      <c r="R127" s="10">
        <v>60</v>
      </c>
      <c r="S127" s="102">
        <f t="shared" si="32"/>
        <v>0.67892208410540211</v>
      </c>
      <c r="T127" s="11">
        <v>1</v>
      </c>
      <c r="U127" s="11">
        <v>1</v>
      </c>
      <c r="V127" s="11">
        <v>1</v>
      </c>
      <c r="W127" s="11">
        <v>1</v>
      </c>
      <c r="X127" s="11">
        <v>1</v>
      </c>
      <c r="Y127" s="11"/>
      <c r="Z127" s="11">
        <v>1</v>
      </c>
      <c r="AA127" s="11"/>
      <c r="AB127" s="11">
        <v>1</v>
      </c>
      <c r="AC127" s="11">
        <v>1</v>
      </c>
      <c r="AD127" s="11">
        <v>1</v>
      </c>
      <c r="AE127" s="11">
        <v>1</v>
      </c>
      <c r="AF127" s="11">
        <f t="shared" si="36"/>
        <v>10</v>
      </c>
      <c r="AG127" s="11">
        <f t="shared" si="33"/>
        <v>2</v>
      </c>
      <c r="AH127" s="53">
        <f t="shared" si="37"/>
        <v>32.299999999999997</v>
      </c>
      <c r="AI127" s="111">
        <f t="shared" si="34"/>
        <v>1.7385375830918692</v>
      </c>
      <c r="AJ127" s="112">
        <f t="shared" si="30"/>
        <v>2.4174596671972712</v>
      </c>
    </row>
    <row r="128" spans="1:36" x14ac:dyDescent="0.25">
      <c r="A128" s="28" t="s">
        <v>269</v>
      </c>
      <c r="B128" s="16" t="s">
        <v>246</v>
      </c>
      <c r="C128" s="79" t="s">
        <v>273</v>
      </c>
      <c r="D128" s="58">
        <v>27</v>
      </c>
      <c r="E128" s="7" t="s">
        <v>15</v>
      </c>
      <c r="F128" s="77" t="s">
        <v>276</v>
      </c>
      <c r="G128" s="66">
        <v>0</v>
      </c>
      <c r="H128" s="66">
        <v>1417</v>
      </c>
      <c r="I128" s="40"/>
      <c r="J128" s="90">
        <v>351</v>
      </c>
      <c r="K128" s="23">
        <v>839.59</v>
      </c>
      <c r="L128" s="132">
        <f t="shared" si="38"/>
        <v>1768</v>
      </c>
      <c r="M128" s="27">
        <v>0.21</v>
      </c>
      <c r="N128" s="20">
        <f t="shared" si="29"/>
        <v>371.28</v>
      </c>
      <c r="O128" s="2"/>
      <c r="P128" s="8"/>
      <c r="Q128" s="52">
        <v>2176.8299999999995</v>
      </c>
      <c r="R128" s="10">
        <v>60</v>
      </c>
      <c r="S128" s="102">
        <f t="shared" si="32"/>
        <v>10.233596560135611</v>
      </c>
      <c r="T128" s="11"/>
      <c r="U128" s="11"/>
      <c r="V128" s="11"/>
      <c r="W128" s="11"/>
      <c r="X128" s="11"/>
      <c r="Y128" s="11"/>
      <c r="Z128" s="11"/>
      <c r="AA128" s="11"/>
      <c r="AB128" s="11"/>
      <c r="AC128" s="11"/>
      <c r="AD128" s="11"/>
      <c r="AE128" s="11"/>
      <c r="AF128" s="11">
        <v>0</v>
      </c>
      <c r="AG128" s="11">
        <f t="shared" si="33"/>
        <v>12</v>
      </c>
      <c r="AH128" s="95">
        <v>0</v>
      </c>
      <c r="AI128" s="117">
        <f t="shared" si="34"/>
        <v>0</v>
      </c>
      <c r="AJ128" s="118">
        <f t="shared" si="30"/>
        <v>10.233596560135611</v>
      </c>
    </row>
    <row r="129" spans="1:36" x14ac:dyDescent="0.25">
      <c r="A129" s="28" t="s">
        <v>269</v>
      </c>
      <c r="B129" s="16" t="s">
        <v>247</v>
      </c>
      <c r="C129" s="15" t="s">
        <v>326</v>
      </c>
      <c r="D129" s="57">
        <v>16</v>
      </c>
      <c r="E129" s="3" t="s">
        <v>15</v>
      </c>
      <c r="F129" s="3" t="s">
        <v>276</v>
      </c>
      <c r="G129" s="41">
        <f>1300+530</f>
        <v>1830</v>
      </c>
      <c r="H129" s="83">
        <v>806</v>
      </c>
      <c r="I129" s="40"/>
      <c r="J129" s="40">
        <v>194</v>
      </c>
      <c r="K129" s="20"/>
      <c r="L129" s="132">
        <f t="shared" si="38"/>
        <v>-830</v>
      </c>
      <c r="M129" s="27">
        <v>0.21</v>
      </c>
      <c r="N129" s="20">
        <f t="shared" si="29"/>
        <v>-174.29999999999998</v>
      </c>
      <c r="O129" s="12">
        <f>J129*M129</f>
        <v>40.74</v>
      </c>
      <c r="P129" s="10">
        <f>O129*1.085</f>
        <v>44.2029</v>
      </c>
      <c r="Q129" s="52">
        <v>1522.08</v>
      </c>
      <c r="R129" s="10">
        <v>60</v>
      </c>
      <c r="S129" s="102">
        <f t="shared" si="32"/>
        <v>-6.8708609271523171</v>
      </c>
      <c r="T129" s="11"/>
      <c r="U129" s="11"/>
      <c r="V129" s="11"/>
      <c r="W129" s="11"/>
      <c r="X129" s="11"/>
      <c r="Y129" s="11"/>
      <c r="Z129" s="11"/>
      <c r="AA129" s="11"/>
      <c r="AB129" s="11"/>
      <c r="AC129" s="11"/>
      <c r="AD129" s="11"/>
      <c r="AE129" s="11"/>
      <c r="AF129" s="11">
        <v>10</v>
      </c>
      <c r="AG129" s="11">
        <f t="shared" si="33"/>
        <v>2</v>
      </c>
      <c r="AH129" s="53">
        <f>O129/AF129</f>
        <v>4.0739999999999998</v>
      </c>
      <c r="AI129" s="116">
        <f t="shared" si="34"/>
        <v>0.32119205298013248</v>
      </c>
      <c r="AJ129" s="114">
        <f t="shared" si="30"/>
        <v>-6.5496688741721849</v>
      </c>
    </row>
    <row r="130" spans="1:36" x14ac:dyDescent="0.25">
      <c r="A130" s="28" t="s">
        <v>269</v>
      </c>
      <c r="B130" s="16" t="s">
        <v>248</v>
      </c>
      <c r="C130" s="15" t="s">
        <v>327</v>
      </c>
      <c r="D130" s="57">
        <v>5</v>
      </c>
      <c r="E130" s="3"/>
      <c r="F130" s="3" t="s">
        <v>276</v>
      </c>
      <c r="G130" s="41">
        <v>0</v>
      </c>
      <c r="H130" s="83">
        <v>288</v>
      </c>
      <c r="I130" s="40"/>
      <c r="J130" s="40">
        <v>135</v>
      </c>
      <c r="K130" s="20"/>
      <c r="L130" s="132">
        <f t="shared" si="38"/>
        <v>423</v>
      </c>
      <c r="M130" s="27"/>
      <c r="N130" s="20"/>
      <c r="O130" s="12"/>
      <c r="P130" s="10"/>
      <c r="Q130" s="52"/>
      <c r="R130" s="10"/>
      <c r="S130" s="102"/>
      <c r="T130" s="11"/>
      <c r="U130" s="11"/>
      <c r="V130" s="11"/>
      <c r="W130" s="11"/>
      <c r="X130" s="11"/>
      <c r="Y130" s="11"/>
      <c r="Z130" s="11"/>
      <c r="AA130" s="11"/>
      <c r="AB130" s="11"/>
      <c r="AC130" s="11"/>
      <c r="AD130" s="11"/>
      <c r="AE130" s="11"/>
      <c r="AF130" s="11"/>
      <c r="AG130" s="11"/>
      <c r="AH130" s="53"/>
      <c r="AI130" s="116"/>
      <c r="AJ130" s="114"/>
    </row>
    <row r="131" spans="1:36" x14ac:dyDescent="0.25">
      <c r="A131" s="28" t="s">
        <v>267</v>
      </c>
      <c r="B131" s="16" t="s">
        <v>252</v>
      </c>
      <c r="C131" s="18" t="s">
        <v>110</v>
      </c>
      <c r="D131" s="58">
        <v>34</v>
      </c>
      <c r="E131" s="7" t="s">
        <v>15</v>
      </c>
      <c r="F131" s="7" t="s">
        <v>276</v>
      </c>
      <c r="G131" s="41">
        <v>2380</v>
      </c>
      <c r="H131" s="83">
        <v>588</v>
      </c>
      <c r="I131" s="40"/>
      <c r="J131" s="40">
        <v>2380</v>
      </c>
      <c r="K131" s="23">
        <v>4654.26</v>
      </c>
      <c r="L131" s="132">
        <f>J131-G131</f>
        <v>0</v>
      </c>
      <c r="M131" s="27">
        <f>O131/G131</f>
        <v>0.21</v>
      </c>
      <c r="N131" s="20">
        <f t="shared" ref="N131:N139" si="39">L131*M131</f>
        <v>0</v>
      </c>
      <c r="O131" s="2">
        <f>G131*0.21</f>
        <v>499.79999999999995</v>
      </c>
      <c r="P131" s="2">
        <v>499.79999999999995</v>
      </c>
      <c r="Q131" s="52">
        <v>2599.1</v>
      </c>
      <c r="R131" s="10">
        <v>60</v>
      </c>
      <c r="S131" s="102">
        <f t="shared" ref="S131:S137" si="40">N131/Q131*R131</f>
        <v>0</v>
      </c>
      <c r="T131" s="11">
        <v>1</v>
      </c>
      <c r="U131" s="11">
        <v>1</v>
      </c>
      <c r="V131" s="11">
        <v>1</v>
      </c>
      <c r="W131" s="11">
        <v>1</v>
      </c>
      <c r="X131" s="11">
        <v>1</v>
      </c>
      <c r="Y131" s="11"/>
      <c r="Z131" s="11">
        <v>1</v>
      </c>
      <c r="AA131" s="11"/>
      <c r="AB131" s="11">
        <v>1</v>
      </c>
      <c r="AC131" s="11">
        <v>1</v>
      </c>
      <c r="AD131" s="11">
        <v>1</v>
      </c>
      <c r="AE131" s="11">
        <v>1</v>
      </c>
      <c r="AF131" s="11">
        <v>10</v>
      </c>
      <c r="AG131" s="11">
        <f t="shared" ref="AG131:AG137" si="41">12-AF131</f>
        <v>2</v>
      </c>
      <c r="AH131" s="53">
        <f>O131/AF131</f>
        <v>49.98</v>
      </c>
      <c r="AI131" s="111">
        <f t="shared" ref="AI131:AI137" si="42">(AG131*AH131)/Q131*60</f>
        <v>2.3075680043091835</v>
      </c>
      <c r="AJ131" s="112">
        <f t="shared" ref="AJ131:AJ138" si="43">S131+AI131</f>
        <v>2.3075680043091835</v>
      </c>
    </row>
    <row r="132" spans="1:36" x14ac:dyDescent="0.25">
      <c r="A132" s="30" t="s">
        <v>268</v>
      </c>
      <c r="B132" s="24" t="s">
        <v>253</v>
      </c>
      <c r="C132" s="18" t="s">
        <v>111</v>
      </c>
      <c r="D132" s="58">
        <v>34</v>
      </c>
      <c r="E132" s="7" t="s">
        <v>15</v>
      </c>
      <c r="F132" s="7" t="s">
        <v>276</v>
      </c>
      <c r="G132" s="41">
        <v>845</v>
      </c>
      <c r="H132" s="83">
        <v>748</v>
      </c>
      <c r="I132" s="40"/>
      <c r="J132" s="40">
        <v>845</v>
      </c>
      <c r="K132" s="23"/>
      <c r="L132" s="132">
        <f>J132-G132</f>
        <v>0</v>
      </c>
      <c r="M132" s="27">
        <f>O132/G132</f>
        <v>0.21</v>
      </c>
      <c r="N132" s="20">
        <f t="shared" si="39"/>
        <v>0</v>
      </c>
      <c r="O132" s="2">
        <f>G132*0.21</f>
        <v>177.45</v>
      </c>
      <c r="P132" s="2">
        <v>177.45</v>
      </c>
      <c r="Q132" s="52">
        <v>2599.1</v>
      </c>
      <c r="R132" s="10">
        <v>60</v>
      </c>
      <c r="S132" s="102">
        <f t="shared" si="40"/>
        <v>0</v>
      </c>
      <c r="T132" s="11">
        <v>1</v>
      </c>
      <c r="U132" s="11">
        <v>1</v>
      </c>
      <c r="V132" s="11">
        <v>1</v>
      </c>
      <c r="W132" s="11">
        <v>1</v>
      </c>
      <c r="X132" s="11">
        <v>1</v>
      </c>
      <c r="Y132" s="11"/>
      <c r="Z132" s="11">
        <v>1</v>
      </c>
      <c r="AA132" s="11"/>
      <c r="AB132" s="11">
        <v>1</v>
      </c>
      <c r="AC132" s="11">
        <v>1</v>
      </c>
      <c r="AD132" s="11">
        <v>1</v>
      </c>
      <c r="AE132" s="11">
        <v>1</v>
      </c>
      <c r="AF132" s="11">
        <v>10</v>
      </c>
      <c r="AG132" s="11">
        <f t="shared" si="41"/>
        <v>2</v>
      </c>
      <c r="AH132" s="53">
        <f>O132/AF132</f>
        <v>17.744999999999997</v>
      </c>
      <c r="AI132" s="109">
        <f t="shared" si="42"/>
        <v>0.81928359816859675</v>
      </c>
      <c r="AJ132" s="112">
        <f t="shared" si="43"/>
        <v>0.81928359816859675</v>
      </c>
    </row>
    <row r="133" spans="1:36" x14ac:dyDescent="0.25">
      <c r="A133" s="28" t="s">
        <v>267</v>
      </c>
      <c r="B133" s="16" t="s">
        <v>254</v>
      </c>
      <c r="C133" s="18" t="s">
        <v>106</v>
      </c>
      <c r="D133" s="58">
        <v>15</v>
      </c>
      <c r="E133" s="7" t="s">
        <v>15</v>
      </c>
      <c r="F133" s="7" t="s">
        <v>276</v>
      </c>
      <c r="G133" s="41">
        <v>1100</v>
      </c>
      <c r="H133" s="83">
        <v>795</v>
      </c>
      <c r="I133" s="40"/>
      <c r="J133" s="40">
        <v>1100</v>
      </c>
      <c r="K133" s="23"/>
      <c r="L133" s="132">
        <f>J133-G133</f>
        <v>0</v>
      </c>
      <c r="M133" s="27">
        <f>O133/G133</f>
        <v>0.21</v>
      </c>
      <c r="N133" s="20">
        <f t="shared" si="39"/>
        <v>0</v>
      </c>
      <c r="O133" s="2">
        <v>231</v>
      </c>
      <c r="P133" s="8">
        <f>O133</f>
        <v>231</v>
      </c>
      <c r="Q133" s="52">
        <v>1158.56</v>
      </c>
      <c r="R133" s="10">
        <v>60</v>
      </c>
      <c r="S133" s="102">
        <f t="shared" si="40"/>
        <v>0</v>
      </c>
      <c r="T133" s="11">
        <v>1</v>
      </c>
      <c r="U133" s="11">
        <v>1</v>
      </c>
      <c r="V133" s="11">
        <v>1</v>
      </c>
      <c r="W133" s="11">
        <v>1</v>
      </c>
      <c r="X133" s="11">
        <v>1</v>
      </c>
      <c r="Y133" s="11"/>
      <c r="Z133" s="11">
        <v>1</v>
      </c>
      <c r="AA133" s="11"/>
      <c r="AB133" s="11">
        <v>1</v>
      </c>
      <c r="AC133" s="11">
        <v>1</v>
      </c>
      <c r="AD133" s="11">
        <v>1</v>
      </c>
      <c r="AE133" s="11">
        <v>1</v>
      </c>
      <c r="AF133" s="11">
        <f>SUM(T133:AE133)</f>
        <v>10</v>
      </c>
      <c r="AG133" s="11">
        <f t="shared" si="41"/>
        <v>2</v>
      </c>
      <c r="AH133" s="53">
        <f>O133/AF133</f>
        <v>23.1</v>
      </c>
      <c r="AI133" s="111">
        <f t="shared" si="42"/>
        <v>2.3926253279933714</v>
      </c>
      <c r="AJ133" s="112">
        <f t="shared" si="43"/>
        <v>2.3926253279933714</v>
      </c>
    </row>
    <row r="134" spans="1:36" x14ac:dyDescent="0.25">
      <c r="A134" s="28" t="s">
        <v>268</v>
      </c>
      <c r="B134" s="16" t="s">
        <v>255</v>
      </c>
      <c r="C134" s="18" t="s">
        <v>108</v>
      </c>
      <c r="D134" s="58">
        <v>7</v>
      </c>
      <c r="E134" s="7" t="s">
        <v>15</v>
      </c>
      <c r="F134" s="7" t="s">
        <v>276</v>
      </c>
      <c r="G134" s="41">
        <v>256</v>
      </c>
      <c r="H134" s="41">
        <v>210</v>
      </c>
      <c r="I134" s="40"/>
      <c r="J134" s="40">
        <v>13.2</v>
      </c>
      <c r="K134" s="23"/>
      <c r="L134" s="132">
        <f>J134+H134-G134</f>
        <v>-32.800000000000011</v>
      </c>
      <c r="M134" s="27">
        <f>O134/G134</f>
        <v>0.2109375</v>
      </c>
      <c r="N134" s="20">
        <f t="shared" si="39"/>
        <v>-6.9187500000000028</v>
      </c>
      <c r="O134" s="2">
        <v>54</v>
      </c>
      <c r="P134" s="8">
        <f>O134</f>
        <v>54</v>
      </c>
      <c r="Q134" s="129">
        <v>477.69000000000005</v>
      </c>
      <c r="R134" s="10">
        <v>60</v>
      </c>
      <c r="S134" s="102">
        <f t="shared" si="40"/>
        <v>-0.86902593732336897</v>
      </c>
      <c r="T134" s="11">
        <v>1</v>
      </c>
      <c r="U134" s="11">
        <v>1</v>
      </c>
      <c r="V134" s="11">
        <v>1</v>
      </c>
      <c r="W134" s="11">
        <v>1</v>
      </c>
      <c r="X134" s="11">
        <v>1</v>
      </c>
      <c r="Y134" s="11"/>
      <c r="Z134" s="11">
        <v>1</v>
      </c>
      <c r="AA134" s="11"/>
      <c r="AB134" s="11">
        <v>1</v>
      </c>
      <c r="AC134" s="11">
        <v>1</v>
      </c>
      <c r="AD134" s="11">
        <v>1</v>
      </c>
      <c r="AE134" s="11">
        <v>1</v>
      </c>
      <c r="AF134" s="11">
        <f>SUM(T134:AE134)</f>
        <v>10</v>
      </c>
      <c r="AG134" s="11">
        <f t="shared" si="41"/>
        <v>2</v>
      </c>
      <c r="AH134" s="53">
        <f>O134/AF134</f>
        <v>5.4</v>
      </c>
      <c r="AI134" s="111">
        <f t="shared" si="42"/>
        <v>1.3565282924072095</v>
      </c>
      <c r="AJ134" s="112">
        <f t="shared" si="43"/>
        <v>0.48750235508384054</v>
      </c>
    </row>
    <row r="135" spans="1:36" x14ac:dyDescent="0.25">
      <c r="A135" s="28" t="s">
        <v>269</v>
      </c>
      <c r="B135" s="16" t="s">
        <v>256</v>
      </c>
      <c r="C135" s="25" t="s">
        <v>271</v>
      </c>
      <c r="D135" s="59">
        <v>20</v>
      </c>
      <c r="E135" s="7" t="s">
        <v>15</v>
      </c>
      <c r="F135" s="7" t="s">
        <v>276</v>
      </c>
      <c r="G135" s="41">
        <v>0</v>
      </c>
      <c r="H135" s="41"/>
      <c r="I135" s="40"/>
      <c r="J135" s="40">
        <v>23.2</v>
      </c>
      <c r="K135" s="22"/>
      <c r="L135" s="132">
        <f>J135-G135</f>
        <v>23.2</v>
      </c>
      <c r="M135" s="27">
        <v>0.21</v>
      </c>
      <c r="N135" s="20">
        <f t="shared" si="39"/>
        <v>4.8719999999999999</v>
      </c>
      <c r="O135" s="5">
        <f>J135*M135</f>
        <v>4.8719999999999999</v>
      </c>
      <c r="P135" s="5">
        <f>O135</f>
        <v>4.8719999999999999</v>
      </c>
      <c r="Q135" s="52">
        <v>1299.51</v>
      </c>
      <c r="R135" s="10">
        <v>60</v>
      </c>
      <c r="S135" s="102">
        <f t="shared" si="40"/>
        <v>0.22494632592284786</v>
      </c>
      <c r="T135" s="11"/>
      <c r="U135" s="11"/>
      <c r="V135" s="11"/>
      <c r="W135" s="11"/>
      <c r="X135" s="11"/>
      <c r="Y135" s="11"/>
      <c r="Z135" s="11"/>
      <c r="AA135" s="11"/>
      <c r="AB135" s="11"/>
      <c r="AC135" s="11"/>
      <c r="AD135" s="11"/>
      <c r="AE135" s="11"/>
      <c r="AF135" s="11">
        <v>0</v>
      </c>
      <c r="AG135" s="11">
        <f t="shared" si="41"/>
        <v>12</v>
      </c>
      <c r="AH135" s="53">
        <f>P135</f>
        <v>4.8719999999999999</v>
      </c>
      <c r="AI135" s="111">
        <f t="shared" si="42"/>
        <v>2.6993559110741741</v>
      </c>
      <c r="AJ135" s="112">
        <f t="shared" si="43"/>
        <v>2.924302236997022</v>
      </c>
    </row>
    <row r="136" spans="1:36" x14ac:dyDescent="0.25">
      <c r="A136" s="28"/>
      <c r="B136" s="16" t="s">
        <v>295</v>
      </c>
      <c r="C136" s="15" t="s">
        <v>234</v>
      </c>
      <c r="D136" s="57">
        <v>19</v>
      </c>
      <c r="E136" s="3" t="s">
        <v>15</v>
      </c>
      <c r="F136" s="3" t="s">
        <v>276</v>
      </c>
      <c r="G136" s="41">
        <v>496</v>
      </c>
      <c r="H136" s="41">
        <v>469</v>
      </c>
      <c r="I136" s="40"/>
      <c r="J136" s="40">
        <v>85</v>
      </c>
      <c r="K136" s="6"/>
      <c r="L136" s="132">
        <f>J136+H136-G136</f>
        <v>58</v>
      </c>
      <c r="M136" s="27">
        <f>O136/G136</f>
        <v>0.21</v>
      </c>
      <c r="N136" s="20">
        <f t="shared" si="39"/>
        <v>12.18</v>
      </c>
      <c r="O136" s="2">
        <v>104.16</v>
      </c>
      <c r="P136" s="8">
        <v>104.16</v>
      </c>
      <c r="Q136" s="52">
        <v>1201.58</v>
      </c>
      <c r="R136" s="10">
        <v>60</v>
      </c>
      <c r="S136" s="102">
        <f t="shared" si="40"/>
        <v>0.60819920438089847</v>
      </c>
      <c r="T136" s="6"/>
      <c r="U136" s="6"/>
      <c r="V136" s="6"/>
      <c r="W136" s="6"/>
      <c r="X136" s="6"/>
      <c r="Y136" s="6"/>
      <c r="Z136" s="6"/>
      <c r="AA136" s="6"/>
      <c r="AB136" s="6"/>
      <c r="AC136" s="6"/>
      <c r="AD136" s="6"/>
      <c r="AE136" s="6"/>
      <c r="AF136" s="11">
        <v>10</v>
      </c>
      <c r="AG136" s="11">
        <f t="shared" si="41"/>
        <v>2</v>
      </c>
      <c r="AH136" s="53">
        <f>O136/AF136</f>
        <v>10.416</v>
      </c>
      <c r="AI136" s="111">
        <f t="shared" si="42"/>
        <v>1.0402303633549161</v>
      </c>
      <c r="AJ136" s="122">
        <f t="shared" si="43"/>
        <v>1.6484295677358145</v>
      </c>
    </row>
    <row r="137" spans="1:36" x14ac:dyDescent="0.25">
      <c r="A137" s="28"/>
      <c r="B137" s="16">
        <v>1000</v>
      </c>
      <c r="C137" s="15" t="s">
        <v>236</v>
      </c>
      <c r="D137" s="57">
        <v>28</v>
      </c>
      <c r="E137" s="7" t="s">
        <v>15</v>
      </c>
      <c r="F137" s="7" t="s">
        <v>276</v>
      </c>
      <c r="G137" s="41">
        <v>1776</v>
      </c>
      <c r="H137" s="41">
        <v>945</v>
      </c>
      <c r="I137" s="62">
        <v>496</v>
      </c>
      <c r="J137" s="40">
        <v>335</v>
      </c>
      <c r="K137" s="6"/>
      <c r="L137" s="132">
        <f>(J137+I137)+H137-G137</f>
        <v>0</v>
      </c>
      <c r="M137" s="27">
        <v>0.21</v>
      </c>
      <c r="N137" s="20">
        <f t="shared" si="39"/>
        <v>0</v>
      </c>
      <c r="O137" s="6">
        <f>J137*M137</f>
        <v>70.349999999999994</v>
      </c>
      <c r="P137" s="6">
        <f>O137</f>
        <v>70.349999999999994</v>
      </c>
      <c r="Q137" s="52">
        <v>1885.87</v>
      </c>
      <c r="R137" s="10">
        <v>60</v>
      </c>
      <c r="S137" s="102">
        <f t="shared" si="40"/>
        <v>0</v>
      </c>
      <c r="T137" s="6"/>
      <c r="U137" s="6"/>
      <c r="V137" s="6"/>
      <c r="W137" s="6"/>
      <c r="X137" s="6"/>
      <c r="Y137" s="6"/>
      <c r="Z137" s="6"/>
      <c r="AA137" s="6"/>
      <c r="AB137" s="6"/>
      <c r="AC137" s="6"/>
      <c r="AD137" s="6"/>
      <c r="AE137" s="6"/>
      <c r="AF137" s="11">
        <v>10</v>
      </c>
      <c r="AG137" s="11">
        <f t="shared" si="41"/>
        <v>2</v>
      </c>
      <c r="AH137" s="53">
        <f>O137/AF137</f>
        <v>7.0349999999999993</v>
      </c>
      <c r="AI137" s="109">
        <f t="shared" si="42"/>
        <v>0.44764485356890982</v>
      </c>
      <c r="AJ137" s="120">
        <f t="shared" si="43"/>
        <v>0.44764485356890982</v>
      </c>
    </row>
    <row r="138" spans="1:36" x14ac:dyDescent="0.25">
      <c r="A138" s="28"/>
      <c r="B138" s="16" t="s">
        <v>296</v>
      </c>
      <c r="C138" s="15" t="s">
        <v>244</v>
      </c>
      <c r="D138" s="57">
        <v>1</v>
      </c>
      <c r="E138" s="3" t="s">
        <v>15</v>
      </c>
      <c r="F138" s="71" t="s">
        <v>337</v>
      </c>
      <c r="G138" s="70"/>
      <c r="H138" s="41"/>
      <c r="I138" s="40"/>
      <c r="J138" s="70"/>
      <c r="K138" s="6"/>
      <c r="L138" s="132">
        <f>K138-G138</f>
        <v>0</v>
      </c>
      <c r="M138" s="27"/>
      <c r="N138" s="20">
        <f t="shared" si="39"/>
        <v>0</v>
      </c>
      <c r="O138" s="6"/>
      <c r="P138" s="6"/>
      <c r="Q138" s="52">
        <v>0</v>
      </c>
      <c r="R138" s="10">
        <v>60</v>
      </c>
      <c r="S138" s="107">
        <v>0</v>
      </c>
      <c r="T138" s="6"/>
      <c r="U138" s="6"/>
      <c r="V138" s="6"/>
      <c r="W138" s="6"/>
      <c r="X138" s="6"/>
      <c r="Y138" s="6"/>
      <c r="Z138" s="6"/>
      <c r="AA138" s="6"/>
      <c r="AB138" s="6"/>
      <c r="AC138" s="6"/>
      <c r="AD138" s="6"/>
      <c r="AE138" s="6"/>
      <c r="AF138" s="60"/>
      <c r="AG138" s="11"/>
      <c r="AH138" s="53">
        <v>0</v>
      </c>
      <c r="AI138" s="115">
        <v>0</v>
      </c>
      <c r="AJ138" s="123">
        <f t="shared" si="43"/>
        <v>0</v>
      </c>
    </row>
    <row r="139" spans="1:36" ht="15.75" thickBot="1" x14ac:dyDescent="0.3">
      <c r="A139" s="28"/>
      <c r="B139" s="16" t="s">
        <v>297</v>
      </c>
      <c r="C139" s="63" t="s">
        <v>243</v>
      </c>
      <c r="D139" s="64">
        <v>1</v>
      </c>
      <c r="E139" s="3" t="s">
        <v>15</v>
      </c>
      <c r="F139" s="71" t="s">
        <v>340</v>
      </c>
      <c r="G139" s="70"/>
      <c r="H139" s="41"/>
      <c r="I139" s="40"/>
      <c r="J139" s="70"/>
      <c r="K139" s="6"/>
      <c r="L139" s="132">
        <f>K139-G139</f>
        <v>0</v>
      </c>
      <c r="M139" s="27"/>
      <c r="N139" s="20">
        <f t="shared" si="39"/>
        <v>0</v>
      </c>
      <c r="O139" s="6"/>
      <c r="P139" s="6"/>
      <c r="Q139" s="52">
        <v>0</v>
      </c>
      <c r="R139" s="10">
        <v>60</v>
      </c>
      <c r="S139" s="107">
        <v>0</v>
      </c>
      <c r="T139" s="6"/>
      <c r="U139" s="6"/>
      <c r="V139" s="6"/>
      <c r="W139" s="6"/>
      <c r="X139" s="6"/>
      <c r="Y139" s="6"/>
      <c r="Z139" s="6"/>
      <c r="AA139" s="6"/>
      <c r="AB139" s="6"/>
      <c r="AC139" s="6"/>
      <c r="AD139" s="6"/>
      <c r="AE139" s="6"/>
      <c r="AF139" s="60"/>
      <c r="AG139" s="11"/>
      <c r="AH139" s="53">
        <v>0</v>
      </c>
      <c r="AI139" s="115">
        <v>0</v>
      </c>
      <c r="AJ139" s="123">
        <v>0</v>
      </c>
    </row>
    <row r="140" spans="1:36" ht="15.75" thickBot="1" x14ac:dyDescent="0.3">
      <c r="C140" s="69" t="s">
        <v>313</v>
      </c>
      <c r="D140" s="65">
        <f>SUBTOTAL(9,D5:D139)</f>
        <v>4521</v>
      </c>
    </row>
    <row r="141" spans="1:36" ht="15.75" thickBot="1" x14ac:dyDescent="0.3">
      <c r="C141" s="69" t="s">
        <v>316</v>
      </c>
      <c r="D141" s="65">
        <v>134</v>
      </c>
      <c r="J141" s="38"/>
    </row>
    <row r="142" spans="1:36" x14ac:dyDescent="0.25">
      <c r="J142" s="38"/>
    </row>
    <row r="144" spans="1:36" ht="22.15" customHeight="1" x14ac:dyDescent="0.25">
      <c r="C144" s="135" t="s">
        <v>315</v>
      </c>
      <c r="D144" s="136"/>
    </row>
    <row r="145" spans="3:17" x14ac:dyDescent="0.25">
      <c r="P145" s="126" t="s">
        <v>332</v>
      </c>
      <c r="Q145" s="125" t="s">
        <v>331</v>
      </c>
    </row>
    <row r="146" spans="3:17" x14ac:dyDescent="0.25">
      <c r="C146" s="137" t="s">
        <v>318</v>
      </c>
      <c r="D146" s="137"/>
      <c r="E146" s="137"/>
      <c r="F146" s="137"/>
      <c r="G146" s="137"/>
    </row>
    <row r="147" spans="3:17" ht="15.75" thickBot="1" x14ac:dyDescent="0.3"/>
    <row r="148" spans="3:17" ht="36.6" customHeight="1" thickBot="1" x14ac:dyDescent="0.3">
      <c r="C148" s="138" t="s">
        <v>319</v>
      </c>
      <c r="D148" s="139"/>
      <c r="E148" s="139"/>
      <c r="F148" s="139"/>
      <c r="G148" s="140"/>
    </row>
    <row r="149" spans="3:17" ht="15.75" thickBot="1" x14ac:dyDescent="0.3"/>
    <row r="150" spans="3:17" ht="64.150000000000006" customHeight="1" thickBot="1" x14ac:dyDescent="0.3">
      <c r="C150" s="138" t="s">
        <v>320</v>
      </c>
      <c r="D150" s="139"/>
      <c r="E150" s="139"/>
      <c r="F150" s="139"/>
      <c r="G150" s="140"/>
    </row>
    <row r="1048561" spans="36:36" ht="16.5" x14ac:dyDescent="0.25">
      <c r="AJ1048561" s="48"/>
    </row>
    <row r="1048562" spans="36:36" x14ac:dyDescent="0.25">
      <c r="AJ1048562" s="53"/>
    </row>
    <row r="1048563" spans="36:36" x14ac:dyDescent="0.25">
      <c r="AJ1048563" s="53"/>
    </row>
  </sheetData>
  <autoFilter ref="C4:AJ141">
    <sortState ref="C5:AJ141">
      <sortCondition ref="F4:F141"/>
    </sortState>
  </autoFilter>
  <mergeCells count="6">
    <mergeCell ref="C144:D144"/>
    <mergeCell ref="C146:G146"/>
    <mergeCell ref="C148:G148"/>
    <mergeCell ref="C150:G150"/>
    <mergeCell ref="L2:O2"/>
    <mergeCell ref="L3:P3"/>
  </mergeCells>
  <phoneticPr fontId="7" type="noConversion"/>
  <conditionalFormatting sqref="L5:L139">
    <cfRule type="cellIs" dxfId="4" priority="5" operator="between">
      <formula>-99</formula>
      <formula>99</formula>
    </cfRule>
    <cfRule type="cellIs" dxfId="3" priority="4" operator="between">
      <formula>100</formula>
      <formula>500</formula>
    </cfRule>
    <cfRule type="cellIs" dxfId="2" priority="3" operator="between">
      <formula>-100</formula>
      <formula>-500</formula>
    </cfRule>
    <cfRule type="cellIs" dxfId="1" priority="2" operator="lessThan">
      <formula>-500</formula>
    </cfRule>
    <cfRule type="cellIs" dxfId="0" priority="1" operator="greaterThan">
      <formula>500</formula>
    </cfRule>
  </conditionalFormatting>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Listes!$A$2:$A$13</xm:f>
          </x14:formula1>
          <xm:sqref>F5:F139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3"/>
  <sheetViews>
    <sheetView workbookViewId="0">
      <selection activeCell="D18" sqref="D18"/>
    </sheetView>
  </sheetViews>
  <sheetFormatPr baseColWidth="10" defaultRowHeight="15" x14ac:dyDescent="0.25"/>
  <cols>
    <col min="1" max="1" width="14.7109375" customWidth="1"/>
  </cols>
  <sheetData>
    <row r="1" spans="1:1" x14ac:dyDescent="0.25">
      <c r="A1" t="s">
        <v>336</v>
      </c>
    </row>
    <row r="2" spans="1:1" x14ac:dyDescent="0.25">
      <c r="A2" t="s">
        <v>270</v>
      </c>
    </row>
    <row r="3" spans="1:1" x14ac:dyDescent="0.25">
      <c r="A3" t="s">
        <v>277</v>
      </c>
    </row>
    <row r="4" spans="1:1" x14ac:dyDescent="0.25">
      <c r="A4" t="s">
        <v>283</v>
      </c>
    </row>
    <row r="5" spans="1:1" x14ac:dyDescent="0.25">
      <c r="A5" t="s">
        <v>280</v>
      </c>
    </row>
    <row r="6" spans="1:1" x14ac:dyDescent="0.25">
      <c r="A6" t="s">
        <v>282</v>
      </c>
    </row>
    <row r="7" spans="1:1" x14ac:dyDescent="0.25">
      <c r="A7" t="s">
        <v>259</v>
      </c>
    </row>
    <row r="8" spans="1:1" x14ac:dyDescent="0.25">
      <c r="A8" t="s">
        <v>338</v>
      </c>
    </row>
    <row r="9" spans="1:1" x14ac:dyDescent="0.25">
      <c r="A9" t="s">
        <v>281</v>
      </c>
    </row>
    <row r="10" spans="1:1" x14ac:dyDescent="0.25">
      <c r="A10" t="s">
        <v>339</v>
      </c>
    </row>
    <row r="11" spans="1:1" x14ac:dyDescent="0.25">
      <c r="A11" t="s">
        <v>276</v>
      </c>
    </row>
    <row r="12" spans="1:1" x14ac:dyDescent="0.25">
      <c r="A12" t="s">
        <v>337</v>
      </c>
    </row>
    <row r="13" spans="1:1" x14ac:dyDescent="0.25">
      <c r="A13" t="s">
        <v>340</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Données</vt:lpstr>
      <vt:lpstr>Listes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Tony GIGAN</dc:creator>
  <cp:lastModifiedBy>Michel</cp:lastModifiedBy>
  <dcterms:created xsi:type="dcterms:W3CDTF">2021-05-05T05:40:45Z</dcterms:created>
  <dcterms:modified xsi:type="dcterms:W3CDTF">2021-07-11T06:07:05Z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96 96 1920 1080</vt:lpwstr>
  </property>
</Properties>
</file>