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4235"/>
  </bookViews>
  <sheets>
    <sheet name="Feuil1" sheetId="1" r:id="rId1"/>
  </sheets>
  <definedNames>
    <definedName name="Liste_trouver">Feuil1!$F$38:$F$43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T33" i="1" l="1"/>
  <c r="AL33" i="1"/>
  <c r="AD33" i="1"/>
  <c r="Z33" i="1"/>
  <c r="R33" i="1"/>
  <c r="J33" i="1"/>
  <c r="B33" i="1"/>
  <c r="AT32" i="1"/>
  <c r="AP32" i="1"/>
  <c r="AL32" i="1"/>
  <c r="AH32" i="1"/>
  <c r="AD32" i="1"/>
  <c r="Z32" i="1"/>
  <c r="V32" i="1"/>
  <c r="R32" i="1"/>
  <c r="N32" i="1"/>
  <c r="J32" i="1"/>
  <c r="B32" i="1"/>
  <c r="AT31" i="1"/>
  <c r="AP31" i="1"/>
  <c r="AL31" i="1"/>
  <c r="AH31" i="1"/>
  <c r="AD31" i="1"/>
  <c r="Z31" i="1"/>
  <c r="V31" i="1"/>
  <c r="R31" i="1"/>
  <c r="N31" i="1"/>
  <c r="J31" i="1"/>
  <c r="B31" i="1"/>
  <c r="AT30" i="1"/>
  <c r="AP30" i="1"/>
  <c r="AL30" i="1"/>
  <c r="AH30" i="1"/>
  <c r="AD30" i="1"/>
  <c r="Z30" i="1"/>
  <c r="V30" i="1"/>
  <c r="R30" i="1"/>
  <c r="N30" i="1"/>
  <c r="J30" i="1"/>
  <c r="F30" i="1"/>
  <c r="B30" i="1"/>
  <c r="AT29" i="1"/>
  <c r="AP29" i="1"/>
  <c r="AL29" i="1"/>
  <c r="AH29" i="1"/>
  <c r="AD29" i="1"/>
  <c r="Z29" i="1"/>
  <c r="V29" i="1"/>
  <c r="R29" i="1"/>
  <c r="N29" i="1"/>
  <c r="J29" i="1"/>
  <c r="F29" i="1"/>
  <c r="B29" i="1"/>
  <c r="AT28" i="1"/>
  <c r="AP28" i="1"/>
  <c r="AL28" i="1"/>
  <c r="AH28" i="1"/>
  <c r="AD28" i="1"/>
  <c r="Z28" i="1"/>
  <c r="V28" i="1"/>
  <c r="R28" i="1"/>
  <c r="N28" i="1"/>
  <c r="J28" i="1"/>
  <c r="F28" i="1"/>
  <c r="B28" i="1"/>
  <c r="AT27" i="1"/>
  <c r="AP27" i="1"/>
  <c r="AL27" i="1"/>
  <c r="AH27" i="1"/>
  <c r="AD27" i="1"/>
  <c r="Z27" i="1"/>
  <c r="V27" i="1"/>
  <c r="R27" i="1"/>
  <c r="N27" i="1"/>
  <c r="J27" i="1"/>
  <c r="F27" i="1"/>
  <c r="B27" i="1"/>
  <c r="AT26" i="1"/>
  <c r="AP26" i="1"/>
  <c r="AL26" i="1"/>
  <c r="AH26" i="1"/>
  <c r="AD26" i="1"/>
  <c r="Z26" i="1"/>
  <c r="V26" i="1"/>
  <c r="R26" i="1"/>
  <c r="N26" i="1"/>
  <c r="J26" i="1"/>
  <c r="F26" i="1"/>
  <c r="B26" i="1"/>
  <c r="AT25" i="1"/>
  <c r="AP25" i="1"/>
  <c r="AL25" i="1"/>
  <c r="AH25" i="1"/>
  <c r="AD25" i="1"/>
  <c r="Z25" i="1"/>
  <c r="V25" i="1"/>
  <c r="R25" i="1"/>
  <c r="N25" i="1"/>
  <c r="J25" i="1"/>
  <c r="F25" i="1"/>
  <c r="B25" i="1"/>
  <c r="AT24" i="1"/>
  <c r="AP24" i="1"/>
  <c r="AL24" i="1"/>
  <c r="AH24" i="1"/>
  <c r="AD24" i="1"/>
  <c r="Z24" i="1"/>
  <c r="V24" i="1"/>
  <c r="R24" i="1"/>
  <c r="N24" i="1"/>
  <c r="J24" i="1"/>
  <c r="F24" i="1"/>
  <c r="B24" i="1"/>
  <c r="AT23" i="1"/>
  <c r="AP23" i="1"/>
  <c r="AL23" i="1"/>
  <c r="AH23" i="1"/>
  <c r="AD23" i="1"/>
  <c r="Z23" i="1"/>
  <c r="V23" i="1"/>
  <c r="R23" i="1"/>
  <c r="N23" i="1"/>
  <c r="J23" i="1"/>
  <c r="F23" i="1"/>
  <c r="B23" i="1"/>
  <c r="AT22" i="1"/>
  <c r="AP22" i="1"/>
  <c r="AL22" i="1"/>
  <c r="AH22" i="1"/>
  <c r="AD22" i="1"/>
  <c r="Z22" i="1"/>
  <c r="V22" i="1"/>
  <c r="R22" i="1"/>
  <c r="N22" i="1"/>
  <c r="J22" i="1"/>
  <c r="F22" i="1"/>
  <c r="B22" i="1"/>
  <c r="AT21" i="1"/>
  <c r="AP21" i="1"/>
  <c r="AL21" i="1"/>
  <c r="AH21" i="1"/>
  <c r="AD21" i="1"/>
  <c r="Z21" i="1"/>
  <c r="V21" i="1"/>
  <c r="R21" i="1"/>
  <c r="N21" i="1"/>
  <c r="J21" i="1"/>
  <c r="F21" i="1"/>
  <c r="B21" i="1"/>
  <c r="AT20" i="1"/>
  <c r="AP20" i="1"/>
  <c r="AL20" i="1"/>
  <c r="AH20" i="1"/>
  <c r="AD20" i="1"/>
  <c r="Z20" i="1"/>
  <c r="V20" i="1"/>
  <c r="R20" i="1"/>
  <c r="N20" i="1"/>
  <c r="J20" i="1"/>
  <c r="F20" i="1"/>
  <c r="B20" i="1"/>
  <c r="AT19" i="1"/>
  <c r="AP19" i="1"/>
  <c r="AL19" i="1"/>
  <c r="AH19" i="1"/>
  <c r="AD19" i="1"/>
  <c r="Z19" i="1"/>
  <c r="V19" i="1"/>
  <c r="R19" i="1"/>
  <c r="N19" i="1"/>
  <c r="J19" i="1"/>
  <c r="F19" i="1"/>
  <c r="B19" i="1"/>
  <c r="AT18" i="1"/>
  <c r="AP18" i="1"/>
  <c r="AL18" i="1"/>
  <c r="AH18" i="1"/>
  <c r="AD18" i="1"/>
  <c r="Z18" i="1"/>
  <c r="V18" i="1"/>
  <c r="R18" i="1"/>
  <c r="N18" i="1"/>
  <c r="J18" i="1"/>
  <c r="F18" i="1"/>
  <c r="B18" i="1"/>
  <c r="AT17" i="1"/>
  <c r="AP17" i="1"/>
  <c r="AL17" i="1"/>
  <c r="AH17" i="1"/>
  <c r="AD17" i="1"/>
  <c r="Z17" i="1"/>
  <c r="V17" i="1"/>
  <c r="R17" i="1"/>
  <c r="N17" i="1"/>
  <c r="J17" i="1"/>
  <c r="F17" i="1"/>
  <c r="B17" i="1"/>
  <c r="AT16" i="1"/>
  <c r="AP16" i="1"/>
  <c r="AL16" i="1"/>
  <c r="AH16" i="1"/>
  <c r="AD16" i="1"/>
  <c r="Z16" i="1"/>
  <c r="V16" i="1"/>
  <c r="R16" i="1"/>
  <c r="N16" i="1"/>
  <c r="J16" i="1"/>
  <c r="F16" i="1"/>
  <c r="B16" i="1"/>
  <c r="AT15" i="1"/>
  <c r="AP15" i="1"/>
  <c r="AL15" i="1"/>
  <c r="AH15" i="1"/>
  <c r="AD15" i="1"/>
  <c r="Z15" i="1"/>
  <c r="V15" i="1"/>
  <c r="R15" i="1"/>
  <c r="N15" i="1"/>
  <c r="J15" i="1"/>
  <c r="F15" i="1"/>
  <c r="B15" i="1"/>
  <c r="AT14" i="1"/>
  <c r="AP14" i="1"/>
  <c r="AL14" i="1"/>
  <c r="AH14" i="1"/>
  <c r="AD14" i="1"/>
  <c r="Z14" i="1"/>
  <c r="V14" i="1"/>
  <c r="R14" i="1"/>
  <c r="N14" i="1"/>
  <c r="J14" i="1"/>
  <c r="F14" i="1"/>
  <c r="B14" i="1"/>
  <c r="AT13" i="1"/>
  <c r="AP13" i="1"/>
  <c r="AL13" i="1"/>
  <c r="AH13" i="1"/>
  <c r="AD13" i="1"/>
  <c r="Z13" i="1"/>
  <c r="V13" i="1"/>
  <c r="R13" i="1"/>
  <c r="N13" i="1"/>
  <c r="J13" i="1"/>
  <c r="F13" i="1"/>
  <c r="B13" i="1"/>
  <c r="AT12" i="1"/>
  <c r="AP12" i="1"/>
  <c r="AL12" i="1"/>
  <c r="AH12" i="1"/>
  <c r="AD12" i="1"/>
  <c r="Z12" i="1"/>
  <c r="V12" i="1"/>
  <c r="R12" i="1"/>
  <c r="N12" i="1"/>
  <c r="J12" i="1"/>
  <c r="F12" i="1"/>
  <c r="B12" i="1"/>
  <c r="AT11" i="1"/>
  <c r="AP11" i="1"/>
  <c r="AL11" i="1"/>
  <c r="AH11" i="1"/>
  <c r="AD11" i="1"/>
  <c r="Z11" i="1"/>
  <c r="V11" i="1"/>
  <c r="R11" i="1"/>
  <c r="N11" i="1"/>
  <c r="J11" i="1"/>
  <c r="F11" i="1"/>
  <c r="B11" i="1"/>
  <c r="AT10" i="1"/>
  <c r="AP10" i="1"/>
  <c r="AL10" i="1"/>
  <c r="AH10" i="1"/>
  <c r="AD10" i="1"/>
  <c r="Z10" i="1"/>
  <c r="V10" i="1"/>
  <c r="R10" i="1"/>
  <c r="N10" i="1"/>
  <c r="J10" i="1"/>
  <c r="F10" i="1"/>
  <c r="B10" i="1"/>
  <c r="AT9" i="1"/>
  <c r="AP9" i="1"/>
  <c r="AL9" i="1"/>
  <c r="AH9" i="1"/>
  <c r="AD9" i="1"/>
  <c r="Z9" i="1"/>
  <c r="V9" i="1"/>
  <c r="R9" i="1"/>
  <c r="N9" i="1"/>
  <c r="J9" i="1"/>
  <c r="F9" i="1"/>
  <c r="B9" i="1"/>
  <c r="AT8" i="1"/>
  <c r="AP8" i="1"/>
  <c r="AL8" i="1"/>
  <c r="AH8" i="1"/>
  <c r="AD8" i="1"/>
  <c r="Z8" i="1"/>
  <c r="V8" i="1"/>
  <c r="R8" i="1"/>
  <c r="N8" i="1"/>
  <c r="J8" i="1"/>
  <c r="F8" i="1"/>
  <c r="B8" i="1"/>
  <c r="AT7" i="1"/>
  <c r="AP7" i="1"/>
  <c r="AL7" i="1"/>
  <c r="AH7" i="1"/>
  <c r="AD7" i="1"/>
  <c r="Z7" i="1"/>
  <c r="V7" i="1"/>
  <c r="R7" i="1"/>
  <c r="N7" i="1"/>
  <c r="J7" i="1"/>
  <c r="F7" i="1"/>
  <c r="B7" i="1"/>
  <c r="AT6" i="1"/>
  <c r="AP6" i="1"/>
  <c r="AL6" i="1"/>
  <c r="AH6" i="1"/>
  <c r="AD6" i="1"/>
  <c r="Z6" i="1"/>
  <c r="V6" i="1"/>
  <c r="R6" i="1"/>
  <c r="N6" i="1"/>
  <c r="J6" i="1"/>
  <c r="F6" i="1"/>
  <c r="B6" i="1"/>
  <c r="AT5" i="1"/>
  <c r="AP5" i="1"/>
  <c r="AL5" i="1"/>
  <c r="AH5" i="1"/>
  <c r="AD5" i="1"/>
  <c r="Z5" i="1"/>
  <c r="V5" i="1"/>
  <c r="R5" i="1"/>
  <c r="N5" i="1"/>
  <c r="J5" i="1"/>
  <c r="F5" i="1"/>
  <c r="B5" i="1"/>
  <c r="AT4" i="1"/>
  <c r="AP4" i="1"/>
  <c r="AL4" i="1"/>
  <c r="AH4" i="1"/>
  <c r="AD4" i="1"/>
  <c r="Z4" i="1"/>
  <c r="V4" i="1"/>
  <c r="R4" i="1"/>
  <c r="N4" i="1"/>
  <c r="J4" i="1"/>
  <c r="F4" i="1"/>
  <c r="B4" i="1"/>
  <c r="AT3" i="1"/>
  <c r="AP3" i="1"/>
  <c r="AL3" i="1"/>
  <c r="AH3" i="1"/>
  <c r="AD3" i="1"/>
  <c r="Z3" i="1"/>
  <c r="V3" i="1"/>
  <c r="R3" i="1"/>
  <c r="N3" i="1"/>
  <c r="J3" i="1"/>
  <c r="F3" i="1"/>
  <c r="B3" i="1"/>
  <c r="AK33" i="1" l="1"/>
  <c r="Y33" i="1"/>
  <c r="Q33" i="1"/>
  <c r="AC32" i="1"/>
  <c r="AS31" i="1"/>
  <c r="I31" i="1"/>
  <c r="AO30" i="1"/>
  <c r="U30" i="1"/>
  <c r="F31" i="1"/>
  <c r="E30" i="1"/>
  <c r="AG29" i="1"/>
  <c r="Y28" i="1"/>
  <c r="M28" i="1"/>
  <c r="AK27" i="1"/>
  <c r="A27" i="1"/>
  <c r="AS26" i="1"/>
  <c r="Q26" i="1"/>
  <c r="AC25" i="1"/>
  <c r="I24" i="1"/>
  <c r="E24" i="1"/>
  <c r="AO23" i="1"/>
  <c r="U23" i="1"/>
  <c r="AG22" i="1"/>
  <c r="Y21" i="1"/>
  <c r="M21" i="1"/>
  <c r="AK20" i="1"/>
  <c r="A20" i="1"/>
  <c r="AS19" i="1"/>
  <c r="Q19" i="1"/>
  <c r="AC18" i="1"/>
  <c r="I17" i="1"/>
  <c r="E17" i="1"/>
  <c r="AO16" i="1"/>
  <c r="U16" i="1"/>
  <c r="AG15" i="1"/>
  <c r="Y14" i="1"/>
  <c r="M14" i="1"/>
  <c r="AK13" i="1"/>
  <c r="A13" i="1"/>
  <c r="AS12" i="1"/>
  <c r="Q12" i="1"/>
  <c r="AC11" i="1"/>
  <c r="I10" i="1"/>
  <c r="E10" i="1"/>
  <c r="AO9" i="1"/>
  <c r="U9" i="1"/>
  <c r="AG8" i="1"/>
  <c r="Y7" i="1"/>
  <c r="M7" i="1"/>
  <c r="AS6" i="1"/>
  <c r="AK6" i="1"/>
  <c r="A6" i="1"/>
  <c r="AO5" i="1"/>
  <c r="Q5" i="1"/>
  <c r="AC4" i="1"/>
  <c r="I4" i="1"/>
  <c r="E3" i="1"/>
</calcChain>
</file>

<file path=xl/sharedStrings.xml><?xml version="1.0" encoding="utf-8"?>
<sst xmlns="http://schemas.openxmlformats.org/spreadsheetml/2006/main" count="31" uniqueCount="21">
  <si>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</si>
  <si>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</si>
  <si>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</si>
  <si>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</si>
  <si>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</si>
  <si>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</si>
  <si>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</si>
  <si>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</si>
  <si>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</si>
  <si>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</si>
  <si>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</si>
  <si>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</si>
  <si>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Tableau des</t>
  </si>
  <si>
    <t>AA</t>
  </si>
  <si>
    <t>CC</t>
  </si>
  <si>
    <t>DD</t>
  </si>
  <si>
    <t>EE</t>
  </si>
  <si>
    <t>FF</t>
  </si>
  <si>
    <t>GG</t>
  </si>
  <si>
    <t>Date</t>
  </si>
  <si>
    <t>Date 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</si>
</sst>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"/>
    <numFmt numFmtId="165" formatCode="ddd\ 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7" tint="0.79998168889431442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4.9989318521683403E-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Border="1" applyAlignment="1">
      <alignment vertical="center"/>
    </xf>
    <xf numFmtId="0" fontId="0" fillId="6" borderId="7" xfId="0" applyFill="1" applyBorder="1" applyAlignment="1">
      <alignment vertical="center"/>
    </xf>
    <xf numFmtId="165" fontId="3" fillId="6" borderId="7" xfId="0" applyNumberFormat="1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5" fillId="7" borderId="7" xfId="0" applyFont="1" applyFill="1" applyBorder="1" applyAlignment="1">
      <alignment horizontal="center" vertical="center"/>
    </xf>
    <xf numFmtId="165" fontId="3" fillId="3" borderId="7" xfId="0" applyNumberFormat="1" applyFont="1" applyFill="1" applyBorder="1" applyAlignment="1">
      <alignment horizontal="center" vertical="center"/>
    </xf>
    <xf numFmtId="165" fontId="3" fillId="8" borderId="7" xfId="0" applyNumberFormat="1" applyFont="1" applyFill="1" applyBorder="1" applyAlignment="1">
      <alignment horizontal="center" vertical="center"/>
    </xf>
    <xf numFmtId="0" fontId="5" fillId="9" borderId="7" xfId="0" applyNumberFormat="1" applyFont="1" applyFill="1" applyBorder="1" applyAlignment="1">
      <alignment horizontal="center" vertical="center"/>
    </xf>
    <xf numFmtId="165" fontId="3" fillId="4" borderId="7" xfId="0" applyNumberFormat="1" applyFont="1" applyFill="1" applyBorder="1" applyAlignment="1">
      <alignment horizontal="center" vertical="center"/>
    </xf>
    <xf numFmtId="165" fontId="3" fillId="10" borderId="7" xfId="0" applyNumberFormat="1" applyFont="1" applyFill="1" applyBorder="1" applyAlignment="1">
      <alignment horizontal="center" vertical="center"/>
    </xf>
    <xf numFmtId="0" fontId="5" fillId="11" borderId="7" xfId="0" applyNumberFormat="1" applyFont="1" applyFill="1" applyBorder="1" applyAlignment="1">
      <alignment horizontal="center" vertical="center"/>
    </xf>
    <xf numFmtId="165" fontId="3" fillId="5" borderId="7" xfId="0" applyNumberFormat="1" applyFont="1" applyFill="1" applyBorder="1" applyAlignment="1">
      <alignment horizontal="center" vertical="center"/>
    </xf>
    <xf numFmtId="165" fontId="3" fillId="12" borderId="7" xfId="0" applyNumberFormat="1" applyFont="1" applyFill="1" applyBorder="1" applyAlignment="1">
      <alignment horizontal="center" vertical="center"/>
    </xf>
    <xf numFmtId="0" fontId="5" fillId="6" borderId="7" xfId="0" applyNumberFormat="1" applyFont="1" applyFill="1" applyBorder="1" applyAlignment="1">
      <alignment horizontal="center" vertical="center"/>
    </xf>
    <xf numFmtId="0" fontId="5" fillId="7" borderId="7" xfId="0" applyNumberFormat="1" applyFont="1" applyFill="1" applyBorder="1" applyAlignment="1">
      <alignment horizontal="center" vertical="center"/>
    </xf>
    <xf numFmtId="0" fontId="5" fillId="13" borderId="7" xfId="0" applyNumberFormat="1" applyFont="1" applyFill="1" applyBorder="1" applyAlignment="1">
      <alignment horizontal="center" vertical="center"/>
    </xf>
    <xf numFmtId="165" fontId="3" fillId="2" borderId="7" xfId="0" applyNumberFormat="1" applyFont="1" applyFill="1" applyBorder="1" applyAlignment="1">
      <alignment horizontal="center" vertical="center"/>
    </xf>
    <xf numFmtId="165" fontId="3" fillId="14" borderId="7" xfId="0" applyNumberFormat="1" applyFont="1" applyFill="1" applyBorder="1" applyAlignment="1">
      <alignment horizontal="center" vertical="center"/>
    </xf>
    <xf numFmtId="0" fontId="3" fillId="14" borderId="7" xfId="0" applyFont="1" applyFill="1" applyBorder="1" applyAlignment="1">
      <alignment horizontal="center" vertical="center"/>
    </xf>
    <xf numFmtId="0" fontId="5" fillId="13" borderId="8" xfId="0" applyFont="1" applyFill="1" applyBorder="1" applyAlignment="1">
      <alignment horizontal="center" vertical="center"/>
    </xf>
    <xf numFmtId="165" fontId="3" fillId="2" borderId="8" xfId="0" applyNumberFormat="1" applyFont="1" applyFill="1" applyBorder="1" applyAlignment="1">
      <alignment horizontal="center" vertical="center"/>
    </xf>
    <xf numFmtId="0" fontId="3" fillId="14" borderId="8" xfId="0" applyFont="1" applyFill="1" applyBorder="1" applyAlignment="1">
      <alignment horizontal="center" vertical="center"/>
    </xf>
    <xf numFmtId="0" fontId="5" fillId="7" borderId="8" xfId="0" applyFont="1" applyFill="1" applyBorder="1" applyAlignment="1">
      <alignment horizontal="center" vertical="center"/>
    </xf>
    <xf numFmtId="165" fontId="3" fillId="3" borderId="8" xfId="0" applyNumberFormat="1" applyFont="1" applyFill="1" applyBorder="1" applyAlignment="1">
      <alignment horizontal="center" vertical="center"/>
    </xf>
    <xf numFmtId="165" fontId="3" fillId="8" borderId="8" xfId="0" applyNumberFormat="1" applyFont="1" applyFill="1" applyBorder="1" applyAlignment="1">
      <alignment horizontal="center" vertical="center"/>
    </xf>
    <xf numFmtId="0" fontId="5" fillId="9" borderId="8" xfId="0" applyNumberFormat="1" applyFont="1" applyFill="1" applyBorder="1" applyAlignment="1">
      <alignment horizontal="center" vertical="center"/>
    </xf>
    <xf numFmtId="165" fontId="3" fillId="4" borderId="8" xfId="0" applyNumberFormat="1" applyFont="1" applyFill="1" applyBorder="1" applyAlignment="1">
      <alignment horizontal="center" vertical="center"/>
    </xf>
    <xf numFmtId="165" fontId="3" fillId="10" borderId="8" xfId="0" applyNumberFormat="1" applyFont="1" applyFill="1" applyBorder="1" applyAlignment="1">
      <alignment horizontal="center" vertical="center"/>
    </xf>
    <xf numFmtId="0" fontId="5" fillId="11" borderId="8" xfId="0" applyNumberFormat="1" applyFont="1" applyFill="1" applyBorder="1" applyAlignment="1">
      <alignment horizontal="center" vertical="center"/>
    </xf>
    <xf numFmtId="165" fontId="3" fillId="5" borderId="8" xfId="0" applyNumberFormat="1" applyFont="1" applyFill="1" applyBorder="1" applyAlignment="1">
      <alignment horizontal="center" vertical="center"/>
    </xf>
    <xf numFmtId="165" fontId="3" fillId="12" borderId="8" xfId="0" applyNumberFormat="1" applyFont="1" applyFill="1" applyBorder="1" applyAlignment="1">
      <alignment horizontal="center" vertical="center"/>
    </xf>
    <xf numFmtId="0" fontId="5" fillId="13" borderId="8" xfId="0" applyNumberFormat="1" applyFont="1" applyFill="1" applyBorder="1" applyAlignment="1">
      <alignment horizontal="center" vertical="center"/>
    </xf>
    <xf numFmtId="165" fontId="3" fillId="14" borderId="8" xfId="0" applyNumberFormat="1" applyFont="1" applyFill="1" applyBorder="1" applyAlignment="1">
      <alignment horizontal="center" vertical="center"/>
    </xf>
    <xf numFmtId="0" fontId="5" fillId="7" borderId="8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5" fillId="6" borderId="8" xfId="0" applyNumberFormat="1" applyFont="1" applyFill="1" applyBorder="1" applyAlignment="1">
      <alignment horizontal="center" vertical="center"/>
    </xf>
    <xf numFmtId="165" fontId="3" fillId="6" borderId="8" xfId="0" applyNumberFormat="1" applyFont="1" applyFill="1" applyBorder="1" applyAlignment="1">
      <alignment horizontal="center" vertical="center"/>
    </xf>
    <xf numFmtId="0" fontId="1" fillId="16" borderId="11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5" fillId="18" borderId="8" xfId="0" applyFont="1" applyFill="1" applyBorder="1" applyAlignment="1">
      <alignment horizontal="center" vertical="center"/>
    </xf>
    <xf numFmtId="165" fontId="3" fillId="18" borderId="8" xfId="0" applyNumberFormat="1" applyFont="1" applyFill="1" applyBorder="1" applyAlignment="1">
      <alignment horizontal="center" vertical="center"/>
    </xf>
    <xf numFmtId="165" fontId="3" fillId="7" borderId="8" xfId="0" applyNumberFormat="1" applyFont="1" applyFill="1" applyBorder="1" applyAlignment="1">
      <alignment horizontal="center" vertical="center"/>
    </xf>
    <xf numFmtId="0" fontId="5" fillId="19" borderId="8" xfId="0" applyNumberFormat="1" applyFont="1" applyFill="1" applyBorder="1" applyAlignment="1">
      <alignment horizontal="center" vertical="center"/>
    </xf>
    <xf numFmtId="165" fontId="3" fillId="19" borderId="8" xfId="0" applyNumberFormat="1" applyFont="1" applyFill="1" applyBorder="1" applyAlignment="1">
      <alignment horizontal="center" vertical="center"/>
    </xf>
    <xf numFmtId="0" fontId="0" fillId="18" borderId="0" xfId="0" applyFill="1" applyAlignment="1">
      <alignment vertical="center"/>
    </xf>
    <xf numFmtId="0" fontId="5" fillId="18" borderId="8" xfId="0" applyNumberFormat="1" applyFont="1" applyFill="1" applyBorder="1" applyAlignment="1">
      <alignment horizontal="center" vertical="center"/>
    </xf>
    <xf numFmtId="165" fontId="6" fillId="18" borderId="8" xfId="0" applyNumberFormat="1" applyFont="1" applyFill="1" applyBorder="1" applyAlignment="1">
      <alignment horizontal="center" vertical="center"/>
    </xf>
    <xf numFmtId="0" fontId="3" fillId="15" borderId="0" xfId="0" applyFont="1" applyFill="1" applyBorder="1" applyAlignment="1">
      <alignment horizontal="center" vertical="center"/>
    </xf>
    <xf numFmtId="1" fontId="3" fillId="15" borderId="0" xfId="0" applyNumberFormat="1" applyFont="1" applyFill="1" applyBorder="1" applyAlignment="1">
      <alignment horizontal="center" vertical="center"/>
    </xf>
    <xf numFmtId="14" fontId="3" fillId="16" borderId="9" xfId="0" applyNumberFormat="1" applyFont="1" applyFill="1" applyBorder="1" applyAlignment="1">
      <alignment horizontal="center" vertical="center"/>
    </xf>
    <xf numFmtId="14" fontId="3" fillId="16" borderId="11" xfId="0" applyNumberFormat="1" applyFont="1" applyFill="1" applyBorder="1" applyAlignment="1">
      <alignment horizontal="center" vertical="center"/>
    </xf>
    <xf numFmtId="0" fontId="3" fillId="16" borderId="9" xfId="0" applyFont="1" applyFill="1" applyBorder="1" applyAlignment="1">
      <alignment horizontal="center" vertical="center"/>
    </xf>
    <xf numFmtId="0" fontId="3" fillId="16" borderId="11" xfId="0" applyFont="1" applyFill="1" applyBorder="1" applyAlignment="1">
      <alignment horizontal="center" vertical="center"/>
    </xf>
    <xf numFmtId="14" fontId="3" fillId="17" borderId="9" xfId="0" applyNumberFormat="1" applyFont="1" applyFill="1" applyBorder="1" applyAlignment="1">
      <alignment horizontal="center" vertical="center"/>
    </xf>
    <xf numFmtId="14" fontId="3" fillId="17" borderId="11" xfId="0" applyNumberFormat="1" applyFont="1" applyFill="1" applyBorder="1" applyAlignment="1">
      <alignment horizontal="center" vertical="center"/>
    </xf>
    <xf numFmtId="0" fontId="3" fillId="17" borderId="9" xfId="0" applyFont="1" applyFill="1" applyBorder="1" applyAlignment="1">
      <alignment horizontal="center" vertical="center"/>
    </xf>
    <xf numFmtId="0" fontId="3" fillId="17" borderId="11" xfId="0" applyFont="1" applyFill="1" applyBorder="1" applyAlignment="1">
      <alignment horizontal="center" vertical="center"/>
    </xf>
    <xf numFmtId="0" fontId="4" fillId="15" borderId="0" xfId="0" applyFont="1" applyFill="1" applyBorder="1" applyAlignment="1">
      <alignment horizontal="center" vertical="center"/>
    </xf>
    <xf numFmtId="0" fontId="1" fillId="16" borderId="9" xfId="0" applyFont="1" applyFill="1" applyBorder="1" applyAlignment="1">
      <alignment horizontal="center" vertical="center"/>
    </xf>
    <xf numFmtId="0" fontId="1" fillId="16" borderId="10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3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164" fontId="2" fillId="2" borderId="4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164" fontId="2" fillId="4" borderId="4" xfId="0" applyNumberFormat="1" applyFont="1" applyFill="1" applyBorder="1" applyAlignment="1">
      <alignment horizontal="center" vertical="center"/>
    </xf>
    <xf numFmtId="164" fontId="2" fillId="4" borderId="5" xfId="0" applyNumberFormat="1" applyFont="1" applyFill="1" applyBorder="1" applyAlignment="1">
      <alignment horizontal="center" vertical="center"/>
    </xf>
    <xf numFmtId="164" fontId="2" fillId="4" borderId="6" xfId="0" applyNumberFormat="1" applyFont="1" applyFill="1" applyBorder="1" applyAlignment="1">
      <alignment horizontal="center" vertical="center"/>
    </xf>
    <xf numFmtId="164" fontId="2" fillId="5" borderId="4" xfId="0" applyNumberFormat="1" applyFont="1" applyFill="1" applyBorder="1" applyAlignment="1">
      <alignment horizontal="center" vertical="center"/>
    </xf>
    <xf numFmtId="164" fontId="2" fillId="5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Z380"/>
  <sheetViews>
    <sheetView tabSelected="1" topLeftCell="C1" workbookViewId="0">
      <selection activeCell="AY12" sqref="AY12"/>
    </sheetView>
  </sheetViews>
  <sheetFormatPr baseColWidth="10" defaultRowHeight="15" x14ac:dyDescent="0.25"/>
  <cols>
    <col min="1" max="1" width="4.28515625" customWidth="1"/>
    <col min="2" max="2" width="7.140625" customWidth="1"/>
    <col min="3" max="3" width="6.42578125" customWidth="1"/>
    <col min="4" max="4" width="2.140625" customWidth="1"/>
    <col min="5" max="5" width="4.140625" customWidth="1"/>
    <col min="6" max="6" width="7.140625" customWidth="1"/>
    <col min="7" max="7" width="4.5703125" customWidth="1"/>
    <col min="8" max="8" width="1.42578125" customWidth="1"/>
    <col min="9" max="9" width="5" customWidth="1"/>
    <col min="10" max="10" width="7" customWidth="1"/>
    <col min="11" max="11" width="5.7109375" customWidth="1"/>
    <col min="12" max="12" width="1.42578125" customWidth="1"/>
    <col min="13" max="13" width="5" customWidth="1"/>
    <col min="14" max="14" width="7" customWidth="1"/>
    <col min="15" max="15" width="5.42578125" customWidth="1"/>
    <col min="16" max="16" width="1.42578125" customWidth="1"/>
    <col min="17" max="17" width="3.28515625" customWidth="1"/>
    <col min="18" max="18" width="7.85546875" customWidth="1"/>
    <col min="19" max="19" width="5.7109375" customWidth="1"/>
    <col min="20" max="20" width="1.42578125" customWidth="1"/>
    <col min="21" max="21" width="3.5703125" customWidth="1"/>
    <col min="22" max="22" width="6.140625" customWidth="1"/>
    <col min="23" max="23" width="6.42578125" customWidth="1"/>
    <col min="24" max="24" width="1.7109375" customWidth="1"/>
    <col min="25" max="25" width="3.42578125" customWidth="1"/>
    <col min="26" max="26" width="7.85546875" customWidth="1"/>
    <col min="27" max="27" width="5.5703125" customWidth="1"/>
    <col min="28" max="28" width="1" customWidth="1"/>
    <col min="29" max="29" width="5.7109375" customWidth="1"/>
    <col min="30" max="30" width="6.42578125" customWidth="1"/>
    <col min="31" max="31" width="5.42578125" customWidth="1"/>
    <col min="32" max="32" width="1.42578125" customWidth="1"/>
    <col min="33" max="33" width="4" customWidth="1"/>
    <col min="34" max="34" width="6.7109375" customWidth="1"/>
    <col min="35" max="35" width="5.28515625" customWidth="1"/>
    <col min="36" max="36" width="1.85546875" customWidth="1"/>
    <col min="37" max="37" width="3.85546875" customWidth="1"/>
    <col min="38" max="38" width="6.5703125" customWidth="1"/>
    <col min="39" max="39" width="5.5703125" customWidth="1"/>
    <col min="40" max="40" width="2" customWidth="1"/>
    <col min="41" max="41" width="4.7109375" customWidth="1"/>
    <col min="42" max="42" width="6.42578125" customWidth="1"/>
    <col min="43" max="43" width="6.28515625" customWidth="1"/>
    <col min="44" max="44" width="1.85546875" customWidth="1"/>
    <col min="45" max="45" width="4" customWidth="1"/>
    <col min="46" max="46" width="6.42578125" customWidth="1"/>
    <col min="47" max="47" width="5" customWidth="1"/>
    <col min="48" max="48" width="1.28515625" customWidth="1"/>
    <col min="50" max="50" width="4.42578125" customWidth="1"/>
    <col min="51" max="51" width="7.5703125" customWidth="1"/>
    <col min="52" max="52" width="7" customWidth="1"/>
  </cols>
  <sheetData>
    <row r="1" spans="1:52" ht="41.25" customHeight="1" thickBot="1" x14ac:dyDescent="0.3">
      <c r="K1">
        <v>2020</v>
      </c>
    </row>
    <row r="2" spans="1:52" ht="24" thickBot="1" x14ac:dyDescent="0.3">
      <c r="A2" s="65" t="s">
        <v>0</v>
      </c>
      <c r="B2" s="66"/>
      <c r="C2" s="67"/>
      <c r="E2" s="68" t="s">
        <v>1</v>
      </c>
      <c r="F2" s="69"/>
      <c r="G2" s="69"/>
      <c r="I2" s="70" t="s">
        <v>2</v>
      </c>
      <c r="J2" s="70"/>
      <c r="K2" s="70"/>
      <c r="M2" s="71" t="s">
        <v>3</v>
      </c>
      <c r="N2" s="71"/>
      <c r="O2" s="71"/>
      <c r="Q2" s="72" t="s">
        <v>4</v>
      </c>
      <c r="R2" s="73"/>
      <c r="S2" s="74"/>
      <c r="U2" s="75" t="s">
        <v>5</v>
      </c>
      <c r="V2" s="76"/>
      <c r="W2" s="77"/>
      <c r="Y2" s="78" t="s">
        <v>6</v>
      </c>
      <c r="Z2" s="79"/>
      <c r="AA2" s="80"/>
      <c r="AC2" s="72" t="s">
        <v>7</v>
      </c>
      <c r="AD2" s="73"/>
      <c r="AE2" s="74"/>
      <c r="AG2" s="75" t="s">
        <v>8</v>
      </c>
      <c r="AH2" s="76"/>
      <c r="AI2" s="77"/>
      <c r="AK2" s="78" t="s">
        <v>9</v>
      </c>
      <c r="AL2" s="79"/>
      <c r="AM2" s="80"/>
      <c r="AO2" s="81" t="s">
        <v>10</v>
      </c>
      <c r="AP2" s="82"/>
      <c r="AQ2" s="82"/>
      <c r="AS2" s="65" t="s">
        <v>11</v>
      </c>
      <c r="AT2" s="66"/>
      <c r="AU2" s="67"/>
      <c r="AV2" s="1"/>
      <c r="AW2" s="50"/>
      <c r="AX2" s="60"/>
      <c r="AY2" s="60"/>
      <c r="AZ2" s="60"/>
    </row>
    <row r="3" spans="1:52" ht="15.75" x14ac:dyDescent="0.25">
      <c r="A3" s="2"/>
      <c r="B3" s="3">
        <f>DATE($K$1,1,1)</f>
        <v>43831</v>
      </c>
      <c r="C3" s="4"/>
      <c r="E3" s="5">
        <f>_xlfn.ISOWEEKNUM(F3)</f>
        <v>5</v>
      </c>
      <c r="F3" s="6">
        <f>DATE($K$1,2,1)</f>
        <v>43862</v>
      </c>
      <c r="G3" s="7"/>
      <c r="I3" s="8"/>
      <c r="J3" s="9">
        <f>DATE($K$1,3,1)</f>
        <v>43891</v>
      </c>
      <c r="K3" s="10"/>
      <c r="M3" s="11"/>
      <c r="N3" s="12">
        <f>DATE($K$1,4,1)</f>
        <v>43922</v>
      </c>
      <c r="O3" s="13"/>
      <c r="Q3" s="14"/>
      <c r="R3" s="3">
        <f>DATE($K$1,5,1)</f>
        <v>43952</v>
      </c>
      <c r="S3" s="3"/>
      <c r="U3" s="15"/>
      <c r="V3" s="6">
        <f>DATE($K$1,6,1)</f>
        <v>43983</v>
      </c>
      <c r="W3" s="7"/>
      <c r="Y3" s="8"/>
      <c r="Z3" s="9">
        <f>DATE($K$1,7,1)</f>
        <v>44013</v>
      </c>
      <c r="AA3" s="10"/>
      <c r="AC3" s="16"/>
      <c r="AD3" s="17">
        <f>DATE($K$1,8,1)</f>
        <v>44044</v>
      </c>
      <c r="AE3" s="18"/>
      <c r="AG3" s="15"/>
      <c r="AH3" s="6">
        <f>DATE($K$1,9,1)</f>
        <v>44075</v>
      </c>
      <c r="AI3" s="7"/>
      <c r="AK3" s="8"/>
      <c r="AL3" s="9">
        <f>DATE($K$1,10,1)</f>
        <v>44105</v>
      </c>
      <c r="AM3" s="10"/>
      <c r="AO3" s="14"/>
      <c r="AP3" s="3">
        <f>DATE($K$1,11,1)</f>
        <v>44136</v>
      </c>
      <c r="AQ3" s="3"/>
      <c r="AS3" s="16"/>
      <c r="AT3" s="17">
        <f>DATE($K$1,12,1)</f>
        <v>44166</v>
      </c>
      <c r="AU3" s="19"/>
      <c r="AV3" s="1"/>
      <c r="AW3" s="50"/>
      <c r="AX3" s="50"/>
      <c r="AY3" s="50"/>
      <c r="AZ3" s="50"/>
    </row>
    <row r="4" spans="1:52" ht="15.75" x14ac:dyDescent="0.25">
      <c r="A4" s="20"/>
      <c r="B4" s="21">
        <f>DATE($K$1,1,2)</f>
        <v>43832</v>
      </c>
      <c r="C4" s="22"/>
      <c r="E4" s="23"/>
      <c r="F4" s="24">
        <f>DATE($K$1,2,2)</f>
        <v>43863</v>
      </c>
      <c r="G4" s="25"/>
      <c r="I4" s="26">
        <f>_xlfn.ISOWEEKNUM(J4)</f>
        <v>10</v>
      </c>
      <c r="J4" s="27">
        <f>DATE($K$1,3,2)</f>
        <v>43892</v>
      </c>
      <c r="K4" s="28"/>
      <c r="M4" s="29"/>
      <c r="N4" s="30">
        <f>DATE($K$1,4,2)</f>
        <v>43923</v>
      </c>
      <c r="O4" s="31"/>
      <c r="Q4" s="32"/>
      <c r="R4" s="21">
        <f>DATE($K$1,5,2)</f>
        <v>43953</v>
      </c>
      <c r="S4" s="33"/>
      <c r="U4" s="34"/>
      <c r="V4" s="24">
        <f>DATE($K$1,6,2)</f>
        <v>43984</v>
      </c>
      <c r="W4" s="25"/>
      <c r="Y4" s="26"/>
      <c r="Z4" s="27">
        <f>DATE($K$1,7,2)</f>
        <v>44014</v>
      </c>
      <c r="AA4" s="28"/>
      <c r="AC4" s="32">
        <f>_xlfn.ISOWEEKNUM(AD4)</f>
        <v>31</v>
      </c>
      <c r="AD4" s="21">
        <f>DATE($K$1,8,2)</f>
        <v>44045</v>
      </c>
      <c r="AE4" s="33"/>
      <c r="AG4" s="34"/>
      <c r="AH4" s="24">
        <f>DATE($K$1,9,2)</f>
        <v>44076</v>
      </c>
      <c r="AI4" s="25"/>
      <c r="AK4" s="26"/>
      <c r="AL4" s="27">
        <f>DATE($K$1,10,2)</f>
        <v>44106</v>
      </c>
      <c r="AM4" s="28"/>
      <c r="AO4" s="29"/>
      <c r="AP4" s="30">
        <f>DATE($K$1,11,2)</f>
        <v>44137</v>
      </c>
      <c r="AQ4" s="31"/>
      <c r="AS4" s="32"/>
      <c r="AT4" s="21">
        <f>DATE($K$1,12,2)</f>
        <v>44167</v>
      </c>
      <c r="AU4" s="22"/>
      <c r="AV4" s="35"/>
      <c r="AW4" s="50"/>
      <c r="AX4" s="50"/>
      <c r="AY4" s="50"/>
      <c r="AZ4" s="50"/>
    </row>
    <row r="5" spans="1:52" ht="15.75" x14ac:dyDescent="0.25">
      <c r="A5" s="20"/>
      <c r="B5" s="21">
        <f>DATE($K$1,1,3)</f>
        <v>43833</v>
      </c>
      <c r="C5" s="22"/>
      <c r="E5" s="23"/>
      <c r="F5" s="24">
        <f>DATE($K$1,2,3)</f>
        <v>43864</v>
      </c>
      <c r="G5" s="25"/>
      <c r="I5" s="26"/>
      <c r="J5" s="27">
        <f>DATE($K$1,3,3)</f>
        <v>43893</v>
      </c>
      <c r="K5" s="28"/>
      <c r="M5" s="29"/>
      <c r="N5" s="30">
        <f>DATE($K$1,4,3)</f>
        <v>43924</v>
      </c>
      <c r="O5" s="31"/>
      <c r="Q5" s="32">
        <f>_xlfn.ISOWEEKNUM(R5)</f>
        <v>18</v>
      </c>
      <c r="R5" s="21">
        <f>DATE($K$1,5,3)</f>
        <v>43954</v>
      </c>
      <c r="S5" s="33"/>
      <c r="U5" s="34"/>
      <c r="V5" s="24">
        <f>DATE($K$1,6,3)</f>
        <v>43985</v>
      </c>
      <c r="W5" s="25"/>
      <c r="Y5" s="26"/>
      <c r="Z5" s="27">
        <f>DATE($K$1,7,3)</f>
        <v>44015</v>
      </c>
      <c r="AA5" s="28"/>
      <c r="AC5" s="32"/>
      <c r="AD5" s="21">
        <f>DATE($K$1,8,3)</f>
        <v>44046</v>
      </c>
      <c r="AE5" s="33"/>
      <c r="AG5" s="34"/>
      <c r="AH5" s="24">
        <f>DATE($K$1,9,3)</f>
        <v>44077</v>
      </c>
      <c r="AI5" s="25"/>
      <c r="AK5" s="26"/>
      <c r="AL5" s="27">
        <f>DATE($K$1,10,3)</f>
        <v>44107</v>
      </c>
      <c r="AM5" s="28"/>
      <c r="AO5" s="29">
        <f>_xlfn.ISOWEEKNUM(AP5)</f>
        <v>45</v>
      </c>
      <c r="AP5" s="30">
        <f>DATE($K$1,11,3)</f>
        <v>44138</v>
      </c>
      <c r="AQ5" s="31"/>
      <c r="AS5" s="32"/>
      <c r="AT5" s="21">
        <f>DATE($K$1,12,3)</f>
        <v>44168</v>
      </c>
      <c r="AU5" s="22"/>
      <c r="AV5" s="35"/>
      <c r="AW5" s="50"/>
      <c r="AX5" s="50"/>
      <c r="AY5" s="50"/>
      <c r="AZ5" s="50"/>
    </row>
    <row r="6" spans="1:52" ht="15.75" x14ac:dyDescent="0.25">
      <c r="A6" s="20">
        <f>_xlfn.ISOWEEKNUM(B6)</f>
        <v>1</v>
      </c>
      <c r="B6" s="21">
        <f>DATE($K$1,1,4)</f>
        <v>43834</v>
      </c>
      <c r="C6" s="22"/>
      <c r="E6" s="23"/>
      <c r="F6" s="24">
        <f>DATE($K$1,2,4)</f>
        <v>43865</v>
      </c>
      <c r="G6" s="25"/>
      <c r="I6" s="26"/>
      <c r="J6" s="27">
        <f>DATE($K$1,3,4)</f>
        <v>43894</v>
      </c>
      <c r="K6" s="28"/>
      <c r="M6" s="29"/>
      <c r="N6" s="30">
        <f>DATE($K$1,4,4)</f>
        <v>43925</v>
      </c>
      <c r="O6" s="31"/>
      <c r="Q6" s="32"/>
      <c r="R6" s="21">
        <f>DATE($K$1,5,4)</f>
        <v>43955</v>
      </c>
      <c r="S6" s="33"/>
      <c r="U6" s="34"/>
      <c r="V6" s="24">
        <f>DATE($K$1,6,4)</f>
        <v>43986</v>
      </c>
      <c r="W6" s="25"/>
      <c r="Y6" s="26"/>
      <c r="Z6" s="27">
        <f>DATE($K$1,7,4)</f>
        <v>44016</v>
      </c>
      <c r="AA6" s="28"/>
      <c r="AC6" s="32"/>
      <c r="AD6" s="21">
        <f>DATE($K$1,8,4)</f>
        <v>44047</v>
      </c>
      <c r="AE6" s="33"/>
      <c r="AG6" s="34"/>
      <c r="AH6" s="24">
        <f>DATE($K$1,9,4)</f>
        <v>44078</v>
      </c>
      <c r="AI6" s="25"/>
      <c r="AK6" s="26">
        <f>_xlfn.ISOWEEKNUM(AL6)</f>
        <v>40</v>
      </c>
      <c r="AL6" s="27">
        <f>DATE($K$1,10,4)</f>
        <v>44108</v>
      </c>
      <c r="AM6" s="28"/>
      <c r="AO6" s="29"/>
      <c r="AP6" s="30">
        <f>DATE($K$1,11,4)</f>
        <v>44139</v>
      </c>
      <c r="AQ6" s="31"/>
      <c r="AS6" s="32">
        <f>_xlfn.ISOWEEKNUM(AT6)</f>
        <v>49</v>
      </c>
      <c r="AT6" s="21">
        <f>DATE($K$1,12,4)</f>
        <v>44169</v>
      </c>
      <c r="AU6" s="22"/>
      <c r="AV6" s="35"/>
      <c r="AW6" s="50"/>
      <c r="AX6" s="50"/>
      <c r="AY6" s="50"/>
      <c r="AZ6" s="50"/>
    </row>
    <row r="7" spans="1:52" ht="15.75" x14ac:dyDescent="0.25">
      <c r="A7" s="20"/>
      <c r="B7" s="21">
        <f>DATE($K$1,1,5)</f>
        <v>43835</v>
      </c>
      <c r="C7" s="22"/>
      <c r="E7" s="23"/>
      <c r="F7" s="24">
        <f>DATE($K$1,2,5)</f>
        <v>43866</v>
      </c>
      <c r="G7" s="25"/>
      <c r="I7" s="26"/>
      <c r="J7" s="27">
        <f>DATE($K$1,3,5)</f>
        <v>43895</v>
      </c>
      <c r="K7" s="28"/>
      <c r="M7" s="29">
        <f>_xlfn.ISOWEEKNUM(N7)</f>
        <v>14</v>
      </c>
      <c r="N7" s="30">
        <f>DATE($K$1,4,5)</f>
        <v>43926</v>
      </c>
      <c r="O7" s="31"/>
      <c r="Q7" s="32"/>
      <c r="R7" s="21">
        <f>DATE($K$1,5,5)</f>
        <v>43956</v>
      </c>
      <c r="S7" s="33"/>
      <c r="U7" s="34"/>
      <c r="V7" s="24">
        <f>DATE($K$1,6,5)</f>
        <v>43987</v>
      </c>
      <c r="W7" s="25"/>
      <c r="Y7" s="26">
        <f>_xlfn.ISOWEEKNUM(Z7)</f>
        <v>27</v>
      </c>
      <c r="Z7" s="27">
        <f>DATE($K$1,7,5)</f>
        <v>44017</v>
      </c>
      <c r="AA7" s="28" t="s">
        <v>17</v>
      </c>
      <c r="AC7" s="32"/>
      <c r="AD7" s="21">
        <f>DATE($K$1,8,5)</f>
        <v>44048</v>
      </c>
      <c r="AE7" s="33"/>
      <c r="AG7" s="34"/>
      <c r="AH7" s="24">
        <f>DATE($K$1,9,5)</f>
        <v>44079</v>
      </c>
      <c r="AI7" s="25"/>
      <c r="AK7" s="26"/>
      <c r="AL7" s="27">
        <f>DATE($K$1,10,5)</f>
        <v>44109</v>
      </c>
      <c r="AM7" s="28"/>
      <c r="AO7" s="29"/>
      <c r="AP7" s="30">
        <f>DATE($K$1,11,5)</f>
        <v>44140</v>
      </c>
      <c r="AQ7" s="31"/>
      <c r="AS7" s="32"/>
      <c r="AT7" s="21">
        <f>DATE($K$1,12,5)</f>
        <v>44170</v>
      </c>
      <c r="AU7" s="22"/>
      <c r="AV7" s="35"/>
      <c r="AW7" s="50"/>
      <c r="AX7" s="50"/>
      <c r="AY7" s="50"/>
      <c r="AZ7" s="50"/>
    </row>
    <row r="8" spans="1:52" ht="15.75" x14ac:dyDescent="0.25">
      <c r="A8" s="20"/>
      <c r="B8" s="21">
        <f>DATE($K$1,1,6)</f>
        <v>43836</v>
      </c>
      <c r="C8" s="22"/>
      <c r="E8" s="23"/>
      <c r="F8" s="24">
        <f>DATE($K$1,2,6)</f>
        <v>43867</v>
      </c>
      <c r="G8" s="25"/>
      <c r="I8" s="26"/>
      <c r="J8" s="27">
        <f>DATE($K$1,3,6)</f>
        <v>43896</v>
      </c>
      <c r="K8" s="28"/>
      <c r="M8" s="29"/>
      <c r="N8" s="30">
        <f>DATE($K$1,4,6)</f>
        <v>43927</v>
      </c>
      <c r="O8" s="31"/>
      <c r="Q8" s="32"/>
      <c r="R8" s="21">
        <f>DATE($K$1,5,6)</f>
        <v>43957</v>
      </c>
      <c r="S8" s="33"/>
      <c r="U8" s="34"/>
      <c r="V8" s="24">
        <f>DATE($K$1,6,6)</f>
        <v>43988</v>
      </c>
      <c r="W8" s="25"/>
      <c r="Y8" s="26"/>
      <c r="Z8" s="27">
        <f>DATE($K$1,7,6)</f>
        <v>44018</v>
      </c>
      <c r="AA8" s="28" t="s">
        <v>18</v>
      </c>
      <c r="AC8" s="32"/>
      <c r="AD8" s="21">
        <f>DATE($K$1,8,6)</f>
        <v>44049</v>
      </c>
      <c r="AE8" s="33"/>
      <c r="AG8" s="34">
        <f>_xlfn.ISOWEEKNUM(AH8)</f>
        <v>36</v>
      </c>
      <c r="AH8" s="24">
        <f>DATE($K$1,9,6)</f>
        <v>44080</v>
      </c>
      <c r="AI8" s="25"/>
      <c r="AK8" s="26"/>
      <c r="AL8" s="27">
        <f>DATE($K$1,10,6)</f>
        <v>44110</v>
      </c>
      <c r="AM8" s="28"/>
      <c r="AO8" s="29"/>
      <c r="AP8" s="30">
        <f>DATE($K$1,11,6)</f>
        <v>44141</v>
      </c>
      <c r="AQ8" s="31"/>
      <c r="AS8" s="32"/>
      <c r="AT8" s="21">
        <f>DATE($K$1,12,6)</f>
        <v>44171</v>
      </c>
      <c r="AU8" s="22"/>
      <c r="AV8" s="35"/>
      <c r="AW8" s="50"/>
      <c r="AX8" s="51"/>
      <c r="AY8" s="50"/>
      <c r="AZ8" s="50"/>
    </row>
    <row r="9" spans="1:52" ht="15.75" x14ac:dyDescent="0.25">
      <c r="A9" s="20"/>
      <c r="B9" s="21">
        <f>DATE($K$1,1,7)</f>
        <v>43837</v>
      </c>
      <c r="C9" s="22"/>
      <c r="E9" s="23"/>
      <c r="F9" s="24">
        <f>DATE($K$1,2,7)</f>
        <v>43868</v>
      </c>
      <c r="G9" s="25"/>
      <c r="I9" s="26"/>
      <c r="J9" s="27">
        <f>DATE($K$1,3,7)</f>
        <v>43897</v>
      </c>
      <c r="K9" s="28"/>
      <c r="M9" s="29"/>
      <c r="N9" s="30">
        <f>DATE($K$1,4,7)</f>
        <v>43928</v>
      </c>
      <c r="O9" s="31"/>
      <c r="Q9" s="32"/>
      <c r="R9" s="21">
        <f>DATE($K$1,5,7)</f>
        <v>43958</v>
      </c>
      <c r="S9" s="33"/>
      <c r="U9" s="34">
        <f>_xlfn.ISOWEEKNUM(V9)</f>
        <v>23</v>
      </c>
      <c r="V9" s="24">
        <f>DATE($K$1,6,7)</f>
        <v>43989</v>
      </c>
      <c r="W9" s="25"/>
      <c r="Y9" s="26"/>
      <c r="Z9" s="27">
        <f>DATE($K$1,7,7)</f>
        <v>44019</v>
      </c>
      <c r="AA9" s="28"/>
      <c r="AC9" s="32"/>
      <c r="AD9" s="21">
        <f>DATE($K$1,8,7)</f>
        <v>44050</v>
      </c>
      <c r="AE9" s="33"/>
      <c r="AG9" s="34"/>
      <c r="AH9" s="24">
        <f>DATE($K$1,9,7)</f>
        <v>44081</v>
      </c>
      <c r="AI9" s="25"/>
      <c r="AK9" s="26"/>
      <c r="AL9" s="27">
        <f>DATE($K$1,10,7)</f>
        <v>44111</v>
      </c>
      <c r="AM9" s="28"/>
      <c r="AO9" s="29">
        <f>_xlfn.ISOWEEKNUM(AP9)</f>
        <v>45</v>
      </c>
      <c r="AP9" s="30">
        <f>DATE($K$1,11,7)</f>
        <v>44142</v>
      </c>
      <c r="AQ9" s="31"/>
      <c r="AS9" s="32"/>
      <c r="AT9" s="21">
        <f>DATE($K$1,12,7)</f>
        <v>44172</v>
      </c>
      <c r="AU9" s="22"/>
      <c r="AV9" s="35"/>
      <c r="AW9" s="50"/>
      <c r="AX9" s="50"/>
      <c r="AY9" s="50"/>
      <c r="AZ9" s="50"/>
    </row>
    <row r="10" spans="1:52" ht="15.75" x14ac:dyDescent="0.25">
      <c r="A10" s="20"/>
      <c r="B10" s="21">
        <f>DATE($K$1,1,8)</f>
        <v>43838</v>
      </c>
      <c r="C10" s="22"/>
      <c r="E10" s="23">
        <f>_xlfn.ISOWEEKNUM(F10)</f>
        <v>6</v>
      </c>
      <c r="F10" s="24">
        <f>DATE($K$1,2,8)</f>
        <v>43869</v>
      </c>
      <c r="G10" s="25"/>
      <c r="I10" s="26">
        <f>_xlfn.ISOWEEKNUM(J10)</f>
        <v>10</v>
      </c>
      <c r="J10" s="27">
        <f>DATE($K$1,3,8)</f>
        <v>43898</v>
      </c>
      <c r="K10" s="28"/>
      <c r="M10" s="29"/>
      <c r="N10" s="30">
        <f>DATE($K$1,4,8)</f>
        <v>43929</v>
      </c>
      <c r="O10" s="31"/>
      <c r="Q10" s="36"/>
      <c r="R10" s="37">
        <f>DATE($K$1,5,8)</f>
        <v>43959</v>
      </c>
      <c r="S10" s="37"/>
      <c r="U10" s="34"/>
      <c r="V10" s="24">
        <f>DATE($K$1,6,8)</f>
        <v>43990</v>
      </c>
      <c r="W10" s="25"/>
      <c r="Y10" s="26"/>
      <c r="Z10" s="27">
        <f>DATE($K$1,7,8)</f>
        <v>44020</v>
      </c>
      <c r="AA10" s="28"/>
      <c r="AC10" s="32"/>
      <c r="AD10" s="21">
        <f>DATE($K$1,8,8)</f>
        <v>44051</v>
      </c>
      <c r="AE10" s="33"/>
      <c r="AG10" s="34"/>
      <c r="AH10" s="24">
        <f>DATE($K$1,9,8)</f>
        <v>44082</v>
      </c>
      <c r="AI10" s="25"/>
      <c r="AK10" s="26"/>
      <c r="AL10" s="27">
        <f>DATE($K$1,10,8)</f>
        <v>44112</v>
      </c>
      <c r="AM10" s="28"/>
      <c r="AO10" s="29"/>
      <c r="AP10" s="30">
        <f>DATE($K$1,11,8)</f>
        <v>44143</v>
      </c>
      <c r="AQ10" s="31"/>
      <c r="AS10" s="32"/>
      <c r="AT10" s="21">
        <f>DATE($K$1,12,8)</f>
        <v>44173</v>
      </c>
      <c r="AU10" s="22"/>
      <c r="AV10" s="1"/>
      <c r="AW10" s="50"/>
      <c r="AX10" s="51"/>
      <c r="AY10" s="50"/>
      <c r="AZ10" s="50"/>
    </row>
    <row r="11" spans="1:52" ht="15.75" x14ac:dyDescent="0.25">
      <c r="A11" s="20"/>
      <c r="B11" s="21">
        <f>DATE($K$1,1,9)</f>
        <v>43839</v>
      </c>
      <c r="C11" s="22"/>
      <c r="E11" s="23"/>
      <c r="F11" s="24">
        <f>DATE($K$1,2,9)</f>
        <v>43870</v>
      </c>
      <c r="G11" s="25"/>
      <c r="I11" s="26"/>
      <c r="J11" s="27">
        <f>DATE($K$1,3,9)</f>
        <v>43899</v>
      </c>
      <c r="K11" s="28"/>
      <c r="M11" s="29"/>
      <c r="N11" s="30">
        <f>DATE($K$1,4,9)</f>
        <v>43930</v>
      </c>
      <c r="O11" s="31"/>
      <c r="Q11" s="32"/>
      <c r="R11" s="21">
        <f>DATE($K$1,5,9)</f>
        <v>43960</v>
      </c>
      <c r="S11" s="33"/>
      <c r="U11" s="34"/>
      <c r="V11" s="24">
        <f>DATE($K$1,6,9)</f>
        <v>43991</v>
      </c>
      <c r="W11" s="25"/>
      <c r="Y11" s="26"/>
      <c r="Z11" s="27">
        <f>DATE($K$1,7,9)</f>
        <v>44021</v>
      </c>
      <c r="AA11" s="28" t="s">
        <v>16</v>
      </c>
      <c r="AC11" s="32">
        <f>_xlfn.ISOWEEKNUM(AD11)</f>
        <v>32</v>
      </c>
      <c r="AD11" s="21">
        <f>DATE($K$1,8,9)</f>
        <v>44052</v>
      </c>
      <c r="AE11" s="33"/>
      <c r="AG11" s="34"/>
      <c r="AH11" s="24">
        <f>DATE($K$1,9,9)</f>
        <v>44083</v>
      </c>
      <c r="AI11" s="25"/>
      <c r="AK11" s="26"/>
      <c r="AL11" s="27">
        <f>DATE($K$1,10,9)</f>
        <v>44113</v>
      </c>
      <c r="AM11" s="28"/>
      <c r="AO11" s="29"/>
      <c r="AP11" s="30">
        <f>DATE($K$1,11,9)</f>
        <v>44144</v>
      </c>
      <c r="AQ11" s="31"/>
      <c r="AS11" s="32"/>
      <c r="AT11" s="21">
        <f>DATE($K$1,12,9)</f>
        <v>44174</v>
      </c>
      <c r="AU11" s="22"/>
      <c r="AV11" s="1"/>
      <c r="AW11" s="50"/>
      <c r="AX11" s="50"/>
      <c r="AY11" s="50"/>
      <c r="AZ11" s="50"/>
    </row>
    <row r="12" spans="1:52" ht="15.75" x14ac:dyDescent="0.25">
      <c r="A12" s="20"/>
      <c r="B12" s="21">
        <f>DATE($K$1,1,10)</f>
        <v>43840</v>
      </c>
      <c r="C12" s="22"/>
      <c r="E12" s="23"/>
      <c r="F12" s="24">
        <f>DATE($K$1,2,10)</f>
        <v>43871</v>
      </c>
      <c r="G12" s="25" t="s">
        <v>13</v>
      </c>
      <c r="I12" s="26"/>
      <c r="J12" s="27">
        <f>DATE($K$1,3,10)</f>
        <v>43900</v>
      </c>
      <c r="K12" s="28"/>
      <c r="M12" s="29"/>
      <c r="N12" s="30">
        <f>DATE($K$1,4,10)</f>
        <v>43931</v>
      </c>
      <c r="O12" s="31"/>
      <c r="Q12" s="32">
        <f>_xlfn.ISOWEEKNUM(R12)</f>
        <v>19</v>
      </c>
      <c r="R12" s="21">
        <f>DATE($K$1,5,10)</f>
        <v>43961</v>
      </c>
      <c r="S12" s="33"/>
      <c r="U12" s="34"/>
      <c r="V12" s="24">
        <f>DATE($K$1,6,10)</f>
        <v>43992</v>
      </c>
      <c r="W12" s="25"/>
      <c r="Y12" s="26"/>
      <c r="Z12" s="27">
        <f>DATE($K$1,7,10)</f>
        <v>44022</v>
      </c>
      <c r="AA12" s="28" t="s">
        <v>13</v>
      </c>
      <c r="AC12" s="32"/>
      <c r="AD12" s="21">
        <f>DATE($K$1,8,10)</f>
        <v>44053</v>
      </c>
      <c r="AE12" s="33"/>
      <c r="AG12" s="34"/>
      <c r="AH12" s="24">
        <f>DATE($K$1,9,10)</f>
        <v>44084</v>
      </c>
      <c r="AI12" s="25"/>
      <c r="AK12" s="26"/>
      <c r="AL12" s="27">
        <f>DATE($K$1,10,10)</f>
        <v>44114</v>
      </c>
      <c r="AM12" s="28"/>
      <c r="AO12" s="29"/>
      <c r="AP12" s="30">
        <f>DATE($K$1,11,10)</f>
        <v>44145</v>
      </c>
      <c r="AQ12" s="31"/>
      <c r="AS12" s="32">
        <f>_xlfn.ISOWEEKNUM(AT12)</f>
        <v>50</v>
      </c>
      <c r="AT12" s="21">
        <f>DATE($K$1,12,10)</f>
        <v>44175</v>
      </c>
      <c r="AU12" s="22"/>
      <c r="AV12" s="1"/>
      <c r="AW12" s="61" t="s">
        <v>12</v>
      </c>
      <c r="AX12" s="62"/>
      <c r="AY12" s="38" t="s">
        <v>13</v>
      </c>
      <c r="AZ12" s="38" t="s">
        <v>14</v>
      </c>
    </row>
    <row r="13" spans="1:52" ht="15.75" x14ac:dyDescent="0.25">
      <c r="A13" s="20">
        <f>_xlfn.ISOWEEKNUM(B13)</f>
        <v>2</v>
      </c>
      <c r="B13" s="21">
        <f>DATE($K$1,1,11)</f>
        <v>43841</v>
      </c>
      <c r="C13" s="22"/>
      <c r="E13" s="23"/>
      <c r="F13" s="24">
        <f>DATE($K$1,2,11)</f>
        <v>43872</v>
      </c>
      <c r="G13" s="25"/>
      <c r="I13" s="26"/>
      <c r="J13" s="27">
        <f>DATE($K$1,3,11)</f>
        <v>43901</v>
      </c>
      <c r="K13" s="28"/>
      <c r="M13" s="29"/>
      <c r="N13" s="30">
        <f>DATE($K$1,4,11)</f>
        <v>43932</v>
      </c>
      <c r="O13" s="31"/>
      <c r="Q13" s="32"/>
      <c r="R13" s="21">
        <f>DATE($K$1,5,11)</f>
        <v>43962</v>
      </c>
      <c r="S13" s="33"/>
      <c r="U13" s="34"/>
      <c r="V13" s="24">
        <f>DATE($K$1,6,11)</f>
        <v>43993</v>
      </c>
      <c r="W13" s="25"/>
      <c r="Y13" s="26"/>
      <c r="Z13" s="27">
        <f>DATE($K$1,7,11)</f>
        <v>44023</v>
      </c>
      <c r="AA13" s="28" t="s">
        <v>14</v>
      </c>
      <c r="AC13" s="32"/>
      <c r="AD13" s="21">
        <f>DATE($K$1,8,11)</f>
        <v>44054</v>
      </c>
      <c r="AE13" s="33"/>
      <c r="AG13" s="34"/>
      <c r="AH13" s="24">
        <f>DATE($K$1,9,11)</f>
        <v>44085</v>
      </c>
      <c r="AI13" s="25"/>
      <c r="AK13" s="26">
        <f>_xlfn.ISOWEEKNUM(AL13)</f>
        <v>41</v>
      </c>
      <c r="AL13" s="27">
        <f>DATE($K$1,10,11)</f>
        <v>44115</v>
      </c>
      <c r="AM13" s="28"/>
      <c r="AO13" s="36"/>
      <c r="AP13" s="37">
        <f>DATE($K$1,11,11)</f>
        <v>44146</v>
      </c>
      <c r="AQ13" s="37"/>
      <c r="AS13" s="32"/>
      <c r="AT13" s="21">
        <f>DATE($K$1,12,11)</f>
        <v>44176</v>
      </c>
      <c r="AU13" s="22"/>
      <c r="AV13" s="1"/>
      <c r="AW13" s="39" t="s">
        <v>19</v>
      </c>
      <c r="AX13" s="40"/>
      <c r="AY13" s="63" t="s">
        <v>20</v>
      </c>
      <c r="AZ13" s="64"/>
    </row>
    <row r="14" spans="1:52" ht="15.75" x14ac:dyDescent="0.25">
      <c r="A14" s="20"/>
      <c r="B14" s="21">
        <f>DATE($K$1,1,12)</f>
        <v>43842</v>
      </c>
      <c r="C14" s="22"/>
      <c r="E14" s="23"/>
      <c r="F14" s="24">
        <f>DATE($K$1,2,12)</f>
        <v>43873</v>
      </c>
      <c r="G14" s="25"/>
      <c r="I14" s="26"/>
      <c r="J14" s="27">
        <f>DATE($K$1,3,12)</f>
        <v>43902</v>
      </c>
      <c r="K14" s="28"/>
      <c r="M14" s="29">
        <f>_xlfn.ISOWEEKNUM(N14)</f>
        <v>15</v>
      </c>
      <c r="N14" s="30">
        <f>DATE($K$1,4,12)</f>
        <v>43933</v>
      </c>
      <c r="O14" s="31"/>
      <c r="Q14" s="32"/>
      <c r="R14" s="21">
        <f>DATE($K$1,5,12)</f>
        <v>43963</v>
      </c>
      <c r="S14" s="33"/>
      <c r="U14" s="34"/>
      <c r="V14" s="24">
        <f>DATE($K$1,6,12)</f>
        <v>43994</v>
      </c>
      <c r="W14" s="25"/>
      <c r="Y14" s="26">
        <f>_xlfn.ISOWEEKNUM(Z14)</f>
        <v>28</v>
      </c>
      <c r="Z14" s="27">
        <f>DATE($K$1,7,12)</f>
        <v>44024</v>
      </c>
      <c r="AA14" s="28"/>
      <c r="AC14" s="32"/>
      <c r="AD14" s="21">
        <f>DATE($K$1,8,12)</f>
        <v>44055</v>
      </c>
      <c r="AE14" s="33"/>
      <c r="AG14" s="34"/>
      <c r="AH14" s="24">
        <f>DATE($K$1,9,12)</f>
        <v>44086</v>
      </c>
      <c r="AI14" s="25"/>
      <c r="AK14" s="26"/>
      <c r="AL14" s="27">
        <f>DATE($K$1,10,12)</f>
        <v>44116</v>
      </c>
      <c r="AM14" s="28"/>
      <c r="AO14" s="29"/>
      <c r="AP14" s="30">
        <f>DATE($K$1,11,12)</f>
        <v>44147</v>
      </c>
      <c r="AQ14" s="31"/>
      <c r="AS14" s="32"/>
      <c r="AT14" s="21">
        <f>DATE($K$1,12,12)</f>
        <v>44177</v>
      </c>
      <c r="AU14" s="22"/>
      <c r="AV14" s="1"/>
      <c r="AW14" s="52">
        <v>43871</v>
      </c>
      <c r="AX14" s="53"/>
      <c r="AY14" s="52"/>
      <c r="AZ14" s="53"/>
    </row>
    <row r="15" spans="1:52" ht="15.75" x14ac:dyDescent="0.25">
      <c r="A15" s="20"/>
      <c r="B15" s="21">
        <f>DATE($K$1,1,13)</f>
        <v>43843</v>
      </c>
      <c r="C15" s="22"/>
      <c r="E15" s="23"/>
      <c r="F15" s="24">
        <f>DATE($K$1,2,13)</f>
        <v>43874</v>
      </c>
      <c r="G15" s="25"/>
      <c r="I15" s="26"/>
      <c r="J15" s="27">
        <f>DATE($K$1,3,13)</f>
        <v>43903</v>
      </c>
      <c r="K15" s="28"/>
      <c r="M15" s="29"/>
      <c r="N15" s="30">
        <f>DATE($K$1,4,13)</f>
        <v>43934</v>
      </c>
      <c r="O15" s="31"/>
      <c r="Q15" s="32"/>
      <c r="R15" s="21">
        <f>DATE($K$1,5,13)</f>
        <v>43964</v>
      </c>
      <c r="S15" s="33"/>
      <c r="U15" s="34"/>
      <c r="V15" s="24">
        <f>DATE($K$1,6,13)</f>
        <v>43995</v>
      </c>
      <c r="W15" s="25" t="s">
        <v>13</v>
      </c>
      <c r="Y15" s="26"/>
      <c r="Z15" s="27">
        <f>DATE($K$1,7,13)</f>
        <v>44025</v>
      </c>
      <c r="AA15" s="28"/>
      <c r="AC15" s="32"/>
      <c r="AD15" s="21">
        <f>DATE($K$1,8,13)</f>
        <v>44056</v>
      </c>
      <c r="AE15" s="33"/>
      <c r="AG15" s="34">
        <f>_xlfn.ISOWEEKNUM(AH15)</f>
        <v>37</v>
      </c>
      <c r="AH15" s="24">
        <f>DATE($K$1,9,13)</f>
        <v>44087</v>
      </c>
      <c r="AI15" s="25"/>
      <c r="AK15" s="26"/>
      <c r="AL15" s="27">
        <f>DATE($K$1,10,13)</f>
        <v>44117</v>
      </c>
      <c r="AM15" s="28"/>
      <c r="AO15" s="29"/>
      <c r="AP15" s="30">
        <f>DATE($K$1,11,13)</f>
        <v>44148</v>
      </c>
      <c r="AQ15" s="31"/>
      <c r="AS15" s="32"/>
      <c r="AT15" s="21">
        <f>DATE($K$1,12,13)</f>
        <v>44178</v>
      </c>
      <c r="AU15" s="22"/>
      <c r="AV15" s="1"/>
      <c r="AW15" s="56">
        <v>43995</v>
      </c>
      <c r="AX15" s="57"/>
      <c r="AY15" s="56"/>
      <c r="AZ15" s="57"/>
    </row>
    <row r="16" spans="1:52" ht="15.75" x14ac:dyDescent="0.25">
      <c r="A16" s="20"/>
      <c r="B16" s="21">
        <f>DATE($K$1,1,14)</f>
        <v>43844</v>
      </c>
      <c r="C16" s="22"/>
      <c r="E16" s="23"/>
      <c r="F16" s="24">
        <f>DATE($K$1,2,14)</f>
        <v>43875</v>
      </c>
      <c r="G16" s="25"/>
      <c r="I16" s="26"/>
      <c r="J16" s="27">
        <f>DATE($K$1,3,14)</f>
        <v>43904</v>
      </c>
      <c r="K16" s="28"/>
      <c r="M16" s="29"/>
      <c r="N16" s="30">
        <f>DATE($K$1,4,14)</f>
        <v>43935</v>
      </c>
      <c r="O16" s="31"/>
      <c r="Q16" s="32"/>
      <c r="R16" s="21">
        <f>DATE($K$1,5,14)</f>
        <v>43965</v>
      </c>
      <c r="S16" s="33"/>
      <c r="U16" s="34">
        <f>_xlfn.ISOWEEKNUM(V16)</f>
        <v>24</v>
      </c>
      <c r="V16" s="24">
        <f>DATE($K$1,6,14)</f>
        <v>43996</v>
      </c>
      <c r="W16" s="25" t="s">
        <v>15</v>
      </c>
      <c r="Y16" s="36"/>
      <c r="Z16" s="37">
        <f>DATE($K$1,7,14)</f>
        <v>44026</v>
      </c>
      <c r="AA16" s="37"/>
      <c r="AC16" s="32"/>
      <c r="AD16" s="21">
        <f>DATE($K$1,8,14)</f>
        <v>44057</v>
      </c>
      <c r="AE16" s="33"/>
      <c r="AG16" s="34"/>
      <c r="AH16" s="24">
        <f>DATE($K$1,9,14)</f>
        <v>44088</v>
      </c>
      <c r="AI16" s="25"/>
      <c r="AK16" s="26"/>
      <c r="AL16" s="27">
        <f>DATE($K$1,10,14)</f>
        <v>44118</v>
      </c>
      <c r="AM16" s="28"/>
      <c r="AO16" s="29">
        <f>_xlfn.ISOWEEKNUM(AP16)</f>
        <v>46</v>
      </c>
      <c r="AP16" s="30">
        <f>DATE($K$1,11,14)</f>
        <v>44149</v>
      </c>
      <c r="AQ16" s="31"/>
      <c r="AS16" s="32"/>
      <c r="AT16" s="21">
        <f>DATE($K$1,12,14)</f>
        <v>44179</v>
      </c>
      <c r="AU16" s="22"/>
      <c r="AV16" s="1"/>
      <c r="AW16" s="52">
        <v>44022</v>
      </c>
      <c r="AX16" s="53"/>
      <c r="AY16" s="54"/>
      <c r="AZ16" s="55"/>
    </row>
    <row r="17" spans="1:52" ht="15.75" x14ac:dyDescent="0.25">
      <c r="A17" s="20"/>
      <c r="B17" s="21">
        <f>DATE($K$1,1,15)</f>
        <v>43845</v>
      </c>
      <c r="C17" s="22"/>
      <c r="E17" s="23">
        <f>_xlfn.ISOWEEKNUM(F17)</f>
        <v>7</v>
      </c>
      <c r="F17" s="24">
        <f>DATE($K$1,2,15)</f>
        <v>43876</v>
      </c>
      <c r="G17" s="25"/>
      <c r="I17" s="26">
        <f>_xlfn.ISOWEEKNUM(J17)</f>
        <v>11</v>
      </c>
      <c r="J17" s="27">
        <f>DATE($K$1,3,15)</f>
        <v>43905</v>
      </c>
      <c r="K17" s="28"/>
      <c r="M17" s="29"/>
      <c r="N17" s="30">
        <f>DATE($K$1,4,15)</f>
        <v>43936</v>
      </c>
      <c r="O17" s="31"/>
      <c r="Q17" s="32"/>
      <c r="R17" s="21">
        <f>DATE($K$1,5,15)</f>
        <v>43966</v>
      </c>
      <c r="S17" s="33"/>
      <c r="U17" s="34"/>
      <c r="V17" s="24">
        <f>DATE($K$1,6,15)</f>
        <v>43997</v>
      </c>
      <c r="W17" s="25"/>
      <c r="Y17" s="26"/>
      <c r="Z17" s="27">
        <f>DATE($K$1,7,15)</f>
        <v>44027</v>
      </c>
      <c r="AA17" s="28"/>
      <c r="AC17" s="36"/>
      <c r="AD17" s="37">
        <f>DATE($K$1,8,15)</f>
        <v>44058</v>
      </c>
      <c r="AE17" s="37"/>
      <c r="AG17" s="34"/>
      <c r="AH17" s="24">
        <f>DATE($K$1,9,15)</f>
        <v>44089</v>
      </c>
      <c r="AI17" s="25"/>
      <c r="AK17" s="26"/>
      <c r="AL17" s="27">
        <f>DATE($K$1,10,15)</f>
        <v>44119</v>
      </c>
      <c r="AM17" s="28"/>
      <c r="AO17" s="29"/>
      <c r="AP17" s="30">
        <f>DATE($K$1,11,15)</f>
        <v>44150</v>
      </c>
      <c r="AQ17" s="31"/>
      <c r="AS17" s="32"/>
      <c r="AT17" s="21">
        <f>DATE($K$1,12,15)</f>
        <v>44180</v>
      </c>
      <c r="AU17" s="22"/>
      <c r="AV17" s="1"/>
      <c r="AW17" s="56">
        <v>44023</v>
      </c>
      <c r="AX17" s="57"/>
      <c r="AY17" s="58"/>
      <c r="AZ17" s="59"/>
    </row>
    <row r="18" spans="1:52" ht="15.75" x14ac:dyDescent="0.25">
      <c r="A18" s="20"/>
      <c r="B18" s="21">
        <f>DATE($K$1,1,16)</f>
        <v>43846</v>
      </c>
      <c r="C18" s="22"/>
      <c r="E18" s="23"/>
      <c r="F18" s="24">
        <f>DATE($K$1,2,16)</f>
        <v>43877</v>
      </c>
      <c r="G18" s="25"/>
      <c r="I18" s="26"/>
      <c r="J18" s="27">
        <f>DATE($K$1,3,16)</f>
        <v>43906</v>
      </c>
      <c r="K18" s="28"/>
      <c r="M18" s="29"/>
      <c r="N18" s="30">
        <f>DATE($K$1,4,16)</f>
        <v>43937</v>
      </c>
      <c r="O18" s="31"/>
      <c r="Q18" s="32"/>
      <c r="R18" s="21">
        <f>DATE($K$1,5,16)</f>
        <v>43967</v>
      </c>
      <c r="S18" s="33"/>
      <c r="U18" s="34"/>
      <c r="V18" s="24">
        <f>DATE($K$1,6,16)</f>
        <v>43998</v>
      </c>
      <c r="W18" s="25"/>
      <c r="Y18" s="26"/>
      <c r="Z18" s="27">
        <f>DATE($K$1,7,16)</f>
        <v>44028</v>
      </c>
      <c r="AA18" s="28"/>
      <c r="AC18" s="32">
        <f>_xlfn.ISOWEEKNUM(AD18)</f>
        <v>33</v>
      </c>
      <c r="AD18" s="21">
        <f>DATE($K$1,8,16)</f>
        <v>44059</v>
      </c>
      <c r="AE18" s="33"/>
      <c r="AG18" s="34"/>
      <c r="AH18" s="24">
        <f>DATE($K$1,9,16)</f>
        <v>44090</v>
      </c>
      <c r="AI18" s="25"/>
      <c r="AK18" s="26"/>
      <c r="AL18" s="27">
        <f>DATE($K$1,10,16)</f>
        <v>44120</v>
      </c>
      <c r="AM18" s="28"/>
      <c r="AO18" s="29"/>
      <c r="AP18" s="30">
        <f>DATE($K$1,11,16)</f>
        <v>44151</v>
      </c>
      <c r="AQ18" s="31"/>
      <c r="AS18" s="32"/>
      <c r="AT18" s="21">
        <f>DATE($K$1,12,16)</f>
        <v>44181</v>
      </c>
      <c r="AU18" s="22"/>
      <c r="AV18" s="1"/>
      <c r="AW18" s="52"/>
      <c r="AX18" s="53"/>
      <c r="AY18" s="54"/>
      <c r="AZ18" s="55"/>
    </row>
    <row r="19" spans="1:52" ht="15.75" x14ac:dyDescent="0.25">
      <c r="A19" s="20"/>
      <c r="B19" s="21">
        <f>DATE($K$1,1,17)</f>
        <v>43847</v>
      </c>
      <c r="C19" s="22"/>
      <c r="E19" s="23"/>
      <c r="F19" s="24">
        <f>DATE($K$1,2,17)</f>
        <v>43878</v>
      </c>
      <c r="G19" s="25"/>
      <c r="I19" s="26"/>
      <c r="J19" s="27">
        <f>DATE($K$1,3,17)</f>
        <v>43907</v>
      </c>
      <c r="K19" s="28"/>
      <c r="M19" s="29"/>
      <c r="N19" s="30">
        <f>DATE($K$1,4,17)</f>
        <v>43938</v>
      </c>
      <c r="O19" s="31"/>
      <c r="Q19" s="32">
        <f>_xlfn.ISOWEEKNUM(R19)</f>
        <v>20</v>
      </c>
      <c r="R19" s="21">
        <f>DATE($K$1,5,17)</f>
        <v>43968</v>
      </c>
      <c r="S19" s="33"/>
      <c r="U19" s="34"/>
      <c r="V19" s="24">
        <f>DATE($K$1,6,17)</f>
        <v>43999</v>
      </c>
      <c r="W19" s="25"/>
      <c r="Y19" s="26"/>
      <c r="Z19" s="27">
        <f>DATE($K$1,7,17)</f>
        <v>44029</v>
      </c>
      <c r="AA19" s="28"/>
      <c r="AC19" s="32"/>
      <c r="AD19" s="21">
        <f>DATE($K$1,8,17)</f>
        <v>44060</v>
      </c>
      <c r="AE19" s="33"/>
      <c r="AG19" s="34"/>
      <c r="AH19" s="24">
        <f>DATE($K$1,9,17)</f>
        <v>44091</v>
      </c>
      <c r="AI19" s="25"/>
      <c r="AK19" s="26"/>
      <c r="AL19" s="27">
        <f>DATE($K$1,10,17)</f>
        <v>44121</v>
      </c>
      <c r="AM19" s="28"/>
      <c r="AO19" s="29"/>
      <c r="AP19" s="30">
        <f>DATE($K$1,11,17)</f>
        <v>44152</v>
      </c>
      <c r="AQ19" s="31"/>
      <c r="AS19" s="32">
        <f>_xlfn.ISOWEEKNUM(AT19)</f>
        <v>51</v>
      </c>
      <c r="AT19" s="21">
        <f>DATE($K$1,12,17)</f>
        <v>44182</v>
      </c>
      <c r="AU19" s="22"/>
      <c r="AV19" s="1"/>
      <c r="AW19" s="56"/>
      <c r="AX19" s="57"/>
      <c r="AY19" s="58"/>
      <c r="AZ19" s="59"/>
    </row>
    <row r="20" spans="1:52" ht="15.75" x14ac:dyDescent="0.25">
      <c r="A20" s="20">
        <f>_xlfn.ISOWEEKNUM(B20)</f>
        <v>3</v>
      </c>
      <c r="B20" s="21">
        <f>DATE($K$1,1,18)</f>
        <v>43848</v>
      </c>
      <c r="C20" s="22"/>
      <c r="E20" s="23"/>
      <c r="F20" s="24">
        <f>DATE($K$1,2,18)</f>
        <v>43879</v>
      </c>
      <c r="G20" s="25"/>
      <c r="I20" s="26"/>
      <c r="J20" s="27">
        <f>DATE($K$1,3,18)</f>
        <v>43908</v>
      </c>
      <c r="K20" s="28"/>
      <c r="M20" s="29"/>
      <c r="N20" s="30">
        <f>DATE($K$1,4,18)</f>
        <v>43939</v>
      </c>
      <c r="O20" s="31"/>
      <c r="Q20" s="32"/>
      <c r="R20" s="21">
        <f>DATE($K$1,5,18)</f>
        <v>43969</v>
      </c>
      <c r="S20" s="33"/>
      <c r="U20" s="34"/>
      <c r="V20" s="24">
        <f>DATE($K$1,6,18)</f>
        <v>44000</v>
      </c>
      <c r="W20" s="25"/>
      <c r="Y20" s="26"/>
      <c r="Z20" s="27">
        <f>DATE($K$1,7,18)</f>
        <v>44030</v>
      </c>
      <c r="AA20" s="28"/>
      <c r="AC20" s="32"/>
      <c r="AD20" s="21">
        <f>DATE($K$1,8,18)</f>
        <v>44061</v>
      </c>
      <c r="AE20" s="33"/>
      <c r="AG20" s="34"/>
      <c r="AH20" s="24">
        <f>DATE($K$1,9,18)</f>
        <v>44092</v>
      </c>
      <c r="AI20" s="25"/>
      <c r="AK20" s="26">
        <f>_xlfn.ISOWEEKNUM(AL20)</f>
        <v>42</v>
      </c>
      <c r="AL20" s="27">
        <f>DATE($K$1,10,18)</f>
        <v>44122</v>
      </c>
      <c r="AM20" s="28"/>
      <c r="AO20" s="29"/>
      <c r="AP20" s="30">
        <f>DATE($K$1,11,18)</f>
        <v>44153</v>
      </c>
      <c r="AQ20" s="31"/>
      <c r="AS20" s="32"/>
      <c r="AT20" s="21">
        <f>DATE($K$1,12,18)</f>
        <v>44183</v>
      </c>
      <c r="AU20" s="22"/>
      <c r="AV20" s="1"/>
      <c r="AW20" s="52"/>
      <c r="AX20" s="53"/>
      <c r="AY20" s="54"/>
      <c r="AZ20" s="55"/>
    </row>
    <row r="21" spans="1:52" ht="15.75" x14ac:dyDescent="0.25">
      <c r="A21" s="20"/>
      <c r="B21" s="21">
        <f>DATE($K$1,1,19)</f>
        <v>43849</v>
      </c>
      <c r="C21" s="22"/>
      <c r="E21" s="23"/>
      <c r="F21" s="24">
        <f>DATE($K$1,2,19)</f>
        <v>43880</v>
      </c>
      <c r="G21" s="25"/>
      <c r="I21" s="26"/>
      <c r="J21" s="27">
        <f>DATE($K$1,3,19)</f>
        <v>43909</v>
      </c>
      <c r="K21" s="28"/>
      <c r="M21" s="29">
        <f>_xlfn.ISOWEEKNUM(N21)</f>
        <v>16</v>
      </c>
      <c r="N21" s="30">
        <f>DATE($K$1,4,19)</f>
        <v>43940</v>
      </c>
      <c r="O21" s="31"/>
      <c r="Q21" s="32"/>
      <c r="R21" s="21">
        <f>DATE($K$1,5,19)</f>
        <v>43970</v>
      </c>
      <c r="S21" s="33"/>
      <c r="U21" s="34"/>
      <c r="V21" s="24">
        <f>DATE($K$1,6,19)</f>
        <v>44001</v>
      </c>
      <c r="W21" s="25"/>
      <c r="Y21" s="26">
        <f>_xlfn.ISOWEEKNUM(Z21)</f>
        <v>29</v>
      </c>
      <c r="Z21" s="27">
        <f>DATE($K$1,7,19)</f>
        <v>44031</v>
      </c>
      <c r="AA21" s="28"/>
      <c r="AC21" s="32"/>
      <c r="AD21" s="21">
        <f>DATE($K$1,8,19)</f>
        <v>44062</v>
      </c>
      <c r="AE21" s="33"/>
      <c r="AG21" s="34"/>
      <c r="AH21" s="24">
        <f>DATE($K$1,9,19)</f>
        <v>44093</v>
      </c>
      <c r="AI21" s="25"/>
      <c r="AK21" s="26"/>
      <c r="AL21" s="27">
        <f>DATE($K$1,10,19)</f>
        <v>44123</v>
      </c>
      <c r="AM21" s="28"/>
      <c r="AO21" s="29"/>
      <c r="AP21" s="30">
        <f>DATE($K$1,11,19)</f>
        <v>44154</v>
      </c>
      <c r="AQ21" s="31"/>
      <c r="AS21" s="32"/>
      <c r="AT21" s="21">
        <f>DATE($K$1,12,19)</f>
        <v>44184</v>
      </c>
      <c r="AU21" s="22"/>
      <c r="AV21" s="1"/>
      <c r="AW21" s="56"/>
      <c r="AX21" s="57"/>
      <c r="AY21" s="58"/>
      <c r="AZ21" s="59"/>
    </row>
    <row r="22" spans="1:52" ht="15.75" x14ac:dyDescent="0.25">
      <c r="A22" s="20"/>
      <c r="B22" s="21">
        <f>DATE($K$1,1,20)</f>
        <v>43850</v>
      </c>
      <c r="C22" s="22"/>
      <c r="E22" s="23"/>
      <c r="F22" s="24">
        <f>DATE($K$1,2,20)</f>
        <v>43881</v>
      </c>
      <c r="G22" s="25"/>
      <c r="I22" s="26"/>
      <c r="J22" s="27">
        <f>DATE($K$1,3,20)</f>
        <v>43910</v>
      </c>
      <c r="K22" s="28"/>
      <c r="M22" s="29"/>
      <c r="N22" s="30">
        <f>DATE($K$1,4,20)</f>
        <v>43941</v>
      </c>
      <c r="O22" s="31"/>
      <c r="Q22" s="32"/>
      <c r="R22" s="21">
        <f>DATE($K$1,5,20)</f>
        <v>43971</v>
      </c>
      <c r="S22" s="33"/>
      <c r="U22" s="34"/>
      <c r="V22" s="24">
        <f>DATE($K$1,6,20)</f>
        <v>44002</v>
      </c>
      <c r="W22" s="25"/>
      <c r="Y22" s="26"/>
      <c r="Z22" s="27">
        <f>DATE($K$1,7,20)</f>
        <v>44032</v>
      </c>
      <c r="AA22" s="28"/>
      <c r="AC22" s="32"/>
      <c r="AD22" s="21">
        <f>DATE($K$1,8,20)</f>
        <v>44063</v>
      </c>
      <c r="AE22" s="33"/>
      <c r="AG22" s="34">
        <f>_xlfn.ISOWEEKNUM(AH22)</f>
        <v>38</v>
      </c>
      <c r="AH22" s="24">
        <f>DATE($K$1,9,20)</f>
        <v>44094</v>
      </c>
      <c r="AI22" s="25"/>
      <c r="AK22" s="26"/>
      <c r="AL22" s="27">
        <f>DATE($K$1,10,20)</f>
        <v>44124</v>
      </c>
      <c r="AM22" s="28"/>
      <c r="AO22" s="29"/>
      <c r="AP22" s="30">
        <f>DATE($K$1,11,20)</f>
        <v>44155</v>
      </c>
      <c r="AQ22" s="31"/>
      <c r="AS22" s="32"/>
      <c r="AT22" s="21">
        <f>DATE($K$1,12,20)</f>
        <v>44185</v>
      </c>
      <c r="AU22" s="22"/>
      <c r="AV22" s="1"/>
      <c r="AW22" s="52"/>
      <c r="AX22" s="53"/>
      <c r="AY22" s="54"/>
      <c r="AZ22" s="55"/>
    </row>
    <row r="23" spans="1:52" ht="15.75" x14ac:dyDescent="0.25">
      <c r="A23" s="20"/>
      <c r="B23" s="21">
        <f>DATE($K$1,1,21)</f>
        <v>43851</v>
      </c>
      <c r="C23" s="22"/>
      <c r="E23" s="23"/>
      <c r="F23" s="24">
        <f>DATE($K$1,2,21)</f>
        <v>43882</v>
      </c>
      <c r="G23" s="25"/>
      <c r="I23" s="26"/>
      <c r="J23" s="27">
        <f>DATE($K$1,3,21)</f>
        <v>43911</v>
      </c>
      <c r="K23" s="28"/>
      <c r="M23" s="29"/>
      <c r="N23" s="30">
        <f>DATE($K$1,4,21)</f>
        <v>43942</v>
      </c>
      <c r="O23" s="31"/>
      <c r="Q23" s="32"/>
      <c r="R23" s="21">
        <f>DATE($K$1,5,21)</f>
        <v>43972</v>
      </c>
      <c r="S23" s="33"/>
      <c r="U23" s="34">
        <f>_xlfn.ISOWEEKNUM(V23)</f>
        <v>25</v>
      </c>
      <c r="V23" s="24">
        <f>DATE($K$1,6,21)</f>
        <v>44003</v>
      </c>
      <c r="W23" s="25"/>
      <c r="Y23" s="26"/>
      <c r="Z23" s="27">
        <f>DATE($K$1,7,21)</f>
        <v>44033</v>
      </c>
      <c r="AA23" s="28"/>
      <c r="AC23" s="32"/>
      <c r="AD23" s="21">
        <f>DATE($K$1,8,21)</f>
        <v>44064</v>
      </c>
      <c r="AE23" s="33"/>
      <c r="AG23" s="34"/>
      <c r="AH23" s="24">
        <f>DATE($K$1,9,21)</f>
        <v>44095</v>
      </c>
      <c r="AI23" s="25"/>
      <c r="AK23" s="26"/>
      <c r="AL23" s="27">
        <f>DATE($K$1,10,21)</f>
        <v>44125</v>
      </c>
      <c r="AM23" s="28"/>
      <c r="AO23" s="29">
        <f>_xlfn.ISOWEEKNUM(AP23)</f>
        <v>47</v>
      </c>
      <c r="AP23" s="30">
        <f>DATE($K$1,11,21)</f>
        <v>44156</v>
      </c>
      <c r="AQ23" s="31"/>
      <c r="AS23" s="32"/>
      <c r="AT23" s="21">
        <f>DATE($K$1,12,21)</f>
        <v>44186</v>
      </c>
      <c r="AU23" s="22"/>
      <c r="AV23" s="1"/>
      <c r="AW23" s="56"/>
      <c r="AX23" s="57"/>
      <c r="AY23" s="58"/>
      <c r="AZ23" s="59"/>
    </row>
    <row r="24" spans="1:52" ht="15.75" x14ac:dyDescent="0.25">
      <c r="A24" s="20"/>
      <c r="B24" s="21">
        <f>DATE($K$1,1,22)</f>
        <v>43852</v>
      </c>
      <c r="C24" s="22"/>
      <c r="E24" s="23">
        <f>_xlfn.ISOWEEKNUM(F24)</f>
        <v>8</v>
      </c>
      <c r="F24" s="24">
        <f>DATE($K$1,2,22)</f>
        <v>43883</v>
      </c>
      <c r="G24" s="25"/>
      <c r="I24" s="26">
        <f>_xlfn.ISOWEEKNUM(J24)</f>
        <v>12</v>
      </c>
      <c r="J24" s="27">
        <f>DATE($K$1,3,22)</f>
        <v>43912</v>
      </c>
      <c r="K24" s="28"/>
      <c r="M24" s="29"/>
      <c r="N24" s="30">
        <f>DATE($K$1,4,22)</f>
        <v>43943</v>
      </c>
      <c r="O24" s="31"/>
      <c r="Q24" s="32"/>
      <c r="R24" s="21">
        <f>DATE($K$1,5,22)</f>
        <v>43973</v>
      </c>
      <c r="S24" s="33"/>
      <c r="U24" s="34"/>
      <c r="V24" s="24">
        <f>DATE($K$1,6,22)</f>
        <v>44004</v>
      </c>
      <c r="W24" s="25"/>
      <c r="Y24" s="26"/>
      <c r="Z24" s="27">
        <f>DATE($K$1,7,22)</f>
        <v>44034</v>
      </c>
      <c r="AA24" s="28"/>
      <c r="AC24" s="32"/>
      <c r="AD24" s="21">
        <f>DATE($K$1,8,22)</f>
        <v>44065</v>
      </c>
      <c r="AE24" s="33"/>
      <c r="AG24" s="34"/>
      <c r="AH24" s="24">
        <f>DATE($K$1,9,22)</f>
        <v>44096</v>
      </c>
      <c r="AI24" s="25"/>
      <c r="AK24" s="26"/>
      <c r="AL24" s="27">
        <f>DATE($K$1,10,22)</f>
        <v>44126</v>
      </c>
      <c r="AM24" s="28"/>
      <c r="AO24" s="29"/>
      <c r="AP24" s="30">
        <f>DATE($K$1,11,22)</f>
        <v>44157</v>
      </c>
      <c r="AQ24" s="31"/>
      <c r="AS24" s="32"/>
      <c r="AT24" s="21">
        <f>DATE($K$1,12,22)</f>
        <v>44187</v>
      </c>
      <c r="AU24" s="22"/>
      <c r="AV24" s="1"/>
      <c r="AW24" s="52"/>
      <c r="AX24" s="53"/>
      <c r="AY24" s="54"/>
      <c r="AZ24" s="55"/>
    </row>
    <row r="25" spans="1:52" ht="15.75" x14ac:dyDescent="0.25">
      <c r="A25" s="20"/>
      <c r="B25" s="21">
        <f>DATE($K$1,1,23)</f>
        <v>43853</v>
      </c>
      <c r="C25" s="22"/>
      <c r="E25" s="23"/>
      <c r="F25" s="24">
        <f>DATE($K$1,2,23)</f>
        <v>43884</v>
      </c>
      <c r="G25" s="25"/>
      <c r="I25" s="26"/>
      <c r="J25" s="27">
        <f>DATE($K$1,3,23)</f>
        <v>43913</v>
      </c>
      <c r="K25" s="28"/>
      <c r="M25" s="29"/>
      <c r="N25" s="30">
        <f>DATE($K$1,4,23)</f>
        <v>43944</v>
      </c>
      <c r="O25" s="31"/>
      <c r="Q25" s="32"/>
      <c r="R25" s="21">
        <f>DATE($K$1,5,23)</f>
        <v>43974</v>
      </c>
      <c r="S25" s="33"/>
      <c r="U25" s="34"/>
      <c r="V25" s="24">
        <f>DATE($K$1,6,23)</f>
        <v>44005</v>
      </c>
      <c r="W25" s="25"/>
      <c r="Y25" s="26"/>
      <c r="Z25" s="27">
        <f>DATE($K$1,7,23)</f>
        <v>44035</v>
      </c>
      <c r="AA25" s="28"/>
      <c r="AC25" s="32">
        <f>_xlfn.ISOWEEKNUM(AD25)</f>
        <v>34</v>
      </c>
      <c r="AD25" s="21">
        <f>DATE($K$1,8,23)</f>
        <v>44066</v>
      </c>
      <c r="AE25" s="33"/>
      <c r="AG25" s="34"/>
      <c r="AH25" s="24">
        <f>DATE($K$1,9,23)</f>
        <v>44097</v>
      </c>
      <c r="AI25" s="25"/>
      <c r="AK25" s="26"/>
      <c r="AL25" s="27">
        <f>DATE($K$1,10,23)</f>
        <v>44127</v>
      </c>
      <c r="AM25" s="28"/>
      <c r="AO25" s="29"/>
      <c r="AP25" s="30">
        <f>DATE($K$1,11,23)</f>
        <v>44158</v>
      </c>
      <c r="AQ25" s="31"/>
      <c r="AS25" s="32"/>
      <c r="AT25" s="21">
        <f>DATE($K$1,12,23)</f>
        <v>44188</v>
      </c>
      <c r="AU25" s="22"/>
      <c r="AV25" s="1"/>
      <c r="AW25" s="56"/>
      <c r="AX25" s="57"/>
      <c r="AY25" s="58"/>
      <c r="AZ25" s="59"/>
    </row>
    <row r="26" spans="1:52" ht="15.75" x14ac:dyDescent="0.25">
      <c r="A26" s="20"/>
      <c r="B26" s="21">
        <f>DATE($K$1,1,24)</f>
        <v>43854</v>
      </c>
      <c r="C26" s="22"/>
      <c r="E26" s="23"/>
      <c r="F26" s="24">
        <f>DATE($K$1,2,24)</f>
        <v>43885</v>
      </c>
      <c r="G26" s="25"/>
      <c r="I26" s="26"/>
      <c r="J26" s="27">
        <f>DATE($K$1,3,24)</f>
        <v>43914</v>
      </c>
      <c r="K26" s="28"/>
      <c r="M26" s="29"/>
      <c r="N26" s="30">
        <f>DATE($K$1,4,24)</f>
        <v>43945</v>
      </c>
      <c r="O26" s="31"/>
      <c r="Q26" s="32">
        <f>_xlfn.ISOWEEKNUM(R26)</f>
        <v>21</v>
      </c>
      <c r="R26" s="21">
        <f>DATE($K$1,5,24)</f>
        <v>43975</v>
      </c>
      <c r="S26" s="33"/>
      <c r="U26" s="34"/>
      <c r="V26" s="24">
        <f>DATE($K$1,6,24)</f>
        <v>44006</v>
      </c>
      <c r="W26" s="25"/>
      <c r="Y26" s="26"/>
      <c r="Z26" s="27">
        <f>DATE($K$1,7,24)</f>
        <v>44036</v>
      </c>
      <c r="AA26" s="28"/>
      <c r="AC26" s="32"/>
      <c r="AD26" s="21">
        <f>DATE($K$1,8,24)</f>
        <v>44067</v>
      </c>
      <c r="AE26" s="33"/>
      <c r="AG26" s="34"/>
      <c r="AH26" s="24">
        <f>DATE($K$1,9,24)</f>
        <v>44098</v>
      </c>
      <c r="AI26" s="25"/>
      <c r="AK26" s="26"/>
      <c r="AL26" s="27">
        <f>DATE($K$1,10,24)</f>
        <v>44128</v>
      </c>
      <c r="AM26" s="28"/>
      <c r="AO26" s="29"/>
      <c r="AP26" s="30">
        <f>DATE($K$1,11,24)</f>
        <v>44159</v>
      </c>
      <c r="AQ26" s="31"/>
      <c r="AS26" s="32">
        <f>_xlfn.ISOWEEKNUM(AT26)</f>
        <v>52</v>
      </c>
      <c r="AT26" s="21">
        <f>DATE($K$1,12,24)</f>
        <v>44189</v>
      </c>
      <c r="AU26" s="22"/>
      <c r="AV26" s="1"/>
      <c r="AW26" s="52"/>
      <c r="AX26" s="53"/>
      <c r="AY26" s="54"/>
      <c r="AZ26" s="55"/>
    </row>
    <row r="27" spans="1:52" ht="15.75" x14ac:dyDescent="0.25">
      <c r="A27" s="20">
        <f>_xlfn.ISOWEEKNUM(B27)</f>
        <v>4</v>
      </c>
      <c r="B27" s="21">
        <f>DATE($K$1,1,25)</f>
        <v>43855</v>
      </c>
      <c r="C27" s="22"/>
      <c r="E27" s="23"/>
      <c r="F27" s="24">
        <f>DATE($K$1,2,25)</f>
        <v>43886</v>
      </c>
      <c r="G27" s="25"/>
      <c r="I27" s="26"/>
      <c r="J27" s="27">
        <f>DATE($K$1,3,25)</f>
        <v>43915</v>
      </c>
      <c r="K27" s="28"/>
      <c r="M27" s="29"/>
      <c r="N27" s="30">
        <f>DATE($K$1,4,25)</f>
        <v>43946</v>
      </c>
      <c r="O27" s="31"/>
      <c r="Q27" s="32"/>
      <c r="R27" s="21">
        <f>DATE($K$1,5,25)</f>
        <v>43976</v>
      </c>
      <c r="S27" s="33"/>
      <c r="U27" s="34"/>
      <c r="V27" s="24">
        <f>DATE($K$1,6,25)</f>
        <v>44007</v>
      </c>
      <c r="W27" s="25"/>
      <c r="Y27" s="26"/>
      <c r="Z27" s="27">
        <f>DATE($K$1,7,25)</f>
        <v>44037</v>
      </c>
      <c r="AA27" s="28"/>
      <c r="AC27" s="32"/>
      <c r="AD27" s="21">
        <f>DATE($K$1,8,25)</f>
        <v>44068</v>
      </c>
      <c r="AE27" s="33"/>
      <c r="AG27" s="34"/>
      <c r="AH27" s="24">
        <f>DATE($K$1,9,25)</f>
        <v>44099</v>
      </c>
      <c r="AI27" s="25"/>
      <c r="AK27" s="26">
        <f>_xlfn.ISOWEEKNUM(AL27)</f>
        <v>43</v>
      </c>
      <c r="AL27" s="27">
        <f>DATE($K$1,10,25)</f>
        <v>44129</v>
      </c>
      <c r="AM27" s="28"/>
      <c r="AO27" s="29"/>
      <c r="AP27" s="30">
        <f>DATE($K$1,11,25)</f>
        <v>44160</v>
      </c>
      <c r="AQ27" s="31"/>
      <c r="AS27" s="36"/>
      <c r="AT27" s="37">
        <f>DATE($K$1,12,25)</f>
        <v>44190</v>
      </c>
      <c r="AU27" s="41"/>
      <c r="AV27" s="1"/>
      <c r="AW27" s="56"/>
      <c r="AX27" s="57"/>
      <c r="AY27" s="58"/>
      <c r="AZ27" s="59"/>
    </row>
    <row r="28" spans="1:52" ht="15.75" x14ac:dyDescent="0.25">
      <c r="A28" s="20"/>
      <c r="B28" s="21">
        <f>DATE($K$1,1,26)</f>
        <v>43856</v>
      </c>
      <c r="C28" s="22"/>
      <c r="E28" s="23"/>
      <c r="F28" s="24">
        <f>DATE($K$1,2,26)</f>
        <v>43887</v>
      </c>
      <c r="G28" s="25"/>
      <c r="I28" s="26"/>
      <c r="J28" s="27">
        <f>DATE($K$1,3,26)</f>
        <v>43916</v>
      </c>
      <c r="K28" s="28"/>
      <c r="M28" s="29">
        <f>_xlfn.ISOWEEKNUM(N28)</f>
        <v>17</v>
      </c>
      <c r="N28" s="30">
        <f>DATE($K$1,4,26)</f>
        <v>43947</v>
      </c>
      <c r="O28" s="31"/>
      <c r="Q28" s="32"/>
      <c r="R28" s="21">
        <f>DATE($K$1,5,26)</f>
        <v>43977</v>
      </c>
      <c r="S28" s="33"/>
      <c r="U28" s="34"/>
      <c r="V28" s="24">
        <f>DATE($K$1,6,26)</f>
        <v>44008</v>
      </c>
      <c r="W28" s="25"/>
      <c r="Y28" s="26">
        <f>_xlfn.ISOWEEKNUM(Z28)</f>
        <v>30</v>
      </c>
      <c r="Z28" s="27">
        <f>DATE($K$1,7,26)</f>
        <v>44038</v>
      </c>
      <c r="AA28" s="28"/>
      <c r="AC28" s="32"/>
      <c r="AD28" s="21">
        <f>DATE($K$1,8,26)</f>
        <v>44069</v>
      </c>
      <c r="AE28" s="33"/>
      <c r="AG28" s="34"/>
      <c r="AH28" s="24">
        <f>DATE($K$1,9,26)</f>
        <v>44100</v>
      </c>
      <c r="AI28" s="25"/>
      <c r="AK28" s="26"/>
      <c r="AL28" s="27">
        <f>DATE($K$1,10,26)</f>
        <v>44130</v>
      </c>
      <c r="AM28" s="28"/>
      <c r="AO28" s="29"/>
      <c r="AP28" s="30">
        <f>DATE($K$1,11,26)</f>
        <v>44161</v>
      </c>
      <c r="AQ28" s="31"/>
      <c r="AS28" s="32"/>
      <c r="AT28" s="21">
        <f>DATE($K$1,12,26)</f>
        <v>44191</v>
      </c>
      <c r="AU28" s="22"/>
      <c r="AV28" s="1"/>
      <c r="AW28" s="52"/>
      <c r="AX28" s="53"/>
      <c r="AY28" s="54"/>
      <c r="AZ28" s="55"/>
    </row>
    <row r="29" spans="1:52" ht="15.75" x14ac:dyDescent="0.25">
      <c r="A29" s="20"/>
      <c r="B29" s="21">
        <f>DATE($K$1,1,27)</f>
        <v>43857</v>
      </c>
      <c r="C29" s="22"/>
      <c r="E29" s="23"/>
      <c r="F29" s="24">
        <f>DATE($K$1,2,27)</f>
        <v>43888</v>
      </c>
      <c r="G29" s="25"/>
      <c r="I29" s="26"/>
      <c r="J29" s="27">
        <f>DATE($K$1,3,27)</f>
        <v>43917</v>
      </c>
      <c r="K29" s="28"/>
      <c r="M29" s="29"/>
      <c r="N29" s="30">
        <f>DATE($K$1,4,27)</f>
        <v>43948</v>
      </c>
      <c r="O29" s="31"/>
      <c r="Q29" s="32"/>
      <c r="R29" s="21">
        <f>DATE($K$1,5,27)</f>
        <v>43978</v>
      </c>
      <c r="S29" s="33"/>
      <c r="U29" s="34"/>
      <c r="V29" s="24">
        <f>DATE($K$1,6,27)</f>
        <v>44009</v>
      </c>
      <c r="W29" s="25"/>
      <c r="Y29" s="26"/>
      <c r="Z29" s="27">
        <f>DATE($K$1,7,27)</f>
        <v>44039</v>
      </c>
      <c r="AA29" s="28"/>
      <c r="AC29" s="32"/>
      <c r="AD29" s="21">
        <f>DATE($K$1,8,27)</f>
        <v>44070</v>
      </c>
      <c r="AE29" s="33"/>
      <c r="AG29" s="34">
        <f>_xlfn.ISOWEEKNUM(AH29)</f>
        <v>39</v>
      </c>
      <c r="AH29" s="24">
        <f>DATE($K$1,9,27)</f>
        <v>44101</v>
      </c>
      <c r="AI29" s="25"/>
      <c r="AK29" s="26"/>
      <c r="AL29" s="27">
        <f>DATE($K$1,10,27)</f>
        <v>44131</v>
      </c>
      <c r="AM29" s="28"/>
      <c r="AO29" s="29"/>
      <c r="AP29" s="30">
        <f>DATE($K$1,11,27)</f>
        <v>44162</v>
      </c>
      <c r="AQ29" s="31"/>
      <c r="AS29" s="32"/>
      <c r="AT29" s="21">
        <f>DATE($K$1,12,27)</f>
        <v>44192</v>
      </c>
      <c r="AU29" s="22"/>
      <c r="AV29" s="1"/>
      <c r="AW29" s="52"/>
      <c r="AX29" s="53"/>
      <c r="AY29" s="54"/>
      <c r="AZ29" s="55"/>
    </row>
    <row r="30" spans="1:52" ht="15.75" x14ac:dyDescent="0.25">
      <c r="A30" s="20"/>
      <c r="B30" s="21">
        <f>DATE($K$1,1,28)</f>
        <v>43858</v>
      </c>
      <c r="C30" s="22"/>
      <c r="E30" s="23">
        <f>_xlfn.ISOWEEKNUM(F30)</f>
        <v>9</v>
      </c>
      <c r="F30" s="24">
        <f>DATE($K$1,2,28)</f>
        <v>43889</v>
      </c>
      <c r="G30" s="25"/>
      <c r="I30" s="26"/>
      <c r="J30" s="27">
        <f>DATE($K$1,3,28)</f>
        <v>43918</v>
      </c>
      <c r="K30" s="28"/>
      <c r="M30" s="29"/>
      <c r="N30" s="30">
        <f>DATE($K$1,4,28)</f>
        <v>43949</v>
      </c>
      <c r="O30" s="31"/>
      <c r="Q30" s="32"/>
      <c r="R30" s="21">
        <f>DATE($K$1,5,28)</f>
        <v>43979</v>
      </c>
      <c r="S30" s="33"/>
      <c r="U30" s="34">
        <f>_xlfn.ISOWEEKNUM(V30)</f>
        <v>26</v>
      </c>
      <c r="V30" s="24">
        <f>DATE($K$1,6,28)</f>
        <v>44010</v>
      </c>
      <c r="W30" s="25"/>
      <c r="Y30" s="26"/>
      <c r="Z30" s="27">
        <f>DATE($K$1,7,28)</f>
        <v>44040</v>
      </c>
      <c r="AA30" s="28"/>
      <c r="AC30" s="32"/>
      <c r="AD30" s="21">
        <f>DATE($K$1,8,28)</f>
        <v>44071</v>
      </c>
      <c r="AE30" s="33"/>
      <c r="AG30" s="34"/>
      <c r="AH30" s="24">
        <f>DATE($K$1,9,28)</f>
        <v>44102</v>
      </c>
      <c r="AI30" s="25"/>
      <c r="AK30" s="26"/>
      <c r="AL30" s="27">
        <f>DATE($K$1,10,28)</f>
        <v>44132</v>
      </c>
      <c r="AM30" s="28"/>
      <c r="AO30" s="29">
        <f>_xlfn.ISOWEEKNUM(AP30)</f>
        <v>48</v>
      </c>
      <c r="AP30" s="30">
        <f>DATE($K$1,11,28)</f>
        <v>44163</v>
      </c>
      <c r="AQ30" s="31"/>
      <c r="AS30" s="32"/>
      <c r="AT30" s="21">
        <f>DATE($K$1,12,28)</f>
        <v>44193</v>
      </c>
      <c r="AU30" s="22"/>
      <c r="AV30" s="1"/>
      <c r="AW30" s="56"/>
      <c r="AX30" s="57"/>
      <c r="AY30" s="58"/>
      <c r="AZ30" s="59"/>
    </row>
    <row r="31" spans="1:52" ht="15.75" x14ac:dyDescent="0.25">
      <c r="A31" s="20"/>
      <c r="B31" s="21">
        <f>DATE($K$1,1,29)</f>
        <v>43859</v>
      </c>
      <c r="C31" s="22"/>
      <c r="E31" s="23"/>
      <c r="F31" s="24">
        <f>IF(F30="","",IF(MONTH(F30)=MONTH(F30+1),F30+1,""))</f>
        <v>43890</v>
      </c>
      <c r="G31" s="25"/>
      <c r="I31" s="26">
        <f>_xlfn.ISOWEEKNUM(J31)</f>
        <v>13</v>
      </c>
      <c r="J31" s="27">
        <f>DATE($K$1,3,29)</f>
        <v>43919</v>
      </c>
      <c r="K31" s="28"/>
      <c r="M31" s="29"/>
      <c r="N31" s="30">
        <f>DATE($K$1,4,29)</f>
        <v>43950</v>
      </c>
      <c r="O31" s="31"/>
      <c r="Q31" s="32"/>
      <c r="R31" s="21">
        <f>DATE($K$1,5,29)</f>
        <v>43980</v>
      </c>
      <c r="S31" s="33"/>
      <c r="U31" s="34"/>
      <c r="V31" s="24">
        <f>DATE($K$1,6,29)</f>
        <v>44011</v>
      </c>
      <c r="W31" s="25"/>
      <c r="Y31" s="26"/>
      <c r="Z31" s="27">
        <f>DATE($K$1,7,29)</f>
        <v>44041</v>
      </c>
      <c r="AA31" s="28"/>
      <c r="AC31" s="32"/>
      <c r="AD31" s="21">
        <f>DATE($K$1,8,29)</f>
        <v>44072</v>
      </c>
      <c r="AE31" s="33"/>
      <c r="AG31" s="34"/>
      <c r="AH31" s="24">
        <f>DATE($K$1,9,29)</f>
        <v>44103</v>
      </c>
      <c r="AI31" s="25"/>
      <c r="AK31" s="26"/>
      <c r="AL31" s="27">
        <f>DATE($K$1,10,29)</f>
        <v>44133</v>
      </c>
      <c r="AM31" s="28"/>
      <c r="AO31" s="29"/>
      <c r="AP31" s="30">
        <f>DATE($K$1,11,29)</f>
        <v>44164</v>
      </c>
      <c r="AQ31" s="31"/>
      <c r="AS31" s="32">
        <f>_xlfn.ISOWEEKNUM(AT31)</f>
        <v>53</v>
      </c>
      <c r="AT31" s="21">
        <f>DATE($K$1,12,29)</f>
        <v>44194</v>
      </c>
      <c r="AU31" s="22"/>
      <c r="AV31" s="1"/>
      <c r="AW31" s="52"/>
      <c r="AX31" s="53"/>
      <c r="AY31" s="54"/>
      <c r="AZ31" s="55"/>
    </row>
    <row r="32" spans="1:52" ht="15.75" x14ac:dyDescent="0.25">
      <c r="A32" s="20"/>
      <c r="B32" s="21">
        <f>DATE($K$1,1,30)</f>
        <v>43860</v>
      </c>
      <c r="C32" s="22"/>
      <c r="E32" s="42"/>
      <c r="F32" s="43"/>
      <c r="G32" s="43"/>
      <c r="I32" s="26"/>
      <c r="J32" s="27">
        <f>DATE($K$1,3,30)</f>
        <v>43920</v>
      </c>
      <c r="K32" s="28"/>
      <c r="M32" s="29"/>
      <c r="N32" s="30">
        <f>DATE($K$1,4,30)</f>
        <v>43951</v>
      </c>
      <c r="O32" s="31"/>
      <c r="Q32" s="32"/>
      <c r="R32" s="21">
        <f>DATE($K$1,5,30)</f>
        <v>43981</v>
      </c>
      <c r="S32" s="33"/>
      <c r="U32" s="34"/>
      <c r="V32" s="24">
        <f>DATE($K$1,6,30)</f>
        <v>44012</v>
      </c>
      <c r="W32" s="25"/>
      <c r="Y32" s="26"/>
      <c r="Z32" s="27">
        <f>DATE($K$1,7,30)</f>
        <v>44042</v>
      </c>
      <c r="AA32" s="28"/>
      <c r="AC32" s="32">
        <f>_xlfn.ISOWEEKNUM(AD32)</f>
        <v>35</v>
      </c>
      <c r="AD32" s="21">
        <f>DATE($K$1,8,30)</f>
        <v>44073</v>
      </c>
      <c r="AE32" s="33"/>
      <c r="AG32" s="34"/>
      <c r="AH32" s="44">
        <f>DATE($K$1,9,30)</f>
        <v>44104</v>
      </c>
      <c r="AI32" s="25"/>
      <c r="AK32" s="26"/>
      <c r="AL32" s="27">
        <f>DATE($K$1,10,30)</f>
        <v>44134</v>
      </c>
      <c r="AM32" s="28"/>
      <c r="AO32" s="29"/>
      <c r="AP32" s="30">
        <f>DATE($K$1,11,30)</f>
        <v>44165</v>
      </c>
      <c r="AQ32" s="31"/>
      <c r="AS32" s="32"/>
      <c r="AT32" s="21">
        <f>DATE($K$1,12,30)</f>
        <v>44195</v>
      </c>
      <c r="AU32" s="22"/>
      <c r="AV32" s="1"/>
      <c r="AW32" s="56"/>
      <c r="AX32" s="57"/>
      <c r="AY32" s="58"/>
      <c r="AZ32" s="59"/>
    </row>
    <row r="33" spans="1:52" ht="15.75" x14ac:dyDescent="0.25">
      <c r="A33" s="20"/>
      <c r="B33" s="21">
        <f>DATE($K$1,1,31)</f>
        <v>43861</v>
      </c>
      <c r="C33" s="22"/>
      <c r="E33" s="42"/>
      <c r="F33" s="43"/>
      <c r="G33" s="43"/>
      <c r="I33" s="26"/>
      <c r="J33" s="27">
        <f>DATE($K$1,3,31)</f>
        <v>43921</v>
      </c>
      <c r="K33" s="28"/>
      <c r="M33" s="45"/>
      <c r="N33" s="46"/>
      <c r="O33" s="46"/>
      <c r="Q33" s="32">
        <f>_xlfn.ISOWEEKNUM(R33)</f>
        <v>22</v>
      </c>
      <c r="R33" s="21">
        <f>DATE($K$1,5,31)</f>
        <v>43982</v>
      </c>
      <c r="S33" s="33"/>
      <c r="U33" s="47"/>
      <c r="V33" s="43"/>
      <c r="W33" s="48"/>
      <c r="Y33" s="26">
        <f>_xlfn.ISOWEEKNUM(Z33)</f>
        <v>31</v>
      </c>
      <c r="Z33" s="27">
        <f>DATE($K$1,7,31)</f>
        <v>44043</v>
      </c>
      <c r="AA33" s="28"/>
      <c r="AC33" s="32"/>
      <c r="AD33" s="21">
        <f>DATE($K$1,8,31)</f>
        <v>44074</v>
      </c>
      <c r="AE33" s="33"/>
      <c r="AG33" s="48"/>
      <c r="AH33" s="43"/>
      <c r="AI33" s="43"/>
      <c r="AK33" s="26">
        <f>_xlfn.ISOWEEKNUM(AL33)</f>
        <v>44</v>
      </c>
      <c r="AL33" s="27">
        <f>DATE($K$1,10,31)</f>
        <v>44135</v>
      </c>
      <c r="AM33" s="28"/>
      <c r="AO33" s="48"/>
      <c r="AP33" s="43"/>
      <c r="AQ33" s="49"/>
      <c r="AS33" s="32"/>
      <c r="AT33" s="21">
        <f>DATE($K$1,12,31)</f>
        <v>44196</v>
      </c>
      <c r="AU33" s="22"/>
      <c r="AV33" s="1"/>
      <c r="AW33" s="52"/>
      <c r="AX33" s="53"/>
      <c r="AY33" s="54"/>
      <c r="AZ33" s="55"/>
    </row>
    <row r="34" spans="1:52" x14ac:dyDescent="0.25">
      <c r="AW34">
        <v>43851</v>
      </c>
    </row>
    <row r="35" spans="1:52" x14ac:dyDescent="0.25">
      <c r="AW35">
        <v>43852</v>
      </c>
    </row>
    <row r="36" spans="1:52" x14ac:dyDescent="0.25">
      <c r="AW36">
        <v>43853</v>
      </c>
    </row>
    <row r="37" spans="1:52" x14ac:dyDescent="0.25">
      <c r="AW37">
        <v>43854</v>
      </c>
    </row>
    <row r="38" spans="1:52" x14ac:dyDescent="0.25">
      <c r="F38" t="s">
        <v>13</v>
      </c>
      <c r="AW38">
        <v>43855</v>
      </c>
    </row>
    <row r="39" spans="1:52" x14ac:dyDescent="0.25">
      <c r="F39" t="s">
        <v>14</v>
      </c>
      <c r="AW39">
        <v>43856</v>
      </c>
    </row>
    <row r="40" spans="1:52" x14ac:dyDescent="0.25">
      <c r="F40" t="s">
        <v>15</v>
      </c>
      <c r="AW40">
        <v>43857</v>
      </c>
    </row>
    <row r="41" spans="1:52" x14ac:dyDescent="0.25">
      <c r="F41" t="s">
        <v>16</v>
      </c>
      <c r="AW41">
        <v>43858</v>
      </c>
    </row>
    <row r="42" spans="1:52" x14ac:dyDescent="0.25">
      <c r="F42" t="s">
        <v>17</v>
      </c>
      <c r="AW42">
        <v>43859</v>
      </c>
    </row>
    <row r="43" spans="1:52" x14ac:dyDescent="0.25">
      <c r="F43" t="s">
        <v>18</v>
      </c>
      <c r="AW43">
        <v>43860</v>
      </c>
    </row>
    <row r="44" spans="1:52" x14ac:dyDescent="0.25">
      <c r="AW44">
        <v>43861</v>
      </c>
    </row>
    <row r="45" spans="1:52" x14ac:dyDescent="0.25">
      <c r="AW45">
        <v>43862</v>
      </c>
    </row>
    <row r="46" spans="1:52" x14ac:dyDescent="0.25">
      <c r="AW46">
        <v>43863</v>
      </c>
    </row>
    <row r="47" spans="1:52" x14ac:dyDescent="0.25">
      <c r="AW47">
        <v>43864</v>
      </c>
    </row>
    <row r="48" spans="1:52" x14ac:dyDescent="0.25">
      <c r="AW48">
        <v>43865</v>
      </c>
    </row>
    <row r="49" spans="49:49" x14ac:dyDescent="0.25">
      <c r="AW49">
        <v>43866</v>
      </c>
    </row>
    <row r="50" spans="49:49" x14ac:dyDescent="0.25">
      <c r="AW50">
        <v>43867</v>
      </c>
    </row>
    <row r="51" spans="49:49" x14ac:dyDescent="0.25">
      <c r="AW51">
        <v>43868</v>
      </c>
    </row>
    <row r="52" spans="49:49" x14ac:dyDescent="0.25">
      <c r="AW52">
        <v>43869</v>
      </c>
    </row>
    <row r="53" spans="49:49" x14ac:dyDescent="0.25">
      <c r="AW53">
        <v>43870</v>
      </c>
    </row>
    <row r="54" spans="49:49" x14ac:dyDescent="0.25">
      <c r="AW54">
        <v>43872</v>
      </c>
    </row>
    <row r="55" spans="49:49" x14ac:dyDescent="0.25">
      <c r="AW55">
        <v>43873</v>
      </c>
    </row>
    <row r="56" spans="49:49" x14ac:dyDescent="0.25">
      <c r="AW56">
        <v>43874</v>
      </c>
    </row>
    <row r="57" spans="49:49" x14ac:dyDescent="0.25">
      <c r="AW57">
        <v>43875</v>
      </c>
    </row>
    <row r="58" spans="49:49" x14ac:dyDescent="0.25">
      <c r="AW58">
        <v>43876</v>
      </c>
    </row>
    <row r="59" spans="49:49" x14ac:dyDescent="0.25">
      <c r="AW59">
        <v>43877</v>
      </c>
    </row>
    <row r="60" spans="49:49" x14ac:dyDescent="0.25">
      <c r="AW60">
        <v>43878</v>
      </c>
    </row>
    <row r="61" spans="49:49" x14ac:dyDescent="0.25">
      <c r="AW61">
        <v>43879</v>
      </c>
    </row>
    <row r="62" spans="49:49" x14ac:dyDescent="0.25">
      <c r="AW62">
        <v>43880</v>
      </c>
    </row>
    <row r="63" spans="49:49" x14ac:dyDescent="0.25">
      <c r="AW63">
        <v>43881</v>
      </c>
    </row>
    <row r="64" spans="49:49" x14ac:dyDescent="0.25">
      <c r="AW64">
        <v>43882</v>
      </c>
    </row>
    <row r="65" spans="49:49" x14ac:dyDescent="0.25">
      <c r="AW65">
        <v>43883</v>
      </c>
    </row>
    <row r="66" spans="49:49" x14ac:dyDescent="0.25">
      <c r="AW66">
        <v>43884</v>
      </c>
    </row>
    <row r="67" spans="49:49" x14ac:dyDescent="0.25">
      <c r="AW67">
        <v>43885</v>
      </c>
    </row>
    <row r="68" spans="49:49" x14ac:dyDescent="0.25">
      <c r="AW68">
        <v>43886</v>
      </c>
    </row>
    <row r="69" spans="49:49" x14ac:dyDescent="0.25">
      <c r="AW69">
        <v>43887</v>
      </c>
    </row>
    <row r="70" spans="49:49" x14ac:dyDescent="0.25">
      <c r="AW70">
        <v>43888</v>
      </c>
    </row>
    <row r="71" spans="49:49" x14ac:dyDescent="0.25">
      <c r="AW71">
        <v>43889</v>
      </c>
    </row>
    <row r="72" spans="49:49" x14ac:dyDescent="0.25">
      <c r="AW72">
        <v>43890</v>
      </c>
    </row>
    <row r="75" spans="49:49" x14ac:dyDescent="0.25">
      <c r="AW75">
        <v>43891</v>
      </c>
    </row>
    <row r="76" spans="49:49" x14ac:dyDescent="0.25">
      <c r="AW76">
        <v>43892</v>
      </c>
    </row>
    <row r="77" spans="49:49" x14ac:dyDescent="0.25">
      <c r="AW77">
        <v>43893</v>
      </c>
    </row>
    <row r="78" spans="49:49" x14ac:dyDescent="0.25">
      <c r="AW78">
        <v>43894</v>
      </c>
    </row>
    <row r="79" spans="49:49" x14ac:dyDescent="0.25">
      <c r="AW79">
        <v>43895</v>
      </c>
    </row>
    <row r="80" spans="49:49" x14ac:dyDescent="0.25">
      <c r="AW80">
        <v>43896</v>
      </c>
    </row>
    <row r="81" spans="49:49" x14ac:dyDescent="0.25">
      <c r="AW81">
        <v>43897</v>
      </c>
    </row>
    <row r="82" spans="49:49" x14ac:dyDescent="0.25">
      <c r="AW82">
        <v>43898</v>
      </c>
    </row>
    <row r="83" spans="49:49" x14ac:dyDescent="0.25">
      <c r="AW83">
        <v>43899</v>
      </c>
    </row>
    <row r="84" spans="49:49" x14ac:dyDescent="0.25">
      <c r="AW84">
        <v>43900</v>
      </c>
    </row>
    <row r="85" spans="49:49" x14ac:dyDescent="0.25">
      <c r="AW85">
        <v>43901</v>
      </c>
    </row>
    <row r="86" spans="49:49" x14ac:dyDescent="0.25">
      <c r="AW86">
        <v>43902</v>
      </c>
    </row>
    <row r="87" spans="49:49" x14ac:dyDescent="0.25">
      <c r="AW87">
        <v>43903</v>
      </c>
    </row>
    <row r="88" spans="49:49" x14ac:dyDescent="0.25">
      <c r="AW88">
        <v>43904</v>
      </c>
    </row>
    <row r="89" spans="49:49" x14ac:dyDescent="0.25">
      <c r="AW89">
        <v>43905</v>
      </c>
    </row>
    <row r="90" spans="49:49" x14ac:dyDescent="0.25">
      <c r="AW90">
        <v>43906</v>
      </c>
    </row>
    <row r="91" spans="49:49" x14ac:dyDescent="0.25">
      <c r="AW91">
        <v>43907</v>
      </c>
    </row>
    <row r="92" spans="49:49" x14ac:dyDescent="0.25">
      <c r="AW92">
        <v>43908</v>
      </c>
    </row>
    <row r="93" spans="49:49" x14ac:dyDescent="0.25">
      <c r="AW93">
        <v>43909</v>
      </c>
    </row>
    <row r="94" spans="49:49" x14ac:dyDescent="0.25">
      <c r="AW94">
        <v>43910</v>
      </c>
    </row>
    <row r="95" spans="49:49" x14ac:dyDescent="0.25">
      <c r="AW95">
        <v>43911</v>
      </c>
    </row>
    <row r="96" spans="49:49" x14ac:dyDescent="0.25">
      <c r="AW96">
        <v>43912</v>
      </c>
    </row>
    <row r="97" spans="49:49" x14ac:dyDescent="0.25">
      <c r="AW97">
        <v>43913</v>
      </c>
    </row>
    <row r="98" spans="49:49" x14ac:dyDescent="0.25">
      <c r="AW98">
        <v>43914</v>
      </c>
    </row>
    <row r="99" spans="49:49" x14ac:dyDescent="0.25">
      <c r="AW99">
        <v>43915</v>
      </c>
    </row>
    <row r="100" spans="49:49" x14ac:dyDescent="0.25">
      <c r="AW100">
        <v>43916</v>
      </c>
    </row>
    <row r="101" spans="49:49" x14ac:dyDescent="0.25">
      <c r="AW101">
        <v>43917</v>
      </c>
    </row>
    <row r="102" spans="49:49" x14ac:dyDescent="0.25">
      <c r="AW102">
        <v>43918</v>
      </c>
    </row>
    <row r="103" spans="49:49" x14ac:dyDescent="0.25">
      <c r="AW103">
        <v>43919</v>
      </c>
    </row>
    <row r="104" spans="49:49" x14ac:dyDescent="0.25">
      <c r="AW104">
        <v>43920</v>
      </c>
    </row>
    <row r="105" spans="49:49" x14ac:dyDescent="0.25">
      <c r="AW105">
        <v>43921</v>
      </c>
    </row>
    <row r="106" spans="49:49" x14ac:dyDescent="0.25">
      <c r="AW106">
        <v>43922</v>
      </c>
    </row>
    <row r="107" spans="49:49" x14ac:dyDescent="0.25">
      <c r="AW107">
        <v>43923</v>
      </c>
    </row>
    <row r="108" spans="49:49" x14ac:dyDescent="0.25">
      <c r="AW108">
        <v>43924</v>
      </c>
    </row>
    <row r="109" spans="49:49" x14ac:dyDescent="0.25">
      <c r="AW109">
        <v>43925</v>
      </c>
    </row>
    <row r="110" spans="49:49" x14ac:dyDescent="0.25">
      <c r="AW110">
        <v>43926</v>
      </c>
    </row>
    <row r="111" spans="49:49" x14ac:dyDescent="0.25">
      <c r="AW111">
        <v>43927</v>
      </c>
    </row>
    <row r="112" spans="49:49" x14ac:dyDescent="0.25">
      <c r="AW112">
        <v>43928</v>
      </c>
    </row>
    <row r="113" spans="49:49" x14ac:dyDescent="0.25">
      <c r="AW113">
        <v>43929</v>
      </c>
    </row>
    <row r="114" spans="49:49" x14ac:dyDescent="0.25">
      <c r="AW114">
        <v>43930</v>
      </c>
    </row>
    <row r="115" spans="49:49" x14ac:dyDescent="0.25">
      <c r="AW115">
        <v>43931</v>
      </c>
    </row>
    <row r="116" spans="49:49" x14ac:dyDescent="0.25">
      <c r="AW116">
        <v>43932</v>
      </c>
    </row>
    <row r="117" spans="49:49" x14ac:dyDescent="0.25">
      <c r="AW117">
        <v>43933</v>
      </c>
    </row>
    <row r="118" spans="49:49" x14ac:dyDescent="0.25">
      <c r="AW118">
        <v>43934</v>
      </c>
    </row>
    <row r="119" spans="49:49" x14ac:dyDescent="0.25">
      <c r="AW119">
        <v>43935</v>
      </c>
    </row>
    <row r="120" spans="49:49" x14ac:dyDescent="0.25">
      <c r="AW120">
        <v>43936</v>
      </c>
    </row>
    <row r="121" spans="49:49" x14ac:dyDescent="0.25">
      <c r="AW121">
        <v>43937</v>
      </c>
    </row>
    <row r="122" spans="49:49" x14ac:dyDescent="0.25">
      <c r="AW122">
        <v>43938</v>
      </c>
    </row>
    <row r="123" spans="49:49" x14ac:dyDescent="0.25">
      <c r="AW123">
        <v>43939</v>
      </c>
    </row>
    <row r="124" spans="49:49" x14ac:dyDescent="0.25">
      <c r="AW124">
        <v>43940</v>
      </c>
    </row>
    <row r="125" spans="49:49" x14ac:dyDescent="0.25">
      <c r="AW125">
        <v>43941</v>
      </c>
    </row>
    <row r="126" spans="49:49" x14ac:dyDescent="0.25">
      <c r="AW126">
        <v>43942</v>
      </c>
    </row>
    <row r="127" spans="49:49" x14ac:dyDescent="0.25">
      <c r="AW127">
        <v>43943</v>
      </c>
    </row>
    <row r="128" spans="49:49" x14ac:dyDescent="0.25">
      <c r="AW128">
        <v>43944</v>
      </c>
    </row>
    <row r="129" spans="49:49" x14ac:dyDescent="0.25">
      <c r="AW129">
        <v>43945</v>
      </c>
    </row>
    <row r="130" spans="49:49" x14ac:dyDescent="0.25">
      <c r="AW130">
        <v>43946</v>
      </c>
    </row>
    <row r="131" spans="49:49" x14ac:dyDescent="0.25">
      <c r="AW131">
        <v>43947</v>
      </c>
    </row>
    <row r="132" spans="49:49" x14ac:dyDescent="0.25">
      <c r="AW132">
        <v>43948</v>
      </c>
    </row>
    <row r="133" spans="49:49" x14ac:dyDescent="0.25">
      <c r="AW133">
        <v>43949</v>
      </c>
    </row>
    <row r="134" spans="49:49" x14ac:dyDescent="0.25">
      <c r="AW134">
        <v>43950</v>
      </c>
    </row>
    <row r="135" spans="49:49" x14ac:dyDescent="0.25">
      <c r="AW135">
        <v>43951</v>
      </c>
    </row>
    <row r="137" spans="49:49" x14ac:dyDescent="0.25">
      <c r="AW137">
        <v>43952</v>
      </c>
    </row>
    <row r="138" spans="49:49" x14ac:dyDescent="0.25">
      <c r="AW138">
        <v>43953</v>
      </c>
    </row>
    <row r="139" spans="49:49" x14ac:dyDescent="0.25">
      <c r="AW139">
        <v>43954</v>
      </c>
    </row>
    <row r="140" spans="49:49" x14ac:dyDescent="0.25">
      <c r="AW140">
        <v>43955</v>
      </c>
    </row>
    <row r="141" spans="49:49" x14ac:dyDescent="0.25">
      <c r="AW141">
        <v>43956</v>
      </c>
    </row>
    <row r="142" spans="49:49" x14ac:dyDescent="0.25">
      <c r="AW142">
        <v>43957</v>
      </c>
    </row>
    <row r="143" spans="49:49" x14ac:dyDescent="0.25">
      <c r="AW143">
        <v>43958</v>
      </c>
    </row>
    <row r="144" spans="49:49" x14ac:dyDescent="0.25">
      <c r="AW144">
        <v>43959</v>
      </c>
    </row>
    <row r="145" spans="49:49" x14ac:dyDescent="0.25">
      <c r="AW145">
        <v>43960</v>
      </c>
    </row>
    <row r="146" spans="49:49" x14ac:dyDescent="0.25">
      <c r="AW146">
        <v>43961</v>
      </c>
    </row>
    <row r="147" spans="49:49" x14ac:dyDescent="0.25">
      <c r="AW147">
        <v>43962</v>
      </c>
    </row>
    <row r="148" spans="49:49" x14ac:dyDescent="0.25">
      <c r="AW148">
        <v>43963</v>
      </c>
    </row>
    <row r="149" spans="49:49" x14ac:dyDescent="0.25">
      <c r="AW149">
        <v>43964</v>
      </c>
    </row>
    <row r="150" spans="49:49" x14ac:dyDescent="0.25">
      <c r="AW150">
        <v>43965</v>
      </c>
    </row>
    <row r="151" spans="49:49" x14ac:dyDescent="0.25">
      <c r="AW151">
        <v>43966</v>
      </c>
    </row>
    <row r="152" spans="49:49" x14ac:dyDescent="0.25">
      <c r="AW152">
        <v>43967</v>
      </c>
    </row>
    <row r="153" spans="49:49" x14ac:dyDescent="0.25">
      <c r="AW153">
        <v>43968</v>
      </c>
    </row>
    <row r="154" spans="49:49" x14ac:dyDescent="0.25">
      <c r="AW154">
        <v>43969</v>
      </c>
    </row>
    <row r="155" spans="49:49" x14ac:dyDescent="0.25">
      <c r="AW155">
        <v>43970</v>
      </c>
    </row>
    <row r="156" spans="49:49" x14ac:dyDescent="0.25">
      <c r="AW156">
        <v>43971</v>
      </c>
    </row>
    <row r="157" spans="49:49" x14ac:dyDescent="0.25">
      <c r="AW157">
        <v>43972</v>
      </c>
    </row>
    <row r="158" spans="49:49" x14ac:dyDescent="0.25">
      <c r="AW158">
        <v>43973</v>
      </c>
    </row>
    <row r="159" spans="49:49" x14ac:dyDescent="0.25">
      <c r="AW159">
        <v>43974</v>
      </c>
    </row>
    <row r="160" spans="49:49" x14ac:dyDescent="0.25">
      <c r="AW160">
        <v>43975</v>
      </c>
    </row>
    <row r="161" spans="49:49" x14ac:dyDescent="0.25">
      <c r="AW161">
        <v>43976</v>
      </c>
    </row>
    <row r="162" spans="49:49" x14ac:dyDescent="0.25">
      <c r="AW162">
        <v>43977</v>
      </c>
    </row>
    <row r="163" spans="49:49" x14ac:dyDescent="0.25">
      <c r="AW163">
        <v>43978</v>
      </c>
    </row>
    <row r="164" spans="49:49" x14ac:dyDescent="0.25">
      <c r="AW164">
        <v>43979</v>
      </c>
    </row>
    <row r="165" spans="49:49" x14ac:dyDescent="0.25">
      <c r="AW165">
        <v>43980</v>
      </c>
    </row>
    <row r="166" spans="49:49" x14ac:dyDescent="0.25">
      <c r="AW166">
        <v>43981</v>
      </c>
    </row>
    <row r="167" spans="49:49" x14ac:dyDescent="0.25">
      <c r="AW167">
        <v>43982</v>
      </c>
    </row>
    <row r="168" spans="49:49" x14ac:dyDescent="0.25">
      <c r="AW168">
        <v>43983</v>
      </c>
    </row>
    <row r="169" spans="49:49" x14ac:dyDescent="0.25">
      <c r="AW169">
        <v>43984</v>
      </c>
    </row>
    <row r="170" spans="49:49" x14ac:dyDescent="0.25">
      <c r="AW170">
        <v>43985</v>
      </c>
    </row>
    <row r="171" spans="49:49" x14ac:dyDescent="0.25">
      <c r="AW171">
        <v>43986</v>
      </c>
    </row>
    <row r="172" spans="49:49" x14ac:dyDescent="0.25">
      <c r="AW172">
        <v>43987</v>
      </c>
    </row>
    <row r="173" spans="49:49" x14ac:dyDescent="0.25">
      <c r="AW173">
        <v>43988</v>
      </c>
    </row>
    <row r="174" spans="49:49" x14ac:dyDescent="0.25">
      <c r="AW174">
        <v>43989</v>
      </c>
    </row>
    <row r="175" spans="49:49" x14ac:dyDescent="0.25">
      <c r="AW175">
        <v>43990</v>
      </c>
    </row>
    <row r="176" spans="49:49" x14ac:dyDescent="0.25">
      <c r="AW176">
        <v>43991</v>
      </c>
    </row>
    <row r="177" spans="49:49" x14ac:dyDescent="0.25">
      <c r="AW177">
        <v>43992</v>
      </c>
    </row>
    <row r="178" spans="49:49" x14ac:dyDescent="0.25">
      <c r="AW178">
        <v>43993</v>
      </c>
    </row>
    <row r="179" spans="49:49" x14ac:dyDescent="0.25">
      <c r="AW179">
        <v>43994</v>
      </c>
    </row>
    <row r="180" spans="49:49" x14ac:dyDescent="0.25">
      <c r="AW180">
        <v>43997</v>
      </c>
    </row>
    <row r="181" spans="49:49" x14ac:dyDescent="0.25">
      <c r="AW181">
        <v>43998</v>
      </c>
    </row>
    <row r="182" spans="49:49" x14ac:dyDescent="0.25">
      <c r="AW182">
        <v>43999</v>
      </c>
    </row>
    <row r="183" spans="49:49" x14ac:dyDescent="0.25">
      <c r="AW183">
        <v>44000</v>
      </c>
    </row>
    <row r="184" spans="49:49" x14ac:dyDescent="0.25">
      <c r="AW184">
        <v>44001</v>
      </c>
    </row>
    <row r="185" spans="49:49" x14ac:dyDescent="0.25">
      <c r="AW185">
        <v>44002</v>
      </c>
    </row>
    <row r="186" spans="49:49" x14ac:dyDescent="0.25">
      <c r="AW186">
        <v>44003</v>
      </c>
    </row>
    <row r="187" spans="49:49" x14ac:dyDescent="0.25">
      <c r="AW187">
        <v>44004</v>
      </c>
    </row>
    <row r="188" spans="49:49" x14ac:dyDescent="0.25">
      <c r="AW188">
        <v>44005</v>
      </c>
    </row>
    <row r="189" spans="49:49" x14ac:dyDescent="0.25">
      <c r="AW189">
        <v>44006</v>
      </c>
    </row>
    <row r="190" spans="49:49" x14ac:dyDescent="0.25">
      <c r="AW190">
        <v>44007</v>
      </c>
    </row>
    <row r="191" spans="49:49" x14ac:dyDescent="0.25">
      <c r="AW191">
        <v>44008</v>
      </c>
    </row>
    <row r="192" spans="49:49" x14ac:dyDescent="0.25">
      <c r="AW192">
        <v>44009</v>
      </c>
    </row>
    <row r="193" spans="49:49" x14ac:dyDescent="0.25">
      <c r="AW193">
        <v>44010</v>
      </c>
    </row>
    <row r="194" spans="49:49" x14ac:dyDescent="0.25">
      <c r="AW194">
        <v>44011</v>
      </c>
    </row>
    <row r="195" spans="49:49" x14ac:dyDescent="0.25">
      <c r="AW195">
        <v>44012</v>
      </c>
    </row>
    <row r="197" spans="49:49" x14ac:dyDescent="0.25">
      <c r="AW197">
        <v>44013</v>
      </c>
    </row>
    <row r="198" spans="49:49" x14ac:dyDescent="0.25">
      <c r="AW198">
        <v>44014</v>
      </c>
    </row>
    <row r="199" spans="49:49" x14ac:dyDescent="0.25">
      <c r="AW199">
        <v>44015</v>
      </c>
    </row>
    <row r="200" spans="49:49" x14ac:dyDescent="0.25">
      <c r="AW200">
        <v>44016</v>
      </c>
    </row>
    <row r="201" spans="49:49" x14ac:dyDescent="0.25">
      <c r="AW201">
        <v>44019</v>
      </c>
    </row>
    <row r="202" spans="49:49" x14ac:dyDescent="0.25">
      <c r="AW202">
        <v>44020</v>
      </c>
    </row>
    <row r="203" spans="49:49" x14ac:dyDescent="0.25">
      <c r="AW203">
        <v>44023</v>
      </c>
    </row>
    <row r="204" spans="49:49" x14ac:dyDescent="0.25">
      <c r="AW204">
        <v>44024</v>
      </c>
    </row>
    <row r="205" spans="49:49" x14ac:dyDescent="0.25">
      <c r="AW205">
        <v>44025</v>
      </c>
    </row>
    <row r="206" spans="49:49" x14ac:dyDescent="0.25">
      <c r="AW206">
        <v>44026</v>
      </c>
    </row>
    <row r="207" spans="49:49" x14ac:dyDescent="0.25">
      <c r="AW207">
        <v>44027</v>
      </c>
    </row>
    <row r="208" spans="49:49" x14ac:dyDescent="0.25">
      <c r="AW208">
        <v>44028</v>
      </c>
    </row>
    <row r="209" spans="49:49" x14ac:dyDescent="0.25">
      <c r="AW209">
        <v>44029</v>
      </c>
    </row>
    <row r="210" spans="49:49" x14ac:dyDescent="0.25">
      <c r="AW210">
        <v>44030</v>
      </c>
    </row>
    <row r="211" spans="49:49" x14ac:dyDescent="0.25">
      <c r="AW211">
        <v>44031</v>
      </c>
    </row>
    <row r="212" spans="49:49" x14ac:dyDescent="0.25">
      <c r="AW212">
        <v>44032</v>
      </c>
    </row>
    <row r="213" spans="49:49" x14ac:dyDescent="0.25">
      <c r="AW213">
        <v>44033</v>
      </c>
    </row>
    <row r="214" spans="49:49" x14ac:dyDescent="0.25">
      <c r="AW214">
        <v>44034</v>
      </c>
    </row>
    <row r="215" spans="49:49" x14ac:dyDescent="0.25">
      <c r="AW215">
        <v>44035</v>
      </c>
    </row>
    <row r="216" spans="49:49" x14ac:dyDescent="0.25">
      <c r="AW216">
        <v>44036</v>
      </c>
    </row>
    <row r="217" spans="49:49" x14ac:dyDescent="0.25">
      <c r="AW217">
        <v>44037</v>
      </c>
    </row>
    <row r="218" spans="49:49" x14ac:dyDescent="0.25">
      <c r="AW218">
        <v>44038</v>
      </c>
    </row>
    <row r="219" spans="49:49" x14ac:dyDescent="0.25">
      <c r="AW219">
        <v>44039</v>
      </c>
    </row>
    <row r="220" spans="49:49" x14ac:dyDescent="0.25">
      <c r="AW220">
        <v>44040</v>
      </c>
    </row>
    <row r="221" spans="49:49" x14ac:dyDescent="0.25">
      <c r="AW221">
        <v>44041</v>
      </c>
    </row>
    <row r="222" spans="49:49" x14ac:dyDescent="0.25">
      <c r="AW222">
        <v>44042</v>
      </c>
    </row>
    <row r="223" spans="49:49" x14ac:dyDescent="0.25">
      <c r="AW223">
        <v>44043</v>
      </c>
    </row>
    <row r="224" spans="49:49" x14ac:dyDescent="0.25">
      <c r="AW224">
        <v>44044</v>
      </c>
    </row>
    <row r="225" spans="49:49" x14ac:dyDescent="0.25">
      <c r="AW225">
        <v>44045</v>
      </c>
    </row>
    <row r="226" spans="49:49" x14ac:dyDescent="0.25">
      <c r="AW226">
        <v>44046</v>
      </c>
    </row>
    <row r="227" spans="49:49" x14ac:dyDescent="0.25">
      <c r="AW227">
        <v>44047</v>
      </c>
    </row>
    <row r="228" spans="49:49" x14ac:dyDescent="0.25">
      <c r="AW228">
        <v>44048</v>
      </c>
    </row>
    <row r="229" spans="49:49" x14ac:dyDescent="0.25">
      <c r="AW229">
        <v>44049</v>
      </c>
    </row>
    <row r="230" spans="49:49" x14ac:dyDescent="0.25">
      <c r="AW230">
        <v>44050</v>
      </c>
    </row>
    <row r="231" spans="49:49" x14ac:dyDescent="0.25">
      <c r="AW231">
        <v>44051</v>
      </c>
    </row>
    <row r="232" spans="49:49" x14ac:dyDescent="0.25">
      <c r="AW232">
        <v>44052</v>
      </c>
    </row>
    <row r="233" spans="49:49" x14ac:dyDescent="0.25">
      <c r="AW233">
        <v>44053</v>
      </c>
    </row>
    <row r="234" spans="49:49" x14ac:dyDescent="0.25">
      <c r="AW234">
        <v>44054</v>
      </c>
    </row>
    <row r="235" spans="49:49" x14ac:dyDescent="0.25">
      <c r="AW235">
        <v>44055</v>
      </c>
    </row>
    <row r="236" spans="49:49" x14ac:dyDescent="0.25">
      <c r="AW236">
        <v>44056</v>
      </c>
    </row>
    <row r="237" spans="49:49" x14ac:dyDescent="0.25">
      <c r="AW237">
        <v>44057</v>
      </c>
    </row>
    <row r="238" spans="49:49" x14ac:dyDescent="0.25">
      <c r="AW238">
        <v>44058</v>
      </c>
    </row>
    <row r="239" spans="49:49" x14ac:dyDescent="0.25">
      <c r="AW239">
        <v>44059</v>
      </c>
    </row>
    <row r="240" spans="49:49" x14ac:dyDescent="0.25">
      <c r="AW240">
        <v>44060</v>
      </c>
    </row>
    <row r="241" spans="49:49" x14ac:dyDescent="0.25">
      <c r="AW241">
        <v>44061</v>
      </c>
    </row>
    <row r="242" spans="49:49" x14ac:dyDescent="0.25">
      <c r="AW242">
        <v>44062</v>
      </c>
    </row>
    <row r="243" spans="49:49" x14ac:dyDescent="0.25">
      <c r="AW243">
        <v>44063</v>
      </c>
    </row>
    <row r="244" spans="49:49" x14ac:dyDescent="0.25">
      <c r="AW244">
        <v>44064</v>
      </c>
    </row>
    <row r="245" spans="49:49" x14ac:dyDescent="0.25">
      <c r="AW245">
        <v>44065</v>
      </c>
    </row>
    <row r="246" spans="49:49" x14ac:dyDescent="0.25">
      <c r="AW246">
        <v>44066</v>
      </c>
    </row>
    <row r="247" spans="49:49" x14ac:dyDescent="0.25">
      <c r="AW247">
        <v>44067</v>
      </c>
    </row>
    <row r="248" spans="49:49" x14ac:dyDescent="0.25">
      <c r="AW248">
        <v>44068</v>
      </c>
    </row>
    <row r="249" spans="49:49" x14ac:dyDescent="0.25">
      <c r="AW249">
        <v>44069</v>
      </c>
    </row>
    <row r="250" spans="49:49" x14ac:dyDescent="0.25">
      <c r="AW250">
        <v>44070</v>
      </c>
    </row>
    <row r="251" spans="49:49" x14ac:dyDescent="0.25">
      <c r="AW251">
        <v>44071</v>
      </c>
    </row>
    <row r="252" spans="49:49" x14ac:dyDescent="0.25">
      <c r="AW252">
        <v>44072</v>
      </c>
    </row>
    <row r="253" spans="49:49" x14ac:dyDescent="0.25">
      <c r="AW253">
        <v>44073</v>
      </c>
    </row>
    <row r="254" spans="49:49" x14ac:dyDescent="0.25">
      <c r="AW254">
        <v>44074</v>
      </c>
    </row>
    <row r="255" spans="49:49" x14ac:dyDescent="0.25">
      <c r="AW255">
        <v>44075</v>
      </c>
    </row>
    <row r="256" spans="49:49" x14ac:dyDescent="0.25">
      <c r="AW256">
        <v>44076</v>
      </c>
    </row>
    <row r="257" spans="49:49" x14ac:dyDescent="0.25">
      <c r="AW257">
        <v>44077</v>
      </c>
    </row>
    <row r="258" spans="49:49" x14ac:dyDescent="0.25">
      <c r="AW258">
        <v>44078</v>
      </c>
    </row>
    <row r="259" spans="49:49" x14ac:dyDescent="0.25">
      <c r="AW259">
        <v>44079</v>
      </c>
    </row>
    <row r="260" spans="49:49" x14ac:dyDescent="0.25">
      <c r="AW260">
        <v>44080</v>
      </c>
    </row>
    <row r="261" spans="49:49" x14ac:dyDescent="0.25">
      <c r="AW261">
        <v>44081</v>
      </c>
    </row>
    <row r="262" spans="49:49" x14ac:dyDescent="0.25">
      <c r="AW262">
        <v>44082</v>
      </c>
    </row>
    <row r="263" spans="49:49" x14ac:dyDescent="0.25">
      <c r="AW263">
        <v>44083</v>
      </c>
    </row>
    <row r="264" spans="49:49" x14ac:dyDescent="0.25">
      <c r="AW264">
        <v>44084</v>
      </c>
    </row>
    <row r="265" spans="49:49" x14ac:dyDescent="0.25">
      <c r="AW265">
        <v>44085</v>
      </c>
    </row>
    <row r="266" spans="49:49" x14ac:dyDescent="0.25">
      <c r="AW266">
        <v>44086</v>
      </c>
    </row>
    <row r="267" spans="49:49" x14ac:dyDescent="0.25">
      <c r="AW267">
        <v>44087</v>
      </c>
    </row>
    <row r="268" spans="49:49" x14ac:dyDescent="0.25">
      <c r="AW268">
        <v>44088</v>
      </c>
    </row>
    <row r="269" spans="49:49" x14ac:dyDescent="0.25">
      <c r="AW269">
        <v>44089</v>
      </c>
    </row>
    <row r="270" spans="49:49" x14ac:dyDescent="0.25">
      <c r="AW270">
        <v>44090</v>
      </c>
    </row>
    <row r="271" spans="49:49" x14ac:dyDescent="0.25">
      <c r="AW271">
        <v>44091</v>
      </c>
    </row>
    <row r="272" spans="49:49" x14ac:dyDescent="0.25">
      <c r="AW272">
        <v>44092</v>
      </c>
    </row>
    <row r="273" spans="49:49" x14ac:dyDescent="0.25">
      <c r="AW273">
        <v>44093</v>
      </c>
    </row>
    <row r="274" spans="49:49" x14ac:dyDescent="0.25">
      <c r="AW274">
        <v>44094</v>
      </c>
    </row>
    <row r="275" spans="49:49" x14ac:dyDescent="0.25">
      <c r="AW275">
        <v>44095</v>
      </c>
    </row>
    <row r="276" spans="49:49" x14ac:dyDescent="0.25">
      <c r="AW276">
        <v>44096</v>
      </c>
    </row>
    <row r="277" spans="49:49" x14ac:dyDescent="0.25">
      <c r="AW277">
        <v>44097</v>
      </c>
    </row>
    <row r="278" spans="49:49" x14ac:dyDescent="0.25">
      <c r="AW278">
        <v>44098</v>
      </c>
    </row>
    <row r="279" spans="49:49" x14ac:dyDescent="0.25">
      <c r="AW279">
        <v>44099</v>
      </c>
    </row>
    <row r="280" spans="49:49" x14ac:dyDescent="0.25">
      <c r="AW280">
        <v>44100</v>
      </c>
    </row>
    <row r="281" spans="49:49" x14ac:dyDescent="0.25">
      <c r="AW281">
        <v>44101</v>
      </c>
    </row>
    <row r="282" spans="49:49" x14ac:dyDescent="0.25">
      <c r="AW282">
        <v>44102</v>
      </c>
    </row>
    <row r="283" spans="49:49" x14ac:dyDescent="0.25">
      <c r="AW283">
        <v>44103</v>
      </c>
    </row>
    <row r="284" spans="49:49" x14ac:dyDescent="0.25">
      <c r="AW284">
        <v>44104</v>
      </c>
    </row>
    <row r="286" spans="49:49" x14ac:dyDescent="0.25">
      <c r="AW286">
        <v>44105</v>
      </c>
    </row>
    <row r="287" spans="49:49" x14ac:dyDescent="0.25">
      <c r="AW287">
        <v>44106</v>
      </c>
    </row>
    <row r="288" spans="49:49" x14ac:dyDescent="0.25">
      <c r="AW288">
        <v>44107</v>
      </c>
    </row>
    <row r="289" spans="49:49" x14ac:dyDescent="0.25">
      <c r="AW289">
        <v>44108</v>
      </c>
    </row>
    <row r="290" spans="49:49" x14ac:dyDescent="0.25">
      <c r="AW290">
        <v>44109</v>
      </c>
    </row>
    <row r="291" spans="49:49" x14ac:dyDescent="0.25">
      <c r="AW291">
        <v>44110</v>
      </c>
    </row>
    <row r="292" spans="49:49" x14ac:dyDescent="0.25">
      <c r="AW292">
        <v>44111</v>
      </c>
    </row>
    <row r="293" spans="49:49" x14ac:dyDescent="0.25">
      <c r="AW293">
        <v>44112</v>
      </c>
    </row>
    <row r="294" spans="49:49" x14ac:dyDescent="0.25">
      <c r="AW294">
        <v>44113</v>
      </c>
    </row>
    <row r="295" spans="49:49" x14ac:dyDescent="0.25">
      <c r="AW295">
        <v>44114</v>
      </c>
    </row>
    <row r="296" spans="49:49" x14ac:dyDescent="0.25">
      <c r="AW296">
        <v>44115</v>
      </c>
    </row>
    <row r="297" spans="49:49" x14ac:dyDescent="0.25">
      <c r="AW297">
        <v>44116</v>
      </c>
    </row>
    <row r="298" spans="49:49" x14ac:dyDescent="0.25">
      <c r="AW298">
        <v>44117</v>
      </c>
    </row>
    <row r="299" spans="49:49" x14ac:dyDescent="0.25">
      <c r="AW299">
        <v>44118</v>
      </c>
    </row>
    <row r="300" spans="49:49" x14ac:dyDescent="0.25">
      <c r="AW300">
        <v>44119</v>
      </c>
    </row>
    <row r="301" spans="49:49" x14ac:dyDescent="0.25">
      <c r="AW301">
        <v>44120</v>
      </c>
    </row>
    <row r="302" spans="49:49" x14ac:dyDescent="0.25">
      <c r="AW302">
        <v>44121</v>
      </c>
    </row>
    <row r="303" spans="49:49" x14ac:dyDescent="0.25">
      <c r="AW303">
        <v>44122</v>
      </c>
    </row>
    <row r="304" spans="49:49" x14ac:dyDescent="0.25">
      <c r="AW304">
        <v>44123</v>
      </c>
    </row>
    <row r="305" spans="49:49" x14ac:dyDescent="0.25">
      <c r="AW305">
        <v>44124</v>
      </c>
    </row>
    <row r="306" spans="49:49" x14ac:dyDescent="0.25">
      <c r="AW306">
        <v>44125</v>
      </c>
    </row>
    <row r="307" spans="49:49" x14ac:dyDescent="0.25">
      <c r="AW307">
        <v>44126</v>
      </c>
    </row>
    <row r="308" spans="49:49" x14ac:dyDescent="0.25">
      <c r="AW308">
        <v>44127</v>
      </c>
    </row>
    <row r="309" spans="49:49" x14ac:dyDescent="0.25">
      <c r="AW309">
        <v>44128</v>
      </c>
    </row>
    <row r="310" spans="49:49" x14ac:dyDescent="0.25">
      <c r="AW310">
        <v>44129</v>
      </c>
    </row>
    <row r="311" spans="49:49" x14ac:dyDescent="0.25">
      <c r="AW311">
        <v>44130</v>
      </c>
    </row>
    <row r="312" spans="49:49" x14ac:dyDescent="0.25">
      <c r="AW312">
        <v>44131</v>
      </c>
    </row>
    <row r="313" spans="49:49" x14ac:dyDescent="0.25">
      <c r="AW313">
        <v>44132</v>
      </c>
    </row>
    <row r="314" spans="49:49" x14ac:dyDescent="0.25">
      <c r="AW314">
        <v>44133</v>
      </c>
    </row>
    <row r="315" spans="49:49" x14ac:dyDescent="0.25">
      <c r="AW315">
        <v>44134</v>
      </c>
    </row>
    <row r="316" spans="49:49" x14ac:dyDescent="0.25">
      <c r="AW316">
        <v>44135</v>
      </c>
    </row>
    <row r="317" spans="49:49" x14ac:dyDescent="0.25">
      <c r="AW317">
        <v>44136</v>
      </c>
    </row>
    <row r="318" spans="49:49" x14ac:dyDescent="0.25">
      <c r="AW318">
        <v>44137</v>
      </c>
    </row>
    <row r="319" spans="49:49" x14ac:dyDescent="0.25">
      <c r="AW319">
        <v>44138</v>
      </c>
    </row>
    <row r="320" spans="49:49" x14ac:dyDescent="0.25">
      <c r="AW320">
        <v>44139</v>
      </c>
    </row>
    <row r="321" spans="49:49" x14ac:dyDescent="0.25">
      <c r="AW321">
        <v>44140</v>
      </c>
    </row>
    <row r="322" spans="49:49" x14ac:dyDescent="0.25">
      <c r="AW322">
        <v>44141</v>
      </c>
    </row>
    <row r="323" spans="49:49" x14ac:dyDescent="0.25">
      <c r="AW323">
        <v>44142</v>
      </c>
    </row>
    <row r="324" spans="49:49" x14ac:dyDescent="0.25">
      <c r="AW324">
        <v>44143</v>
      </c>
    </row>
    <row r="325" spans="49:49" x14ac:dyDescent="0.25">
      <c r="AW325">
        <v>44144</v>
      </c>
    </row>
    <row r="326" spans="49:49" x14ac:dyDescent="0.25">
      <c r="AW326">
        <v>44145</v>
      </c>
    </row>
    <row r="327" spans="49:49" x14ac:dyDescent="0.25">
      <c r="AW327">
        <v>44146</v>
      </c>
    </row>
    <row r="328" spans="49:49" x14ac:dyDescent="0.25">
      <c r="AW328">
        <v>44147</v>
      </c>
    </row>
    <row r="329" spans="49:49" x14ac:dyDescent="0.25">
      <c r="AW329">
        <v>44148</v>
      </c>
    </row>
    <row r="330" spans="49:49" x14ac:dyDescent="0.25">
      <c r="AW330">
        <v>44149</v>
      </c>
    </row>
    <row r="331" spans="49:49" x14ac:dyDescent="0.25">
      <c r="AW331">
        <v>44150</v>
      </c>
    </row>
    <row r="332" spans="49:49" x14ac:dyDescent="0.25">
      <c r="AW332">
        <v>44151</v>
      </c>
    </row>
    <row r="333" spans="49:49" x14ac:dyDescent="0.25">
      <c r="AW333">
        <v>44152</v>
      </c>
    </row>
    <row r="334" spans="49:49" x14ac:dyDescent="0.25">
      <c r="AW334">
        <v>44153</v>
      </c>
    </row>
    <row r="335" spans="49:49" x14ac:dyDescent="0.25">
      <c r="AW335">
        <v>44154</v>
      </c>
    </row>
    <row r="336" spans="49:49" x14ac:dyDescent="0.25">
      <c r="AW336">
        <v>44155</v>
      </c>
    </row>
    <row r="337" spans="49:49" x14ac:dyDescent="0.25">
      <c r="AW337">
        <v>44156</v>
      </c>
    </row>
    <row r="338" spans="49:49" x14ac:dyDescent="0.25">
      <c r="AW338">
        <v>44157</v>
      </c>
    </row>
    <row r="339" spans="49:49" x14ac:dyDescent="0.25">
      <c r="AW339">
        <v>44158</v>
      </c>
    </row>
    <row r="340" spans="49:49" x14ac:dyDescent="0.25">
      <c r="AW340">
        <v>44159</v>
      </c>
    </row>
    <row r="341" spans="49:49" x14ac:dyDescent="0.25">
      <c r="AW341">
        <v>44160</v>
      </c>
    </row>
    <row r="342" spans="49:49" x14ac:dyDescent="0.25">
      <c r="AW342">
        <v>44161</v>
      </c>
    </row>
    <row r="343" spans="49:49" x14ac:dyDescent="0.25">
      <c r="AW343">
        <v>44162</v>
      </c>
    </row>
    <row r="344" spans="49:49" x14ac:dyDescent="0.25">
      <c r="AW344">
        <v>44163</v>
      </c>
    </row>
    <row r="345" spans="49:49" x14ac:dyDescent="0.25">
      <c r="AW345">
        <v>44164</v>
      </c>
    </row>
    <row r="346" spans="49:49" x14ac:dyDescent="0.25">
      <c r="AW346">
        <v>44165</v>
      </c>
    </row>
    <row r="348" spans="49:49" x14ac:dyDescent="0.25">
      <c r="AW348">
        <v>44166</v>
      </c>
    </row>
    <row r="349" spans="49:49" x14ac:dyDescent="0.25">
      <c r="AW349">
        <v>44167</v>
      </c>
    </row>
    <row r="350" spans="49:49" x14ac:dyDescent="0.25">
      <c r="AW350">
        <v>44168</v>
      </c>
    </row>
    <row r="351" spans="49:49" x14ac:dyDescent="0.25">
      <c r="AW351">
        <v>44169</v>
      </c>
    </row>
    <row r="352" spans="49:49" x14ac:dyDescent="0.25">
      <c r="AW352">
        <v>44170</v>
      </c>
    </row>
    <row r="353" spans="49:49" x14ac:dyDescent="0.25">
      <c r="AW353">
        <v>44171</v>
      </c>
    </row>
    <row r="354" spans="49:49" x14ac:dyDescent="0.25">
      <c r="AW354">
        <v>44172</v>
      </c>
    </row>
    <row r="355" spans="49:49" x14ac:dyDescent="0.25">
      <c r="AW355">
        <v>44173</v>
      </c>
    </row>
    <row r="356" spans="49:49" x14ac:dyDescent="0.25">
      <c r="AW356">
        <v>44174</v>
      </c>
    </row>
    <row r="357" spans="49:49" x14ac:dyDescent="0.25">
      <c r="AW357">
        <v>44175</v>
      </c>
    </row>
    <row r="358" spans="49:49" x14ac:dyDescent="0.25">
      <c r="AW358">
        <v>44176</v>
      </c>
    </row>
    <row r="359" spans="49:49" x14ac:dyDescent="0.25">
      <c r="AW359">
        <v>44177</v>
      </c>
    </row>
    <row r="360" spans="49:49" x14ac:dyDescent="0.25">
      <c r="AW360">
        <v>44178</v>
      </c>
    </row>
    <row r="361" spans="49:49" x14ac:dyDescent="0.25">
      <c r="AW361">
        <v>44179</v>
      </c>
    </row>
    <row r="362" spans="49:49" x14ac:dyDescent="0.25">
      <c r="AW362">
        <v>44180</v>
      </c>
    </row>
    <row r="363" spans="49:49" x14ac:dyDescent="0.25">
      <c r="AW363">
        <v>44181</v>
      </c>
    </row>
    <row r="364" spans="49:49" x14ac:dyDescent="0.25">
      <c r="AW364">
        <v>44182</v>
      </c>
    </row>
    <row r="365" spans="49:49" x14ac:dyDescent="0.25">
      <c r="AW365">
        <v>44183</v>
      </c>
    </row>
    <row r="366" spans="49:49" x14ac:dyDescent="0.25">
      <c r="AW366">
        <v>44184</v>
      </c>
    </row>
    <row r="367" spans="49:49" x14ac:dyDescent="0.25">
      <c r="AW367">
        <v>44185</v>
      </c>
    </row>
    <row r="368" spans="49:49" x14ac:dyDescent="0.25">
      <c r="AW368">
        <v>44186</v>
      </c>
    </row>
    <row r="369" spans="49:49" x14ac:dyDescent="0.25">
      <c r="AW369">
        <v>44187</v>
      </c>
    </row>
    <row r="370" spans="49:49" x14ac:dyDescent="0.25">
      <c r="AW370">
        <v>44188</v>
      </c>
    </row>
    <row r="371" spans="49:49" x14ac:dyDescent="0.25">
      <c r="AW371">
        <v>44189</v>
      </c>
    </row>
    <row r="372" spans="49:49" x14ac:dyDescent="0.25">
      <c r="AW372">
        <v>44190</v>
      </c>
    </row>
    <row r="373" spans="49:49" x14ac:dyDescent="0.25">
      <c r="AW373">
        <v>44191</v>
      </c>
    </row>
    <row r="374" spans="49:49" x14ac:dyDescent="0.25">
      <c r="AW374">
        <v>44192</v>
      </c>
    </row>
    <row r="375" spans="49:49" x14ac:dyDescent="0.25">
      <c r="AW375">
        <v>44193</v>
      </c>
    </row>
    <row r="376" spans="49:49" x14ac:dyDescent="0.25">
      <c r="AW376">
        <v>44194</v>
      </c>
    </row>
    <row r="377" spans="49:49" x14ac:dyDescent="0.25">
      <c r="AW377">
        <v>44195</v>
      </c>
    </row>
    <row r="378" spans="49:49" x14ac:dyDescent="0.25">
      <c r="AW378">
        <v>44196</v>
      </c>
    </row>
    <row r="379" spans="49:49" x14ac:dyDescent="0.25">
      <c r="AW379">
        <v>44195</v>
      </c>
    </row>
    <row r="380" spans="49:49" x14ac:dyDescent="0.25">
      <c r="AW380">
        <v>44196</v>
      </c>
    </row>
  </sheetData>
  <mergeCells count="55">
    <mergeCell ref="AS2:AU2"/>
    <mergeCell ref="A2:C2"/>
    <mergeCell ref="E2:G2"/>
    <mergeCell ref="I2:K2"/>
    <mergeCell ref="M2:O2"/>
    <mergeCell ref="Q2:S2"/>
    <mergeCell ref="U2:W2"/>
    <mergeCell ref="Y2:AA2"/>
    <mergeCell ref="AC2:AE2"/>
    <mergeCell ref="AG2:AI2"/>
    <mergeCell ref="AK2:AM2"/>
    <mergeCell ref="AO2:AQ2"/>
    <mergeCell ref="AX2:AZ2"/>
    <mergeCell ref="AW14:AX14"/>
    <mergeCell ref="AY14:AZ14"/>
    <mergeCell ref="AW15:AX15"/>
    <mergeCell ref="AY15:AZ15"/>
    <mergeCell ref="AY13:AZ13"/>
    <mergeCell ref="AW12:AX12"/>
    <mergeCell ref="AW16:AX16"/>
    <mergeCell ref="AY16:AZ16"/>
    <mergeCell ref="AW17:AX17"/>
    <mergeCell ref="AY17:AZ17"/>
    <mergeCell ref="AW18:AX18"/>
    <mergeCell ref="AY18:AZ18"/>
    <mergeCell ref="AW19:AX19"/>
    <mergeCell ref="AY19:AZ19"/>
    <mergeCell ref="AW20:AX20"/>
    <mergeCell ref="AY20:AZ20"/>
    <mergeCell ref="AW21:AX21"/>
    <mergeCell ref="AY21:AZ21"/>
    <mergeCell ref="AW22:AX22"/>
    <mergeCell ref="AY22:AZ22"/>
    <mergeCell ref="AW23:AX23"/>
    <mergeCell ref="AY23:AZ23"/>
    <mergeCell ref="AW24:AX24"/>
    <mergeCell ref="AY24:AZ24"/>
    <mergeCell ref="AW25:AX25"/>
    <mergeCell ref="AY25:AZ25"/>
    <mergeCell ref="AW26:AX26"/>
    <mergeCell ref="AY26:AZ26"/>
    <mergeCell ref="AW27:AX27"/>
    <mergeCell ref="AY27:AZ27"/>
    <mergeCell ref="AW28:AX28"/>
    <mergeCell ref="AY28:AZ28"/>
    <mergeCell ref="AW29:AX29"/>
    <mergeCell ref="AY29:AZ29"/>
    <mergeCell ref="AW30:AX30"/>
    <mergeCell ref="AY30:AZ30"/>
    <mergeCell ref="AW31:AX31"/>
    <mergeCell ref="AY31:AZ31"/>
    <mergeCell ref="AW32:AX32"/>
    <mergeCell ref="AY32:AZ32"/>
    <mergeCell ref="AW33:AX33"/>
    <mergeCell ref="AY33:AZ33"/>
  </mergeCells>
  <dataValidations count="2">
    <dataValidation type="list" allowBlank="1" showInputMessage="1" showErrorMessage="1" sqref="D3:D33 G32:G33 L3:L33 O33 T3:T33 P3:P33 AB3:AB33 AF3:AF33 AI33 AN3:AN33 AQ33 X3:X33 H3:H33 AJ3:AJ33 AR3:AR33">
      <formula1>Liste_conge</formula1>
    </dataValidation>
    <dataValidation type="list" allowBlank="1" showInputMessage="1" showErrorMessage="1" sqref="C3:C33 G3:G31 K3:K33 O3:O32 S3:S33 W3:W32 AA3:AA33 AE3:AE33 AI3:AI32 AM3:AM33 AQ3:AQ32 AU3:AU33 AY12:AZ12">
      <formula1>Liste_trouver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Liste_trouver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Michel</cp:lastModifiedBy>
  <dcterms:created xsi:type="dcterms:W3CDTF">2020-12-05T05:10:07Z</dcterms:created>
  <dcterms:modified xsi:type="dcterms:W3CDTF">2020-12-05T10:48:00Z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