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555" yWindow="405" windowWidth="28350" windowHeight="17100" activeTab="1"/>
  </bookViews>
  <sheets>
    <sheet name="intro" sheetId="2" r:id="rId1"/>
    <sheet name="Sheet1" sheetId="5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5" l="1"/>
  <c r="M5" i="5"/>
  <c r="L5" i="5"/>
  <c r="K5" i="5"/>
  <c r="I5" i="5"/>
  <c r="H5" i="5"/>
  <c r="G5" i="5"/>
  <c r="F5" i="5"/>
  <c r="E5" i="5"/>
  <c r="D5" i="5"/>
  <c r="C5" i="5"/>
  <c r="B5" i="5"/>
  <c r="A5" i="5"/>
  <c r="AI3" i="5"/>
  <c r="AH3" i="5"/>
  <c r="AG3" i="5"/>
  <c r="AD3" i="5"/>
  <c r="AC3" i="5"/>
  <c r="AA3" i="5"/>
  <c r="X3" i="5"/>
  <c r="W3" i="5"/>
  <c r="AK2" i="5"/>
  <c r="AJ2" i="5"/>
  <c r="AI2" i="5"/>
  <c r="AH2" i="5"/>
  <c r="AG2" i="5"/>
  <c r="AF2" i="5"/>
  <c r="AE2" i="5"/>
  <c r="AD2" i="5"/>
  <c r="AC2" i="5"/>
  <c r="AB2" i="5"/>
  <c r="AA2" i="5"/>
  <c r="Z2" i="5"/>
  <c r="Y2" i="5"/>
  <c r="X2" i="5"/>
  <c r="W2" i="5"/>
  <c r="V2" i="5"/>
  <c r="U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B2" i="5"/>
  <c r="A2" i="5"/>
  <c r="AH5" i="5"/>
  <c r="Y5" i="5" l="1"/>
  <c r="X5" i="5"/>
  <c r="AA5" i="5" s="1"/>
  <c r="AC5" i="5" s="1"/>
  <c r="AB5" i="5" l="1"/>
  <c r="AD5" i="5"/>
  <c r="AI5" i="5"/>
  <c r="AF5" i="5" l="1"/>
  <c r="AE5" i="5"/>
</calcChain>
</file>

<file path=xl/sharedStrings.xml><?xml version="1.0" encoding="utf-8"?>
<sst xmlns="http://schemas.openxmlformats.org/spreadsheetml/2006/main" count="140" uniqueCount="118">
  <si>
    <t>Fabricant</t>
  </si>
  <si>
    <t>N° d'article client</t>
  </si>
  <si>
    <t>Désignation d'article</t>
  </si>
  <si>
    <t>N° d'art. TSS</t>
  </si>
  <si>
    <t>Matière</t>
  </si>
  <si>
    <t>Dimensions</t>
  </si>
  <si>
    <t>ARP</t>
  </si>
  <si>
    <t>MTS</t>
  </si>
  <si>
    <t>Quantité</t>
  </si>
  <si>
    <t>MOV</t>
  </si>
  <si>
    <t>EP</t>
  </si>
  <si>
    <t>EP+pic+
handling+freight &amp; customs</t>
  </si>
  <si>
    <t>PA</t>
  </si>
  <si>
    <t>Prix de vente
1 livraison</t>
  </si>
  <si>
    <t>Marge si
1
livraison</t>
  </si>
  <si>
    <t>Délai de production en semaines</t>
  </si>
  <si>
    <t>Délai de transport en semaines</t>
  </si>
  <si>
    <t>F</t>
  </si>
  <si>
    <t>Trelleborg Sealing Solutions Switzerland SA</t>
  </si>
  <si>
    <t>Route Sous-Riette 29</t>
  </si>
  <si>
    <t>CH-1023 Crissier</t>
  </si>
  <si>
    <t>Telefon 021 631 41 11</t>
  </si>
  <si>
    <t>Fax       021 631 41 43</t>
  </si>
  <si>
    <t>Prix TOTAL</t>
  </si>
  <si>
    <t>Facteur</t>
  </si>
  <si>
    <t>Pick's cost in €:</t>
  </si>
  <si>
    <t>Freight Duty:</t>
  </si>
  <si>
    <t>Land cost:</t>
  </si>
  <si>
    <t>Markup</t>
  </si>
  <si>
    <t>Taux de Marge</t>
  </si>
  <si>
    <t>Prix de vente par pc</t>
  </si>
  <si>
    <t>Prix des outillages achat</t>
  </si>
  <si>
    <t>C4C Price</t>
  </si>
  <si>
    <t>C4C Kosten</t>
  </si>
  <si>
    <t>C4C cost</t>
  </si>
  <si>
    <t>C4C Preis</t>
  </si>
  <si>
    <t>C4C price</t>
  </si>
  <si>
    <t>Herstellungszeit in Wochen</t>
  </si>
  <si>
    <t>Production time in weeks</t>
  </si>
  <si>
    <t>Transportzeit in Wochen</t>
  </si>
  <si>
    <t>Delivery time in weeks</t>
  </si>
  <si>
    <t>Artikel Beschreibung</t>
  </si>
  <si>
    <t>Item description</t>
  </si>
  <si>
    <t>Dimensionen</t>
  </si>
  <si>
    <t>Einkaufspreis</t>
  </si>
  <si>
    <t>Purchase cost</t>
  </si>
  <si>
    <t>Hersteller</t>
  </si>
  <si>
    <t>Manufacturer</t>
  </si>
  <si>
    <t>Faktor</t>
  </si>
  <si>
    <t>Factor</t>
  </si>
  <si>
    <t>Brutto Reingewinn / Sendung</t>
  </si>
  <si>
    <t xml:space="preserve">Margin  delivery </t>
  </si>
  <si>
    <t>Aufschag</t>
  </si>
  <si>
    <t>Werkstoff</t>
  </si>
  <si>
    <t>Compound</t>
  </si>
  <si>
    <t>Mindestbestellbetrag</t>
  </si>
  <si>
    <t>Minimal order value</t>
  </si>
  <si>
    <t>TSS Artikelnummer</t>
  </si>
  <si>
    <t>TSS article n°</t>
  </si>
  <si>
    <t>Kunden Artikelnummer</t>
  </si>
  <si>
    <t>Customer article n°</t>
  </si>
  <si>
    <t>Angebot vom:</t>
  </si>
  <si>
    <t xml:space="preserve">Quotation </t>
  </si>
  <si>
    <t>Preis per Stück</t>
  </si>
  <si>
    <t>Sales price per pc.</t>
  </si>
  <si>
    <t>Verkaufspreis Erste Lieferung</t>
  </si>
  <si>
    <t>Sales price first delivery</t>
  </si>
  <si>
    <t>Einkaufs-Werkzeugpreis</t>
  </si>
  <si>
    <t>Tooling price</t>
  </si>
  <si>
    <t>Werkzeug-Verkaufspreis</t>
  </si>
  <si>
    <t>Gesamtsumme</t>
  </si>
  <si>
    <t>Total price</t>
  </si>
  <si>
    <t>Menge</t>
  </si>
  <si>
    <t>Quantity</t>
  </si>
  <si>
    <t>Gewinnquote</t>
  </si>
  <si>
    <t>Profit ratio</t>
  </si>
  <si>
    <t>Date</t>
  </si>
  <si>
    <t>Divers frais:</t>
  </si>
  <si>
    <t>Pos.</t>
  </si>
  <si>
    <t>offre du</t>
  </si>
  <si>
    <t>C4C Cost</t>
  </si>
  <si>
    <t>APG000080-Z80</t>
  </si>
  <si>
    <t>Ferrum</t>
  </si>
  <si>
    <t>CHF</t>
  </si>
  <si>
    <t>Oui</t>
  </si>
  <si>
    <t>Language</t>
  </si>
  <si>
    <t xml:space="preserve">Client   </t>
  </si>
  <si>
    <t>Responsible</t>
  </si>
  <si>
    <t>Nr. client</t>
  </si>
  <si>
    <t>DUCI</t>
  </si>
  <si>
    <t>LR</t>
  </si>
  <si>
    <t>Currency supplier:</t>
  </si>
  <si>
    <t>Currency facturation</t>
  </si>
  <si>
    <t>Euro</t>
  </si>
  <si>
    <t>RFQ</t>
  </si>
  <si>
    <t>Opportunité Nr.</t>
  </si>
  <si>
    <t>Nombre de ligne</t>
  </si>
  <si>
    <t>Nombre de position</t>
  </si>
  <si>
    <t>Outillage</t>
  </si>
  <si>
    <t>Taux de change</t>
  </si>
  <si>
    <t xml:space="preserve">Prix des outillages </t>
  </si>
  <si>
    <t>Supplier 1</t>
  </si>
  <si>
    <t>Supplier 2</t>
  </si>
  <si>
    <t>Supplier 3</t>
  </si>
  <si>
    <t>Supplier 4</t>
  </si>
  <si>
    <t>Supplier 5</t>
  </si>
  <si>
    <t>Nombre de supplier</t>
  </si>
  <si>
    <t>ORI</t>
  </si>
  <si>
    <t>DUE</t>
  </si>
  <si>
    <t>Alpha</t>
  </si>
  <si>
    <t>Beta</t>
  </si>
  <si>
    <t>Article</t>
  </si>
  <si>
    <t>%</t>
  </si>
  <si>
    <t>IDØ</t>
  </si>
  <si>
    <t>ODØ</t>
  </si>
  <si>
    <t>T</t>
  </si>
  <si>
    <t>W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</si>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</sst>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6" x14ac:knownFonts="1">
    <font>
      <sz val="1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theme="4" tint="-0.249977111117893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2" fontId="1" fillId="2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/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vertical="center" wrapText="1"/>
    </xf>
    <xf numFmtId="164" fontId="2" fillId="2" borderId="0" xfId="0" applyNumberFormat="1" applyFont="1" applyFill="1" applyAlignment="1">
      <alignment vertical="center" wrapText="1"/>
    </xf>
    <xf numFmtId="1" fontId="2" fillId="2" borderId="0" xfId="0" applyNumberFormat="1" applyFont="1" applyFill="1" applyAlignment="1">
      <alignment vertical="center" wrapText="1"/>
    </xf>
    <xf numFmtId="2" fontId="2" fillId="2" borderId="0" xfId="0" applyNumberFormat="1" applyFont="1" applyFill="1" applyAlignment="1">
      <alignment vertical="center" wrapText="1"/>
    </xf>
    <xf numFmtId="4" fontId="2" fillId="2" borderId="0" xfId="0" applyNumberFormat="1" applyFont="1" applyFill="1" applyAlignment="1">
      <alignment vertical="center"/>
    </xf>
    <xf numFmtId="4" fontId="2" fillId="2" borderId="0" xfId="0" applyNumberFormat="1" applyFont="1" applyFill="1" applyAlignment="1">
      <alignment vertical="center" wrapText="1"/>
    </xf>
    <xf numFmtId="3" fontId="2" fillId="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/>
    <xf numFmtId="0" fontId="1" fillId="3" borderId="6" xfId="0" applyFont="1" applyFill="1" applyBorder="1"/>
    <xf numFmtId="0" fontId="1" fillId="3" borderId="4" xfId="0" applyFont="1" applyFill="1" applyBorder="1"/>
    <xf numFmtId="0" fontId="1" fillId="0" borderId="10" xfId="0" applyFont="1" applyBorder="1" applyAlignment="1">
      <alignment horizontal="center" vertical="center"/>
    </xf>
    <xf numFmtId="2" fontId="1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 applyProtection="1">
      <alignment horizontal="center" vertical="center"/>
      <protection locked="0"/>
    </xf>
    <xf numFmtId="2" fontId="1" fillId="3" borderId="8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/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4" xfId="0" applyFont="1" applyFill="1" applyBorder="1" applyAlignment="1"/>
    <xf numFmtId="0" fontId="1" fillId="3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/>
    </xf>
    <xf numFmtId="14" fontId="1" fillId="3" borderId="7" xfId="0" applyNumberFormat="1" applyFont="1" applyFill="1" applyBorder="1" applyAlignment="1">
      <alignment horizontal="center" vertical="center"/>
    </xf>
    <xf numFmtId="0" fontId="1" fillId="3" borderId="3" xfId="0" applyFont="1" applyFill="1" applyBorder="1"/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2" fontId="5" fillId="0" borderId="13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" fontId="0" fillId="0" borderId="1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600076</xdr:colOff>
      <xdr:row>19</xdr:row>
      <xdr:rowOff>85725</xdr:rowOff>
    </xdr:from>
    <xdr:to>
      <xdr:col>2</xdr:col>
      <xdr:colOff>571501</xdr:colOff>
      <xdr:row>21</xdr:row>
      <xdr:rowOff>47625</xdr:rowOff>
    </xdr:to>
    <xdr:sp macro="[0]!Module5.miseenpage" textlink="">
      <xdr:nvSpPr>
        <xdr:cNvPr id="3" name="Rectangle 2">
          <a:extLst>
            <a:ext uri="{FF2B5EF4-FFF2-40B4-BE49-F238E27FC236}">
              <a16:creationId xmlns:a16="http://schemas.microsoft.com/office/drawing/2014/main" xmlns="" id="{141E7CFD-E9A0-4D8D-AC92-7EA861D3D316}"/>
            </a:ext>
          </a:extLst>
        </xdr:cNvPr>
        <xdr:cNvSpPr/>
      </xdr:nvSpPr>
      <xdr:spPr>
        <a:xfrm>
          <a:off x="1333501" y="3352800"/>
          <a:ext cx="1352550" cy="3048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Créer feuille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38100</xdr:rowOff>
    </xdr:from>
    <xdr:to>
      <xdr:col>4</xdr:col>
      <xdr:colOff>590550</xdr:colOff>
      <xdr:row>0</xdr:row>
      <xdr:rowOff>342900</xdr:rowOff>
    </xdr:to>
    <xdr:sp macro="[0]!Test" textlink="">
      <xdr:nvSpPr>
        <xdr:cNvPr id="2" name="Rectangle à coins arrondis 1"/>
        <xdr:cNvSpPr/>
      </xdr:nvSpPr>
      <xdr:spPr>
        <a:xfrm>
          <a:off x="1990725" y="38100"/>
          <a:ext cx="1076325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1"/>
  <sheetViews>
    <sheetView workbookViewId="0">
      <selection activeCell="B5" sqref="B5"/>
    </sheetView>
  </sheetViews>
  <sheetFormatPr baseColWidth="10" defaultColWidth="9.140625" defaultRowHeight="14.25" x14ac:dyDescent="0.2"/>
  <cols>
    <col min="1" max="1" width="11" style="2" customWidth="1"/>
    <col min="2" max="3" width="20.7109375" style="2" customWidth="1"/>
    <col min="4" max="4" width="10" style="2" customWidth="1"/>
    <col min="5" max="6" width="20.7109375" style="2" customWidth="1"/>
    <col min="7" max="7" width="11.5703125" style="2" customWidth="1"/>
    <col min="8" max="8" width="20.7109375" style="2" customWidth="1"/>
    <col min="9" max="9" width="20.7109375" style="1" customWidth="1"/>
    <col min="10" max="11" width="9.140625" style="1"/>
    <col min="12" max="12" width="24.28515625" style="1" bestFit="1" customWidth="1"/>
    <col min="13" max="13" width="29" style="1" customWidth="1"/>
    <col min="14" max="14" width="33" style="1" bestFit="1" customWidth="1"/>
    <col min="15" max="16" width="9.140625" style="1"/>
    <col min="17" max="16384" width="9.140625" style="2"/>
  </cols>
  <sheetData>
    <row r="1" spans="1:16" ht="14.25" customHeight="1" x14ac:dyDescent="0.2">
      <c r="A1" s="5"/>
      <c r="B1" s="5"/>
      <c r="C1" s="5"/>
      <c r="D1" s="5"/>
      <c r="E1" s="5"/>
      <c r="F1" s="5"/>
      <c r="G1" s="5"/>
      <c r="H1" s="5"/>
      <c r="I1" s="8"/>
      <c r="J1" s="8"/>
      <c r="K1" s="8"/>
      <c r="L1" s="10" t="s">
        <v>6</v>
      </c>
      <c r="M1" s="10" t="s">
        <v>6</v>
      </c>
      <c r="N1" s="8" t="s">
        <v>6</v>
      </c>
      <c r="O1" s="8"/>
      <c r="P1" s="8">
        <v>0</v>
      </c>
    </row>
    <row r="2" spans="1:16" ht="14.1" customHeight="1" thickBot="1" x14ac:dyDescent="0.25">
      <c r="A2" s="5"/>
      <c r="B2" s="5"/>
      <c r="C2" s="5"/>
      <c r="D2" s="5"/>
      <c r="E2" s="5"/>
      <c r="F2" s="5"/>
      <c r="G2" s="5"/>
      <c r="H2" s="5"/>
      <c r="I2" s="8"/>
      <c r="J2" s="8"/>
      <c r="K2" s="8"/>
      <c r="L2" s="11" t="s">
        <v>80</v>
      </c>
      <c r="M2" s="8" t="s">
        <v>33</v>
      </c>
      <c r="N2" s="8" t="s">
        <v>34</v>
      </c>
      <c r="O2" s="8"/>
      <c r="P2" s="8">
        <v>1</v>
      </c>
    </row>
    <row r="3" spans="1:16" ht="14.1" customHeight="1" thickBot="1" x14ac:dyDescent="0.25">
      <c r="A3" s="4"/>
      <c r="B3" s="18" t="s">
        <v>85</v>
      </c>
      <c r="C3" s="19" t="s">
        <v>17</v>
      </c>
      <c r="D3" s="26"/>
      <c r="E3" s="4"/>
      <c r="F3" s="4"/>
      <c r="G3" s="4"/>
      <c r="H3" s="4"/>
      <c r="I3" s="8"/>
      <c r="J3" s="8"/>
      <c r="K3" s="8"/>
      <c r="L3" s="10" t="s">
        <v>32</v>
      </c>
      <c r="M3" s="8" t="s">
        <v>35</v>
      </c>
      <c r="N3" s="8" t="s">
        <v>36</v>
      </c>
      <c r="O3" s="8"/>
      <c r="P3" s="8">
        <v>2</v>
      </c>
    </row>
    <row r="4" spans="1:16" ht="14.1" customHeight="1" thickBot="1" x14ac:dyDescent="0.25">
      <c r="A4" s="4"/>
      <c r="B4" s="4"/>
      <c r="C4" s="4"/>
      <c r="D4" s="4"/>
      <c r="E4" s="4"/>
      <c r="F4" s="4"/>
      <c r="G4" s="4"/>
      <c r="H4" s="4"/>
      <c r="I4" s="8"/>
      <c r="J4" s="8"/>
      <c r="K4" s="8"/>
      <c r="L4" s="12" t="s">
        <v>15</v>
      </c>
      <c r="M4" s="8" t="s">
        <v>37</v>
      </c>
      <c r="N4" s="8" t="s">
        <v>38</v>
      </c>
      <c r="O4" s="8"/>
      <c r="P4" s="8">
        <v>3</v>
      </c>
    </row>
    <row r="5" spans="1:16" ht="14.1" customHeight="1" x14ac:dyDescent="0.2">
      <c r="A5" s="4"/>
      <c r="B5" s="33" t="s">
        <v>96</v>
      </c>
      <c r="C5" s="34">
        <v>2</v>
      </c>
      <c r="D5" s="26"/>
      <c r="E5" s="22" t="s">
        <v>91</v>
      </c>
      <c r="F5" s="24" t="s">
        <v>93</v>
      </c>
      <c r="G5" s="4"/>
      <c r="H5" s="21" t="s">
        <v>88</v>
      </c>
      <c r="I5" s="36">
        <v>12345</v>
      </c>
      <c r="J5" s="8"/>
      <c r="K5" s="8"/>
      <c r="L5" s="12" t="s">
        <v>16</v>
      </c>
      <c r="M5" s="8" t="s">
        <v>39</v>
      </c>
      <c r="N5" s="8" t="s">
        <v>40</v>
      </c>
      <c r="O5" s="8"/>
      <c r="P5" s="8">
        <v>4</v>
      </c>
    </row>
    <row r="6" spans="1:16" ht="14.1" customHeight="1" x14ac:dyDescent="0.2">
      <c r="A6" s="4"/>
      <c r="B6" s="35" t="s">
        <v>97</v>
      </c>
      <c r="C6" s="32">
        <v>5</v>
      </c>
      <c r="D6" s="26"/>
      <c r="E6" s="22" t="s">
        <v>92</v>
      </c>
      <c r="F6" s="28" t="s">
        <v>83</v>
      </c>
      <c r="G6" s="4"/>
      <c r="H6" s="21" t="s">
        <v>86</v>
      </c>
      <c r="I6" s="36" t="s">
        <v>82</v>
      </c>
      <c r="J6" s="8"/>
      <c r="K6" s="8"/>
      <c r="L6" s="10" t="s">
        <v>2</v>
      </c>
      <c r="M6" s="8" t="s">
        <v>41</v>
      </c>
      <c r="N6" s="8" t="s">
        <v>42</v>
      </c>
      <c r="O6" s="8"/>
      <c r="P6" s="8">
        <v>5</v>
      </c>
    </row>
    <row r="7" spans="1:16" ht="14.1" customHeight="1" thickBot="1" x14ac:dyDescent="0.25">
      <c r="A7" s="4"/>
      <c r="B7" s="31" t="s">
        <v>106</v>
      </c>
      <c r="C7" s="32">
        <v>5</v>
      </c>
      <c r="D7" s="26"/>
      <c r="E7" s="22" t="s">
        <v>99</v>
      </c>
      <c r="F7" s="29">
        <v>1.2</v>
      </c>
      <c r="G7" s="4"/>
      <c r="H7" s="4"/>
      <c r="I7" s="8"/>
      <c r="J7" s="8"/>
      <c r="K7" s="8"/>
      <c r="L7" s="13" t="s">
        <v>5</v>
      </c>
      <c r="M7" s="8" t="s">
        <v>43</v>
      </c>
      <c r="N7" s="8" t="s">
        <v>5</v>
      </c>
      <c r="O7" s="8"/>
      <c r="P7" s="8">
        <v>6</v>
      </c>
    </row>
    <row r="8" spans="1:16" ht="14.1" customHeight="1" thickBot="1" x14ac:dyDescent="0.25">
      <c r="A8" s="4"/>
      <c r="B8" s="21" t="s">
        <v>101</v>
      </c>
      <c r="C8" s="25" t="s">
        <v>89</v>
      </c>
      <c r="D8" s="26"/>
      <c r="E8" s="39" t="s">
        <v>28</v>
      </c>
      <c r="F8" s="30">
        <v>4.3</v>
      </c>
      <c r="G8" s="4"/>
      <c r="H8" s="21" t="s">
        <v>95</v>
      </c>
      <c r="I8" s="37">
        <v>75478</v>
      </c>
      <c r="J8" s="8"/>
      <c r="K8" s="8"/>
      <c r="L8" s="11" t="s">
        <v>10</v>
      </c>
      <c r="M8" s="8" t="s">
        <v>44</v>
      </c>
      <c r="N8" s="8" t="s">
        <v>45</v>
      </c>
      <c r="O8" s="8"/>
      <c r="P8" s="8">
        <v>7</v>
      </c>
    </row>
    <row r="9" spans="1:16" ht="14.1" customHeight="1" thickBot="1" x14ac:dyDescent="0.25">
      <c r="A9" s="4"/>
      <c r="B9" s="21" t="s">
        <v>102</v>
      </c>
      <c r="C9" s="25" t="s">
        <v>107</v>
      </c>
      <c r="D9" s="26"/>
      <c r="E9" s="22" t="s">
        <v>26</v>
      </c>
      <c r="F9" s="24">
        <v>0</v>
      </c>
      <c r="G9" s="4"/>
      <c r="H9" s="21" t="s">
        <v>94</v>
      </c>
      <c r="I9" s="36">
        <v>789456</v>
      </c>
      <c r="J9" s="8"/>
      <c r="K9" s="8"/>
      <c r="L9" s="11" t="s">
        <v>11</v>
      </c>
      <c r="M9" s="11" t="s">
        <v>11</v>
      </c>
      <c r="N9" s="8" t="s">
        <v>11</v>
      </c>
      <c r="O9" s="8"/>
      <c r="P9" s="8">
        <v>8</v>
      </c>
    </row>
    <row r="10" spans="1:16" ht="14.1" customHeight="1" thickBot="1" x14ac:dyDescent="0.25">
      <c r="A10" s="4"/>
      <c r="B10" s="21" t="s">
        <v>103</v>
      </c>
      <c r="C10" s="25" t="s">
        <v>108</v>
      </c>
      <c r="D10" s="26"/>
      <c r="E10" s="22" t="s">
        <v>27</v>
      </c>
      <c r="F10" s="24">
        <v>3</v>
      </c>
      <c r="G10" s="4"/>
      <c r="H10" s="21" t="s">
        <v>111</v>
      </c>
      <c r="I10" s="36" t="s">
        <v>81</v>
      </c>
      <c r="J10" s="8"/>
      <c r="K10" s="8"/>
      <c r="L10" s="10" t="s">
        <v>0</v>
      </c>
      <c r="M10" s="8" t="s">
        <v>46</v>
      </c>
      <c r="N10" s="8" t="s">
        <v>47</v>
      </c>
      <c r="O10" s="8"/>
      <c r="P10" s="8">
        <v>9</v>
      </c>
    </row>
    <row r="11" spans="1:16" ht="14.1" customHeight="1" thickBot="1" x14ac:dyDescent="0.25">
      <c r="A11" s="4"/>
      <c r="B11" s="21" t="s">
        <v>104</v>
      </c>
      <c r="C11" s="25" t="s">
        <v>109</v>
      </c>
      <c r="D11" s="26"/>
      <c r="E11" s="31" t="s">
        <v>77</v>
      </c>
      <c r="F11" s="32"/>
      <c r="G11" s="4"/>
      <c r="H11" s="21" t="s">
        <v>87</v>
      </c>
      <c r="I11" s="36" t="s">
        <v>90</v>
      </c>
      <c r="J11" s="8"/>
      <c r="K11" s="8"/>
      <c r="L11" s="10" t="s">
        <v>24</v>
      </c>
      <c r="M11" s="8" t="s">
        <v>48</v>
      </c>
      <c r="N11" s="8" t="s">
        <v>49</v>
      </c>
      <c r="O11" s="8"/>
      <c r="P11" s="8">
        <v>10</v>
      </c>
    </row>
    <row r="12" spans="1:16" ht="14.1" customHeight="1" thickBot="1" x14ac:dyDescent="0.25">
      <c r="A12" s="4"/>
      <c r="B12" s="21" t="s">
        <v>105</v>
      </c>
      <c r="C12" s="25" t="s">
        <v>110</v>
      </c>
      <c r="D12" s="26"/>
      <c r="E12" s="22" t="s">
        <v>25</v>
      </c>
      <c r="F12" s="29">
        <v>0</v>
      </c>
      <c r="G12" s="4"/>
      <c r="H12" s="21" t="s">
        <v>76</v>
      </c>
      <c r="I12" s="38">
        <v>43922</v>
      </c>
      <c r="J12" s="8"/>
      <c r="K12" s="8"/>
      <c r="L12" s="14" t="s">
        <v>14</v>
      </c>
      <c r="M12" s="8" t="s">
        <v>50</v>
      </c>
      <c r="N12" s="8" t="s">
        <v>51</v>
      </c>
      <c r="O12" s="8"/>
      <c r="P12" s="8">
        <v>11</v>
      </c>
    </row>
    <row r="13" spans="1:16" ht="14.1" customHeight="1" x14ac:dyDescent="0.2">
      <c r="A13" s="4"/>
      <c r="B13" s="4"/>
      <c r="C13" s="4"/>
      <c r="D13" s="4"/>
      <c r="E13" s="4"/>
      <c r="F13" s="4"/>
      <c r="G13" s="4"/>
      <c r="H13" s="4"/>
      <c r="I13" s="8"/>
      <c r="J13" s="8"/>
      <c r="K13" s="8"/>
      <c r="L13" s="15" t="s">
        <v>28</v>
      </c>
      <c r="M13" s="8" t="s">
        <v>52</v>
      </c>
      <c r="N13" s="8" t="s">
        <v>28</v>
      </c>
      <c r="O13" s="8"/>
      <c r="P13" s="8">
        <v>12</v>
      </c>
    </row>
    <row r="14" spans="1:16" ht="14.1" customHeight="1" thickBot="1" x14ac:dyDescent="0.25">
      <c r="A14" s="4"/>
      <c r="B14" s="20" t="s">
        <v>98</v>
      </c>
      <c r="C14" s="23" t="s">
        <v>84</v>
      </c>
      <c r="D14" s="26"/>
      <c r="E14" s="4"/>
      <c r="F14" s="4"/>
      <c r="G14" s="4"/>
      <c r="H14" s="4"/>
      <c r="I14" s="4"/>
      <c r="J14" s="8"/>
      <c r="K14" s="8"/>
      <c r="L14" s="10" t="s">
        <v>4</v>
      </c>
      <c r="M14" s="8" t="s">
        <v>53</v>
      </c>
      <c r="N14" s="8" t="s">
        <v>54</v>
      </c>
      <c r="O14" s="8"/>
      <c r="P14" s="8">
        <v>13</v>
      </c>
    </row>
    <row r="15" spans="1:16" ht="14.1" customHeight="1" x14ac:dyDescent="0.2">
      <c r="A15" s="4"/>
      <c r="B15" s="4"/>
      <c r="C15" s="4"/>
      <c r="D15" s="4"/>
      <c r="E15" s="4"/>
      <c r="F15" s="4"/>
      <c r="G15" s="4"/>
      <c r="H15" s="4"/>
      <c r="I15" s="8"/>
      <c r="J15" s="8"/>
      <c r="K15" s="8"/>
      <c r="L15" s="16" t="s">
        <v>9</v>
      </c>
      <c r="M15" s="8" t="s">
        <v>55</v>
      </c>
      <c r="N15" s="8" t="s">
        <v>56</v>
      </c>
      <c r="O15" s="8"/>
      <c r="P15" s="8">
        <v>14</v>
      </c>
    </row>
    <row r="16" spans="1:16" ht="14.1" customHeight="1" x14ac:dyDescent="0.2">
      <c r="A16" s="4"/>
      <c r="B16" s="4"/>
      <c r="C16" s="4"/>
      <c r="D16" s="6"/>
      <c r="E16" s="4"/>
      <c r="F16" s="4"/>
      <c r="G16" s="4"/>
      <c r="H16" s="4"/>
      <c r="I16" s="4"/>
      <c r="J16" s="8"/>
      <c r="K16" s="8"/>
      <c r="L16" s="10" t="s">
        <v>7</v>
      </c>
      <c r="M16" s="8" t="s">
        <v>7</v>
      </c>
      <c r="N16" s="8" t="s">
        <v>7</v>
      </c>
      <c r="O16" s="8"/>
      <c r="P16" s="8">
        <v>15</v>
      </c>
    </row>
    <row r="17" spans="1:16" ht="14.1" customHeight="1" x14ac:dyDescent="0.2">
      <c r="A17" s="4"/>
      <c r="B17" s="4"/>
      <c r="C17" s="4"/>
      <c r="D17" s="27"/>
      <c r="E17" s="4"/>
      <c r="F17" s="4"/>
      <c r="G17" s="4"/>
      <c r="H17" s="4"/>
      <c r="I17" s="4"/>
      <c r="J17" s="8"/>
      <c r="K17" s="8"/>
      <c r="L17" s="10" t="s">
        <v>3</v>
      </c>
      <c r="M17" s="17" t="s">
        <v>57</v>
      </c>
      <c r="N17" s="8" t="s">
        <v>58</v>
      </c>
      <c r="O17" s="8"/>
      <c r="P17" s="8">
        <v>16</v>
      </c>
    </row>
    <row r="18" spans="1:16" ht="14.1" customHeight="1" x14ac:dyDescent="0.2">
      <c r="A18" s="4"/>
      <c r="B18" s="4"/>
      <c r="C18" s="4"/>
      <c r="D18" s="7"/>
      <c r="E18" s="4"/>
      <c r="F18" s="4"/>
      <c r="G18" s="4"/>
      <c r="H18" s="4"/>
      <c r="I18" s="8"/>
      <c r="J18" s="8"/>
      <c r="K18" s="8"/>
      <c r="L18" s="10" t="s">
        <v>1</v>
      </c>
      <c r="M18" s="8" t="s">
        <v>59</v>
      </c>
      <c r="N18" s="8" t="s">
        <v>60</v>
      </c>
      <c r="O18" s="8"/>
      <c r="P18" s="8">
        <v>17</v>
      </c>
    </row>
    <row r="19" spans="1:16" ht="14.1" customHeight="1" x14ac:dyDescent="0.2">
      <c r="A19" s="4"/>
      <c r="B19" s="4"/>
      <c r="C19" s="4"/>
      <c r="D19" s="6"/>
      <c r="E19" s="4"/>
      <c r="F19" s="4"/>
      <c r="G19" s="4"/>
      <c r="H19" s="4"/>
      <c r="I19" s="8"/>
      <c r="J19" s="8"/>
      <c r="K19" s="8"/>
      <c r="L19" s="10" t="s">
        <v>79</v>
      </c>
      <c r="M19" s="8" t="s">
        <v>61</v>
      </c>
      <c r="N19" s="8" t="s">
        <v>62</v>
      </c>
      <c r="O19" s="8"/>
      <c r="P19" s="8">
        <v>18</v>
      </c>
    </row>
    <row r="20" spans="1:16" ht="14.1" customHeight="1" x14ac:dyDescent="0.2">
      <c r="A20" s="4"/>
      <c r="B20" s="4"/>
      <c r="C20" s="4"/>
      <c r="D20" s="6"/>
      <c r="E20" s="4"/>
      <c r="F20" s="4"/>
      <c r="G20" s="4"/>
      <c r="H20" s="4"/>
      <c r="I20" s="8"/>
      <c r="J20" s="8"/>
      <c r="K20" s="8"/>
      <c r="L20" s="15" t="s">
        <v>12</v>
      </c>
      <c r="M20" s="8" t="s">
        <v>12</v>
      </c>
      <c r="N20" s="8" t="s">
        <v>12</v>
      </c>
      <c r="O20" s="8"/>
      <c r="P20" s="8">
        <v>19</v>
      </c>
    </row>
    <row r="21" spans="1:16" ht="14.1" customHeight="1" x14ac:dyDescent="0.2">
      <c r="A21" s="4"/>
      <c r="B21" s="4"/>
      <c r="C21" s="4"/>
      <c r="D21" s="6"/>
      <c r="E21" s="4"/>
      <c r="F21" s="4"/>
      <c r="G21" s="4"/>
      <c r="H21" s="4"/>
      <c r="I21" s="8"/>
      <c r="J21" s="8"/>
      <c r="K21" s="8"/>
      <c r="L21" s="8" t="s">
        <v>78</v>
      </c>
      <c r="M21" s="8" t="s">
        <v>78</v>
      </c>
      <c r="N21" s="8" t="s">
        <v>78</v>
      </c>
      <c r="O21" s="8"/>
      <c r="P21" s="8">
        <v>20</v>
      </c>
    </row>
    <row r="22" spans="1:16" ht="14.1" customHeight="1" x14ac:dyDescent="0.2">
      <c r="A22" s="4"/>
      <c r="B22" s="4"/>
      <c r="C22" s="4"/>
      <c r="D22" s="26"/>
      <c r="E22" s="4"/>
      <c r="F22" s="4"/>
      <c r="G22" s="4"/>
      <c r="H22" s="4"/>
      <c r="I22" s="8"/>
      <c r="J22" s="8"/>
      <c r="K22" s="8"/>
      <c r="L22" s="10" t="s">
        <v>30</v>
      </c>
      <c r="M22" s="8" t="s">
        <v>63</v>
      </c>
      <c r="N22" s="8" t="s">
        <v>64</v>
      </c>
      <c r="O22" s="8"/>
      <c r="P22" s="8">
        <v>21</v>
      </c>
    </row>
    <row r="23" spans="1:16" ht="14.1" customHeight="1" x14ac:dyDescent="0.2">
      <c r="A23" s="4"/>
      <c r="B23" s="4"/>
      <c r="C23" s="4"/>
      <c r="D23" s="7"/>
      <c r="E23" s="4"/>
      <c r="F23" s="4"/>
      <c r="G23" s="4"/>
      <c r="H23" s="4"/>
      <c r="I23" s="8"/>
      <c r="J23" s="8"/>
      <c r="K23" s="8"/>
      <c r="L23" s="15" t="s">
        <v>13</v>
      </c>
      <c r="M23" s="8" t="s">
        <v>65</v>
      </c>
      <c r="N23" s="8" t="s">
        <v>66</v>
      </c>
      <c r="O23" s="8"/>
      <c r="P23" s="8">
        <v>22</v>
      </c>
    </row>
    <row r="24" spans="1:16" ht="14.1" customHeight="1" x14ac:dyDescent="0.2">
      <c r="A24" s="4"/>
      <c r="B24" s="4"/>
      <c r="C24" s="4"/>
      <c r="D24" s="4"/>
      <c r="E24" s="4"/>
      <c r="F24" s="4"/>
      <c r="G24" s="4"/>
      <c r="H24" s="4"/>
      <c r="I24" s="8"/>
      <c r="J24" s="8"/>
      <c r="K24" s="8"/>
      <c r="L24" s="15" t="s">
        <v>100</v>
      </c>
      <c r="M24" s="8" t="s">
        <v>69</v>
      </c>
      <c r="N24" s="8" t="s">
        <v>68</v>
      </c>
      <c r="O24" s="8"/>
      <c r="P24" s="8">
        <v>23</v>
      </c>
    </row>
    <row r="25" spans="1:16" ht="14.1" customHeight="1" x14ac:dyDescent="0.2">
      <c r="A25" s="4"/>
      <c r="B25" s="4"/>
      <c r="C25" s="4"/>
      <c r="D25" s="4"/>
      <c r="E25" s="4"/>
      <c r="F25" s="4"/>
      <c r="G25" s="4"/>
      <c r="H25" s="4"/>
      <c r="I25" s="8"/>
      <c r="J25" s="8"/>
      <c r="K25" s="8"/>
      <c r="L25" s="15" t="s">
        <v>31</v>
      </c>
      <c r="M25" s="8" t="s">
        <v>67</v>
      </c>
      <c r="N25" s="8" t="s">
        <v>68</v>
      </c>
      <c r="O25" s="8"/>
      <c r="P25" s="8">
        <v>24</v>
      </c>
    </row>
    <row r="26" spans="1:16" ht="14.1" customHeight="1" x14ac:dyDescent="0.2">
      <c r="A26" s="4"/>
      <c r="B26" s="4"/>
      <c r="C26" s="4"/>
      <c r="D26" s="4"/>
      <c r="E26" s="4"/>
      <c r="F26" s="4"/>
      <c r="G26" s="4"/>
      <c r="H26" s="4"/>
      <c r="I26" s="8"/>
      <c r="J26" s="8"/>
      <c r="K26" s="8"/>
      <c r="L26" s="15" t="s">
        <v>23</v>
      </c>
      <c r="M26" s="8" t="s">
        <v>70</v>
      </c>
      <c r="N26" s="8" t="s">
        <v>71</v>
      </c>
      <c r="O26" s="8"/>
      <c r="P26" s="8">
        <v>25</v>
      </c>
    </row>
    <row r="27" spans="1:16" ht="14.1" customHeight="1" x14ac:dyDescent="0.2">
      <c r="A27" s="4"/>
      <c r="B27" s="4"/>
      <c r="C27" s="4"/>
      <c r="D27" s="4"/>
      <c r="E27" s="4"/>
      <c r="F27" s="4"/>
      <c r="G27" s="4"/>
      <c r="H27" s="4"/>
      <c r="I27" s="8"/>
      <c r="J27" s="8"/>
      <c r="K27" s="8"/>
      <c r="L27" s="16" t="s">
        <v>8</v>
      </c>
      <c r="M27" s="8" t="s">
        <v>72</v>
      </c>
      <c r="N27" s="8" t="s">
        <v>73</v>
      </c>
      <c r="O27" s="8"/>
      <c r="P27" s="8">
        <v>26</v>
      </c>
    </row>
    <row r="28" spans="1:16" ht="14.1" customHeight="1" x14ac:dyDescent="0.2">
      <c r="A28" s="4"/>
      <c r="B28" s="4"/>
      <c r="C28" s="4"/>
      <c r="D28" s="4"/>
      <c r="E28" s="4"/>
      <c r="F28" s="4"/>
      <c r="G28" s="4"/>
      <c r="H28" s="4"/>
      <c r="I28" s="8"/>
      <c r="J28" s="8"/>
      <c r="K28" s="8"/>
      <c r="L28" s="15" t="s">
        <v>29</v>
      </c>
      <c r="M28" s="8" t="s">
        <v>74</v>
      </c>
      <c r="N28" s="8" t="s">
        <v>75</v>
      </c>
      <c r="O28" s="8"/>
      <c r="P28" s="8">
        <v>27</v>
      </c>
    </row>
    <row r="29" spans="1:16" x14ac:dyDescent="0.2">
      <c r="A29" s="4"/>
      <c r="B29" s="4"/>
      <c r="C29" s="4"/>
      <c r="D29" s="4"/>
      <c r="E29" s="4"/>
      <c r="F29" s="4"/>
      <c r="G29" s="4"/>
      <c r="H29" s="4"/>
      <c r="I29" s="8"/>
      <c r="J29" s="8"/>
      <c r="K29" s="8"/>
      <c r="L29" s="8"/>
      <c r="M29" s="8"/>
      <c r="N29" s="8"/>
      <c r="O29" s="8"/>
      <c r="P29" s="8"/>
    </row>
    <row r="30" spans="1:16" x14ac:dyDescent="0.2">
      <c r="A30" s="4"/>
      <c r="B30" s="4"/>
      <c r="C30" s="4"/>
      <c r="D30" s="4"/>
      <c r="E30" s="4"/>
      <c r="F30" s="4"/>
      <c r="G30" s="4"/>
      <c r="H30" s="4"/>
      <c r="I30" s="8"/>
      <c r="J30" s="8"/>
      <c r="K30" s="8"/>
      <c r="L30" s="8"/>
      <c r="M30" s="8"/>
      <c r="N30" s="8"/>
      <c r="O30" s="8"/>
      <c r="P30" s="8"/>
    </row>
    <row r="31" spans="1:16" x14ac:dyDescent="0.2">
      <c r="A31" s="4"/>
      <c r="B31" s="4"/>
      <c r="C31" s="4"/>
      <c r="D31" s="4"/>
      <c r="E31" s="4"/>
      <c r="F31" s="4"/>
      <c r="G31" s="4"/>
      <c r="H31" s="4"/>
      <c r="I31" s="8"/>
      <c r="J31" s="8"/>
      <c r="K31" s="8"/>
      <c r="L31" s="8"/>
      <c r="M31" s="8"/>
      <c r="N31" s="8"/>
      <c r="O31" s="8"/>
      <c r="P31" s="8"/>
    </row>
    <row r="32" spans="1:16" x14ac:dyDescent="0.2">
      <c r="A32" s="4"/>
      <c r="B32" s="4"/>
      <c r="C32" s="4"/>
      <c r="D32" s="4"/>
      <c r="E32" s="4"/>
      <c r="F32" s="4"/>
      <c r="G32" s="4"/>
      <c r="H32" s="4"/>
      <c r="I32" s="8"/>
      <c r="J32" s="8"/>
      <c r="K32" s="8"/>
      <c r="L32" s="8"/>
      <c r="M32" s="8"/>
      <c r="N32" s="8"/>
      <c r="O32" s="8"/>
      <c r="P32" s="8"/>
    </row>
    <row r="33" spans="1:16" x14ac:dyDescent="0.2">
      <c r="A33" s="4"/>
      <c r="B33" s="4"/>
      <c r="C33" s="4"/>
      <c r="D33" s="4"/>
      <c r="E33" s="4"/>
      <c r="F33" s="4"/>
      <c r="G33" s="4"/>
      <c r="H33" s="4"/>
      <c r="I33" s="8"/>
      <c r="J33" s="8"/>
      <c r="K33" s="8"/>
      <c r="L33" s="8"/>
      <c r="M33" s="8"/>
      <c r="N33" s="8"/>
      <c r="O33" s="8"/>
      <c r="P33" s="8"/>
    </row>
    <row r="34" spans="1:16" x14ac:dyDescent="0.2">
      <c r="A34" s="4"/>
      <c r="B34" s="4"/>
      <c r="C34" s="4"/>
      <c r="D34" s="4"/>
      <c r="E34" s="4"/>
      <c r="F34" s="4"/>
      <c r="G34" s="4"/>
      <c r="H34" s="4"/>
      <c r="I34" s="8"/>
      <c r="J34" s="8"/>
      <c r="K34" s="8"/>
      <c r="L34" s="8"/>
      <c r="M34" s="8"/>
      <c r="N34" s="8"/>
      <c r="O34" s="8"/>
      <c r="P34" s="8"/>
    </row>
    <row r="35" spans="1:16" x14ac:dyDescent="0.2">
      <c r="A35" s="4"/>
      <c r="B35" s="4"/>
      <c r="C35" s="4"/>
      <c r="D35" s="4"/>
      <c r="E35" s="4"/>
      <c r="F35" s="4"/>
      <c r="G35" s="4"/>
      <c r="H35" s="4"/>
      <c r="I35" s="8"/>
      <c r="J35" s="8"/>
      <c r="K35" s="8"/>
      <c r="L35" s="8"/>
      <c r="M35" s="8"/>
      <c r="N35" s="8"/>
      <c r="O35" s="8"/>
      <c r="P35" s="8"/>
    </row>
    <row r="36" spans="1:16" x14ac:dyDescent="0.2">
      <c r="A36" s="4"/>
      <c r="B36" s="4"/>
      <c r="C36" s="4"/>
      <c r="D36" s="4"/>
      <c r="E36" s="4"/>
      <c r="F36" s="4"/>
      <c r="G36" s="4"/>
      <c r="H36" s="4"/>
      <c r="I36" s="8"/>
      <c r="J36" s="8"/>
      <c r="K36" s="8"/>
      <c r="L36" s="8"/>
      <c r="M36" s="8"/>
      <c r="N36" s="8"/>
      <c r="O36" s="8"/>
      <c r="P36" s="8"/>
    </row>
    <row r="37" spans="1:16" x14ac:dyDescent="0.2">
      <c r="A37" s="4"/>
      <c r="B37" s="4"/>
      <c r="C37" s="4"/>
      <c r="D37" s="4"/>
      <c r="E37" s="4"/>
      <c r="F37" s="4"/>
      <c r="G37" s="4"/>
      <c r="H37" s="4"/>
      <c r="I37" s="8"/>
      <c r="J37" s="8"/>
      <c r="K37" s="8"/>
      <c r="L37" s="8"/>
      <c r="M37" s="8"/>
      <c r="N37" s="8"/>
      <c r="O37" s="8"/>
      <c r="P37" s="8"/>
    </row>
    <row r="38" spans="1:16" x14ac:dyDescent="0.2">
      <c r="A38" s="4"/>
      <c r="B38" s="4"/>
      <c r="C38" s="4"/>
      <c r="D38" s="4"/>
      <c r="E38" s="4"/>
      <c r="F38" s="4"/>
      <c r="G38" s="4"/>
      <c r="H38" s="4"/>
      <c r="I38" s="8"/>
      <c r="J38" s="8"/>
      <c r="K38" s="8"/>
      <c r="L38" s="8"/>
      <c r="M38" s="8"/>
      <c r="N38" s="8"/>
      <c r="O38" s="8"/>
      <c r="P38" s="8"/>
    </row>
    <row r="39" spans="1:16" x14ac:dyDescent="0.2">
      <c r="A39" s="4"/>
      <c r="B39" s="4"/>
      <c r="C39" s="4"/>
      <c r="D39" s="4"/>
      <c r="E39" s="4"/>
      <c r="F39" s="4"/>
      <c r="G39" s="4"/>
      <c r="H39" s="4"/>
      <c r="I39" s="8"/>
      <c r="J39" s="8"/>
      <c r="K39" s="8"/>
      <c r="L39" s="8"/>
      <c r="M39" s="8"/>
      <c r="N39" s="8"/>
      <c r="O39" s="8"/>
      <c r="P39" s="8"/>
    </row>
    <row r="40" spans="1:16" x14ac:dyDescent="0.2">
      <c r="A40" s="4"/>
      <c r="B40" s="4"/>
      <c r="C40" s="4"/>
      <c r="D40" s="4"/>
      <c r="E40" s="4"/>
      <c r="F40" s="4"/>
      <c r="G40" s="4"/>
      <c r="H40" s="4"/>
      <c r="I40" s="8"/>
      <c r="J40" s="8"/>
      <c r="K40" s="8"/>
      <c r="L40" s="8"/>
      <c r="M40" s="8"/>
      <c r="N40" s="8"/>
      <c r="O40" s="8"/>
      <c r="P40" s="8"/>
    </row>
    <row r="41" spans="1:16" x14ac:dyDescent="0.2">
      <c r="A41" s="4"/>
      <c r="B41" s="4"/>
      <c r="C41" s="4"/>
      <c r="D41" s="4"/>
      <c r="E41" s="4"/>
      <c r="F41" s="4"/>
      <c r="G41" s="4"/>
      <c r="H41" s="4"/>
      <c r="I41" s="8"/>
      <c r="J41" s="8"/>
      <c r="K41" s="8"/>
      <c r="L41" s="8"/>
      <c r="M41" s="8"/>
      <c r="N41" s="8"/>
      <c r="O41" s="8"/>
      <c r="P41" s="8"/>
    </row>
    <row r="42" spans="1:16" x14ac:dyDescent="0.2">
      <c r="A42" s="4"/>
      <c r="B42" s="4"/>
      <c r="C42" s="4"/>
      <c r="D42" s="4"/>
      <c r="E42" s="4"/>
      <c r="F42" s="4"/>
      <c r="G42" s="4"/>
      <c r="H42" s="4"/>
      <c r="I42" s="8"/>
      <c r="J42" s="8"/>
      <c r="K42" s="8"/>
      <c r="L42" s="8"/>
      <c r="M42" s="8"/>
      <c r="N42" s="8"/>
      <c r="O42" s="8"/>
      <c r="P42" s="8"/>
    </row>
    <row r="43" spans="1:16" x14ac:dyDescent="0.2">
      <c r="A43" s="4"/>
      <c r="B43" s="4"/>
      <c r="C43" s="4"/>
      <c r="D43" s="4"/>
      <c r="E43" s="4"/>
      <c r="F43" s="4"/>
      <c r="G43" s="4"/>
      <c r="H43" s="4"/>
      <c r="I43" s="8"/>
      <c r="J43" s="8"/>
      <c r="K43" s="8"/>
      <c r="L43" s="8"/>
      <c r="M43" s="8"/>
      <c r="N43" s="8"/>
      <c r="O43" s="8"/>
      <c r="P43" s="8"/>
    </row>
    <row r="44" spans="1:16" x14ac:dyDescent="0.2">
      <c r="A44" s="4"/>
      <c r="B44" s="4"/>
      <c r="C44" s="4"/>
      <c r="D44" s="4"/>
      <c r="E44" s="4"/>
      <c r="F44" s="4"/>
      <c r="G44" s="4"/>
      <c r="H44" s="4"/>
      <c r="I44" s="8"/>
      <c r="J44" s="8"/>
      <c r="K44" s="8"/>
      <c r="L44" s="8"/>
      <c r="M44" s="8"/>
      <c r="N44" s="8"/>
      <c r="O44" s="8"/>
      <c r="P44" s="8"/>
    </row>
    <row r="45" spans="1:16" x14ac:dyDescent="0.2">
      <c r="A45" s="4"/>
      <c r="B45" s="4"/>
      <c r="C45" s="4"/>
      <c r="D45" s="4"/>
      <c r="E45" s="4"/>
      <c r="F45" s="4"/>
      <c r="G45" s="4"/>
      <c r="H45" s="4"/>
      <c r="I45" s="8"/>
      <c r="J45" s="8"/>
      <c r="K45" s="8"/>
      <c r="L45" s="8"/>
      <c r="M45" s="8"/>
      <c r="N45" s="8"/>
      <c r="O45" s="8"/>
      <c r="P45" s="8"/>
    </row>
    <row r="46" spans="1:16" x14ac:dyDescent="0.2">
      <c r="A46" s="4"/>
      <c r="B46" s="4"/>
      <c r="C46" s="4"/>
      <c r="D46" s="4"/>
      <c r="E46" s="4"/>
      <c r="F46" s="4"/>
      <c r="G46" s="4"/>
      <c r="H46" s="4"/>
      <c r="I46" s="8"/>
      <c r="J46" s="8"/>
      <c r="K46" s="8"/>
      <c r="L46" s="8"/>
      <c r="M46" s="8"/>
      <c r="N46" s="8"/>
      <c r="O46" s="8"/>
      <c r="P46" s="8"/>
    </row>
    <row r="47" spans="1:16" x14ac:dyDescent="0.2">
      <c r="A47" s="4"/>
      <c r="B47" s="4"/>
      <c r="C47" s="4"/>
      <c r="D47" s="4"/>
      <c r="E47" s="4"/>
      <c r="F47" s="4"/>
      <c r="G47" s="4"/>
      <c r="H47" s="4"/>
      <c r="I47" s="8"/>
      <c r="J47" s="8"/>
      <c r="K47" s="8"/>
      <c r="L47" s="8"/>
      <c r="M47" s="8"/>
      <c r="N47" s="8"/>
      <c r="O47" s="8"/>
      <c r="P47" s="8"/>
    </row>
    <row r="48" spans="1:16" x14ac:dyDescent="0.2">
      <c r="A48" s="4"/>
      <c r="B48" s="4"/>
      <c r="C48" s="4"/>
      <c r="D48" s="4"/>
      <c r="E48" s="4"/>
      <c r="F48" s="4"/>
      <c r="G48" s="4"/>
      <c r="H48" s="4"/>
      <c r="I48" s="8"/>
      <c r="J48" s="8"/>
      <c r="K48" s="8"/>
      <c r="L48" s="8"/>
      <c r="M48" s="8"/>
      <c r="N48" s="8"/>
      <c r="O48" s="8"/>
      <c r="P48" s="8"/>
    </row>
    <row r="49" spans="1:16" x14ac:dyDescent="0.2">
      <c r="A49" s="4"/>
      <c r="B49" s="4"/>
      <c r="C49" s="4"/>
      <c r="D49" s="4"/>
      <c r="E49" s="4"/>
      <c r="F49" s="4"/>
      <c r="G49" s="4"/>
      <c r="H49" s="4"/>
      <c r="I49" s="8"/>
      <c r="J49" s="8"/>
      <c r="K49" s="8"/>
      <c r="L49" s="8"/>
      <c r="M49" s="8"/>
      <c r="N49" s="8"/>
      <c r="O49" s="8"/>
      <c r="P49" s="8"/>
    </row>
    <row r="50" spans="1:16" x14ac:dyDescent="0.2">
      <c r="A50" s="4"/>
      <c r="B50" s="4"/>
      <c r="C50" s="4"/>
      <c r="D50" s="4"/>
      <c r="E50" s="4"/>
      <c r="F50" s="4"/>
      <c r="G50" s="4"/>
      <c r="H50" s="4"/>
      <c r="I50" s="8"/>
      <c r="J50" s="8"/>
      <c r="K50" s="8"/>
      <c r="L50" s="8"/>
      <c r="M50" s="8"/>
      <c r="N50" s="8"/>
      <c r="O50" s="8"/>
      <c r="P50" s="8"/>
    </row>
    <row r="51" spans="1:16" x14ac:dyDescent="0.2">
      <c r="A51" s="4"/>
      <c r="B51" s="4"/>
      <c r="C51" s="4"/>
      <c r="D51" s="4"/>
      <c r="E51" s="4"/>
      <c r="F51" s="4"/>
      <c r="G51" s="4"/>
      <c r="H51" s="4"/>
      <c r="I51" s="8"/>
      <c r="J51" s="8"/>
      <c r="K51" s="8"/>
      <c r="L51" s="8"/>
      <c r="M51" s="8"/>
      <c r="N51" s="8"/>
      <c r="O51" s="8"/>
      <c r="P51" s="8"/>
    </row>
    <row r="52" spans="1:16" x14ac:dyDescent="0.2">
      <c r="A52" s="4"/>
      <c r="B52" s="4"/>
      <c r="C52" s="4"/>
      <c r="D52" s="4"/>
      <c r="E52" s="4"/>
      <c r="F52" s="4"/>
      <c r="G52" s="4"/>
      <c r="H52" s="4"/>
      <c r="I52" s="8"/>
      <c r="J52" s="8"/>
      <c r="K52" s="8"/>
      <c r="L52" s="8"/>
      <c r="M52" s="8"/>
      <c r="N52" s="8"/>
      <c r="O52" s="8"/>
      <c r="P52" s="8"/>
    </row>
    <row r="53" spans="1:16" x14ac:dyDescent="0.2">
      <c r="A53" s="4"/>
      <c r="B53" s="4"/>
      <c r="C53" s="4"/>
      <c r="D53" s="4"/>
      <c r="E53" s="4"/>
      <c r="F53" s="4"/>
      <c r="G53" s="4"/>
      <c r="H53" s="4"/>
      <c r="I53" s="8"/>
      <c r="J53" s="8"/>
      <c r="K53" s="8"/>
      <c r="L53" s="8"/>
      <c r="M53" s="8"/>
      <c r="N53" s="8"/>
      <c r="O53" s="8"/>
      <c r="P53" s="8"/>
    </row>
    <row r="54" spans="1:16" x14ac:dyDescent="0.2">
      <c r="A54" s="4"/>
      <c r="B54" s="4"/>
      <c r="C54" s="4"/>
      <c r="D54" s="4"/>
      <c r="E54" s="4"/>
      <c r="F54" s="4"/>
      <c r="G54" s="4"/>
      <c r="H54" s="4"/>
      <c r="I54" s="8"/>
      <c r="J54" s="8"/>
      <c r="K54" s="8"/>
      <c r="L54" s="8"/>
      <c r="M54" s="8"/>
      <c r="N54" s="8"/>
      <c r="O54" s="8"/>
      <c r="P54" s="8"/>
    </row>
    <row r="55" spans="1:16" x14ac:dyDescent="0.2">
      <c r="A55" s="4"/>
      <c r="B55" s="4"/>
      <c r="C55" s="4"/>
      <c r="D55" s="4"/>
      <c r="E55" s="4"/>
      <c r="F55" s="4"/>
      <c r="G55" s="4"/>
      <c r="H55" s="4"/>
      <c r="I55" s="8"/>
      <c r="J55" s="8"/>
      <c r="K55" s="8"/>
      <c r="L55" s="8"/>
      <c r="M55" s="8"/>
      <c r="N55" s="8"/>
      <c r="O55" s="8"/>
      <c r="P55" s="8"/>
    </row>
    <row r="56" spans="1:16" x14ac:dyDescent="0.2">
      <c r="A56" s="4"/>
      <c r="B56" s="4"/>
      <c r="C56" s="4"/>
      <c r="D56" s="4"/>
      <c r="E56" s="4"/>
      <c r="F56" s="4"/>
      <c r="G56" s="4"/>
      <c r="H56" s="4"/>
      <c r="I56" s="8"/>
      <c r="J56" s="8"/>
      <c r="K56" s="8"/>
      <c r="L56" s="8"/>
      <c r="M56" s="8"/>
      <c r="N56" s="8"/>
      <c r="O56" s="8"/>
      <c r="P56" s="8"/>
    </row>
    <row r="57" spans="1:16" x14ac:dyDescent="0.2">
      <c r="A57" s="8" t="s">
        <v>18</v>
      </c>
      <c r="B57" s="4"/>
      <c r="C57" s="4"/>
      <c r="D57" s="4"/>
      <c r="E57" s="4"/>
      <c r="F57" s="4"/>
      <c r="G57" s="4"/>
      <c r="H57" s="4"/>
      <c r="I57" s="8"/>
      <c r="J57" s="8"/>
      <c r="K57" s="8"/>
      <c r="L57" s="8"/>
      <c r="M57" s="8"/>
      <c r="N57" s="8"/>
      <c r="O57" s="8"/>
      <c r="P57" s="8"/>
    </row>
    <row r="58" spans="1:16" x14ac:dyDescent="0.2">
      <c r="A58" s="8" t="s">
        <v>19</v>
      </c>
      <c r="B58" s="4"/>
      <c r="C58" s="4"/>
      <c r="D58" s="4"/>
      <c r="E58" s="4"/>
      <c r="F58" s="4"/>
      <c r="G58" s="4"/>
      <c r="H58" s="4"/>
      <c r="I58" s="8"/>
      <c r="J58" s="8"/>
      <c r="K58" s="8"/>
      <c r="L58" s="8"/>
      <c r="M58" s="8"/>
      <c r="N58" s="8"/>
      <c r="O58" s="8"/>
      <c r="P58" s="8"/>
    </row>
    <row r="59" spans="1:16" x14ac:dyDescent="0.2">
      <c r="A59" s="8" t="s">
        <v>20</v>
      </c>
      <c r="B59" s="4"/>
      <c r="C59" s="4"/>
      <c r="D59" s="4"/>
      <c r="E59" s="4"/>
      <c r="F59" s="4"/>
      <c r="G59" s="4"/>
      <c r="H59" s="4"/>
      <c r="I59" s="8"/>
      <c r="J59" s="8"/>
      <c r="K59" s="8"/>
      <c r="L59" s="8"/>
      <c r="M59" s="8"/>
      <c r="N59" s="8"/>
      <c r="O59" s="8"/>
      <c r="P59" s="8"/>
    </row>
    <row r="60" spans="1:16" x14ac:dyDescent="0.2">
      <c r="A60" s="9" t="s">
        <v>21</v>
      </c>
      <c r="B60" s="4"/>
      <c r="C60" s="4"/>
      <c r="D60" s="4"/>
      <c r="E60" s="4"/>
      <c r="F60" s="4"/>
      <c r="G60" s="4"/>
      <c r="H60" s="4"/>
      <c r="I60" s="8"/>
      <c r="J60" s="8"/>
      <c r="K60" s="8"/>
      <c r="L60" s="8"/>
      <c r="M60" s="8"/>
      <c r="N60" s="8"/>
      <c r="O60" s="8"/>
      <c r="P60" s="8"/>
    </row>
    <row r="61" spans="1:16" x14ac:dyDescent="0.2">
      <c r="A61" s="3" t="s">
        <v>22</v>
      </c>
    </row>
  </sheetData>
  <sortState ref="L2:N28">
    <sortCondition ref="L1"/>
  </sortState>
  <phoneticPr fontId="4" type="noConversion"/>
  <dataValidations count="4">
    <dataValidation type="list" allowBlank="1" showInputMessage="1" showErrorMessage="1" sqref="C3">
      <formula1>"F,D,E"</formula1>
    </dataValidation>
    <dataValidation type="list" allowBlank="1" showInputMessage="1" showErrorMessage="1" sqref="C14:D14">
      <formula1>"Oui,Non"</formula1>
    </dataValidation>
    <dataValidation type="list" allowBlank="1" showInputMessage="1" showErrorMessage="1" sqref="C5:C6">
      <formula1>$P$2:$P$30</formula1>
    </dataValidation>
    <dataValidation type="list" allowBlank="1" showInputMessage="1" showErrorMessage="1" sqref="C7">
      <formula1>$P$2:$P$6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K5"/>
  <sheetViews>
    <sheetView tabSelected="1" workbookViewId="0">
      <selection activeCell="H17" sqref="H17"/>
    </sheetView>
  </sheetViews>
  <sheetFormatPr baseColWidth="10" defaultColWidth="9.140625" defaultRowHeight="12.75" x14ac:dyDescent="0.2"/>
  <cols>
    <col min="1" max="11" width="9.28515625" customWidth="1"/>
    <col min="12" max="12" width="12.7109375" customWidth="1"/>
    <col min="13" max="14" width="9.28515625" customWidth="1"/>
    <col min="15" max="16" width="20.7109375" customWidth="1"/>
    <col min="17" max="35" width="9.28515625" customWidth="1"/>
    <col min="36" max="37" width="12.7109375" customWidth="1"/>
  </cols>
  <sheetData>
    <row r="1" spans="1:37" ht="30" customHeight="1" thickBot="1" x14ac:dyDescent="0.25"/>
    <row r="2" spans="1:37" ht="95.1" customHeight="1" thickBot="1" x14ac:dyDescent="0.25">
      <c r="A2" s="40" t="str">
        <f>intro!E7</f>
        <v>Taux de change</v>
      </c>
      <c r="B2" s="41" t="str">
        <f>intro!E8</f>
        <v>Markup</v>
      </c>
      <c r="C2" s="41" t="str">
        <f>intro!E9</f>
        <v>Freight Duty:</v>
      </c>
      <c r="D2" s="41" t="str">
        <f>intro!E10</f>
        <v>Land cost:</v>
      </c>
      <c r="E2" s="41" t="str">
        <f>intro!E11</f>
        <v>Divers frais:</v>
      </c>
      <c r="F2" s="41" t="str">
        <f>intro!E12</f>
        <v>Pick's cost in €:</v>
      </c>
      <c r="G2" s="41" t="str">
        <f>intro!H11</f>
        <v>Responsible</v>
      </c>
      <c r="H2" s="41" t="str">
        <f>intro!H8</f>
        <v>Opportunité Nr.</v>
      </c>
      <c r="I2" s="41" t="str">
        <f>intro!H9</f>
        <v>RFQ</v>
      </c>
      <c r="J2" s="41" t="str">
        <f>IFERROR(VLOOKUP("pos.",intro!$L$1:$N$36,(intro!$C$3="F")+2*(intro!$C$3="D")+3*(intro!$C$3="E"),1),"")</f>
        <v>Pos.</v>
      </c>
      <c r="K2" s="41" t="str">
        <f>intro!H5</f>
        <v>Nr. client</v>
      </c>
      <c r="L2" s="41" t="str">
        <f>intro!H6</f>
        <v xml:space="preserve">Client   </v>
      </c>
      <c r="M2" s="41" t="str">
        <f>IFERROR(VLOOKUP("fabricant",intro!$L$1:$N$36,(intro!$C$3="F")+2*(intro!$C$3="D")+3*(intro!$C$3="E"),1),"")</f>
        <v>Fabricant</v>
      </c>
      <c r="N2" s="41" t="str">
        <f>IFERROR(VLOOKUP("offre du",intro!$L$1:$N$36,(intro!$C$3="F")+2*(intro!$C$3="D")+3*(intro!$C$3="E"),1),"")</f>
        <v>offre du</v>
      </c>
      <c r="O2" s="41" t="str">
        <f>IFERROR(VLOOKUP("N° d'article client",intro!$L$1:$N$36,(intro!$C$3="F")+2*(intro!$C$3="D")+3*(intro!$C$3="E"),1),"")</f>
        <v>N° d'article client</v>
      </c>
      <c r="P2" s="41" t="str">
        <f>IFERROR(VLOOKUP("N° d'art. TSS",intro!$L$1:$N$36,(intro!$C$3="F")+2*(intro!$C$3="D")+3*(intro!$C$3="E"),1),"")</f>
        <v>N° d'art. TSS</v>
      </c>
      <c r="Q2" s="55" t="str">
        <f>IFERROR(VLOOKUP("dimensions",intro!$L$1:$N$36,(intro!$C$3="F")+2*(intro!$C$3="D")+3*(intro!$C$3="E"),1),"")</f>
        <v>Dimensions</v>
      </c>
      <c r="R2" s="55"/>
      <c r="S2" s="55"/>
      <c r="T2" s="55"/>
      <c r="U2" s="41" t="str">
        <f>IFERROR(VLOOKUP("quantité",intro!$L$1:$N$36,(intro!$C$3="F")+2*(intro!$C$3="D")+3*(intro!$C$3="E"),1),"")</f>
        <v>Quantité</v>
      </c>
      <c r="V2" s="41" t="str">
        <f>IFERROR(VLOOKUP("MTO",intro!$L$1:$N$36,(intro!$C$3="F")+2*(intro!$C$3="D")+3*(intro!$C$3="E"),1),"")</f>
        <v>MOV</v>
      </c>
      <c r="W2" s="41" t="str">
        <f>IFERROR(VLOOKUP("EP",intro!$L$1:$N$36,(intro!$C$3="F")+2*(intro!$C$3="D")+3*(intro!$C$3="E"),1),"")</f>
        <v>EP</v>
      </c>
      <c r="X2" s="41" t="str">
        <f>IFERROR(VLOOKUP("EP+pic+handling+freight &amp; customs",intro!$L$1:$N$36,(intro!$C$3="F")+2*(intro!$C$3="D")+3*(intro!$C$3="E"),1),"")</f>
        <v>EP+pic+
handling+freight &amp; customs</v>
      </c>
      <c r="Y2" s="41" t="str">
        <f>IFERROR(VLOOKUP("C4C Cost",intro!$L$1:$N$36,(intro!$C$3="F")+2*(intro!$C$3="D")+3*(intro!$C$3="E"),1),"")</f>
        <v>C4C Cost</v>
      </c>
      <c r="Z2" s="41" t="str">
        <f>IFERROR(VLOOKUP("facteur",intro!$L$1:$N$36,(intro!$C$3="F")+2*(intro!$C$3="D")+3*(intro!$C$3="E"),1),"")</f>
        <v>Facteur</v>
      </c>
      <c r="AA2" s="41" t="str">
        <f>IFERROR(VLOOKUP("prix de vente par pc",intro!$L$1:$N$36,(intro!$C$3="F")+2*(intro!$C$3="D")+3*(intro!$C$3="E"),1),"")</f>
        <v>Prix de vente par pc</v>
      </c>
      <c r="AB2" s="41" t="str">
        <f>IFERROR(VLOOKUP("C4C price",intro!$L$1:$N$36,(intro!$C$3="F")+2*(intro!$C$3="D")+3*(intro!$C$3="E"),1),"")</f>
        <v>C4C Price</v>
      </c>
      <c r="AC2" s="41" t="str">
        <f>IFERROR(VLOOKUP("Prix de vente1 livraison",intro!$L$1:$N$36,(intro!$C$3="F")+2*(intro!$C$3="D")+3*(intro!$C$3="E"),1),"")</f>
        <v>Prix de vente
1 livraison</v>
      </c>
      <c r="AD2" s="41" t="str">
        <f>IFERROR(VLOOKUP("Marge si1 1ivraison",intro!$L$1:$N$36,(intro!$C$3="F")+2*(intro!$C$3="D")+3*(intro!$C$3="E"),1),"")</f>
        <v>Marge si
1
livraison</v>
      </c>
      <c r="AE2" s="41" t="str">
        <f>IFERROR(VLOOKUP("taux de marge",intro!$L$1:$N$36,(intro!$C$3="F")+2*(intro!$C$3="D")+3*(intro!$C$3="E"),1),"")</f>
        <v>Taux de Marge</v>
      </c>
      <c r="AF2" s="41" t="str">
        <f>IFERROR(VLOOKUP("markup",intro!$L$1:$N$36,(intro!$C$3="F")+2*(intro!$C$3="D")+3*(intro!$C$3="E"),1),"")</f>
        <v>Markup</v>
      </c>
      <c r="AG2" s="41" t="str">
        <f>IFERROR(VLOOKUP("Prix des outillages achat",intro!$L$1:$N$36,(intro!$C$3="F")+2*(intro!$C$3="D")+3*(intro!$C$3="E"),1),"")</f>
        <v>Prix des outillages achat</v>
      </c>
      <c r="AH2" s="41" t="str">
        <f>IFERROR(VLOOKUP("Prix des outillages ",intro!$L$1:$N$36,(intro!$C$3="F")+2*(intro!$C$3="D")+3*(intro!$C$3="E"),1),"")</f>
        <v xml:space="preserve">Prix des outillages </v>
      </c>
      <c r="AI2" s="41" t="str">
        <f>IFERROR(VLOOKUP("Prix Total",intro!$L$1:$N$36,(intro!$C$3="F")+2*(intro!$C$3="D")+3*(intro!$C$3="E"),1),"")</f>
        <v>Prix TOTAL</v>
      </c>
      <c r="AJ2" s="41" t="str">
        <f>IFERROR(VLOOKUP("Délai de production en semaines",intro!$L$1:$N$36,(intro!$C$3="F")+2*(intro!$C$3="D")+3*(intro!$C$3="E"),1),"")</f>
        <v>Délai de production en semaines</v>
      </c>
      <c r="AK2" s="42" t="str">
        <f>IFERROR(VLOOKUP("Délai de transport en semaines",intro!$L$1:$N$36,(intro!$C$3="F")+2*(intro!$C$3="D")+3*(intro!$C$3="E"),1),"")</f>
        <v>Délai de transport en semaines</v>
      </c>
    </row>
    <row r="3" spans="1:37" x14ac:dyDescent="0.2">
      <c r="A3" s="43"/>
      <c r="B3" s="44" t="s">
        <v>112</v>
      </c>
      <c r="C3" s="44" t="s">
        <v>112</v>
      </c>
      <c r="D3" s="44" t="s">
        <v>112</v>
      </c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 t="s">
        <v>113</v>
      </c>
      <c r="R3" s="44" t="s">
        <v>114</v>
      </c>
      <c r="S3" s="44" t="s">
        <v>115</v>
      </c>
      <c r="T3" s="44" t="s">
        <v>116</v>
      </c>
      <c r="U3" s="44"/>
      <c r="V3" s="44"/>
      <c r="W3" s="45" t="str">
        <f>intro!F5</f>
        <v>Euro</v>
      </c>
      <c r="X3" s="44" t="str">
        <f>intro!F6</f>
        <v>CHF</v>
      </c>
      <c r="Y3" s="44"/>
      <c r="Z3" s="44" t="s">
        <v>17</v>
      </c>
      <c r="AA3" s="44" t="str">
        <f>intro!F6</f>
        <v>CHF</v>
      </c>
      <c r="AB3" s="44"/>
      <c r="AC3" s="44" t="str">
        <f>intro!F6</f>
        <v>CHF</v>
      </c>
      <c r="AD3" s="44" t="str">
        <f>intro!F6</f>
        <v>CHF</v>
      </c>
      <c r="AE3" s="44" t="s">
        <v>112</v>
      </c>
      <c r="AF3" s="44" t="s">
        <v>112</v>
      </c>
      <c r="AG3" s="45" t="str">
        <f>intro!F5</f>
        <v>Euro</v>
      </c>
      <c r="AH3" s="44" t="str">
        <f>intro!F6</f>
        <v>CHF</v>
      </c>
      <c r="AI3" s="44" t="str">
        <f>intro!F6</f>
        <v>CHF</v>
      </c>
      <c r="AJ3" s="44"/>
      <c r="AK3" s="46"/>
    </row>
    <row r="4" spans="1:37" ht="13.5" thickBot="1" x14ac:dyDescent="0.25">
      <c r="A4" s="47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 t="s">
        <v>117</v>
      </c>
      <c r="R4" s="48" t="s">
        <v>117</v>
      </c>
      <c r="S4" s="48" t="s">
        <v>117</v>
      </c>
      <c r="T4" s="48" t="s">
        <v>117</v>
      </c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9"/>
    </row>
    <row r="5" spans="1:37" ht="13.5" thickBot="1" x14ac:dyDescent="0.25">
      <c r="A5" s="50">
        <f>intro!$F$7</f>
        <v>1.2</v>
      </c>
      <c r="B5" s="51">
        <f>intro!$F$8</f>
        <v>4.3</v>
      </c>
      <c r="C5" s="51">
        <f>intro!$F$9</f>
        <v>0</v>
      </c>
      <c r="D5" s="51">
        <f>intro!$F$10</f>
        <v>3</v>
      </c>
      <c r="E5" s="52">
        <f>intro!$F$11</f>
        <v>0</v>
      </c>
      <c r="F5" s="52">
        <f>intro!$F$12</f>
        <v>0</v>
      </c>
      <c r="G5" s="52" t="str">
        <f>intro!$I$11</f>
        <v>LR</v>
      </c>
      <c r="H5" s="52">
        <f>intro!$I$8</f>
        <v>75478</v>
      </c>
      <c r="I5" s="52">
        <f>intro!$I$9</f>
        <v>789456</v>
      </c>
      <c r="J5" s="52"/>
      <c r="K5" s="52">
        <f>intro!$I$5</f>
        <v>12345</v>
      </c>
      <c r="L5" s="52" t="str">
        <f>intro!$I$6</f>
        <v>Ferrum</v>
      </c>
      <c r="M5" s="52" t="str">
        <f>intro!$C$8</f>
        <v>DUCI</v>
      </c>
      <c r="N5" s="53">
        <f>intro!$I$12</f>
        <v>43922</v>
      </c>
      <c r="O5" s="52"/>
      <c r="P5" s="52"/>
      <c r="Q5" s="52"/>
      <c r="R5" s="52"/>
      <c r="S5" s="52"/>
      <c r="T5" s="52"/>
      <c r="U5" s="52"/>
      <c r="V5" s="52"/>
      <c r="W5" s="52"/>
      <c r="X5" s="52" t="e">
        <f>((W5+(W5/100*$B$5))+(W5/100*$C$5)+($F$5/U5)+(W5/100*$D$5))*$A$5+$E$5</f>
        <v>#DIV/0!</v>
      </c>
      <c r="Y5" s="52" t="e">
        <f>((W5+(W5/100*$C$5)+($F$50/W5)+(W5/100*$D$5))*$A$5+$E$5)*100</f>
        <v>#DIV/0!</v>
      </c>
      <c r="Z5" s="52"/>
      <c r="AA5" s="52" t="e">
        <f>X5*Z5</f>
        <v>#DIV/0!</v>
      </c>
      <c r="AB5" s="52" t="e">
        <f>AA5*100</f>
        <v>#DIV/0!</v>
      </c>
      <c r="AC5" s="52" t="e">
        <f>U5*AA5</f>
        <v>#DIV/0!</v>
      </c>
      <c r="AD5" s="52" t="e">
        <f>AC5-(U5*X5)</f>
        <v>#DIV/0!</v>
      </c>
      <c r="AE5" s="52" t="e">
        <f>AD5/(U5*X5/100)</f>
        <v>#DIV/0!</v>
      </c>
      <c r="AF5" s="52" t="e">
        <f>AD5/AC5*100</f>
        <v>#DIV/0!</v>
      </c>
      <c r="AG5" s="52"/>
      <c r="AH5" s="52" t="e">
        <f ca="1">_xlfn.IFS(AG5=0,AG5,AG5&lt;=1000,AG5+100,AG5&lt;=5001,AG5+200,AG5&lt;=20001,AG5+400,AG5&gt;20001,AG5+500)*A5</f>
        <v>#NAME?</v>
      </c>
      <c r="AI5" s="52" t="e">
        <f ca="1">AC5+AH5</f>
        <v>#DIV/0!</v>
      </c>
      <c r="AJ5" s="52"/>
      <c r="AK5" s="54"/>
    </row>
  </sheetData>
  <mergeCells count="1">
    <mergeCell ref="Q2:T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Ruffieux</dc:creator>
  <cp:lastModifiedBy>Michel</cp:lastModifiedBy>
  <cp:lastPrinted>2019-06-26T11:01:57Z</cp:lastPrinted>
  <dcterms:created xsi:type="dcterms:W3CDTF">2016-04-27T12:43:57Z</dcterms:created>
  <dcterms:modified xsi:type="dcterms:W3CDTF">2020-04-14T16:16:49Z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