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activeX/activeX9.xml" ContentType="application/vnd.ms-office.activeX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10.xml" ContentType="application/vnd.ms-office.activeX+xml"/>
  <Override PartName="/xl/drawings/drawing10.xml" ContentType="application/vnd.openxmlformats-officedocument.drawing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activeX/activeX8.xml" ContentType="application/vnd.ms-office.activeX+xml"/>
  <Override PartName="/xl/tables/table1.xml" ContentType="application/vnd.openxmlformats-officedocument.spreadsheetml.table+xml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23655" windowHeight="10245"/>
  </bookViews>
  <sheets>
    <sheet name="Accueil" sheetId="4" r:id="rId1"/>
    <sheet name="Feuil1" sheetId="16" r:id="rId2"/>
    <sheet name="Liste élève par classes" sheetId="11" r:id="rId3"/>
    <sheet name="Liste_des_Enfants" sheetId="10" r:id="rId4"/>
    <sheet name="Pointage Mercredi" sheetId="19" r:id="rId5"/>
    <sheet name="Etudes Semaine" sheetId="12" r:id="rId6"/>
    <sheet name="Etudes" sheetId="1" r:id="rId7"/>
    <sheet name="Autorisation Sortie Mercredi" sheetId="14" r:id="rId8"/>
    <sheet name="Coin Fumeur" sheetId="13" r:id="rId9"/>
    <sheet name="LISTES" sheetId="2" r:id="rId10"/>
    <sheet name="CHAMBRES FILLES 2e ETAGE" sheetId="6" r:id="rId11"/>
    <sheet name="CHAMBRES FILLES 1e ETAGE" sheetId="3" r:id="rId12"/>
    <sheet name="CHAMBRES GARCONS 1e ETAGE" sheetId="5" r:id="rId13"/>
    <sheet name="CHAMBRES GARCONS RDC" sheetId="7" r:id="rId14"/>
    <sheet name="Plan Etages fille" sheetId="8" r:id="rId15"/>
    <sheet name="Plan Etages garçon" sheetId="9" r:id="rId16"/>
  </sheets>
  <functionGroups/>
  <definedNames>
    <definedName name="Classe" localSheetId="11">'CHAMBRES FILLES 1e ETAGE'!$K$15:$K$29</definedName>
    <definedName name="Classe">LISTES!$B$1:$B$17</definedName>
    <definedName name="TableauEtudes">Tableau1[]</definedName>
  </definedNames>
  <calcPr calcId="124519"/>
  <pivotCaches>
    <pivotCache cacheId="1" r:id="rId17"/>
  </pivotCaches>
</workbook>
</file>

<file path=xl/calcChain.xml><?xml version="1.0" encoding="utf-8"?>
<calcChain xmlns="http://schemas.openxmlformats.org/spreadsheetml/2006/main">
  <c r="HV2" i="10"/>
  <c r="HV3"/>
  <c r="HV4"/>
  <c r="HV5"/>
  <c r="HV6"/>
  <c r="HV7"/>
  <c r="HV8"/>
  <c r="HV9"/>
  <c r="HV10"/>
  <c r="HV11"/>
  <c r="HV12"/>
  <c r="HV13"/>
  <c r="HV14"/>
  <c r="HV15"/>
  <c r="HV16"/>
  <c r="HV17"/>
  <c r="HV18"/>
  <c r="HV19"/>
  <c r="HV20"/>
  <c r="HV21"/>
  <c r="HV22"/>
  <c r="HV23"/>
  <c r="HV24"/>
  <c r="HV25"/>
  <c r="HV26"/>
  <c r="HV27"/>
  <c r="HV28"/>
  <c r="HV29"/>
  <c r="HV30"/>
  <c r="HV31"/>
  <c r="HV32"/>
  <c r="HV33"/>
  <c r="HV34"/>
  <c r="HV35"/>
  <c r="HV36"/>
  <c r="HV37"/>
  <c r="HV38"/>
  <c r="HV39"/>
  <c r="HV40"/>
  <c r="HV41"/>
  <c r="HV42"/>
  <c r="HV43"/>
  <c r="HV44"/>
  <c r="HV45"/>
  <c r="HV46"/>
  <c r="HV47"/>
  <c r="HV48"/>
  <c r="HV49"/>
  <c r="HV50"/>
  <c r="HV51"/>
  <c r="HV52"/>
  <c r="HV53"/>
  <c r="HV54"/>
  <c r="HV55"/>
  <c r="HV56"/>
  <c r="HV57"/>
  <c r="HV58"/>
  <c r="HV59"/>
  <c r="HV60"/>
  <c r="HV61"/>
  <c r="HV62"/>
  <c r="HV63"/>
  <c r="HV64"/>
  <c r="HV65"/>
  <c r="HV66"/>
  <c r="HV67"/>
  <c r="HV68"/>
  <c r="HV69"/>
  <c r="HV70"/>
  <c r="HV71"/>
  <c r="HV72"/>
  <c r="HV73"/>
  <c r="HV74"/>
  <c r="HV75"/>
  <c r="HV76"/>
  <c r="HV77"/>
  <c r="HV78"/>
  <c r="HV79"/>
  <c r="HV80"/>
  <c r="HV81"/>
  <c r="HV82"/>
  <c r="HV83"/>
  <c r="HV84"/>
  <c r="HV85"/>
  <c r="HV86"/>
  <c r="HV87"/>
  <c r="HV88"/>
  <c r="HV89"/>
  <c r="HV90"/>
  <c r="HV91"/>
  <c r="HV92"/>
  <c r="HV93"/>
  <c r="HV94"/>
  <c r="HV95"/>
  <c r="HV96"/>
  <c r="HV97"/>
  <c r="HV98"/>
  <c r="HV99"/>
  <c r="HV100"/>
  <c r="HV101"/>
  <c r="HV102"/>
  <c r="HV103"/>
  <c r="HV104"/>
  <c r="HV105"/>
  <c r="HV106"/>
  <c r="HV107"/>
  <c r="HV108"/>
  <c r="HV109"/>
  <c r="HV110"/>
  <c r="HV111"/>
  <c r="HV112"/>
  <c r="HV113"/>
  <c r="HV114"/>
  <c r="HV115"/>
  <c r="HV116"/>
  <c r="HV117"/>
  <c r="HV118"/>
  <c r="HV119"/>
  <c r="HV120"/>
  <c r="HV121"/>
  <c r="HV122"/>
  <c r="HV123"/>
  <c r="HV124"/>
  <c r="HV125"/>
  <c r="HV126"/>
  <c r="HV127"/>
  <c r="HV128"/>
  <c r="HV129"/>
  <c r="HV130"/>
  <c r="HV131"/>
  <c r="HV132"/>
  <c r="HV133"/>
  <c r="HV134"/>
  <c r="HV135"/>
  <c r="HV136"/>
  <c r="HV137"/>
  <c r="HV138"/>
  <c r="HV139"/>
  <c r="HV140"/>
  <c r="HV141"/>
  <c r="HV142"/>
  <c r="HV143"/>
  <c r="HV144"/>
  <c r="HV145"/>
  <c r="HV146"/>
  <c r="HV147"/>
  <c r="HV148"/>
  <c r="HV149"/>
  <c r="HV150"/>
  <c r="HV151"/>
  <c r="HV152"/>
  <c r="HV153"/>
  <c r="HV154"/>
  <c r="HV155"/>
  <c r="HV156"/>
  <c r="HV157"/>
  <c r="HV158"/>
  <c r="HV159"/>
  <c r="HV160"/>
  <c r="HV161"/>
  <c r="HV162"/>
  <c r="HV163"/>
  <c r="HV164"/>
  <c r="HV165"/>
  <c r="HV166"/>
  <c r="HV167"/>
  <c r="HV168"/>
  <c r="HV169"/>
  <c r="HV170"/>
  <c r="HV171"/>
  <c r="HV172"/>
  <c r="HV173"/>
  <c r="HV174"/>
  <c r="HV175"/>
  <c r="HV176"/>
  <c r="HV177"/>
  <c r="HV178"/>
  <c r="HV179"/>
  <c r="HV180"/>
  <c r="HV181"/>
  <c r="HV182"/>
  <c r="HV183"/>
  <c r="HV184"/>
  <c r="HV185"/>
  <c r="HV186"/>
  <c r="HV187"/>
  <c r="HV188"/>
  <c r="HV189"/>
  <c r="HV190"/>
  <c r="HV191"/>
  <c r="HV192"/>
  <c r="HV193"/>
  <c r="HV194"/>
  <c r="HV195"/>
  <c r="HV196"/>
  <c r="HV197"/>
  <c r="HV198"/>
  <c r="HV199"/>
  <c r="HV200"/>
  <c r="HV201"/>
  <c r="HV202"/>
  <c r="HV203"/>
  <c r="HV204"/>
  <c r="HV205"/>
  <c r="HV206"/>
  <c r="HV207"/>
  <c r="HV208"/>
  <c r="HV209"/>
  <c r="HV210"/>
  <c r="HV211"/>
  <c r="HV212"/>
  <c r="HV213"/>
  <c r="HV214"/>
  <c r="HV215"/>
  <c r="HV216"/>
  <c r="HV217"/>
  <c r="HV218"/>
  <c r="HV219"/>
  <c r="HV220"/>
  <c r="HV221"/>
  <c r="HV222"/>
  <c r="HV223"/>
  <c r="HV224"/>
  <c r="HV225"/>
  <c r="HV226"/>
  <c r="HV227"/>
  <c r="HV228"/>
  <c r="HV229"/>
  <c r="HV230"/>
  <c r="HV231"/>
  <c r="HV232"/>
  <c r="HV233"/>
  <c r="HV234"/>
  <c r="HV235"/>
  <c r="HV236"/>
  <c r="HV237"/>
  <c r="HV238"/>
  <c r="HV239"/>
  <c r="HV240"/>
  <c r="HV241"/>
  <c r="HV242"/>
  <c r="HV243"/>
  <c r="HV244"/>
  <c r="HV245"/>
  <c r="HV246"/>
  <c r="HV247"/>
  <c r="HV248"/>
  <c r="HV249"/>
  <c r="HV250"/>
  <c r="HV251"/>
  <c r="HV252"/>
  <c r="HV253"/>
  <c r="HV254"/>
  <c r="HV255"/>
  <c r="HV256"/>
  <c r="HV257"/>
  <c r="HV258"/>
  <c r="HV259"/>
  <c r="HV260"/>
  <c r="HV261"/>
  <c r="HV262"/>
  <c r="HV263"/>
  <c r="HV264"/>
  <c r="HV265"/>
  <c r="HV266"/>
  <c r="HV267"/>
  <c r="HV268"/>
  <c r="HV269"/>
  <c r="HV270"/>
  <c r="HV271"/>
  <c r="HV272"/>
  <c r="HV273"/>
  <c r="HV274"/>
  <c r="HV275"/>
  <c r="HV276"/>
  <c r="HV277"/>
  <c r="HV278"/>
  <c r="HV279"/>
  <c r="HW2"/>
  <c r="HW3"/>
  <c r="HW4"/>
  <c r="HW5"/>
  <c r="HW6"/>
  <c r="HW7"/>
  <c r="HW8"/>
  <c r="HW9"/>
  <c r="HW10"/>
  <c r="HW11"/>
  <c r="HW12"/>
  <c r="HW13"/>
  <c r="HW14"/>
  <c r="HW15"/>
  <c r="HW16"/>
  <c r="HW17"/>
  <c r="HW18"/>
  <c r="HW19"/>
  <c r="HW20"/>
  <c r="HW21"/>
  <c r="HW22"/>
  <c r="HW23"/>
  <c r="HW24"/>
  <c r="HW25"/>
  <c r="HW26"/>
  <c r="HW27"/>
  <c r="HW28"/>
  <c r="HW29"/>
  <c r="HW30"/>
  <c r="HW31"/>
  <c r="HW32"/>
  <c r="HW33"/>
  <c r="HW34"/>
  <c r="HW35"/>
  <c r="HW36"/>
  <c r="HW37"/>
  <c r="HW38"/>
  <c r="HW39"/>
  <c r="HW40"/>
  <c r="HW41"/>
  <c r="HW42"/>
  <c r="HW43"/>
  <c r="HW44"/>
  <c r="HW45"/>
  <c r="HW46"/>
  <c r="HW47"/>
  <c r="HW48"/>
  <c r="HW49"/>
  <c r="HW50"/>
  <c r="HW51"/>
  <c r="HW52"/>
  <c r="HW53"/>
  <c r="HW54"/>
  <c r="HW55"/>
  <c r="HW56"/>
  <c r="HW57"/>
  <c r="HW58"/>
  <c r="HW59"/>
  <c r="HW60"/>
  <c r="HW61"/>
  <c r="HW62"/>
  <c r="HW63"/>
  <c r="HW64"/>
  <c r="HW65"/>
  <c r="HW66"/>
  <c r="HW67"/>
  <c r="HW68"/>
  <c r="HW69"/>
  <c r="HW70"/>
  <c r="HW71"/>
  <c r="HW72"/>
  <c r="HW73"/>
  <c r="HW74"/>
  <c r="HW75"/>
  <c r="HW76"/>
  <c r="HW77"/>
  <c r="HW78"/>
  <c r="HW79"/>
  <c r="HW80"/>
  <c r="HW81"/>
  <c r="HW82"/>
  <c r="HW83"/>
  <c r="HW84"/>
  <c r="HW85"/>
  <c r="HW86"/>
  <c r="HW87"/>
  <c r="HW88"/>
  <c r="HW89"/>
  <c r="HW90"/>
  <c r="HW91"/>
  <c r="HW92"/>
  <c r="HW93"/>
  <c r="HW94"/>
  <c r="HW95"/>
  <c r="HW96"/>
  <c r="HW97"/>
  <c r="HW98"/>
  <c r="HW99"/>
  <c r="HW100"/>
  <c r="HW101"/>
  <c r="HW102"/>
  <c r="HW103"/>
  <c r="HW104"/>
  <c r="HW105"/>
  <c r="HW106"/>
  <c r="HW107"/>
  <c r="HW108"/>
  <c r="HW109"/>
  <c r="HW110"/>
  <c r="HW111"/>
  <c r="HW112"/>
  <c r="HW113"/>
  <c r="HW114"/>
  <c r="HW115"/>
  <c r="HW116"/>
  <c r="HW117"/>
  <c r="HW118"/>
  <c r="HW119"/>
  <c r="HW120"/>
  <c r="HW121"/>
  <c r="HW122"/>
  <c r="HW123"/>
  <c r="HW124"/>
  <c r="HW125"/>
  <c r="HW126"/>
  <c r="HW127"/>
  <c r="HW128"/>
  <c r="HW129"/>
  <c r="HW130"/>
  <c r="HW131"/>
  <c r="HW132"/>
  <c r="HW133"/>
  <c r="HW134"/>
  <c r="HW135"/>
  <c r="HW136"/>
  <c r="HW137"/>
  <c r="HW138"/>
  <c r="HW139"/>
  <c r="HW140"/>
  <c r="HW141"/>
  <c r="HW142"/>
  <c r="HW143"/>
  <c r="HW144"/>
  <c r="HW145"/>
  <c r="HW146"/>
  <c r="HW147"/>
  <c r="HW148"/>
  <c r="HW149"/>
  <c r="HW150"/>
  <c r="HW151"/>
  <c r="HW152"/>
  <c r="HW153"/>
  <c r="HW154"/>
  <c r="HW155"/>
  <c r="HW156"/>
  <c r="HW157"/>
  <c r="HW158"/>
  <c r="HW159"/>
  <c r="HW160"/>
  <c r="HW161"/>
  <c r="HW162"/>
  <c r="HW163"/>
  <c r="HW164"/>
  <c r="HW165"/>
  <c r="HW166"/>
  <c r="HW167"/>
  <c r="HW168"/>
  <c r="HW169"/>
  <c r="HW170"/>
  <c r="HW171"/>
  <c r="HW172"/>
  <c r="HW173"/>
  <c r="HW174"/>
  <c r="HW175"/>
  <c r="HW176"/>
  <c r="HW177"/>
  <c r="HW178"/>
  <c r="HW179"/>
  <c r="HW180"/>
  <c r="HW181"/>
  <c r="HW182"/>
  <c r="HW183"/>
  <c r="HW184"/>
  <c r="HW185"/>
  <c r="HW186"/>
  <c r="HW187"/>
  <c r="HW188"/>
  <c r="HW189"/>
  <c r="HW190"/>
  <c r="HW191"/>
  <c r="HW192"/>
  <c r="HW193"/>
  <c r="HW194"/>
  <c r="HW195"/>
  <c r="HW196"/>
  <c r="HW197"/>
  <c r="HW198"/>
  <c r="HW199"/>
  <c r="HW200"/>
  <c r="HW201"/>
  <c r="HW202"/>
  <c r="HW203"/>
  <c r="HW204"/>
  <c r="HW205"/>
  <c r="HW206"/>
  <c r="HW207"/>
  <c r="HW208"/>
  <c r="HW209"/>
  <c r="HW210"/>
  <c r="HW211"/>
  <c r="HW212"/>
  <c r="HW213"/>
  <c r="HW214"/>
  <c r="HW215"/>
  <c r="HW216"/>
  <c r="HW217"/>
  <c r="HW218"/>
  <c r="HW219"/>
  <c r="HW220"/>
  <c r="HW221"/>
  <c r="HW222"/>
  <c r="HW223"/>
  <c r="HW224"/>
  <c r="HW225"/>
  <c r="HW226"/>
  <c r="HW227"/>
  <c r="HW228"/>
  <c r="HW229"/>
  <c r="HW230"/>
  <c r="HW231"/>
  <c r="HW232"/>
  <c r="HW233"/>
  <c r="HW234"/>
  <c r="HW235"/>
  <c r="HW236"/>
  <c r="HW237"/>
  <c r="HW238"/>
  <c r="HW239"/>
  <c r="HW240"/>
  <c r="HW241"/>
  <c r="HW242"/>
  <c r="HW243"/>
  <c r="HW244"/>
  <c r="HW245"/>
  <c r="HW246"/>
  <c r="HW247"/>
  <c r="HW248"/>
  <c r="HW249"/>
  <c r="HW250"/>
  <c r="HW251"/>
  <c r="HW252"/>
  <c r="HW253"/>
  <c r="HW254"/>
  <c r="HW255"/>
  <c r="HW256"/>
  <c r="HW257"/>
  <c r="HW258"/>
  <c r="HW259"/>
  <c r="HW260"/>
  <c r="HW261"/>
  <c r="HW262"/>
  <c r="HW263"/>
  <c r="HW264"/>
  <c r="HW265"/>
  <c r="HW266"/>
  <c r="HW267"/>
  <c r="HW268"/>
  <c r="HW269"/>
  <c r="HW270"/>
  <c r="HW271"/>
  <c r="HW272"/>
  <c r="HW273"/>
  <c r="HW274"/>
  <c r="HW275"/>
  <c r="HW276"/>
  <c r="HW277"/>
  <c r="HW278"/>
  <c r="HW279"/>
  <c r="HT2"/>
  <c r="HU2" s="1"/>
  <c r="HT3"/>
  <c r="HU3" s="1"/>
  <c r="HT4"/>
  <c r="HU4" s="1"/>
  <c r="HT5"/>
  <c r="HU5" s="1"/>
  <c r="HT6"/>
  <c r="HU6" s="1"/>
  <c r="HT7"/>
  <c r="HU7" s="1"/>
  <c r="HT8"/>
  <c r="HU8" s="1"/>
  <c r="HT9"/>
  <c r="HU9" s="1"/>
  <c r="HT10"/>
  <c r="HU10" s="1"/>
  <c r="HT11"/>
  <c r="HU11" s="1"/>
  <c r="HT12"/>
  <c r="HU12" s="1"/>
  <c r="HT13"/>
  <c r="HU13" s="1"/>
  <c r="HT14"/>
  <c r="HU14" s="1"/>
  <c r="HT15"/>
  <c r="HU15" s="1"/>
  <c r="HT16"/>
  <c r="HU16" s="1"/>
  <c r="HT17"/>
  <c r="HU17" s="1"/>
  <c r="HT18"/>
  <c r="HU18" s="1"/>
  <c r="HT19"/>
  <c r="HU19" s="1"/>
  <c r="HT20"/>
  <c r="HU20" s="1"/>
  <c r="HT21"/>
  <c r="HU21" s="1"/>
  <c r="HT22"/>
  <c r="HU22" s="1"/>
  <c r="HT23"/>
  <c r="HU23" s="1"/>
  <c r="HT24"/>
  <c r="HU24" s="1"/>
  <c r="HT25"/>
  <c r="HU25" s="1"/>
  <c r="HT26"/>
  <c r="HU26" s="1"/>
  <c r="HT27"/>
  <c r="HU27" s="1"/>
  <c r="HT28"/>
  <c r="HU28" s="1"/>
  <c r="HT29"/>
  <c r="HU29" s="1"/>
  <c r="HT30"/>
  <c r="HU30" s="1"/>
  <c r="HT31"/>
  <c r="HU31" s="1"/>
  <c r="HT32"/>
  <c r="HU32" s="1"/>
  <c r="HT33"/>
  <c r="HU33" s="1"/>
  <c r="HT34"/>
  <c r="HU34" s="1"/>
  <c r="HT35"/>
  <c r="HU35" s="1"/>
  <c r="HT36"/>
  <c r="HU36" s="1"/>
  <c r="HT37"/>
  <c r="HU37" s="1"/>
  <c r="HT38"/>
  <c r="HU38" s="1"/>
  <c r="HT39"/>
  <c r="HU39" s="1"/>
  <c r="HT40"/>
  <c r="HU40" s="1"/>
  <c r="HT41"/>
  <c r="HU41" s="1"/>
  <c r="HT42"/>
  <c r="HU42" s="1"/>
  <c r="HT43"/>
  <c r="HU43" s="1"/>
  <c r="HT44"/>
  <c r="HU44" s="1"/>
  <c r="HT45"/>
  <c r="HU45" s="1"/>
  <c r="HT46"/>
  <c r="HU46" s="1"/>
  <c r="HT47"/>
  <c r="HU47" s="1"/>
  <c r="HT48"/>
  <c r="HU48" s="1"/>
  <c r="HT49"/>
  <c r="HU49" s="1"/>
  <c r="HT50"/>
  <c r="HU50" s="1"/>
  <c r="HT51"/>
  <c r="HU51" s="1"/>
  <c r="HT52"/>
  <c r="HU52" s="1"/>
  <c r="HT53"/>
  <c r="HU53" s="1"/>
  <c r="HT54"/>
  <c r="HU54" s="1"/>
  <c r="HT55"/>
  <c r="HU55" s="1"/>
  <c r="HT56"/>
  <c r="HU56" s="1"/>
  <c r="HT57"/>
  <c r="HU57" s="1"/>
  <c r="HT58"/>
  <c r="HU58" s="1"/>
  <c r="HT59"/>
  <c r="HU59" s="1"/>
  <c r="HT60"/>
  <c r="HU60" s="1"/>
  <c r="HT61"/>
  <c r="HU61" s="1"/>
  <c r="HT62"/>
  <c r="HU62" s="1"/>
  <c r="HT63"/>
  <c r="HU63" s="1"/>
  <c r="HT64"/>
  <c r="HU64" s="1"/>
  <c r="HT65"/>
  <c r="HU65" s="1"/>
  <c r="HT66"/>
  <c r="HU66" s="1"/>
  <c r="HT67"/>
  <c r="HU67" s="1"/>
  <c r="HT68"/>
  <c r="HU68" s="1"/>
  <c r="HT69"/>
  <c r="HU69" s="1"/>
  <c r="HT70"/>
  <c r="HU70" s="1"/>
  <c r="HT71"/>
  <c r="HU71" s="1"/>
  <c r="HT72"/>
  <c r="HU72" s="1"/>
  <c r="HT73"/>
  <c r="HU73" s="1"/>
  <c r="HT74"/>
  <c r="HU74" s="1"/>
  <c r="HT75"/>
  <c r="HU75" s="1"/>
  <c r="HT76"/>
  <c r="HU76" s="1"/>
  <c r="HT77"/>
  <c r="HU77" s="1"/>
  <c r="HT78"/>
  <c r="HU78" s="1"/>
  <c r="HT79"/>
  <c r="HU79" s="1"/>
  <c r="HT80"/>
  <c r="HU80" s="1"/>
  <c r="HT81"/>
  <c r="HU81" s="1"/>
  <c r="HT82"/>
  <c r="HU82" s="1"/>
  <c r="HT83"/>
  <c r="HU83" s="1"/>
  <c r="HT84"/>
  <c r="HU84" s="1"/>
  <c r="HT85"/>
  <c r="HU85" s="1"/>
  <c r="HT86"/>
  <c r="HU86" s="1"/>
  <c r="HT87"/>
  <c r="HU87" s="1"/>
  <c r="HT88"/>
  <c r="HU88" s="1"/>
  <c r="HT89"/>
  <c r="HU89" s="1"/>
  <c r="HT90"/>
  <c r="HU90" s="1"/>
  <c r="HT91"/>
  <c r="HU91" s="1"/>
  <c r="HT92"/>
  <c r="HU92" s="1"/>
  <c r="HT93"/>
  <c r="HU93" s="1"/>
  <c r="HT94"/>
  <c r="HU94" s="1"/>
  <c r="HT95"/>
  <c r="HU95" s="1"/>
  <c r="HT96"/>
  <c r="HU96" s="1"/>
  <c r="HT97"/>
  <c r="HU97" s="1"/>
  <c r="HT98"/>
  <c r="HU98" s="1"/>
  <c r="HT99"/>
  <c r="HU99" s="1"/>
  <c r="HT100"/>
  <c r="HU100" s="1"/>
  <c r="HT101"/>
  <c r="HU101" s="1"/>
  <c r="HT102"/>
  <c r="HU102" s="1"/>
  <c r="HT103"/>
  <c r="HU103" s="1"/>
  <c r="HT104"/>
  <c r="HU104" s="1"/>
  <c r="HT105"/>
  <c r="HU105" s="1"/>
  <c r="HT106"/>
  <c r="HU106" s="1"/>
  <c r="HT107"/>
  <c r="HU107" s="1"/>
  <c r="HT108"/>
  <c r="HU108" s="1"/>
  <c r="HT109"/>
  <c r="HU109" s="1"/>
  <c r="HT110"/>
  <c r="HU110" s="1"/>
  <c r="HT111"/>
  <c r="HU111" s="1"/>
  <c r="HT112"/>
  <c r="HU112" s="1"/>
  <c r="HT113"/>
  <c r="HU113" s="1"/>
  <c r="HT114"/>
  <c r="HU114" s="1"/>
  <c r="HT115"/>
  <c r="HU115" s="1"/>
  <c r="HT116"/>
  <c r="HU116" s="1"/>
  <c r="HT117"/>
  <c r="HU117" s="1"/>
  <c r="HT118"/>
  <c r="HU118" s="1"/>
  <c r="HT119"/>
  <c r="HU119" s="1"/>
  <c r="HT120"/>
  <c r="HU120" s="1"/>
  <c r="HT121"/>
  <c r="HU121" s="1"/>
  <c r="HT122"/>
  <c r="HU122" s="1"/>
  <c r="HT123"/>
  <c r="HT124"/>
  <c r="HU124" s="1"/>
  <c r="HT125"/>
  <c r="HU125" s="1"/>
  <c r="HT126"/>
  <c r="HU126" s="1"/>
  <c r="HT127"/>
  <c r="HU127" s="1"/>
  <c r="HT128"/>
  <c r="HU128" s="1"/>
  <c r="HT129"/>
  <c r="HU129" s="1"/>
  <c r="HT130"/>
  <c r="HU130" s="1"/>
  <c r="HT131"/>
  <c r="HU131" s="1"/>
  <c r="HT132"/>
  <c r="HU132" s="1"/>
  <c r="HT133"/>
  <c r="HU133" s="1"/>
  <c r="HT134"/>
  <c r="HU134" s="1"/>
  <c r="HT135"/>
  <c r="HU135" s="1"/>
  <c r="HT136"/>
  <c r="HU136" s="1"/>
  <c r="HT137"/>
  <c r="HU137" s="1"/>
  <c r="HT138"/>
  <c r="HU138" s="1"/>
  <c r="HT139"/>
  <c r="HU139" s="1"/>
  <c r="HT140"/>
  <c r="HU140" s="1"/>
  <c r="HT141"/>
  <c r="HU141" s="1"/>
  <c r="HT142"/>
  <c r="HU142" s="1"/>
  <c r="HT143"/>
  <c r="HU143" s="1"/>
  <c r="HT144"/>
  <c r="HU144" s="1"/>
  <c r="HT145"/>
  <c r="HU145" s="1"/>
  <c r="HT146"/>
  <c r="HU146" s="1"/>
  <c r="HT147"/>
  <c r="HU147" s="1"/>
  <c r="HT148"/>
  <c r="HU148" s="1"/>
  <c r="HT149"/>
  <c r="HU149" s="1"/>
  <c r="HT150"/>
  <c r="HU150" s="1"/>
  <c r="HT151"/>
  <c r="HU151" s="1"/>
  <c r="HT152"/>
  <c r="HU152" s="1"/>
  <c r="HT153"/>
  <c r="HU153" s="1"/>
  <c r="HT154"/>
  <c r="HU154" s="1"/>
  <c r="HT155"/>
  <c r="HU155" s="1"/>
  <c r="HT156"/>
  <c r="HU156" s="1"/>
  <c r="HT157"/>
  <c r="HU157" s="1"/>
  <c r="HT158"/>
  <c r="HU158" s="1"/>
  <c r="HT159"/>
  <c r="HU159" s="1"/>
  <c r="HT160"/>
  <c r="HU160" s="1"/>
  <c r="HT161"/>
  <c r="HU161" s="1"/>
  <c r="HT162"/>
  <c r="HU162" s="1"/>
  <c r="HT163"/>
  <c r="HU163" s="1"/>
  <c r="HT164"/>
  <c r="HU164" s="1"/>
  <c r="HT165"/>
  <c r="HU165" s="1"/>
  <c r="HT166"/>
  <c r="HU166" s="1"/>
  <c r="HT167"/>
  <c r="HU167" s="1"/>
  <c r="HT168"/>
  <c r="HU168" s="1"/>
  <c r="HT169"/>
  <c r="HU169" s="1"/>
  <c r="HT170"/>
  <c r="HU170" s="1"/>
  <c r="HT171"/>
  <c r="HU171" s="1"/>
  <c r="HT172"/>
  <c r="HU172" s="1"/>
  <c r="HT173"/>
  <c r="HU173" s="1"/>
  <c r="HT174"/>
  <c r="HU174" s="1"/>
  <c r="HT175"/>
  <c r="HU175" s="1"/>
  <c r="HT176"/>
  <c r="HU176" s="1"/>
  <c r="HT177"/>
  <c r="HU177" s="1"/>
  <c r="HT178"/>
  <c r="HU178" s="1"/>
  <c r="HT179"/>
  <c r="HU179" s="1"/>
  <c r="HT180"/>
  <c r="HU180" s="1"/>
  <c r="HT181"/>
  <c r="HU181" s="1"/>
  <c r="HT182"/>
  <c r="HU182" s="1"/>
  <c r="HT183"/>
  <c r="HU183" s="1"/>
  <c r="HT184"/>
  <c r="HU184" s="1"/>
  <c r="HT185"/>
  <c r="HU185" s="1"/>
  <c r="HT186"/>
  <c r="HU186" s="1"/>
  <c r="HT187"/>
  <c r="HU187" s="1"/>
  <c r="HT188"/>
  <c r="HU188" s="1"/>
  <c r="HT189"/>
  <c r="HU189" s="1"/>
  <c r="HT190"/>
  <c r="HU190" s="1"/>
  <c r="HT191"/>
  <c r="HU191" s="1"/>
  <c r="HT192"/>
  <c r="HU192" s="1"/>
  <c r="HT193"/>
  <c r="HU193" s="1"/>
  <c r="HT194"/>
  <c r="HU194" s="1"/>
  <c r="HT195"/>
  <c r="HU195" s="1"/>
  <c r="HT196"/>
  <c r="HU196" s="1"/>
  <c r="HT197"/>
  <c r="HU197" s="1"/>
  <c r="HT198"/>
  <c r="HU198" s="1"/>
  <c r="HT199"/>
  <c r="HU199" s="1"/>
  <c r="HT200"/>
  <c r="HU200" s="1"/>
  <c r="HT201"/>
  <c r="HU201" s="1"/>
  <c r="HT202"/>
  <c r="HU202" s="1"/>
  <c r="HT203"/>
  <c r="HU203" s="1"/>
  <c r="HT204"/>
  <c r="HU204" s="1"/>
  <c r="HT205"/>
  <c r="HU205" s="1"/>
  <c r="HT206"/>
  <c r="HU206" s="1"/>
  <c r="HT207"/>
  <c r="HU207" s="1"/>
  <c r="HT208"/>
  <c r="HU208" s="1"/>
  <c r="HT209"/>
  <c r="HU209" s="1"/>
  <c r="HT210"/>
  <c r="HU210" s="1"/>
  <c r="HT211"/>
  <c r="HU211" s="1"/>
  <c r="HT212"/>
  <c r="HU212" s="1"/>
  <c r="HT213"/>
  <c r="HU213" s="1"/>
  <c r="HT214"/>
  <c r="HU214" s="1"/>
  <c r="HT215"/>
  <c r="HU215" s="1"/>
  <c r="HT216"/>
  <c r="HU216" s="1"/>
  <c r="HT217"/>
  <c r="HU217" s="1"/>
  <c r="HT218"/>
  <c r="HU218" s="1"/>
  <c r="HT219"/>
  <c r="HU219" s="1"/>
  <c r="HT220"/>
  <c r="HU220" s="1"/>
  <c r="HT221"/>
  <c r="HU221" s="1"/>
  <c r="HT222"/>
  <c r="HU222" s="1"/>
  <c r="HT223"/>
  <c r="HU223" s="1"/>
  <c r="HT224"/>
  <c r="HU224" s="1"/>
  <c r="HT225"/>
  <c r="HU225" s="1"/>
  <c r="HT226"/>
  <c r="HU226" s="1"/>
  <c r="HT227"/>
  <c r="HU227" s="1"/>
  <c r="HT228"/>
  <c r="HU228" s="1"/>
  <c r="HT229"/>
  <c r="HU229" s="1"/>
  <c r="HT230"/>
  <c r="HU230" s="1"/>
  <c r="HT231"/>
  <c r="HU231" s="1"/>
  <c r="HT232"/>
  <c r="HU232" s="1"/>
  <c r="HT233"/>
  <c r="HU233" s="1"/>
  <c r="HT234"/>
  <c r="HU234" s="1"/>
  <c r="HT235"/>
  <c r="HU235" s="1"/>
  <c r="HT236"/>
  <c r="HU236" s="1"/>
  <c r="HT237"/>
  <c r="HU237" s="1"/>
  <c r="HT238"/>
  <c r="HU238" s="1"/>
  <c r="HT239"/>
  <c r="HU239" s="1"/>
  <c r="HT240"/>
  <c r="HU240" s="1"/>
  <c r="HT241"/>
  <c r="HU241" s="1"/>
  <c r="HT242"/>
  <c r="HU242" s="1"/>
  <c r="HT243"/>
  <c r="HU243" s="1"/>
  <c r="HT244"/>
  <c r="HU244" s="1"/>
  <c r="HT245"/>
  <c r="HU245" s="1"/>
  <c r="HT246"/>
  <c r="HU246" s="1"/>
  <c r="HT247"/>
  <c r="HU247" s="1"/>
  <c r="HT248"/>
  <c r="HU248" s="1"/>
  <c r="HT249"/>
  <c r="HU249" s="1"/>
  <c r="HT250"/>
  <c r="HU250" s="1"/>
  <c r="HT251"/>
  <c r="HU251" s="1"/>
  <c r="HT252"/>
  <c r="HU252" s="1"/>
  <c r="HT253"/>
  <c r="HU253" s="1"/>
  <c r="HT254"/>
  <c r="HU254" s="1"/>
  <c r="HT255"/>
  <c r="HU255" s="1"/>
  <c r="HT256"/>
  <c r="HU256" s="1"/>
  <c r="HT257"/>
  <c r="HU257" s="1"/>
  <c r="HT258"/>
  <c r="HU258" s="1"/>
  <c r="HT259"/>
  <c r="HU259" s="1"/>
  <c r="HT260"/>
  <c r="HU260" s="1"/>
  <c r="HT261"/>
  <c r="HU261" s="1"/>
  <c r="HT262"/>
  <c r="HU262" s="1"/>
  <c r="HT263"/>
  <c r="HU263" s="1"/>
  <c r="HT264"/>
  <c r="HU264" s="1"/>
  <c r="HT265"/>
  <c r="HU265" s="1"/>
  <c r="HT266"/>
  <c r="HU266" s="1"/>
  <c r="HT267"/>
  <c r="HU267" s="1"/>
  <c r="HT268"/>
  <c r="HU268" s="1"/>
  <c r="HT269"/>
  <c r="HU269" s="1"/>
  <c r="HT270"/>
  <c r="HU270" s="1"/>
  <c r="HT271"/>
  <c r="HU271" s="1"/>
  <c r="HT272"/>
  <c r="HU272" s="1"/>
  <c r="HT273"/>
  <c r="HU273" s="1"/>
  <c r="HT274"/>
  <c r="HU274" s="1"/>
  <c r="HT275"/>
  <c r="HU275" s="1"/>
  <c r="HT276"/>
  <c r="HU276" s="1"/>
  <c r="HT277"/>
  <c r="HU277" s="1"/>
  <c r="HT278"/>
  <c r="HU278" s="1"/>
  <c r="HT279"/>
  <c r="HU279" s="1"/>
  <c r="HR2"/>
  <c r="HR3"/>
  <c r="HS3" s="1"/>
  <c r="HR4"/>
  <c r="HS4" s="1"/>
  <c r="HR5"/>
  <c r="HS5" s="1"/>
  <c r="HR6"/>
  <c r="HS6" s="1"/>
  <c r="HR7"/>
  <c r="HS7" s="1"/>
  <c r="HR8"/>
  <c r="HS8" s="1"/>
  <c r="HR9"/>
  <c r="HS9" s="1"/>
  <c r="HR10"/>
  <c r="HS10" s="1"/>
  <c r="HR11"/>
  <c r="HS11" s="1"/>
  <c r="HR12"/>
  <c r="HS12" s="1"/>
  <c r="HR13"/>
  <c r="HS13" s="1"/>
  <c r="HR14"/>
  <c r="HS14" s="1"/>
  <c r="HR15"/>
  <c r="HS15" s="1"/>
  <c r="HR16"/>
  <c r="HS16" s="1"/>
  <c r="HR17"/>
  <c r="HS17" s="1"/>
  <c r="HR18"/>
  <c r="HS18" s="1"/>
  <c r="HR19"/>
  <c r="HS19" s="1"/>
  <c r="HR20"/>
  <c r="HS20" s="1"/>
  <c r="HR21"/>
  <c r="HS21" s="1"/>
  <c r="HR22"/>
  <c r="HS22" s="1"/>
  <c r="HR23"/>
  <c r="HS23" s="1"/>
  <c r="HR24"/>
  <c r="HS24" s="1"/>
  <c r="HR25"/>
  <c r="HS25" s="1"/>
  <c r="HR26"/>
  <c r="HS26" s="1"/>
  <c r="HR27"/>
  <c r="HS27" s="1"/>
  <c r="HR28"/>
  <c r="HS28" s="1"/>
  <c r="HR29"/>
  <c r="HS29" s="1"/>
  <c r="HR30"/>
  <c r="HS30" s="1"/>
  <c r="HR31"/>
  <c r="HS31" s="1"/>
  <c r="HR32"/>
  <c r="HS32" s="1"/>
  <c r="HR33"/>
  <c r="HS33" s="1"/>
  <c r="HR34"/>
  <c r="HR35"/>
  <c r="HS35" s="1"/>
  <c r="HR36"/>
  <c r="HS36" s="1"/>
  <c r="HR37"/>
  <c r="HS37" s="1"/>
  <c r="HR38"/>
  <c r="HS38" s="1"/>
  <c r="HR39"/>
  <c r="HS39" s="1"/>
  <c r="HR40"/>
  <c r="HS40" s="1"/>
  <c r="HR41"/>
  <c r="HS41" s="1"/>
  <c r="HR42"/>
  <c r="HS42" s="1"/>
  <c r="HR43"/>
  <c r="HS43" s="1"/>
  <c r="HR44"/>
  <c r="HS44" s="1"/>
  <c r="HR45"/>
  <c r="HS45" s="1"/>
  <c r="HR46"/>
  <c r="HS46" s="1"/>
  <c r="HR47"/>
  <c r="HS47" s="1"/>
  <c r="HR48"/>
  <c r="HS48" s="1"/>
  <c r="HR49"/>
  <c r="HS49" s="1"/>
  <c r="HR50"/>
  <c r="HS50" s="1"/>
  <c r="HR51"/>
  <c r="HS51" s="1"/>
  <c r="HR52"/>
  <c r="HS52" s="1"/>
  <c r="HR53"/>
  <c r="HS53" s="1"/>
  <c r="HR54"/>
  <c r="HS54" s="1"/>
  <c r="HR55"/>
  <c r="HS55" s="1"/>
  <c r="HR56"/>
  <c r="HS56" s="1"/>
  <c r="HR57"/>
  <c r="HS57" s="1"/>
  <c r="HR58"/>
  <c r="HS58" s="1"/>
  <c r="HR59"/>
  <c r="HS59" s="1"/>
  <c r="HR60"/>
  <c r="HS60" s="1"/>
  <c r="HR61"/>
  <c r="HS61" s="1"/>
  <c r="HR62"/>
  <c r="HS62" s="1"/>
  <c r="HR63"/>
  <c r="HS63" s="1"/>
  <c r="HR64"/>
  <c r="HS64" s="1"/>
  <c r="HR65"/>
  <c r="HS65" s="1"/>
  <c r="HR66"/>
  <c r="HS66" s="1"/>
  <c r="HR67"/>
  <c r="HS67" s="1"/>
  <c r="HR68"/>
  <c r="HS68" s="1"/>
  <c r="HR69"/>
  <c r="HS69" s="1"/>
  <c r="HR70"/>
  <c r="HS70" s="1"/>
  <c r="HR71"/>
  <c r="HS71" s="1"/>
  <c r="HR72"/>
  <c r="HS72" s="1"/>
  <c r="HR73"/>
  <c r="HS73" s="1"/>
  <c r="HR74"/>
  <c r="HS74" s="1"/>
  <c r="HR75"/>
  <c r="HS75" s="1"/>
  <c r="HR76"/>
  <c r="HS76" s="1"/>
  <c r="HR77"/>
  <c r="HS77" s="1"/>
  <c r="HR78"/>
  <c r="HS78" s="1"/>
  <c r="HR79"/>
  <c r="HS79" s="1"/>
  <c r="HR80"/>
  <c r="HS80" s="1"/>
  <c r="HR81"/>
  <c r="HS81" s="1"/>
  <c r="HR82"/>
  <c r="HS82" s="1"/>
  <c r="HR83"/>
  <c r="HS83" s="1"/>
  <c r="HR84"/>
  <c r="HS84" s="1"/>
  <c r="HR85"/>
  <c r="HS85" s="1"/>
  <c r="HR86"/>
  <c r="HS86" s="1"/>
  <c r="HR87"/>
  <c r="HS87" s="1"/>
  <c r="HR88"/>
  <c r="HS88" s="1"/>
  <c r="HR89"/>
  <c r="HS89" s="1"/>
  <c r="HR90"/>
  <c r="HS90" s="1"/>
  <c r="HR91"/>
  <c r="HS91" s="1"/>
  <c r="HR92"/>
  <c r="HS92" s="1"/>
  <c r="HR93"/>
  <c r="HS93" s="1"/>
  <c r="HR94"/>
  <c r="HS94" s="1"/>
  <c r="HR95"/>
  <c r="HS95" s="1"/>
  <c r="HR96"/>
  <c r="HS96" s="1"/>
  <c r="HR97"/>
  <c r="HS97" s="1"/>
  <c r="HR98"/>
  <c r="HS98" s="1"/>
  <c r="HR99"/>
  <c r="HS99" s="1"/>
  <c r="HR100"/>
  <c r="HS100" s="1"/>
  <c r="HR101"/>
  <c r="HS101" s="1"/>
  <c r="HR102"/>
  <c r="HS102" s="1"/>
  <c r="HR103"/>
  <c r="HS103" s="1"/>
  <c r="HR104"/>
  <c r="HS104" s="1"/>
  <c r="HR105"/>
  <c r="HS105" s="1"/>
  <c r="HR106"/>
  <c r="HS106" s="1"/>
  <c r="HR107"/>
  <c r="HS107" s="1"/>
  <c r="HR108"/>
  <c r="HS108" s="1"/>
  <c r="HR109"/>
  <c r="HS109" s="1"/>
  <c r="HR110"/>
  <c r="HS110" s="1"/>
  <c r="HR111"/>
  <c r="HS111" s="1"/>
  <c r="HR112"/>
  <c r="HS112" s="1"/>
  <c r="HR113"/>
  <c r="HS113" s="1"/>
  <c r="HR114"/>
  <c r="HS114" s="1"/>
  <c r="HR115"/>
  <c r="HS115" s="1"/>
  <c r="HR116"/>
  <c r="HS116" s="1"/>
  <c r="HR117"/>
  <c r="HS117" s="1"/>
  <c r="HR118"/>
  <c r="HS118" s="1"/>
  <c r="HR119"/>
  <c r="HS119" s="1"/>
  <c r="HR120"/>
  <c r="HS120" s="1"/>
  <c r="HR121"/>
  <c r="HS121" s="1"/>
  <c r="HR122"/>
  <c r="HS122" s="1"/>
  <c r="HR123"/>
  <c r="HS123" s="1"/>
  <c r="HR124"/>
  <c r="HS124" s="1"/>
  <c r="HR125"/>
  <c r="HS125" s="1"/>
  <c r="HR126"/>
  <c r="HS126" s="1"/>
  <c r="HR127"/>
  <c r="HS127" s="1"/>
  <c r="HR128"/>
  <c r="HS128" s="1"/>
  <c r="HR129"/>
  <c r="HS129" s="1"/>
  <c r="HR130"/>
  <c r="HS130" s="1"/>
  <c r="HR131"/>
  <c r="HS131" s="1"/>
  <c r="HR132"/>
  <c r="HS132" s="1"/>
  <c r="HR133"/>
  <c r="HS133" s="1"/>
  <c r="HR134"/>
  <c r="HS134" s="1"/>
  <c r="HR135"/>
  <c r="HS135" s="1"/>
  <c r="HR136"/>
  <c r="HS136" s="1"/>
  <c r="HR137"/>
  <c r="HS137" s="1"/>
  <c r="HR138"/>
  <c r="HS138" s="1"/>
  <c r="HR139"/>
  <c r="HS139" s="1"/>
  <c r="HR140"/>
  <c r="HS140" s="1"/>
  <c r="HR141"/>
  <c r="HS141" s="1"/>
  <c r="HR142"/>
  <c r="HS142" s="1"/>
  <c r="HR143"/>
  <c r="HS143" s="1"/>
  <c r="HR144"/>
  <c r="HS144" s="1"/>
  <c r="HR145"/>
  <c r="HS145" s="1"/>
  <c r="HR146"/>
  <c r="HS146" s="1"/>
  <c r="HR147"/>
  <c r="HS147" s="1"/>
  <c r="HR148"/>
  <c r="HS148" s="1"/>
  <c r="HR149"/>
  <c r="HS149" s="1"/>
  <c r="HR150"/>
  <c r="HS150" s="1"/>
  <c r="HR151"/>
  <c r="HS151" s="1"/>
  <c r="HR152"/>
  <c r="HS152" s="1"/>
  <c r="HR153"/>
  <c r="HS153" s="1"/>
  <c r="HR154"/>
  <c r="HS154" s="1"/>
  <c r="HR155"/>
  <c r="HS155" s="1"/>
  <c r="HR156"/>
  <c r="HS156" s="1"/>
  <c r="HR157"/>
  <c r="HS157" s="1"/>
  <c r="HR158"/>
  <c r="HS158" s="1"/>
  <c r="HR159"/>
  <c r="HS159" s="1"/>
  <c r="HR160"/>
  <c r="HS160" s="1"/>
  <c r="HR161"/>
  <c r="HS161" s="1"/>
  <c r="HR162"/>
  <c r="HS162" s="1"/>
  <c r="HR163"/>
  <c r="HS163" s="1"/>
  <c r="HR164"/>
  <c r="HS164" s="1"/>
  <c r="HR165"/>
  <c r="HS165" s="1"/>
  <c r="HR166"/>
  <c r="HS166" s="1"/>
  <c r="HR167"/>
  <c r="HS167" s="1"/>
  <c r="HR168"/>
  <c r="HS168" s="1"/>
  <c r="HR169"/>
  <c r="HS169" s="1"/>
  <c r="HR170"/>
  <c r="HS170" s="1"/>
  <c r="HR171"/>
  <c r="HS171" s="1"/>
  <c r="HR172"/>
  <c r="HS172" s="1"/>
  <c r="HR173"/>
  <c r="HS173" s="1"/>
  <c r="HR174"/>
  <c r="HS174" s="1"/>
  <c r="HR175"/>
  <c r="HS175" s="1"/>
  <c r="HR176"/>
  <c r="HS176" s="1"/>
  <c r="HR177"/>
  <c r="HS177" s="1"/>
  <c r="HR178"/>
  <c r="HS178" s="1"/>
  <c r="HR179"/>
  <c r="HS179" s="1"/>
  <c r="HR180"/>
  <c r="HS180" s="1"/>
  <c r="HR181"/>
  <c r="HS181" s="1"/>
  <c r="HR182"/>
  <c r="HS182" s="1"/>
  <c r="HR183"/>
  <c r="HS183" s="1"/>
  <c r="HR184"/>
  <c r="HS184" s="1"/>
  <c r="HR185"/>
  <c r="HS185" s="1"/>
  <c r="HR186"/>
  <c r="HS186" s="1"/>
  <c r="HR187"/>
  <c r="HS187" s="1"/>
  <c r="HR188"/>
  <c r="HS188" s="1"/>
  <c r="HR189"/>
  <c r="HS189" s="1"/>
  <c r="HR190"/>
  <c r="HS190" s="1"/>
  <c r="HR191"/>
  <c r="HS191" s="1"/>
  <c r="HR192"/>
  <c r="HS192" s="1"/>
  <c r="HR193"/>
  <c r="HS193" s="1"/>
  <c r="HR194"/>
  <c r="HS194" s="1"/>
  <c r="HR195"/>
  <c r="HS195" s="1"/>
  <c r="HR196"/>
  <c r="HS196" s="1"/>
  <c r="HR197"/>
  <c r="HS197" s="1"/>
  <c r="HR198"/>
  <c r="HS198" s="1"/>
  <c r="HR199"/>
  <c r="HS199" s="1"/>
  <c r="HR200"/>
  <c r="HS200" s="1"/>
  <c r="HR201"/>
  <c r="HS201" s="1"/>
  <c r="HR202"/>
  <c r="HS202" s="1"/>
  <c r="HR203"/>
  <c r="HS203" s="1"/>
  <c r="HR204"/>
  <c r="HS204" s="1"/>
  <c r="HR205"/>
  <c r="HS205" s="1"/>
  <c r="HR206"/>
  <c r="HS206" s="1"/>
  <c r="HR207"/>
  <c r="HS207" s="1"/>
  <c r="HR208"/>
  <c r="HS208" s="1"/>
  <c r="HR209"/>
  <c r="HS209" s="1"/>
  <c r="HR210"/>
  <c r="HS210" s="1"/>
  <c r="HR211"/>
  <c r="HS211" s="1"/>
  <c r="HR212"/>
  <c r="HS212" s="1"/>
  <c r="HR213"/>
  <c r="HS213" s="1"/>
  <c r="HR214"/>
  <c r="HS214" s="1"/>
  <c r="HR215"/>
  <c r="HS215" s="1"/>
  <c r="HR216"/>
  <c r="HS216" s="1"/>
  <c r="HR217"/>
  <c r="HS217" s="1"/>
  <c r="HR218"/>
  <c r="HS218" s="1"/>
  <c r="HR219"/>
  <c r="HS219" s="1"/>
  <c r="HR220"/>
  <c r="HS220" s="1"/>
  <c r="HR221"/>
  <c r="HS221" s="1"/>
  <c r="HR222"/>
  <c r="HS222" s="1"/>
  <c r="HR223"/>
  <c r="HS223" s="1"/>
  <c r="HR224"/>
  <c r="HS224" s="1"/>
  <c r="HR225"/>
  <c r="HS225" s="1"/>
  <c r="HR226"/>
  <c r="HS226" s="1"/>
  <c r="HR227"/>
  <c r="HS227" s="1"/>
  <c r="HR228"/>
  <c r="HS228" s="1"/>
  <c r="HR229"/>
  <c r="HS229" s="1"/>
  <c r="HR230"/>
  <c r="HS230" s="1"/>
  <c r="HR231"/>
  <c r="HS231" s="1"/>
  <c r="HR232"/>
  <c r="HS232" s="1"/>
  <c r="HR233"/>
  <c r="HS233" s="1"/>
  <c r="HR234"/>
  <c r="HS234" s="1"/>
  <c r="HR235"/>
  <c r="HS235" s="1"/>
  <c r="HR236"/>
  <c r="HS236" s="1"/>
  <c r="HR237"/>
  <c r="HS237" s="1"/>
  <c r="HR238"/>
  <c r="HS238" s="1"/>
  <c r="HR239"/>
  <c r="HS239" s="1"/>
  <c r="HR240"/>
  <c r="HS240" s="1"/>
  <c r="HR241"/>
  <c r="HS241" s="1"/>
  <c r="HR242"/>
  <c r="HS242" s="1"/>
  <c r="HR243"/>
  <c r="HS243" s="1"/>
  <c r="HR244"/>
  <c r="HS244" s="1"/>
  <c r="HR245"/>
  <c r="HS245" s="1"/>
  <c r="HR246"/>
  <c r="HS246" s="1"/>
  <c r="HR247"/>
  <c r="HS247" s="1"/>
  <c r="HR248"/>
  <c r="HS248" s="1"/>
  <c r="HR249"/>
  <c r="HS249" s="1"/>
  <c r="HR250"/>
  <c r="HS250" s="1"/>
  <c r="HR251"/>
  <c r="HS251" s="1"/>
  <c r="HR252"/>
  <c r="HS252" s="1"/>
  <c r="HR253"/>
  <c r="HS253" s="1"/>
  <c r="HR254"/>
  <c r="HS254" s="1"/>
  <c r="HR255"/>
  <c r="HS255" s="1"/>
  <c r="HR256"/>
  <c r="HS256" s="1"/>
  <c r="HR257"/>
  <c r="HS257" s="1"/>
  <c r="HR258"/>
  <c r="HS258" s="1"/>
  <c r="HR259"/>
  <c r="HS259" s="1"/>
  <c r="HR260"/>
  <c r="HS260" s="1"/>
  <c r="HR261"/>
  <c r="HS261" s="1"/>
  <c r="HR262"/>
  <c r="HS262" s="1"/>
  <c r="HR263"/>
  <c r="HS263" s="1"/>
  <c r="HR264"/>
  <c r="HS264" s="1"/>
  <c r="HR265"/>
  <c r="HS265" s="1"/>
  <c r="HR266"/>
  <c r="HS266" s="1"/>
  <c r="HR267"/>
  <c r="HS267" s="1"/>
  <c r="HR268"/>
  <c r="HS268" s="1"/>
  <c r="HR269"/>
  <c r="HS269" s="1"/>
  <c r="HR270"/>
  <c r="HS270" s="1"/>
  <c r="HR271"/>
  <c r="HS271" s="1"/>
  <c r="HR272"/>
  <c r="HS272" s="1"/>
  <c r="HR273"/>
  <c r="HS273" s="1"/>
  <c r="HR274"/>
  <c r="HS274" s="1"/>
  <c r="HR275"/>
  <c r="HS275" s="1"/>
  <c r="HR276"/>
  <c r="HS276" s="1"/>
  <c r="HR277"/>
  <c r="HS277" s="1"/>
  <c r="HR278"/>
  <c r="HS278" s="1"/>
  <c r="HR279"/>
  <c r="HS279" s="1"/>
  <c r="HP2"/>
  <c r="HP3"/>
  <c r="HP4"/>
  <c r="HP5"/>
  <c r="HP6"/>
  <c r="HP7"/>
  <c r="HP8"/>
  <c r="HP9"/>
  <c r="HP10"/>
  <c r="HP11"/>
  <c r="HP12"/>
  <c r="HP13"/>
  <c r="HP14"/>
  <c r="HP15"/>
  <c r="HP16"/>
  <c r="HP17"/>
  <c r="HP18"/>
  <c r="HP19"/>
  <c r="HP20"/>
  <c r="HP21"/>
  <c r="HP22"/>
  <c r="HP23"/>
  <c r="HP24"/>
  <c r="HP25"/>
  <c r="HP26"/>
  <c r="HP27"/>
  <c r="HP28"/>
  <c r="HP29"/>
  <c r="HP30"/>
  <c r="HP31"/>
  <c r="HP32"/>
  <c r="HP33"/>
  <c r="HP34"/>
  <c r="HP35"/>
  <c r="HP36"/>
  <c r="HP37"/>
  <c r="HP38"/>
  <c r="HP39"/>
  <c r="HP40"/>
  <c r="HP41"/>
  <c r="HP42"/>
  <c r="HP43"/>
  <c r="HP44"/>
  <c r="HP45"/>
  <c r="HP46"/>
  <c r="HP47"/>
  <c r="HP48"/>
  <c r="HP49"/>
  <c r="HP50"/>
  <c r="HP51"/>
  <c r="HP52"/>
  <c r="HP53"/>
  <c r="HP54"/>
  <c r="HP55"/>
  <c r="HP56"/>
  <c r="HP57"/>
  <c r="HP58"/>
  <c r="HP59"/>
  <c r="HP60"/>
  <c r="HP61"/>
  <c r="HP62"/>
  <c r="HP63"/>
  <c r="HP64"/>
  <c r="HP65"/>
  <c r="HP66"/>
  <c r="HP67"/>
  <c r="HP68"/>
  <c r="HP69"/>
  <c r="HP70"/>
  <c r="HP71"/>
  <c r="HP72"/>
  <c r="HP73"/>
  <c r="HP74"/>
  <c r="HP75"/>
  <c r="HP76"/>
  <c r="HP77"/>
  <c r="HP78"/>
  <c r="HP79"/>
  <c r="HP80"/>
  <c r="HP81"/>
  <c r="HP82"/>
  <c r="HP83"/>
  <c r="HP84"/>
  <c r="HP85"/>
  <c r="HP86"/>
  <c r="HP87"/>
  <c r="HP88"/>
  <c r="HP89"/>
  <c r="HP90"/>
  <c r="HP91"/>
  <c r="HP92"/>
  <c r="HP93"/>
  <c r="HP94"/>
  <c r="HP95"/>
  <c r="HP96"/>
  <c r="HP97"/>
  <c r="HP98"/>
  <c r="HP99"/>
  <c r="HP100"/>
  <c r="HP101"/>
  <c r="HP102"/>
  <c r="HP103"/>
  <c r="HP104"/>
  <c r="HP105"/>
  <c r="HP106"/>
  <c r="HP107"/>
  <c r="HP108"/>
  <c r="HP109"/>
  <c r="HP110"/>
  <c r="HP111"/>
  <c r="HP112"/>
  <c r="HP113"/>
  <c r="HP114"/>
  <c r="HP115"/>
  <c r="HP116"/>
  <c r="HP117"/>
  <c r="HP118"/>
  <c r="HP119"/>
  <c r="HP120"/>
  <c r="HP121"/>
  <c r="HP122"/>
  <c r="HP123"/>
  <c r="HP124"/>
  <c r="HP125"/>
  <c r="HP126"/>
  <c r="HP127"/>
  <c r="HP128"/>
  <c r="HP129"/>
  <c r="HP130"/>
  <c r="HP131"/>
  <c r="HP132"/>
  <c r="HP133"/>
  <c r="HP134"/>
  <c r="HP135"/>
  <c r="HP136"/>
  <c r="HP137"/>
  <c r="HP138"/>
  <c r="HP139"/>
  <c r="HP140"/>
  <c r="HP141"/>
  <c r="HP142"/>
  <c r="HP143"/>
  <c r="HP144"/>
  <c r="HP145"/>
  <c r="HP146"/>
  <c r="HP147"/>
  <c r="HP148"/>
  <c r="HP149"/>
  <c r="HP150"/>
  <c r="HP151"/>
  <c r="HP152"/>
  <c r="HP153"/>
  <c r="HP154"/>
  <c r="HP155"/>
  <c r="HP156"/>
  <c r="HP157"/>
  <c r="HP158"/>
  <c r="HP159"/>
  <c r="HP160"/>
  <c r="HP161"/>
  <c r="HP162"/>
  <c r="HP163"/>
  <c r="HP164"/>
  <c r="HP165"/>
  <c r="HP166"/>
  <c r="HP167"/>
  <c r="HP168"/>
  <c r="HP169"/>
  <c r="HP170"/>
  <c r="HP171"/>
  <c r="HP172"/>
  <c r="HP173"/>
  <c r="HP174"/>
  <c r="HP175"/>
  <c r="HP176"/>
  <c r="HP177"/>
  <c r="HP178"/>
  <c r="HP179"/>
  <c r="HP180"/>
  <c r="HP181"/>
  <c r="HP182"/>
  <c r="HP183"/>
  <c r="HP184"/>
  <c r="HP185"/>
  <c r="HP186"/>
  <c r="HP187"/>
  <c r="HP188"/>
  <c r="HP189"/>
  <c r="HP190"/>
  <c r="HP191"/>
  <c r="HP192"/>
  <c r="HP193"/>
  <c r="HP194"/>
  <c r="HP195"/>
  <c r="HP196"/>
  <c r="HP197"/>
  <c r="HP198"/>
  <c r="HP199"/>
  <c r="HP200"/>
  <c r="HP201"/>
  <c r="HP202"/>
  <c r="HP203"/>
  <c r="HP204"/>
  <c r="HP205"/>
  <c r="HP206"/>
  <c r="HP207"/>
  <c r="HP208"/>
  <c r="HP209"/>
  <c r="HP210"/>
  <c r="HP211"/>
  <c r="HP212"/>
  <c r="HP213"/>
  <c r="HP214"/>
  <c r="HP215"/>
  <c r="HP216"/>
  <c r="HP217"/>
  <c r="HP218"/>
  <c r="HP219"/>
  <c r="HP220"/>
  <c r="HP221"/>
  <c r="HP222"/>
  <c r="HP223"/>
  <c r="HP224"/>
  <c r="HP225"/>
  <c r="HP226"/>
  <c r="HP227"/>
  <c r="HP228"/>
  <c r="HP229"/>
  <c r="HP230"/>
  <c r="HP231"/>
  <c r="HP232"/>
  <c r="HP233"/>
  <c r="HP234"/>
  <c r="HP235"/>
  <c r="HP236"/>
  <c r="HP237"/>
  <c r="HP238"/>
  <c r="HP239"/>
  <c r="HP240"/>
  <c r="HP241"/>
  <c r="HP242"/>
  <c r="HP243"/>
  <c r="HP244"/>
  <c r="HP245"/>
  <c r="HP246"/>
  <c r="HP247"/>
  <c r="HP248"/>
  <c r="HP249"/>
  <c r="HP250"/>
  <c r="HP251"/>
  <c r="HP252"/>
  <c r="HP253"/>
  <c r="HP254"/>
  <c r="HP255"/>
  <c r="HP256"/>
  <c r="HP257"/>
  <c r="HP258"/>
  <c r="HP259"/>
  <c r="HP260"/>
  <c r="HP261"/>
  <c r="HP262"/>
  <c r="HP263"/>
  <c r="HP264"/>
  <c r="HP265"/>
  <c r="HP266"/>
  <c r="HP267"/>
  <c r="HP268"/>
  <c r="HP269"/>
  <c r="HP270"/>
  <c r="HP271"/>
  <c r="HP272"/>
  <c r="HP273"/>
  <c r="HP274"/>
  <c r="HP275"/>
  <c r="HP276"/>
  <c r="HP277"/>
  <c r="HP278"/>
  <c r="HP279"/>
  <c r="HQ2"/>
  <c r="HQ3"/>
  <c r="HQ4"/>
  <c r="HQ5"/>
  <c r="HQ6"/>
  <c r="HQ7"/>
  <c r="HQ8"/>
  <c r="HQ9"/>
  <c r="HQ10"/>
  <c r="HQ11"/>
  <c r="HQ12"/>
  <c r="HQ13"/>
  <c r="HQ14"/>
  <c r="HQ15"/>
  <c r="HQ16"/>
  <c r="HQ17"/>
  <c r="HQ18"/>
  <c r="HQ19"/>
  <c r="HQ20"/>
  <c r="HQ21"/>
  <c r="HQ22"/>
  <c r="HQ23"/>
  <c r="HQ24"/>
  <c r="HQ25"/>
  <c r="HQ26"/>
  <c r="HQ27"/>
  <c r="HQ28"/>
  <c r="HQ29"/>
  <c r="HQ30"/>
  <c r="HQ31"/>
  <c r="HQ32"/>
  <c r="HQ33"/>
  <c r="HQ34"/>
  <c r="HQ35"/>
  <c r="HQ36"/>
  <c r="HQ37"/>
  <c r="HQ38"/>
  <c r="HQ39"/>
  <c r="HQ40"/>
  <c r="HQ41"/>
  <c r="HQ42"/>
  <c r="HQ43"/>
  <c r="HQ44"/>
  <c r="HQ45"/>
  <c r="HQ46"/>
  <c r="HQ47"/>
  <c r="HQ48"/>
  <c r="HQ49"/>
  <c r="HQ50"/>
  <c r="HQ51"/>
  <c r="HQ52"/>
  <c r="HQ53"/>
  <c r="HQ54"/>
  <c r="HQ55"/>
  <c r="HQ56"/>
  <c r="HQ57"/>
  <c r="HQ58"/>
  <c r="HQ59"/>
  <c r="HQ60"/>
  <c r="HQ61"/>
  <c r="HQ62"/>
  <c r="HQ63"/>
  <c r="HQ64"/>
  <c r="HQ65"/>
  <c r="HQ66"/>
  <c r="HQ67"/>
  <c r="HQ68"/>
  <c r="HQ69"/>
  <c r="HQ70"/>
  <c r="HQ71"/>
  <c r="HQ72"/>
  <c r="HQ73"/>
  <c r="HQ74"/>
  <c r="HQ75"/>
  <c r="HQ76"/>
  <c r="HQ77"/>
  <c r="HQ78"/>
  <c r="HQ79"/>
  <c r="HQ80"/>
  <c r="HQ81"/>
  <c r="HQ82"/>
  <c r="HQ83"/>
  <c r="HQ84"/>
  <c r="HQ85"/>
  <c r="HQ86"/>
  <c r="HQ87"/>
  <c r="HQ88"/>
  <c r="HQ89"/>
  <c r="HQ90"/>
  <c r="HQ91"/>
  <c r="HQ92"/>
  <c r="HQ93"/>
  <c r="HQ94"/>
  <c r="HQ95"/>
  <c r="HQ96"/>
  <c r="HQ97"/>
  <c r="HQ98"/>
  <c r="HQ99"/>
  <c r="HQ100"/>
  <c r="HQ101"/>
  <c r="HQ102"/>
  <c r="HQ103"/>
  <c r="HQ104"/>
  <c r="HQ105"/>
  <c r="HQ106"/>
  <c r="HQ107"/>
  <c r="HQ108"/>
  <c r="HQ109"/>
  <c r="HQ110"/>
  <c r="HQ111"/>
  <c r="HQ112"/>
  <c r="HQ113"/>
  <c r="HQ114"/>
  <c r="HQ115"/>
  <c r="HQ116"/>
  <c r="HQ117"/>
  <c r="HQ118"/>
  <c r="HQ119"/>
  <c r="HQ120"/>
  <c r="HQ121"/>
  <c r="HQ122"/>
  <c r="HQ123"/>
  <c r="HQ124"/>
  <c r="HQ125"/>
  <c r="HQ126"/>
  <c r="HQ127"/>
  <c r="HQ128"/>
  <c r="HQ129"/>
  <c r="HQ130"/>
  <c r="HQ131"/>
  <c r="HQ132"/>
  <c r="HQ133"/>
  <c r="HQ134"/>
  <c r="HQ135"/>
  <c r="HQ136"/>
  <c r="HQ137"/>
  <c r="HQ138"/>
  <c r="HQ139"/>
  <c r="HQ140"/>
  <c r="HQ141"/>
  <c r="HQ142"/>
  <c r="HQ143"/>
  <c r="HQ144"/>
  <c r="HQ145"/>
  <c r="HQ146"/>
  <c r="HQ147"/>
  <c r="HQ148"/>
  <c r="HQ149"/>
  <c r="HQ150"/>
  <c r="HQ151"/>
  <c r="HQ152"/>
  <c r="HQ153"/>
  <c r="HQ154"/>
  <c r="HQ155"/>
  <c r="HQ156"/>
  <c r="HQ157"/>
  <c r="HQ158"/>
  <c r="HQ159"/>
  <c r="HQ160"/>
  <c r="HQ161"/>
  <c r="HQ162"/>
  <c r="HQ163"/>
  <c r="HQ164"/>
  <c r="HQ165"/>
  <c r="HQ166"/>
  <c r="HQ167"/>
  <c r="HQ168"/>
  <c r="HQ169"/>
  <c r="HQ170"/>
  <c r="HQ171"/>
  <c r="HQ172"/>
  <c r="HQ173"/>
  <c r="HQ174"/>
  <c r="HQ175"/>
  <c r="HQ176"/>
  <c r="HQ177"/>
  <c r="HQ178"/>
  <c r="HQ179"/>
  <c r="HQ180"/>
  <c r="HQ181"/>
  <c r="HQ182"/>
  <c r="HQ183"/>
  <c r="HQ184"/>
  <c r="HQ185"/>
  <c r="HQ186"/>
  <c r="HQ187"/>
  <c r="HQ188"/>
  <c r="HQ189"/>
  <c r="HQ190"/>
  <c r="HQ191"/>
  <c r="HQ192"/>
  <c r="HQ193"/>
  <c r="HQ194"/>
  <c r="HQ195"/>
  <c r="HQ196"/>
  <c r="HQ197"/>
  <c r="HQ198"/>
  <c r="HQ199"/>
  <c r="HQ200"/>
  <c r="HQ201"/>
  <c r="HQ202"/>
  <c r="HQ203"/>
  <c r="HQ204"/>
  <c r="HQ205"/>
  <c r="HQ206"/>
  <c r="HQ207"/>
  <c r="HQ208"/>
  <c r="HQ209"/>
  <c r="HQ210"/>
  <c r="HQ211"/>
  <c r="HQ212"/>
  <c r="HQ213"/>
  <c r="HQ214"/>
  <c r="HQ215"/>
  <c r="HQ216"/>
  <c r="HQ217"/>
  <c r="HQ218"/>
  <c r="HQ219"/>
  <c r="HQ220"/>
  <c r="HQ221"/>
  <c r="HQ222"/>
  <c r="HQ223"/>
  <c r="HQ224"/>
  <c r="HQ225"/>
  <c r="HQ226"/>
  <c r="HQ227"/>
  <c r="HQ228"/>
  <c r="HQ229"/>
  <c r="HQ230"/>
  <c r="HQ231"/>
  <c r="HQ232"/>
  <c r="HQ233"/>
  <c r="HQ234"/>
  <c r="HQ235"/>
  <c r="HQ236"/>
  <c r="HQ237"/>
  <c r="HQ238"/>
  <c r="HQ239"/>
  <c r="HQ240"/>
  <c r="HQ241"/>
  <c r="HQ242"/>
  <c r="HQ243"/>
  <c r="HQ244"/>
  <c r="HQ245"/>
  <c r="HQ246"/>
  <c r="HQ247"/>
  <c r="HQ248"/>
  <c r="HQ249"/>
  <c r="HQ250"/>
  <c r="HQ251"/>
  <c r="HQ252"/>
  <c r="HQ253"/>
  <c r="HQ254"/>
  <c r="HQ255"/>
  <c r="HQ256"/>
  <c r="HQ257"/>
  <c r="HQ258"/>
  <c r="HQ259"/>
  <c r="HQ260"/>
  <c r="HQ261"/>
  <c r="HQ262"/>
  <c r="HQ263"/>
  <c r="HQ264"/>
  <c r="HQ265"/>
  <c r="HQ266"/>
  <c r="HQ267"/>
  <c r="HQ268"/>
  <c r="HQ269"/>
  <c r="HQ270"/>
  <c r="HQ271"/>
  <c r="HQ272"/>
  <c r="HQ273"/>
  <c r="HQ274"/>
  <c r="HQ275"/>
  <c r="HQ276"/>
  <c r="HQ277"/>
  <c r="HQ278"/>
  <c r="HQ279"/>
  <c r="HN2"/>
  <c r="HO2" s="1"/>
  <c r="HN3"/>
  <c r="HO3" s="1"/>
  <c r="HN4"/>
  <c r="HO4" s="1"/>
  <c r="HN5"/>
  <c r="HO5" s="1"/>
  <c r="HN6"/>
  <c r="HO6" s="1"/>
  <c r="HN7"/>
  <c r="HO7" s="1"/>
  <c r="HN8"/>
  <c r="HO8" s="1"/>
  <c r="HN9"/>
  <c r="HO9" s="1"/>
  <c r="HN10"/>
  <c r="HO10" s="1"/>
  <c r="HN11"/>
  <c r="HO11" s="1"/>
  <c r="HN12"/>
  <c r="HO12" s="1"/>
  <c r="HN13"/>
  <c r="HO13" s="1"/>
  <c r="HN14"/>
  <c r="HO14" s="1"/>
  <c r="HN15"/>
  <c r="HO15" s="1"/>
  <c r="HN16"/>
  <c r="HO16" s="1"/>
  <c r="HN17"/>
  <c r="HN18"/>
  <c r="HO18" s="1"/>
  <c r="HN19"/>
  <c r="HO19" s="1"/>
  <c r="HN20"/>
  <c r="HO20" s="1"/>
  <c r="HN21"/>
  <c r="HO21" s="1"/>
  <c r="HN22"/>
  <c r="HO22" s="1"/>
  <c r="HN23"/>
  <c r="HO23" s="1"/>
  <c r="HN24"/>
  <c r="HO24" s="1"/>
  <c r="HN25"/>
  <c r="HO25" s="1"/>
  <c r="HN26"/>
  <c r="HO26" s="1"/>
  <c r="HN27"/>
  <c r="HO27" s="1"/>
  <c r="HN28"/>
  <c r="HO28" s="1"/>
  <c r="HN29"/>
  <c r="HO29" s="1"/>
  <c r="HN30"/>
  <c r="HO30" s="1"/>
  <c r="HN31"/>
  <c r="HO31" s="1"/>
  <c r="HN32"/>
  <c r="HO32" s="1"/>
  <c r="HN33"/>
  <c r="HO33" s="1"/>
  <c r="HN34"/>
  <c r="HO34" s="1"/>
  <c r="HN35"/>
  <c r="HO35" s="1"/>
  <c r="HN36"/>
  <c r="HO36" s="1"/>
  <c r="HN37"/>
  <c r="HO37" s="1"/>
  <c r="HN38"/>
  <c r="HO38" s="1"/>
  <c r="HN39"/>
  <c r="HO39" s="1"/>
  <c r="HN40"/>
  <c r="HO40" s="1"/>
  <c r="HN41"/>
  <c r="HO41" s="1"/>
  <c r="HN42"/>
  <c r="HO42" s="1"/>
  <c r="HN43"/>
  <c r="HO43" s="1"/>
  <c r="HN44"/>
  <c r="HO44" s="1"/>
  <c r="HN45"/>
  <c r="HO45" s="1"/>
  <c r="HN46"/>
  <c r="HO46" s="1"/>
  <c r="HN47"/>
  <c r="HO47" s="1"/>
  <c r="HN48"/>
  <c r="HO48" s="1"/>
  <c r="HN49"/>
  <c r="HO49" s="1"/>
  <c r="HN50"/>
  <c r="HO50" s="1"/>
  <c r="HN51"/>
  <c r="HO51" s="1"/>
  <c r="HN52"/>
  <c r="HO52" s="1"/>
  <c r="HN53"/>
  <c r="HO53" s="1"/>
  <c r="HN54"/>
  <c r="HO54" s="1"/>
  <c r="HN55"/>
  <c r="HO55" s="1"/>
  <c r="HN56"/>
  <c r="HO56" s="1"/>
  <c r="HN57"/>
  <c r="HO57" s="1"/>
  <c r="HN58"/>
  <c r="HO58" s="1"/>
  <c r="HN59"/>
  <c r="HO59" s="1"/>
  <c r="HN60"/>
  <c r="HO60" s="1"/>
  <c r="HN61"/>
  <c r="HO61" s="1"/>
  <c r="HN62"/>
  <c r="HO62" s="1"/>
  <c r="HN63"/>
  <c r="HO63" s="1"/>
  <c r="HN64"/>
  <c r="HO64" s="1"/>
  <c r="HN65"/>
  <c r="HO65" s="1"/>
  <c r="HN66"/>
  <c r="HO66" s="1"/>
  <c r="HN67"/>
  <c r="HO67" s="1"/>
  <c r="HN68"/>
  <c r="HO68" s="1"/>
  <c r="HN69"/>
  <c r="HO69" s="1"/>
  <c r="HN70"/>
  <c r="HO70" s="1"/>
  <c r="HN71"/>
  <c r="HO71" s="1"/>
  <c r="HN72"/>
  <c r="HO72" s="1"/>
  <c r="HN73"/>
  <c r="HO73" s="1"/>
  <c r="HN74"/>
  <c r="HO74" s="1"/>
  <c r="HN75"/>
  <c r="HO75" s="1"/>
  <c r="HN76"/>
  <c r="HO76" s="1"/>
  <c r="HN77"/>
  <c r="HO77" s="1"/>
  <c r="HN78"/>
  <c r="HO78" s="1"/>
  <c r="HN79"/>
  <c r="HO79" s="1"/>
  <c r="HN80"/>
  <c r="HO80" s="1"/>
  <c r="HN81"/>
  <c r="HO81" s="1"/>
  <c r="HN82"/>
  <c r="HO82" s="1"/>
  <c r="HN83"/>
  <c r="HO83" s="1"/>
  <c r="HN84"/>
  <c r="HO84" s="1"/>
  <c r="HN85"/>
  <c r="HO85" s="1"/>
  <c r="HN86"/>
  <c r="HO86" s="1"/>
  <c r="HN87"/>
  <c r="HO87" s="1"/>
  <c r="HN88"/>
  <c r="HO88" s="1"/>
  <c r="HN89"/>
  <c r="HO89" s="1"/>
  <c r="HN90"/>
  <c r="HO90" s="1"/>
  <c r="HN91"/>
  <c r="HO91" s="1"/>
  <c r="HN92"/>
  <c r="HO92" s="1"/>
  <c r="HN93"/>
  <c r="HO93" s="1"/>
  <c r="HN94"/>
  <c r="HO94" s="1"/>
  <c r="HN95"/>
  <c r="HO95" s="1"/>
  <c r="HN96"/>
  <c r="HO96" s="1"/>
  <c r="HN97"/>
  <c r="HO97" s="1"/>
  <c r="HN98"/>
  <c r="HO98" s="1"/>
  <c r="HN99"/>
  <c r="HO99" s="1"/>
  <c r="HN100"/>
  <c r="HO100" s="1"/>
  <c r="HN101"/>
  <c r="HO101" s="1"/>
  <c r="HN102"/>
  <c r="HO102" s="1"/>
  <c r="HN103"/>
  <c r="HO103" s="1"/>
  <c r="HN104"/>
  <c r="HO104" s="1"/>
  <c r="HN105"/>
  <c r="HO105" s="1"/>
  <c r="HN106"/>
  <c r="HO106" s="1"/>
  <c r="HN107"/>
  <c r="HO107" s="1"/>
  <c r="HN108"/>
  <c r="HO108" s="1"/>
  <c r="HN109"/>
  <c r="HO109" s="1"/>
  <c r="HN110"/>
  <c r="HO110" s="1"/>
  <c r="HN111"/>
  <c r="HO111" s="1"/>
  <c r="HN112"/>
  <c r="HO112" s="1"/>
  <c r="HN113"/>
  <c r="HO113" s="1"/>
  <c r="HN114"/>
  <c r="HO114" s="1"/>
  <c r="HN115"/>
  <c r="HO115" s="1"/>
  <c r="HN116"/>
  <c r="HO116" s="1"/>
  <c r="HN117"/>
  <c r="HO117" s="1"/>
  <c r="HN118"/>
  <c r="HO118" s="1"/>
  <c r="HN119"/>
  <c r="HO119" s="1"/>
  <c r="HN120"/>
  <c r="HO120" s="1"/>
  <c r="HN121"/>
  <c r="HO121" s="1"/>
  <c r="HN122"/>
  <c r="HO122" s="1"/>
  <c r="HN123"/>
  <c r="HO123" s="1"/>
  <c r="HN124"/>
  <c r="HO124" s="1"/>
  <c r="HN125"/>
  <c r="HO125" s="1"/>
  <c r="HN126"/>
  <c r="HO126" s="1"/>
  <c r="HN127"/>
  <c r="HO127" s="1"/>
  <c r="HN128"/>
  <c r="HO128" s="1"/>
  <c r="HN129"/>
  <c r="HO129" s="1"/>
  <c r="HN130"/>
  <c r="HO130" s="1"/>
  <c r="HN131"/>
  <c r="HO131" s="1"/>
  <c r="HN132"/>
  <c r="HO132" s="1"/>
  <c r="HN133"/>
  <c r="HO133" s="1"/>
  <c r="HN134"/>
  <c r="HO134" s="1"/>
  <c r="HN135"/>
  <c r="HO135" s="1"/>
  <c r="HN136"/>
  <c r="HO136" s="1"/>
  <c r="HN137"/>
  <c r="HO137" s="1"/>
  <c r="HN138"/>
  <c r="HO138" s="1"/>
  <c r="HN139"/>
  <c r="HO139" s="1"/>
  <c r="HN140"/>
  <c r="HO140" s="1"/>
  <c r="HN141"/>
  <c r="HO141" s="1"/>
  <c r="HN142"/>
  <c r="HO142" s="1"/>
  <c r="HN143"/>
  <c r="HO143" s="1"/>
  <c r="HN144"/>
  <c r="HO144" s="1"/>
  <c r="HN145"/>
  <c r="HO145" s="1"/>
  <c r="HN146"/>
  <c r="HO146" s="1"/>
  <c r="HN147"/>
  <c r="HO147" s="1"/>
  <c r="HN148"/>
  <c r="HO148" s="1"/>
  <c r="HN149"/>
  <c r="HO149" s="1"/>
  <c r="HN150"/>
  <c r="HO150" s="1"/>
  <c r="HN151"/>
  <c r="HO151" s="1"/>
  <c r="HN152"/>
  <c r="HO152" s="1"/>
  <c r="HN153"/>
  <c r="HO153" s="1"/>
  <c r="HN154"/>
  <c r="HO154" s="1"/>
  <c r="HN155"/>
  <c r="HO155" s="1"/>
  <c r="HN156"/>
  <c r="HO156" s="1"/>
  <c r="HN157"/>
  <c r="HO157" s="1"/>
  <c r="HN158"/>
  <c r="HO158" s="1"/>
  <c r="HN159"/>
  <c r="HO159" s="1"/>
  <c r="HN160"/>
  <c r="HO160" s="1"/>
  <c r="HN161"/>
  <c r="HO161" s="1"/>
  <c r="HN162"/>
  <c r="HO162" s="1"/>
  <c r="HN163"/>
  <c r="HO163" s="1"/>
  <c r="HN164"/>
  <c r="HO164" s="1"/>
  <c r="HN165"/>
  <c r="HO165" s="1"/>
  <c r="HN166"/>
  <c r="HO166" s="1"/>
  <c r="HN167"/>
  <c r="HO167" s="1"/>
  <c r="HN168"/>
  <c r="HO168" s="1"/>
  <c r="HN169"/>
  <c r="HO169" s="1"/>
  <c r="HN170"/>
  <c r="HO170" s="1"/>
  <c r="HN171"/>
  <c r="HO171" s="1"/>
  <c r="HN172"/>
  <c r="HO172" s="1"/>
  <c r="HN173"/>
  <c r="HO173" s="1"/>
  <c r="HN174"/>
  <c r="HO174" s="1"/>
  <c r="HN175"/>
  <c r="HO175" s="1"/>
  <c r="HN176"/>
  <c r="HO176" s="1"/>
  <c r="HN177"/>
  <c r="HO177" s="1"/>
  <c r="HN178"/>
  <c r="HO178" s="1"/>
  <c r="HN179"/>
  <c r="HO179" s="1"/>
  <c r="HN180"/>
  <c r="HO180" s="1"/>
  <c r="HN181"/>
  <c r="HO181" s="1"/>
  <c r="HN182"/>
  <c r="HO182" s="1"/>
  <c r="HN183"/>
  <c r="HO183" s="1"/>
  <c r="HN184"/>
  <c r="HO184" s="1"/>
  <c r="HN185"/>
  <c r="HO185" s="1"/>
  <c r="HN186"/>
  <c r="HO186" s="1"/>
  <c r="HN187"/>
  <c r="HO187" s="1"/>
  <c r="HN188"/>
  <c r="HO188" s="1"/>
  <c r="HN189"/>
  <c r="HO189" s="1"/>
  <c r="HN190"/>
  <c r="HO190" s="1"/>
  <c r="HN191"/>
  <c r="HO191" s="1"/>
  <c r="HN192"/>
  <c r="HO192" s="1"/>
  <c r="HN193"/>
  <c r="HO193" s="1"/>
  <c r="HN194"/>
  <c r="HO194" s="1"/>
  <c r="HN195"/>
  <c r="HO195" s="1"/>
  <c r="HN196"/>
  <c r="HO196" s="1"/>
  <c r="HN197"/>
  <c r="HO197" s="1"/>
  <c r="HN198"/>
  <c r="HO198" s="1"/>
  <c r="HN199"/>
  <c r="HO199" s="1"/>
  <c r="HN200"/>
  <c r="HO200" s="1"/>
  <c r="HN201"/>
  <c r="HO201" s="1"/>
  <c r="HN202"/>
  <c r="HO202" s="1"/>
  <c r="HN203"/>
  <c r="HO203" s="1"/>
  <c r="HN204"/>
  <c r="HO204" s="1"/>
  <c r="HN205"/>
  <c r="HO205" s="1"/>
  <c r="HN206"/>
  <c r="HO206" s="1"/>
  <c r="HN207"/>
  <c r="HO207" s="1"/>
  <c r="HN208"/>
  <c r="HO208" s="1"/>
  <c r="HN209"/>
  <c r="HO209" s="1"/>
  <c r="HN210"/>
  <c r="HO210" s="1"/>
  <c r="HN211"/>
  <c r="HO211" s="1"/>
  <c r="HN212"/>
  <c r="HO212" s="1"/>
  <c r="HN213"/>
  <c r="HO213" s="1"/>
  <c r="HN214"/>
  <c r="HO214" s="1"/>
  <c r="HN215"/>
  <c r="HO215" s="1"/>
  <c r="HN216"/>
  <c r="HO216" s="1"/>
  <c r="HN217"/>
  <c r="HO217" s="1"/>
  <c r="HN218"/>
  <c r="HO218" s="1"/>
  <c r="HN219"/>
  <c r="HO219" s="1"/>
  <c r="HN220"/>
  <c r="HO220" s="1"/>
  <c r="HN221"/>
  <c r="HO221" s="1"/>
  <c r="HN222"/>
  <c r="HO222" s="1"/>
  <c r="HN223"/>
  <c r="HO223" s="1"/>
  <c r="HN224"/>
  <c r="HO224" s="1"/>
  <c r="HN225"/>
  <c r="HO225" s="1"/>
  <c r="HN226"/>
  <c r="HO226" s="1"/>
  <c r="HN227"/>
  <c r="HO227" s="1"/>
  <c r="HN228"/>
  <c r="HO228" s="1"/>
  <c r="HN229"/>
  <c r="HO229" s="1"/>
  <c r="HN230"/>
  <c r="HO230" s="1"/>
  <c r="HN231"/>
  <c r="HO231" s="1"/>
  <c r="HN232"/>
  <c r="HO232" s="1"/>
  <c r="HN233"/>
  <c r="HO233" s="1"/>
  <c r="HN234"/>
  <c r="HO234" s="1"/>
  <c r="HN235"/>
  <c r="HO235" s="1"/>
  <c r="HN236"/>
  <c r="HO236" s="1"/>
  <c r="HN237"/>
  <c r="HO237" s="1"/>
  <c r="HN238"/>
  <c r="HO238" s="1"/>
  <c r="HN239"/>
  <c r="HO239" s="1"/>
  <c r="HN240"/>
  <c r="HO240" s="1"/>
  <c r="HN241"/>
  <c r="HO241" s="1"/>
  <c r="HN242"/>
  <c r="HO242" s="1"/>
  <c r="HN243"/>
  <c r="HO243" s="1"/>
  <c r="HN244"/>
  <c r="HO244" s="1"/>
  <c r="HN245"/>
  <c r="HO245" s="1"/>
  <c r="HN246"/>
  <c r="HO246" s="1"/>
  <c r="HN247"/>
  <c r="HO247" s="1"/>
  <c r="HN248"/>
  <c r="HO248" s="1"/>
  <c r="HN249"/>
  <c r="HO249" s="1"/>
  <c r="HN250"/>
  <c r="HO250" s="1"/>
  <c r="HN251"/>
  <c r="HO251" s="1"/>
  <c r="HN252"/>
  <c r="HO252" s="1"/>
  <c r="HN253"/>
  <c r="HO253" s="1"/>
  <c r="HN254"/>
  <c r="HO254" s="1"/>
  <c r="HN255"/>
  <c r="HO255" s="1"/>
  <c r="HN256"/>
  <c r="HO256" s="1"/>
  <c r="HN257"/>
  <c r="HO257" s="1"/>
  <c r="HN258"/>
  <c r="HO258" s="1"/>
  <c r="HN259"/>
  <c r="HO259" s="1"/>
  <c r="HN260"/>
  <c r="HO260" s="1"/>
  <c r="HN261"/>
  <c r="HO261" s="1"/>
  <c r="HN262"/>
  <c r="HO262" s="1"/>
  <c r="HN263"/>
  <c r="HO263" s="1"/>
  <c r="HN264"/>
  <c r="HO264" s="1"/>
  <c r="HN265"/>
  <c r="HO265" s="1"/>
  <c r="HN266"/>
  <c r="HO266" s="1"/>
  <c r="HN267"/>
  <c r="HO267" s="1"/>
  <c r="HN268"/>
  <c r="HO268" s="1"/>
  <c r="HN269"/>
  <c r="HO269" s="1"/>
  <c r="HN270"/>
  <c r="HO270" s="1"/>
  <c r="HN271"/>
  <c r="HO271" s="1"/>
  <c r="HN272"/>
  <c r="HO272" s="1"/>
  <c r="HN273"/>
  <c r="HO273" s="1"/>
  <c r="HN274"/>
  <c r="HO274" s="1"/>
  <c r="HN275"/>
  <c r="HO275" s="1"/>
  <c r="HN276"/>
  <c r="HO276" s="1"/>
  <c r="HN277"/>
  <c r="HO277" s="1"/>
  <c r="HN278"/>
  <c r="HO278" s="1"/>
  <c r="HN279"/>
  <c r="HO279" s="1"/>
  <c r="HL2"/>
  <c r="HL3"/>
  <c r="HM3" s="1"/>
  <c r="HL4"/>
  <c r="HM4" s="1"/>
  <c r="HL5"/>
  <c r="HM5" s="1"/>
  <c r="HL6"/>
  <c r="HM6" s="1"/>
  <c r="HL7"/>
  <c r="HM7" s="1"/>
  <c r="HL8"/>
  <c r="HM8" s="1"/>
  <c r="HL9"/>
  <c r="HM9" s="1"/>
  <c r="HL10"/>
  <c r="HM10" s="1"/>
  <c r="HL11"/>
  <c r="HM11" s="1"/>
  <c r="HL12"/>
  <c r="HM12" s="1"/>
  <c r="HL13"/>
  <c r="HM13" s="1"/>
  <c r="HL14"/>
  <c r="HM14" s="1"/>
  <c r="HL15"/>
  <c r="HM15" s="1"/>
  <c r="HL16"/>
  <c r="HM16" s="1"/>
  <c r="HL17"/>
  <c r="HM17" s="1"/>
  <c r="HL18"/>
  <c r="HM18" s="1"/>
  <c r="HL19"/>
  <c r="HM19" s="1"/>
  <c r="HL20"/>
  <c r="HM20" s="1"/>
  <c r="HL21"/>
  <c r="HM21" s="1"/>
  <c r="HL22"/>
  <c r="HM22" s="1"/>
  <c r="HL23"/>
  <c r="HM23" s="1"/>
  <c r="HL24"/>
  <c r="HM24" s="1"/>
  <c r="HL25"/>
  <c r="HM25" s="1"/>
  <c r="HL26"/>
  <c r="HM26" s="1"/>
  <c r="HL27"/>
  <c r="HM27" s="1"/>
  <c r="HL28"/>
  <c r="HM28" s="1"/>
  <c r="HL29"/>
  <c r="HM29" s="1"/>
  <c r="HL30"/>
  <c r="HM30" s="1"/>
  <c r="HL31"/>
  <c r="HM31" s="1"/>
  <c r="HL32"/>
  <c r="HM32" s="1"/>
  <c r="HL33"/>
  <c r="HM33" s="1"/>
  <c r="HL34"/>
  <c r="HM34" s="1"/>
  <c r="HL35"/>
  <c r="HM35" s="1"/>
  <c r="HL36"/>
  <c r="HM36" s="1"/>
  <c r="HL37"/>
  <c r="HM37" s="1"/>
  <c r="HL38"/>
  <c r="HM38" s="1"/>
  <c r="HL39"/>
  <c r="HM39" s="1"/>
  <c r="HL40"/>
  <c r="HM40" s="1"/>
  <c r="HL41"/>
  <c r="HL42"/>
  <c r="HM42" s="1"/>
  <c r="HL43"/>
  <c r="HM43" s="1"/>
  <c r="HL44"/>
  <c r="HM44" s="1"/>
  <c r="HL45"/>
  <c r="HM45" s="1"/>
  <c r="HL46"/>
  <c r="HM46" s="1"/>
  <c r="HL47"/>
  <c r="HM47" s="1"/>
  <c r="HL48"/>
  <c r="HM48" s="1"/>
  <c r="HL49"/>
  <c r="HM49" s="1"/>
  <c r="HL50"/>
  <c r="HM50" s="1"/>
  <c r="HL51"/>
  <c r="HM51" s="1"/>
  <c r="HL52"/>
  <c r="HM52" s="1"/>
  <c r="HL53"/>
  <c r="HM53" s="1"/>
  <c r="HL54"/>
  <c r="HM54" s="1"/>
  <c r="HL55"/>
  <c r="HM55" s="1"/>
  <c r="HL56"/>
  <c r="HM56" s="1"/>
  <c r="HL57"/>
  <c r="HM57" s="1"/>
  <c r="HL58"/>
  <c r="HM58" s="1"/>
  <c r="HL59"/>
  <c r="HM59" s="1"/>
  <c r="HL60"/>
  <c r="HM60" s="1"/>
  <c r="HL61"/>
  <c r="HM61" s="1"/>
  <c r="HL62"/>
  <c r="HM62" s="1"/>
  <c r="HL63"/>
  <c r="HM63" s="1"/>
  <c r="HL64"/>
  <c r="HM64" s="1"/>
  <c r="HL65"/>
  <c r="HM65" s="1"/>
  <c r="HL66"/>
  <c r="HM66" s="1"/>
  <c r="HL67"/>
  <c r="HM67" s="1"/>
  <c r="HL68"/>
  <c r="HM68" s="1"/>
  <c r="HL69"/>
  <c r="HM69" s="1"/>
  <c r="HL70"/>
  <c r="HM70" s="1"/>
  <c r="HL71"/>
  <c r="HM71" s="1"/>
  <c r="HL72"/>
  <c r="HM72" s="1"/>
  <c r="HL73"/>
  <c r="HM73" s="1"/>
  <c r="HL74"/>
  <c r="HM74" s="1"/>
  <c r="HL75"/>
  <c r="HM75" s="1"/>
  <c r="HL76"/>
  <c r="HM76" s="1"/>
  <c r="HL77"/>
  <c r="HM77" s="1"/>
  <c r="HL78"/>
  <c r="HM78" s="1"/>
  <c r="HL79"/>
  <c r="HM79" s="1"/>
  <c r="HL80"/>
  <c r="HM80" s="1"/>
  <c r="HL81"/>
  <c r="HM81" s="1"/>
  <c r="HL82"/>
  <c r="HM82" s="1"/>
  <c r="HL83"/>
  <c r="HM83" s="1"/>
  <c r="HL84"/>
  <c r="HM84" s="1"/>
  <c r="HL85"/>
  <c r="HM85" s="1"/>
  <c r="HL86"/>
  <c r="HM86" s="1"/>
  <c r="HL87"/>
  <c r="HM87" s="1"/>
  <c r="HL88"/>
  <c r="HM88" s="1"/>
  <c r="HL89"/>
  <c r="HM89" s="1"/>
  <c r="HL90"/>
  <c r="HM90" s="1"/>
  <c r="HL91"/>
  <c r="HM91" s="1"/>
  <c r="HL92"/>
  <c r="HM92" s="1"/>
  <c r="HL93"/>
  <c r="HM93" s="1"/>
  <c r="HL94"/>
  <c r="HM94" s="1"/>
  <c r="HL95"/>
  <c r="HM95" s="1"/>
  <c r="HL96"/>
  <c r="HM96" s="1"/>
  <c r="HL97"/>
  <c r="HM97" s="1"/>
  <c r="HL98"/>
  <c r="HM98" s="1"/>
  <c r="HL99"/>
  <c r="HM99" s="1"/>
  <c r="HL100"/>
  <c r="HM100" s="1"/>
  <c r="HL101"/>
  <c r="HM101" s="1"/>
  <c r="HL102"/>
  <c r="HM102" s="1"/>
  <c r="HL103"/>
  <c r="HM103" s="1"/>
  <c r="HL104"/>
  <c r="HM104" s="1"/>
  <c r="HL105"/>
  <c r="HM105" s="1"/>
  <c r="HL106"/>
  <c r="HM106" s="1"/>
  <c r="HL107"/>
  <c r="HM107" s="1"/>
  <c r="HL108"/>
  <c r="HM108" s="1"/>
  <c r="HL109"/>
  <c r="HM109" s="1"/>
  <c r="HL110"/>
  <c r="HM110" s="1"/>
  <c r="HL111"/>
  <c r="HM111" s="1"/>
  <c r="HL112"/>
  <c r="HM112" s="1"/>
  <c r="HL113"/>
  <c r="HM113" s="1"/>
  <c r="HL114"/>
  <c r="HM114" s="1"/>
  <c r="HL115"/>
  <c r="HM115" s="1"/>
  <c r="HL116"/>
  <c r="HM116" s="1"/>
  <c r="HL117"/>
  <c r="HM117" s="1"/>
  <c r="HL118"/>
  <c r="HM118" s="1"/>
  <c r="HL119"/>
  <c r="HM119" s="1"/>
  <c r="HL120"/>
  <c r="HM120" s="1"/>
  <c r="HL121"/>
  <c r="HM121" s="1"/>
  <c r="HL122"/>
  <c r="HM122" s="1"/>
  <c r="HL123"/>
  <c r="HM123" s="1"/>
  <c r="HL124"/>
  <c r="HM124" s="1"/>
  <c r="HL125"/>
  <c r="HM125" s="1"/>
  <c r="HL126"/>
  <c r="HM126" s="1"/>
  <c r="HL127"/>
  <c r="HM127" s="1"/>
  <c r="HL128"/>
  <c r="HM128" s="1"/>
  <c r="HL129"/>
  <c r="HL130"/>
  <c r="HM130" s="1"/>
  <c r="HL131"/>
  <c r="HM131" s="1"/>
  <c r="HL132"/>
  <c r="HM132" s="1"/>
  <c r="HL133"/>
  <c r="HM133" s="1"/>
  <c r="HL134"/>
  <c r="HM134" s="1"/>
  <c r="HL135"/>
  <c r="HM135" s="1"/>
  <c r="HL136"/>
  <c r="HM136" s="1"/>
  <c r="HL137"/>
  <c r="HM137" s="1"/>
  <c r="HL138"/>
  <c r="HM138" s="1"/>
  <c r="HL139"/>
  <c r="HM139" s="1"/>
  <c r="HL140"/>
  <c r="HM140" s="1"/>
  <c r="HL141"/>
  <c r="HM141" s="1"/>
  <c r="HL142"/>
  <c r="HM142" s="1"/>
  <c r="HL143"/>
  <c r="HM143" s="1"/>
  <c r="HL144"/>
  <c r="HM144" s="1"/>
  <c r="HL145"/>
  <c r="HM145" s="1"/>
  <c r="HL146"/>
  <c r="HM146" s="1"/>
  <c r="HL147"/>
  <c r="HM147" s="1"/>
  <c r="HL148"/>
  <c r="HM148" s="1"/>
  <c r="HL149"/>
  <c r="HM149" s="1"/>
  <c r="HL150"/>
  <c r="HM150" s="1"/>
  <c r="HL151"/>
  <c r="HM151" s="1"/>
  <c r="HL152"/>
  <c r="HM152" s="1"/>
  <c r="HL153"/>
  <c r="HM153" s="1"/>
  <c r="HL154"/>
  <c r="HM154" s="1"/>
  <c r="HL155"/>
  <c r="HM155" s="1"/>
  <c r="HL156"/>
  <c r="HM156" s="1"/>
  <c r="HL157"/>
  <c r="HM157" s="1"/>
  <c r="HL158"/>
  <c r="HM158" s="1"/>
  <c r="HL159"/>
  <c r="HM159" s="1"/>
  <c r="HL160"/>
  <c r="HM160" s="1"/>
  <c r="HL161"/>
  <c r="HM161" s="1"/>
  <c r="HL162"/>
  <c r="HM162" s="1"/>
  <c r="HL163"/>
  <c r="HM163" s="1"/>
  <c r="HL164"/>
  <c r="HM164" s="1"/>
  <c r="HL165"/>
  <c r="HM165" s="1"/>
  <c r="HL166"/>
  <c r="HM166" s="1"/>
  <c r="HL167"/>
  <c r="HM167" s="1"/>
  <c r="HL168"/>
  <c r="HM168" s="1"/>
  <c r="HL169"/>
  <c r="HM169" s="1"/>
  <c r="HL170"/>
  <c r="HM170" s="1"/>
  <c r="HL171"/>
  <c r="HM171" s="1"/>
  <c r="HL172"/>
  <c r="HM172" s="1"/>
  <c r="HL173"/>
  <c r="HM173" s="1"/>
  <c r="HL174"/>
  <c r="HM174" s="1"/>
  <c r="HL175"/>
  <c r="HM175" s="1"/>
  <c r="HL176"/>
  <c r="HM176" s="1"/>
  <c r="HL177"/>
  <c r="HM177" s="1"/>
  <c r="HL178"/>
  <c r="HM178" s="1"/>
  <c r="HL179"/>
  <c r="HM179" s="1"/>
  <c r="HL180"/>
  <c r="HM180" s="1"/>
  <c r="HL181"/>
  <c r="HM181" s="1"/>
  <c r="HL182"/>
  <c r="HM182" s="1"/>
  <c r="HL183"/>
  <c r="HM183" s="1"/>
  <c r="HL184"/>
  <c r="HM184" s="1"/>
  <c r="HL185"/>
  <c r="HM185" s="1"/>
  <c r="HL186"/>
  <c r="HM186" s="1"/>
  <c r="HL187"/>
  <c r="HM187" s="1"/>
  <c r="HL188"/>
  <c r="HM188" s="1"/>
  <c r="HL189"/>
  <c r="HM189" s="1"/>
  <c r="HL190"/>
  <c r="HM190" s="1"/>
  <c r="HL191"/>
  <c r="HM191" s="1"/>
  <c r="HL192"/>
  <c r="HM192" s="1"/>
  <c r="HL193"/>
  <c r="HM193" s="1"/>
  <c r="HL194"/>
  <c r="HM194" s="1"/>
  <c r="HL195"/>
  <c r="HM195" s="1"/>
  <c r="HL196"/>
  <c r="HM196" s="1"/>
  <c r="HL197"/>
  <c r="HM197" s="1"/>
  <c r="HL198"/>
  <c r="HM198" s="1"/>
  <c r="HL199"/>
  <c r="HM199" s="1"/>
  <c r="HL200"/>
  <c r="HM200" s="1"/>
  <c r="HL201"/>
  <c r="HM201" s="1"/>
  <c r="HL202"/>
  <c r="HM202" s="1"/>
  <c r="HL203"/>
  <c r="HM203" s="1"/>
  <c r="HL204"/>
  <c r="HM204" s="1"/>
  <c r="HL205"/>
  <c r="HM205" s="1"/>
  <c r="HL206"/>
  <c r="HM206" s="1"/>
  <c r="HL207"/>
  <c r="HM207" s="1"/>
  <c r="HL208"/>
  <c r="HM208" s="1"/>
  <c r="HL209"/>
  <c r="HM209" s="1"/>
  <c r="HL210"/>
  <c r="HM210" s="1"/>
  <c r="HL211"/>
  <c r="HM211" s="1"/>
  <c r="HL212"/>
  <c r="HM212" s="1"/>
  <c r="HL213"/>
  <c r="HM213" s="1"/>
  <c r="HL214"/>
  <c r="HM214" s="1"/>
  <c r="HL215"/>
  <c r="HM215" s="1"/>
  <c r="HL216"/>
  <c r="HM216" s="1"/>
  <c r="HL217"/>
  <c r="HM217" s="1"/>
  <c r="HL218"/>
  <c r="HM218" s="1"/>
  <c r="HL219"/>
  <c r="HM219" s="1"/>
  <c r="HL220"/>
  <c r="HM220" s="1"/>
  <c r="HL221"/>
  <c r="HM221" s="1"/>
  <c r="HL222"/>
  <c r="HM222" s="1"/>
  <c r="HL223"/>
  <c r="HM223" s="1"/>
  <c r="HL224"/>
  <c r="HM224" s="1"/>
  <c r="HL225"/>
  <c r="HM225" s="1"/>
  <c r="HL226"/>
  <c r="HM226" s="1"/>
  <c r="HL227"/>
  <c r="HM227" s="1"/>
  <c r="HL228"/>
  <c r="HM228" s="1"/>
  <c r="HL229"/>
  <c r="HM229" s="1"/>
  <c r="HL230"/>
  <c r="HM230" s="1"/>
  <c r="HL231"/>
  <c r="HM231" s="1"/>
  <c r="HL232"/>
  <c r="HM232" s="1"/>
  <c r="HL233"/>
  <c r="HM233" s="1"/>
  <c r="HL234"/>
  <c r="HM234" s="1"/>
  <c r="HL235"/>
  <c r="HM235" s="1"/>
  <c r="HL236"/>
  <c r="HM236" s="1"/>
  <c r="HL237"/>
  <c r="HM237" s="1"/>
  <c r="HL238"/>
  <c r="HM238" s="1"/>
  <c r="HL239"/>
  <c r="HM239" s="1"/>
  <c r="HL240"/>
  <c r="HM240" s="1"/>
  <c r="HL241"/>
  <c r="HM241" s="1"/>
  <c r="HL242"/>
  <c r="HM242" s="1"/>
  <c r="HL243"/>
  <c r="HM243" s="1"/>
  <c r="HL244"/>
  <c r="HM244" s="1"/>
  <c r="HL245"/>
  <c r="HM245" s="1"/>
  <c r="HL246"/>
  <c r="HM246" s="1"/>
  <c r="HL247"/>
  <c r="HM247" s="1"/>
  <c r="HL248"/>
  <c r="HM248" s="1"/>
  <c r="HL249"/>
  <c r="HM249" s="1"/>
  <c r="HL250"/>
  <c r="HM250" s="1"/>
  <c r="HL251"/>
  <c r="HM251" s="1"/>
  <c r="HL252"/>
  <c r="HM252" s="1"/>
  <c r="HL253"/>
  <c r="HM253" s="1"/>
  <c r="HL254"/>
  <c r="HM254" s="1"/>
  <c r="HL255"/>
  <c r="HM255" s="1"/>
  <c r="HL256"/>
  <c r="HM256" s="1"/>
  <c r="HL257"/>
  <c r="HM257" s="1"/>
  <c r="HL258"/>
  <c r="HM258" s="1"/>
  <c r="HL259"/>
  <c r="HM259" s="1"/>
  <c r="HL260"/>
  <c r="HM260" s="1"/>
  <c r="HL261"/>
  <c r="HM261" s="1"/>
  <c r="HL262"/>
  <c r="HM262" s="1"/>
  <c r="HL263"/>
  <c r="HM263" s="1"/>
  <c r="HL264"/>
  <c r="HM264" s="1"/>
  <c r="HL265"/>
  <c r="HM265" s="1"/>
  <c r="HL266"/>
  <c r="HM266" s="1"/>
  <c r="HL267"/>
  <c r="HM267" s="1"/>
  <c r="HL268"/>
  <c r="HM268" s="1"/>
  <c r="HL269"/>
  <c r="HM269" s="1"/>
  <c r="HL270"/>
  <c r="HM270" s="1"/>
  <c r="HL271"/>
  <c r="HM271" s="1"/>
  <c r="HL272"/>
  <c r="HM272" s="1"/>
  <c r="HL273"/>
  <c r="HM273" s="1"/>
  <c r="HL274"/>
  <c r="HM274" s="1"/>
  <c r="HL275"/>
  <c r="HM275" s="1"/>
  <c r="HL276"/>
  <c r="HM276" s="1"/>
  <c r="HL277"/>
  <c r="HM277" s="1"/>
  <c r="HL278"/>
  <c r="HM278" s="1"/>
  <c r="HL279"/>
  <c r="HM279" s="1"/>
  <c r="HJ2"/>
  <c r="HK2" s="1"/>
  <c r="HJ3"/>
  <c r="HK3" s="1"/>
  <c r="HJ4"/>
  <c r="HK4" s="1"/>
  <c r="HJ5"/>
  <c r="HK5" s="1"/>
  <c r="HJ6"/>
  <c r="HK6" s="1"/>
  <c r="HJ7"/>
  <c r="HK7" s="1"/>
  <c r="HJ8"/>
  <c r="HK8" s="1"/>
  <c r="HJ9"/>
  <c r="HK9" s="1"/>
  <c r="HJ10"/>
  <c r="HK10" s="1"/>
  <c r="HJ11"/>
  <c r="HK11" s="1"/>
  <c r="HJ12"/>
  <c r="HK12" s="1"/>
  <c r="HJ13"/>
  <c r="HK13" s="1"/>
  <c r="HJ14"/>
  <c r="HK14" s="1"/>
  <c r="HJ15"/>
  <c r="HK15" s="1"/>
  <c r="HJ16"/>
  <c r="HK16" s="1"/>
  <c r="HJ17"/>
  <c r="HK17" s="1"/>
  <c r="HJ18"/>
  <c r="HK18" s="1"/>
  <c r="HJ19"/>
  <c r="HK19" s="1"/>
  <c r="HJ20"/>
  <c r="HK20" s="1"/>
  <c r="HJ21"/>
  <c r="HK21" s="1"/>
  <c r="HJ22"/>
  <c r="HK22" s="1"/>
  <c r="HJ23"/>
  <c r="HK23" s="1"/>
  <c r="HJ24"/>
  <c r="HK24" s="1"/>
  <c r="HJ25"/>
  <c r="HK25" s="1"/>
  <c r="HJ26"/>
  <c r="HK26" s="1"/>
  <c r="HJ27"/>
  <c r="HK27" s="1"/>
  <c r="HJ28"/>
  <c r="HK28" s="1"/>
  <c r="HJ29"/>
  <c r="HK29" s="1"/>
  <c r="HJ30"/>
  <c r="HK30" s="1"/>
  <c r="HJ31"/>
  <c r="HK31" s="1"/>
  <c r="HJ32"/>
  <c r="HK32" s="1"/>
  <c r="HJ33"/>
  <c r="HK33" s="1"/>
  <c r="HJ34"/>
  <c r="HK34" s="1"/>
  <c r="HJ35"/>
  <c r="HK35" s="1"/>
  <c r="HJ36"/>
  <c r="HK36" s="1"/>
  <c r="HJ37"/>
  <c r="HK37" s="1"/>
  <c r="HJ38"/>
  <c r="HK38" s="1"/>
  <c r="HJ39"/>
  <c r="HK39" s="1"/>
  <c r="HJ40"/>
  <c r="HK40" s="1"/>
  <c r="HJ41"/>
  <c r="HK41" s="1"/>
  <c r="HJ42"/>
  <c r="HK42" s="1"/>
  <c r="HJ43"/>
  <c r="HK43" s="1"/>
  <c r="HJ44"/>
  <c r="HK44" s="1"/>
  <c r="HJ45"/>
  <c r="HK45" s="1"/>
  <c r="HJ46"/>
  <c r="HK46" s="1"/>
  <c r="HJ47"/>
  <c r="HK47" s="1"/>
  <c r="HJ48"/>
  <c r="HK48" s="1"/>
  <c r="HJ49"/>
  <c r="HK49" s="1"/>
  <c r="HJ50"/>
  <c r="HK50" s="1"/>
  <c r="HJ51"/>
  <c r="HK51" s="1"/>
  <c r="HJ52"/>
  <c r="HK52" s="1"/>
  <c r="HJ53"/>
  <c r="HK53" s="1"/>
  <c r="HJ54"/>
  <c r="HK54" s="1"/>
  <c r="HJ55"/>
  <c r="HK55" s="1"/>
  <c r="HJ56"/>
  <c r="HK56" s="1"/>
  <c r="HJ57"/>
  <c r="HK57" s="1"/>
  <c r="HJ58"/>
  <c r="HK58" s="1"/>
  <c r="HJ59"/>
  <c r="HK59" s="1"/>
  <c r="HJ60"/>
  <c r="HK60" s="1"/>
  <c r="HJ61"/>
  <c r="HK61" s="1"/>
  <c r="HJ62"/>
  <c r="HK62" s="1"/>
  <c r="HJ63"/>
  <c r="HK63" s="1"/>
  <c r="HJ64"/>
  <c r="HK64" s="1"/>
  <c r="HJ65"/>
  <c r="HK65" s="1"/>
  <c r="HJ66"/>
  <c r="HK66" s="1"/>
  <c r="HJ67"/>
  <c r="HK67" s="1"/>
  <c r="HJ68"/>
  <c r="HK68" s="1"/>
  <c r="HJ69"/>
  <c r="HK69" s="1"/>
  <c r="HJ70"/>
  <c r="HK70" s="1"/>
  <c r="HJ71"/>
  <c r="HK71" s="1"/>
  <c r="HJ72"/>
  <c r="HK72" s="1"/>
  <c r="HJ73"/>
  <c r="HK73" s="1"/>
  <c r="HJ74"/>
  <c r="HK74" s="1"/>
  <c r="HJ75"/>
  <c r="HK75" s="1"/>
  <c r="HJ76"/>
  <c r="HK76" s="1"/>
  <c r="HJ77"/>
  <c r="HK77" s="1"/>
  <c r="HJ78"/>
  <c r="HK78" s="1"/>
  <c r="HJ79"/>
  <c r="HK79" s="1"/>
  <c r="HJ80"/>
  <c r="HK80" s="1"/>
  <c r="HJ81"/>
  <c r="HK81" s="1"/>
  <c r="HJ82"/>
  <c r="HK82" s="1"/>
  <c r="HJ83"/>
  <c r="HK83" s="1"/>
  <c r="HJ84"/>
  <c r="HK84" s="1"/>
  <c r="HJ85"/>
  <c r="HK85" s="1"/>
  <c r="HJ86"/>
  <c r="HK86" s="1"/>
  <c r="HJ87"/>
  <c r="HK87" s="1"/>
  <c r="HJ88"/>
  <c r="HK88" s="1"/>
  <c r="HJ89"/>
  <c r="HK89" s="1"/>
  <c r="HJ90"/>
  <c r="HK90" s="1"/>
  <c r="HJ91"/>
  <c r="HK91" s="1"/>
  <c r="HJ92"/>
  <c r="HK92" s="1"/>
  <c r="HJ93"/>
  <c r="HK93" s="1"/>
  <c r="HJ94"/>
  <c r="HK94" s="1"/>
  <c r="HJ95"/>
  <c r="HK95" s="1"/>
  <c r="HJ96"/>
  <c r="HK96" s="1"/>
  <c r="HJ97"/>
  <c r="HK97" s="1"/>
  <c r="HJ98"/>
  <c r="HK98" s="1"/>
  <c r="HJ99"/>
  <c r="HK99" s="1"/>
  <c r="HJ100"/>
  <c r="HK100" s="1"/>
  <c r="HJ101"/>
  <c r="HK101" s="1"/>
  <c r="HJ102"/>
  <c r="HK102" s="1"/>
  <c r="HJ103"/>
  <c r="HK103" s="1"/>
  <c r="HJ104"/>
  <c r="HK104" s="1"/>
  <c r="HJ105"/>
  <c r="HK105" s="1"/>
  <c r="HJ106"/>
  <c r="HK106" s="1"/>
  <c r="HJ107"/>
  <c r="HK107" s="1"/>
  <c r="HJ108"/>
  <c r="HK108" s="1"/>
  <c r="HJ109"/>
  <c r="HK109" s="1"/>
  <c r="HJ110"/>
  <c r="HK110" s="1"/>
  <c r="HJ111"/>
  <c r="HK111" s="1"/>
  <c r="HJ112"/>
  <c r="HK112" s="1"/>
  <c r="HJ113"/>
  <c r="HK113" s="1"/>
  <c r="HJ114"/>
  <c r="HK114" s="1"/>
  <c r="HJ115"/>
  <c r="HK115" s="1"/>
  <c r="HJ116"/>
  <c r="HK116" s="1"/>
  <c r="HJ117"/>
  <c r="HK117" s="1"/>
  <c r="HJ118"/>
  <c r="HK118" s="1"/>
  <c r="HJ119"/>
  <c r="HK119" s="1"/>
  <c r="HJ120"/>
  <c r="HK120" s="1"/>
  <c r="HJ121"/>
  <c r="HK121" s="1"/>
  <c r="HJ122"/>
  <c r="HK122" s="1"/>
  <c r="HJ123"/>
  <c r="HK123" s="1"/>
  <c r="HJ124"/>
  <c r="HK124" s="1"/>
  <c r="HJ125"/>
  <c r="HK125" s="1"/>
  <c r="HJ126"/>
  <c r="HK126" s="1"/>
  <c r="HJ127"/>
  <c r="HK127" s="1"/>
  <c r="HJ128"/>
  <c r="HK128" s="1"/>
  <c r="HJ129"/>
  <c r="HK129" s="1"/>
  <c r="HJ130"/>
  <c r="HK130" s="1"/>
  <c r="HJ131"/>
  <c r="HK131" s="1"/>
  <c r="HJ132"/>
  <c r="HK132" s="1"/>
  <c r="HJ133"/>
  <c r="HK133" s="1"/>
  <c r="HJ134"/>
  <c r="HK134" s="1"/>
  <c r="HJ135"/>
  <c r="HK135" s="1"/>
  <c r="HJ136"/>
  <c r="HK136" s="1"/>
  <c r="HJ137"/>
  <c r="HK137" s="1"/>
  <c r="HJ138"/>
  <c r="HK138" s="1"/>
  <c r="HJ139"/>
  <c r="HK139" s="1"/>
  <c r="HJ140"/>
  <c r="HK140" s="1"/>
  <c r="HJ141"/>
  <c r="HK141" s="1"/>
  <c r="HJ142"/>
  <c r="HK142" s="1"/>
  <c r="HJ143"/>
  <c r="HK143" s="1"/>
  <c r="HJ144"/>
  <c r="HK144" s="1"/>
  <c r="HJ145"/>
  <c r="HK145" s="1"/>
  <c r="HJ146"/>
  <c r="HK146" s="1"/>
  <c r="HJ147"/>
  <c r="HK147" s="1"/>
  <c r="HJ148"/>
  <c r="HK148" s="1"/>
  <c r="HJ149"/>
  <c r="HK149" s="1"/>
  <c r="HJ150"/>
  <c r="HK150" s="1"/>
  <c r="HJ151"/>
  <c r="HK151" s="1"/>
  <c r="HJ152"/>
  <c r="HK152" s="1"/>
  <c r="HJ153"/>
  <c r="HK153" s="1"/>
  <c r="HJ154"/>
  <c r="HK154" s="1"/>
  <c r="HJ155"/>
  <c r="HK155" s="1"/>
  <c r="HJ156"/>
  <c r="HK156" s="1"/>
  <c r="HJ157"/>
  <c r="HK157" s="1"/>
  <c r="HJ158"/>
  <c r="HK158" s="1"/>
  <c r="HJ159"/>
  <c r="HK159" s="1"/>
  <c r="HJ160"/>
  <c r="HK160" s="1"/>
  <c r="HJ161"/>
  <c r="HK161" s="1"/>
  <c r="HJ162"/>
  <c r="HK162" s="1"/>
  <c r="HJ163"/>
  <c r="HK163" s="1"/>
  <c r="HJ164"/>
  <c r="HK164" s="1"/>
  <c r="HJ165"/>
  <c r="HK165" s="1"/>
  <c r="HJ166"/>
  <c r="HK166" s="1"/>
  <c r="HJ167"/>
  <c r="HK167" s="1"/>
  <c r="HJ168"/>
  <c r="HK168" s="1"/>
  <c r="HJ169"/>
  <c r="HK169" s="1"/>
  <c r="HJ170"/>
  <c r="HK170" s="1"/>
  <c r="HJ171"/>
  <c r="HK171" s="1"/>
  <c r="HJ172"/>
  <c r="HK172" s="1"/>
  <c r="HJ173"/>
  <c r="HK173" s="1"/>
  <c r="HJ174"/>
  <c r="HK174" s="1"/>
  <c r="HJ175"/>
  <c r="HK175" s="1"/>
  <c r="HJ176"/>
  <c r="HK176" s="1"/>
  <c r="HJ177"/>
  <c r="HK177" s="1"/>
  <c r="HJ178"/>
  <c r="HK178" s="1"/>
  <c r="HJ179"/>
  <c r="HK179" s="1"/>
  <c r="HJ180"/>
  <c r="HK180" s="1"/>
  <c r="HJ181"/>
  <c r="HK181" s="1"/>
  <c r="HJ182"/>
  <c r="HK182" s="1"/>
  <c r="HJ183"/>
  <c r="HK183" s="1"/>
  <c r="HJ184"/>
  <c r="HK184" s="1"/>
  <c r="HJ185"/>
  <c r="HK185" s="1"/>
  <c r="HJ186"/>
  <c r="HK186" s="1"/>
  <c r="HJ187"/>
  <c r="HK187" s="1"/>
  <c r="HJ188"/>
  <c r="HK188" s="1"/>
  <c r="HJ189"/>
  <c r="HK189" s="1"/>
  <c r="HJ190"/>
  <c r="HK190" s="1"/>
  <c r="HJ191"/>
  <c r="HK191" s="1"/>
  <c r="HJ192"/>
  <c r="HK192" s="1"/>
  <c r="HJ193"/>
  <c r="HK193" s="1"/>
  <c r="HJ194"/>
  <c r="HK194" s="1"/>
  <c r="HJ195"/>
  <c r="HK195" s="1"/>
  <c r="HJ196"/>
  <c r="HK196" s="1"/>
  <c r="HJ197"/>
  <c r="HK197" s="1"/>
  <c r="HJ198"/>
  <c r="HK198" s="1"/>
  <c r="HJ199"/>
  <c r="HK199" s="1"/>
  <c r="HJ200"/>
  <c r="HK200" s="1"/>
  <c r="HJ201"/>
  <c r="HK201" s="1"/>
  <c r="HJ202"/>
  <c r="HK202" s="1"/>
  <c r="HJ203"/>
  <c r="HK203" s="1"/>
  <c r="HJ204"/>
  <c r="HK204" s="1"/>
  <c r="HJ205"/>
  <c r="HK205" s="1"/>
  <c r="HJ206"/>
  <c r="HK206" s="1"/>
  <c r="HJ207"/>
  <c r="HK207" s="1"/>
  <c r="HJ208"/>
  <c r="HK208" s="1"/>
  <c r="HJ209"/>
  <c r="HK209" s="1"/>
  <c r="HJ210"/>
  <c r="HK210" s="1"/>
  <c r="HJ211"/>
  <c r="HK211" s="1"/>
  <c r="HJ212"/>
  <c r="HK212" s="1"/>
  <c r="HJ213"/>
  <c r="HK213" s="1"/>
  <c r="HJ214"/>
  <c r="HK214" s="1"/>
  <c r="HJ215"/>
  <c r="HK215" s="1"/>
  <c r="HJ216"/>
  <c r="HK216" s="1"/>
  <c r="HJ217"/>
  <c r="HK217" s="1"/>
  <c r="HJ218"/>
  <c r="HK218" s="1"/>
  <c r="HJ219"/>
  <c r="HK219" s="1"/>
  <c r="HJ220"/>
  <c r="HK220" s="1"/>
  <c r="HJ221"/>
  <c r="HK221" s="1"/>
  <c r="HJ222"/>
  <c r="HK222" s="1"/>
  <c r="HJ223"/>
  <c r="HK223" s="1"/>
  <c r="HJ224"/>
  <c r="HK224" s="1"/>
  <c r="HJ225"/>
  <c r="HK225" s="1"/>
  <c r="HJ226"/>
  <c r="HK226" s="1"/>
  <c r="HJ227"/>
  <c r="HK227" s="1"/>
  <c r="HJ228"/>
  <c r="HK228" s="1"/>
  <c r="HJ229"/>
  <c r="HK229" s="1"/>
  <c r="HJ230"/>
  <c r="HK230" s="1"/>
  <c r="HJ231"/>
  <c r="HK231" s="1"/>
  <c r="HJ232"/>
  <c r="HK232" s="1"/>
  <c r="HJ233"/>
  <c r="HK233" s="1"/>
  <c r="HJ234"/>
  <c r="HK234" s="1"/>
  <c r="HJ235"/>
  <c r="HK235" s="1"/>
  <c r="HJ236"/>
  <c r="HK236" s="1"/>
  <c r="HJ237"/>
  <c r="HK237" s="1"/>
  <c r="HJ238"/>
  <c r="HK238" s="1"/>
  <c r="HJ239"/>
  <c r="HK239" s="1"/>
  <c r="HJ240"/>
  <c r="HK240" s="1"/>
  <c r="HJ241"/>
  <c r="HK241" s="1"/>
  <c r="HJ242"/>
  <c r="HK242" s="1"/>
  <c r="HJ243"/>
  <c r="HK243" s="1"/>
  <c r="HJ244"/>
  <c r="HK244" s="1"/>
  <c r="HJ245"/>
  <c r="HK245" s="1"/>
  <c r="HJ246"/>
  <c r="HK246" s="1"/>
  <c r="HJ247"/>
  <c r="HK247" s="1"/>
  <c r="HJ248"/>
  <c r="HK248" s="1"/>
  <c r="HJ249"/>
  <c r="HK249" s="1"/>
  <c r="HJ250"/>
  <c r="HK250" s="1"/>
  <c r="HJ251"/>
  <c r="HK251" s="1"/>
  <c r="HJ252"/>
  <c r="HK252" s="1"/>
  <c r="HJ253"/>
  <c r="HK253" s="1"/>
  <c r="HJ254"/>
  <c r="HK254" s="1"/>
  <c r="HJ255"/>
  <c r="HK255" s="1"/>
  <c r="HJ256"/>
  <c r="HK256" s="1"/>
  <c r="HJ257"/>
  <c r="HK257" s="1"/>
  <c r="HJ258"/>
  <c r="HK258" s="1"/>
  <c r="HJ259"/>
  <c r="HK259" s="1"/>
  <c r="HJ260"/>
  <c r="HK260" s="1"/>
  <c r="HJ261"/>
  <c r="HK261" s="1"/>
  <c r="HJ262"/>
  <c r="HK262" s="1"/>
  <c r="HJ263"/>
  <c r="HK263" s="1"/>
  <c r="HJ264"/>
  <c r="HK264" s="1"/>
  <c r="HJ265"/>
  <c r="HK265" s="1"/>
  <c r="HJ266"/>
  <c r="HK266" s="1"/>
  <c r="HJ267"/>
  <c r="HK267" s="1"/>
  <c r="HJ268"/>
  <c r="HK268" s="1"/>
  <c r="HJ269"/>
  <c r="HK269" s="1"/>
  <c r="HJ270"/>
  <c r="HK270" s="1"/>
  <c r="HJ271"/>
  <c r="HK271" s="1"/>
  <c r="HJ272"/>
  <c r="HK272" s="1"/>
  <c r="HJ273"/>
  <c r="HK273" s="1"/>
  <c r="HJ274"/>
  <c r="HK274" s="1"/>
  <c r="HJ275"/>
  <c r="HK275" s="1"/>
  <c r="HJ276"/>
  <c r="HK276" s="1"/>
  <c r="HJ277"/>
  <c r="HK277" s="1"/>
  <c r="HJ278"/>
  <c r="HK278" s="1"/>
  <c r="HJ279"/>
  <c r="HK279" s="1"/>
  <c r="HH2"/>
  <c r="HI2" s="1"/>
  <c r="HH3"/>
  <c r="HI3" s="1"/>
  <c r="HH4"/>
  <c r="HI4" s="1"/>
  <c r="HH5"/>
  <c r="HI5" s="1"/>
  <c r="HH6"/>
  <c r="HI6" s="1"/>
  <c r="HH7"/>
  <c r="HI7" s="1"/>
  <c r="HH8"/>
  <c r="HI8" s="1"/>
  <c r="HH9"/>
  <c r="HI9" s="1"/>
  <c r="HH10"/>
  <c r="HI10" s="1"/>
  <c r="HH11"/>
  <c r="HI11" s="1"/>
  <c r="HH12"/>
  <c r="HI12" s="1"/>
  <c r="HH13"/>
  <c r="HI13" s="1"/>
  <c r="HH14"/>
  <c r="HI14" s="1"/>
  <c r="HH15"/>
  <c r="HI15" s="1"/>
  <c r="HH16"/>
  <c r="HI16" s="1"/>
  <c r="HH17"/>
  <c r="HI17" s="1"/>
  <c r="HH18"/>
  <c r="HI18" s="1"/>
  <c r="HH19"/>
  <c r="HI19" s="1"/>
  <c r="HH20"/>
  <c r="HI20" s="1"/>
  <c r="HH21"/>
  <c r="HI21" s="1"/>
  <c r="HH22"/>
  <c r="HI22" s="1"/>
  <c r="HH23"/>
  <c r="HI23" s="1"/>
  <c r="HH24"/>
  <c r="HI24" s="1"/>
  <c r="HH25"/>
  <c r="HI25" s="1"/>
  <c r="HH26"/>
  <c r="HI26" s="1"/>
  <c r="HH27"/>
  <c r="HI27" s="1"/>
  <c r="HH28"/>
  <c r="HI28" s="1"/>
  <c r="HH29"/>
  <c r="HI29" s="1"/>
  <c r="HH30"/>
  <c r="HI30" s="1"/>
  <c r="HH31"/>
  <c r="HI31" s="1"/>
  <c r="HH32"/>
  <c r="HI32" s="1"/>
  <c r="HH33"/>
  <c r="HI33" s="1"/>
  <c r="HH34"/>
  <c r="HI34" s="1"/>
  <c r="HH35"/>
  <c r="HI35" s="1"/>
  <c r="HH36"/>
  <c r="HI36" s="1"/>
  <c r="HH37"/>
  <c r="HI37" s="1"/>
  <c r="HH38"/>
  <c r="HI38" s="1"/>
  <c r="HH39"/>
  <c r="HI39" s="1"/>
  <c r="HH40"/>
  <c r="HI40" s="1"/>
  <c r="HH41"/>
  <c r="HI41" s="1"/>
  <c r="HH42"/>
  <c r="HI42" s="1"/>
  <c r="HH43"/>
  <c r="HI43" s="1"/>
  <c r="HH44"/>
  <c r="HI44" s="1"/>
  <c r="HH45"/>
  <c r="HI45" s="1"/>
  <c r="HH46"/>
  <c r="HI46" s="1"/>
  <c r="HH47"/>
  <c r="HI47" s="1"/>
  <c r="HH48"/>
  <c r="HI48" s="1"/>
  <c r="HH49"/>
  <c r="HI49" s="1"/>
  <c r="HH50"/>
  <c r="HI50" s="1"/>
  <c r="HH51"/>
  <c r="HI51" s="1"/>
  <c r="HH52"/>
  <c r="HI52" s="1"/>
  <c r="HH53"/>
  <c r="HI53" s="1"/>
  <c r="HH54"/>
  <c r="HI54" s="1"/>
  <c r="HH55"/>
  <c r="HI55" s="1"/>
  <c r="HH56"/>
  <c r="HI56" s="1"/>
  <c r="HH57"/>
  <c r="HI57" s="1"/>
  <c r="HH58"/>
  <c r="HI58" s="1"/>
  <c r="HH59"/>
  <c r="HI59" s="1"/>
  <c r="HH60"/>
  <c r="HI60" s="1"/>
  <c r="HH61"/>
  <c r="HI61" s="1"/>
  <c r="HH62"/>
  <c r="HI62" s="1"/>
  <c r="HH63"/>
  <c r="HI63" s="1"/>
  <c r="HH64"/>
  <c r="HI64" s="1"/>
  <c r="HH65"/>
  <c r="HI65" s="1"/>
  <c r="HH66"/>
  <c r="HI66" s="1"/>
  <c r="HH67"/>
  <c r="HI67" s="1"/>
  <c r="HH68"/>
  <c r="HI68" s="1"/>
  <c r="HH69"/>
  <c r="HI69" s="1"/>
  <c r="HH70"/>
  <c r="HI70" s="1"/>
  <c r="HH71"/>
  <c r="HI71" s="1"/>
  <c r="HH72"/>
  <c r="HI72" s="1"/>
  <c r="HH73"/>
  <c r="HI73" s="1"/>
  <c r="HH74"/>
  <c r="HI74" s="1"/>
  <c r="HH75"/>
  <c r="HI75" s="1"/>
  <c r="HH76"/>
  <c r="HI76" s="1"/>
  <c r="HH77"/>
  <c r="HI77" s="1"/>
  <c r="HH78"/>
  <c r="HI78" s="1"/>
  <c r="HH79"/>
  <c r="HI79" s="1"/>
  <c r="HH80"/>
  <c r="HI80" s="1"/>
  <c r="HH81"/>
  <c r="HI81" s="1"/>
  <c r="HH82"/>
  <c r="HI82" s="1"/>
  <c r="HH83"/>
  <c r="HI83" s="1"/>
  <c r="HH84"/>
  <c r="HI84" s="1"/>
  <c r="HH85"/>
  <c r="HI85" s="1"/>
  <c r="HH86"/>
  <c r="HI86" s="1"/>
  <c r="HH87"/>
  <c r="HI87" s="1"/>
  <c r="HH88"/>
  <c r="HI88" s="1"/>
  <c r="HH89"/>
  <c r="HI89" s="1"/>
  <c r="HH90"/>
  <c r="HI90" s="1"/>
  <c r="HH91"/>
  <c r="HI91" s="1"/>
  <c r="HH92"/>
  <c r="HI92" s="1"/>
  <c r="HH93"/>
  <c r="HI93" s="1"/>
  <c r="HH94"/>
  <c r="HI94" s="1"/>
  <c r="HH95"/>
  <c r="HI95" s="1"/>
  <c r="HH96"/>
  <c r="HI96" s="1"/>
  <c r="HH97"/>
  <c r="HI97" s="1"/>
  <c r="HH98"/>
  <c r="HI98" s="1"/>
  <c r="HH99"/>
  <c r="HI99" s="1"/>
  <c r="HH100"/>
  <c r="HI100" s="1"/>
  <c r="HH101"/>
  <c r="HI101" s="1"/>
  <c r="HH102"/>
  <c r="HI102" s="1"/>
  <c r="HH103"/>
  <c r="HI103" s="1"/>
  <c r="HH104"/>
  <c r="HI104" s="1"/>
  <c r="HH105"/>
  <c r="HI105" s="1"/>
  <c r="HH106"/>
  <c r="HI106" s="1"/>
  <c r="HH107"/>
  <c r="HI107" s="1"/>
  <c r="HH108"/>
  <c r="HI108" s="1"/>
  <c r="HH109"/>
  <c r="HI109" s="1"/>
  <c r="HH110"/>
  <c r="HI110" s="1"/>
  <c r="HH111"/>
  <c r="HI111" s="1"/>
  <c r="HH112"/>
  <c r="HI112" s="1"/>
  <c r="HH113"/>
  <c r="HI113" s="1"/>
  <c r="HH114"/>
  <c r="HI114" s="1"/>
  <c r="HH115"/>
  <c r="HI115" s="1"/>
  <c r="HH116"/>
  <c r="HI116" s="1"/>
  <c r="HH117"/>
  <c r="HI117" s="1"/>
  <c r="HH118"/>
  <c r="HI118" s="1"/>
  <c r="HH119"/>
  <c r="HI119" s="1"/>
  <c r="HH120"/>
  <c r="HI120" s="1"/>
  <c r="HH121"/>
  <c r="HI121" s="1"/>
  <c r="HH122"/>
  <c r="HI122" s="1"/>
  <c r="HH123"/>
  <c r="HI123" s="1"/>
  <c r="HH124"/>
  <c r="HI124" s="1"/>
  <c r="HH125"/>
  <c r="HI125" s="1"/>
  <c r="HH126"/>
  <c r="HI126" s="1"/>
  <c r="HH127"/>
  <c r="HI127" s="1"/>
  <c r="HH128"/>
  <c r="HI128" s="1"/>
  <c r="HH129"/>
  <c r="HI129" s="1"/>
  <c r="HH130"/>
  <c r="HI130" s="1"/>
  <c r="HH131"/>
  <c r="HI131" s="1"/>
  <c r="HH132"/>
  <c r="HI132" s="1"/>
  <c r="HH133"/>
  <c r="HI133" s="1"/>
  <c r="HH134"/>
  <c r="HI134" s="1"/>
  <c r="HH135"/>
  <c r="HI135" s="1"/>
  <c r="HH136"/>
  <c r="HI136" s="1"/>
  <c r="HH137"/>
  <c r="HI137" s="1"/>
  <c r="HH138"/>
  <c r="HI138" s="1"/>
  <c r="HH139"/>
  <c r="HI139" s="1"/>
  <c r="HH140"/>
  <c r="HI140" s="1"/>
  <c r="HH141"/>
  <c r="HI141" s="1"/>
  <c r="HH142"/>
  <c r="HI142" s="1"/>
  <c r="HH143"/>
  <c r="HI143" s="1"/>
  <c r="HH144"/>
  <c r="HI144" s="1"/>
  <c r="HH145"/>
  <c r="HI145" s="1"/>
  <c r="HH146"/>
  <c r="HI146" s="1"/>
  <c r="HH147"/>
  <c r="HI147" s="1"/>
  <c r="HH148"/>
  <c r="HI148" s="1"/>
  <c r="HH149"/>
  <c r="HI149" s="1"/>
  <c r="HH150"/>
  <c r="HI150" s="1"/>
  <c r="HH151"/>
  <c r="HI151" s="1"/>
  <c r="HH152"/>
  <c r="HI152" s="1"/>
  <c r="HH153"/>
  <c r="HI153" s="1"/>
  <c r="HH154"/>
  <c r="HI154" s="1"/>
  <c r="HH155"/>
  <c r="HI155" s="1"/>
  <c r="HH156"/>
  <c r="HI156" s="1"/>
  <c r="HH157"/>
  <c r="HI157" s="1"/>
  <c r="HH158"/>
  <c r="HI158" s="1"/>
  <c r="HH159"/>
  <c r="HI159" s="1"/>
  <c r="HH160"/>
  <c r="HI160" s="1"/>
  <c r="HH161"/>
  <c r="HI161" s="1"/>
  <c r="HH162"/>
  <c r="HI162" s="1"/>
  <c r="HH163"/>
  <c r="HI163" s="1"/>
  <c r="HH164"/>
  <c r="HI164" s="1"/>
  <c r="HH165"/>
  <c r="HI165" s="1"/>
  <c r="HH166"/>
  <c r="HI166" s="1"/>
  <c r="HH167"/>
  <c r="HI167" s="1"/>
  <c r="HH168"/>
  <c r="HI168" s="1"/>
  <c r="HH169"/>
  <c r="HI169" s="1"/>
  <c r="HH170"/>
  <c r="HI170" s="1"/>
  <c r="HH171"/>
  <c r="HI171" s="1"/>
  <c r="HH172"/>
  <c r="HI172" s="1"/>
  <c r="HH173"/>
  <c r="HI173" s="1"/>
  <c r="HH174"/>
  <c r="HH175"/>
  <c r="HI175" s="1"/>
  <c r="HH176"/>
  <c r="HI176" s="1"/>
  <c r="HH177"/>
  <c r="HI177" s="1"/>
  <c r="HH178"/>
  <c r="HI178" s="1"/>
  <c r="HH179"/>
  <c r="HI179" s="1"/>
  <c r="HH180"/>
  <c r="HI180" s="1"/>
  <c r="HH181"/>
  <c r="HI181" s="1"/>
  <c r="HH182"/>
  <c r="HI182" s="1"/>
  <c r="HH183"/>
  <c r="HI183" s="1"/>
  <c r="HH184"/>
  <c r="HI184" s="1"/>
  <c r="HH185"/>
  <c r="HI185" s="1"/>
  <c r="HH186"/>
  <c r="HI186" s="1"/>
  <c r="HH187"/>
  <c r="HI187" s="1"/>
  <c r="HH188"/>
  <c r="HI188" s="1"/>
  <c r="HH189"/>
  <c r="HI189" s="1"/>
  <c r="HH190"/>
  <c r="HI190" s="1"/>
  <c r="HH191"/>
  <c r="HI191" s="1"/>
  <c r="HH192"/>
  <c r="HI192" s="1"/>
  <c r="HH193"/>
  <c r="HI193" s="1"/>
  <c r="HH194"/>
  <c r="HI194" s="1"/>
  <c r="HH195"/>
  <c r="HI195" s="1"/>
  <c r="HH196"/>
  <c r="HI196" s="1"/>
  <c r="HH197"/>
  <c r="HI197" s="1"/>
  <c r="HH198"/>
  <c r="HI198" s="1"/>
  <c r="HH199"/>
  <c r="HI199" s="1"/>
  <c r="HH200"/>
  <c r="HI200" s="1"/>
  <c r="HH201"/>
  <c r="HI201" s="1"/>
  <c r="HH202"/>
  <c r="HI202" s="1"/>
  <c r="HH203"/>
  <c r="HI203" s="1"/>
  <c r="HH204"/>
  <c r="HI204" s="1"/>
  <c r="HH205"/>
  <c r="HI205" s="1"/>
  <c r="HH206"/>
  <c r="HI206" s="1"/>
  <c r="HH207"/>
  <c r="HI207" s="1"/>
  <c r="HH208"/>
  <c r="HI208" s="1"/>
  <c r="HH209"/>
  <c r="HI209" s="1"/>
  <c r="HH210"/>
  <c r="HI210" s="1"/>
  <c r="HH211"/>
  <c r="HI211" s="1"/>
  <c r="HH212"/>
  <c r="HI212" s="1"/>
  <c r="HH213"/>
  <c r="HI213" s="1"/>
  <c r="HH214"/>
  <c r="HI214" s="1"/>
  <c r="HH215"/>
  <c r="HI215" s="1"/>
  <c r="HH216"/>
  <c r="HI216" s="1"/>
  <c r="HH217"/>
  <c r="HI217" s="1"/>
  <c r="HH218"/>
  <c r="HI218" s="1"/>
  <c r="HH219"/>
  <c r="HI219" s="1"/>
  <c r="HH220"/>
  <c r="HI220" s="1"/>
  <c r="HH221"/>
  <c r="HI221" s="1"/>
  <c r="HH222"/>
  <c r="HI222" s="1"/>
  <c r="HH223"/>
  <c r="HI223" s="1"/>
  <c r="HH224"/>
  <c r="HI224" s="1"/>
  <c r="HH225"/>
  <c r="HI225" s="1"/>
  <c r="HH226"/>
  <c r="HI226" s="1"/>
  <c r="HH227"/>
  <c r="HI227" s="1"/>
  <c r="HH228"/>
  <c r="HI228" s="1"/>
  <c r="HH229"/>
  <c r="HI229" s="1"/>
  <c r="HH230"/>
  <c r="HI230" s="1"/>
  <c r="HH231"/>
  <c r="HI231" s="1"/>
  <c r="HH232"/>
  <c r="HI232" s="1"/>
  <c r="HH233"/>
  <c r="HI233" s="1"/>
  <c r="HH234"/>
  <c r="HI234" s="1"/>
  <c r="HH235"/>
  <c r="HI235" s="1"/>
  <c r="HH236"/>
  <c r="HI236" s="1"/>
  <c r="HH237"/>
  <c r="HI237" s="1"/>
  <c r="HH238"/>
  <c r="HI238" s="1"/>
  <c r="HH239"/>
  <c r="HI239" s="1"/>
  <c r="HH240"/>
  <c r="HI240" s="1"/>
  <c r="HH241"/>
  <c r="HI241" s="1"/>
  <c r="HH242"/>
  <c r="HI242" s="1"/>
  <c r="HH243"/>
  <c r="HI243" s="1"/>
  <c r="HH244"/>
  <c r="HI244" s="1"/>
  <c r="HH245"/>
  <c r="HI245" s="1"/>
  <c r="HH246"/>
  <c r="HI246" s="1"/>
  <c r="HH247"/>
  <c r="HI247" s="1"/>
  <c r="HH248"/>
  <c r="HI248" s="1"/>
  <c r="HH249"/>
  <c r="HI249" s="1"/>
  <c r="HH250"/>
  <c r="HI250" s="1"/>
  <c r="HH251"/>
  <c r="HI251" s="1"/>
  <c r="HH252"/>
  <c r="HI252" s="1"/>
  <c r="HH253"/>
  <c r="HI253" s="1"/>
  <c r="HH254"/>
  <c r="HI254" s="1"/>
  <c r="HH255"/>
  <c r="HI255" s="1"/>
  <c r="HH256"/>
  <c r="HI256" s="1"/>
  <c r="HH257"/>
  <c r="HI257" s="1"/>
  <c r="HH258"/>
  <c r="HI258" s="1"/>
  <c r="HH259"/>
  <c r="HI259" s="1"/>
  <c r="HH260"/>
  <c r="HI260" s="1"/>
  <c r="HH261"/>
  <c r="HI261" s="1"/>
  <c r="HH262"/>
  <c r="HI262" s="1"/>
  <c r="HH263"/>
  <c r="HI263" s="1"/>
  <c r="HH264"/>
  <c r="HI264" s="1"/>
  <c r="HH265"/>
  <c r="HI265" s="1"/>
  <c r="HH266"/>
  <c r="HI266" s="1"/>
  <c r="HH267"/>
  <c r="HI267" s="1"/>
  <c r="HH268"/>
  <c r="HI268" s="1"/>
  <c r="HH269"/>
  <c r="HI269" s="1"/>
  <c r="HH270"/>
  <c r="HI270" s="1"/>
  <c r="HH271"/>
  <c r="HI271" s="1"/>
  <c r="HH272"/>
  <c r="HI272" s="1"/>
  <c r="HH273"/>
  <c r="HI273" s="1"/>
  <c r="HH274"/>
  <c r="HI274" s="1"/>
  <c r="HH275"/>
  <c r="HI275" s="1"/>
  <c r="HH276"/>
  <c r="HI276" s="1"/>
  <c r="HH277"/>
  <c r="HI277" s="1"/>
  <c r="HH278"/>
  <c r="HI278" s="1"/>
  <c r="HH279"/>
  <c r="HI279" s="1"/>
  <c r="HF2"/>
  <c r="HG2" s="1"/>
  <c r="HF3"/>
  <c r="HG3" s="1"/>
  <c r="HF4"/>
  <c r="HG4" s="1"/>
  <c r="HF5"/>
  <c r="HG5" s="1"/>
  <c r="HF6"/>
  <c r="HG6" s="1"/>
  <c r="HF7"/>
  <c r="HG7" s="1"/>
  <c r="HF8"/>
  <c r="HG8" s="1"/>
  <c r="HF9"/>
  <c r="HG9" s="1"/>
  <c r="HF10"/>
  <c r="HG10" s="1"/>
  <c r="HF11"/>
  <c r="HG11" s="1"/>
  <c r="HF12"/>
  <c r="HG12" s="1"/>
  <c r="HF13"/>
  <c r="HG13" s="1"/>
  <c r="HF14"/>
  <c r="HG14" s="1"/>
  <c r="HF15"/>
  <c r="HG15" s="1"/>
  <c r="HF16"/>
  <c r="HG16" s="1"/>
  <c r="HF17"/>
  <c r="HG17" s="1"/>
  <c r="HF18"/>
  <c r="HG18" s="1"/>
  <c r="HF19"/>
  <c r="HG19" s="1"/>
  <c r="HF20"/>
  <c r="HG20" s="1"/>
  <c r="HF21"/>
  <c r="HG21" s="1"/>
  <c r="HF22"/>
  <c r="HG22" s="1"/>
  <c r="HF23"/>
  <c r="HG23" s="1"/>
  <c r="HF24"/>
  <c r="HG24" s="1"/>
  <c r="HF25"/>
  <c r="HG25" s="1"/>
  <c r="HF26"/>
  <c r="HG26" s="1"/>
  <c r="HF27"/>
  <c r="HG27" s="1"/>
  <c r="HF28"/>
  <c r="HG28" s="1"/>
  <c r="HF29"/>
  <c r="HG29" s="1"/>
  <c r="HF30"/>
  <c r="HG30" s="1"/>
  <c r="HF31"/>
  <c r="HG31" s="1"/>
  <c r="HF32"/>
  <c r="HG32" s="1"/>
  <c r="HF33"/>
  <c r="HG33" s="1"/>
  <c r="HF34"/>
  <c r="HG34" s="1"/>
  <c r="HF35"/>
  <c r="HG35" s="1"/>
  <c r="HF36"/>
  <c r="HG36" s="1"/>
  <c r="HF37"/>
  <c r="HG37" s="1"/>
  <c r="HF38"/>
  <c r="HG38" s="1"/>
  <c r="HF39"/>
  <c r="HG39" s="1"/>
  <c r="HF40"/>
  <c r="HG40" s="1"/>
  <c r="HF41"/>
  <c r="HG41" s="1"/>
  <c r="HF42"/>
  <c r="HG42" s="1"/>
  <c r="HF43"/>
  <c r="HG43" s="1"/>
  <c r="HF44"/>
  <c r="HG44" s="1"/>
  <c r="HF45"/>
  <c r="HG45" s="1"/>
  <c r="HF46"/>
  <c r="HG46" s="1"/>
  <c r="HF47"/>
  <c r="HG47" s="1"/>
  <c r="HF48"/>
  <c r="HG48" s="1"/>
  <c r="HF49"/>
  <c r="HG49" s="1"/>
  <c r="HF50"/>
  <c r="HG50" s="1"/>
  <c r="HF51"/>
  <c r="HG51" s="1"/>
  <c r="HF52"/>
  <c r="HG52" s="1"/>
  <c r="HF53"/>
  <c r="HG53" s="1"/>
  <c r="HF54"/>
  <c r="HG54" s="1"/>
  <c r="HF55"/>
  <c r="HG55" s="1"/>
  <c r="HF56"/>
  <c r="HG56" s="1"/>
  <c r="HF57"/>
  <c r="HG57" s="1"/>
  <c r="HF58"/>
  <c r="HG58" s="1"/>
  <c r="HF59"/>
  <c r="HG59" s="1"/>
  <c r="HF60"/>
  <c r="HG60" s="1"/>
  <c r="HF61"/>
  <c r="HG61" s="1"/>
  <c r="HF62"/>
  <c r="HG62" s="1"/>
  <c r="HF63"/>
  <c r="HG63" s="1"/>
  <c r="HF64"/>
  <c r="HG64" s="1"/>
  <c r="HF65"/>
  <c r="HG65" s="1"/>
  <c r="HF66"/>
  <c r="HG66" s="1"/>
  <c r="HF67"/>
  <c r="HG67" s="1"/>
  <c r="HF68"/>
  <c r="HG68" s="1"/>
  <c r="HF69"/>
  <c r="HG69" s="1"/>
  <c r="HF70"/>
  <c r="HG70" s="1"/>
  <c r="HF71"/>
  <c r="HG71" s="1"/>
  <c r="HF72"/>
  <c r="HG72" s="1"/>
  <c r="HF73"/>
  <c r="HG73" s="1"/>
  <c r="HF74"/>
  <c r="HG74" s="1"/>
  <c r="HF75"/>
  <c r="HG75" s="1"/>
  <c r="HF76"/>
  <c r="HG76" s="1"/>
  <c r="HF77"/>
  <c r="HG77" s="1"/>
  <c r="HF78"/>
  <c r="HG78" s="1"/>
  <c r="HF79"/>
  <c r="HG79" s="1"/>
  <c r="HF80"/>
  <c r="HG80" s="1"/>
  <c r="HF81"/>
  <c r="HG81" s="1"/>
  <c r="HF82"/>
  <c r="HG82" s="1"/>
  <c r="HF83"/>
  <c r="HG83" s="1"/>
  <c r="HF84"/>
  <c r="HG84" s="1"/>
  <c r="HF85"/>
  <c r="HG85" s="1"/>
  <c r="HF86"/>
  <c r="HG86" s="1"/>
  <c r="HF87"/>
  <c r="HG87" s="1"/>
  <c r="HF88"/>
  <c r="HG88" s="1"/>
  <c r="HF89"/>
  <c r="HG89" s="1"/>
  <c r="HF90"/>
  <c r="HG90" s="1"/>
  <c r="HF91"/>
  <c r="HG91" s="1"/>
  <c r="HF92"/>
  <c r="HG92" s="1"/>
  <c r="HF93"/>
  <c r="HF94"/>
  <c r="HG94" s="1"/>
  <c r="HF95"/>
  <c r="HG95" s="1"/>
  <c r="HF96"/>
  <c r="HG96" s="1"/>
  <c r="HF97"/>
  <c r="HG97" s="1"/>
  <c r="HF98"/>
  <c r="HG98" s="1"/>
  <c r="HF99"/>
  <c r="HG99" s="1"/>
  <c r="HF100"/>
  <c r="HG100" s="1"/>
  <c r="HF101"/>
  <c r="HG101" s="1"/>
  <c r="HF102"/>
  <c r="HG102" s="1"/>
  <c r="HF103"/>
  <c r="HG103" s="1"/>
  <c r="HF104"/>
  <c r="HG104" s="1"/>
  <c r="HF105"/>
  <c r="HG105" s="1"/>
  <c r="HF106"/>
  <c r="HG106" s="1"/>
  <c r="HF107"/>
  <c r="HG107" s="1"/>
  <c r="HF108"/>
  <c r="HG108" s="1"/>
  <c r="HF109"/>
  <c r="HG109" s="1"/>
  <c r="HF110"/>
  <c r="HG110" s="1"/>
  <c r="HF111"/>
  <c r="HG111" s="1"/>
  <c r="HF112"/>
  <c r="HG112" s="1"/>
  <c r="HF113"/>
  <c r="HG113" s="1"/>
  <c r="HF114"/>
  <c r="HG114" s="1"/>
  <c r="HF115"/>
  <c r="HG115" s="1"/>
  <c r="HF116"/>
  <c r="HG116" s="1"/>
  <c r="HF117"/>
  <c r="HG117" s="1"/>
  <c r="HF118"/>
  <c r="HG118" s="1"/>
  <c r="HF119"/>
  <c r="HG119" s="1"/>
  <c r="HF120"/>
  <c r="HG120" s="1"/>
  <c r="HF121"/>
  <c r="HG121" s="1"/>
  <c r="HF122"/>
  <c r="HG122" s="1"/>
  <c r="HF123"/>
  <c r="HG123" s="1"/>
  <c r="HF124"/>
  <c r="HG124" s="1"/>
  <c r="HF125"/>
  <c r="HG125" s="1"/>
  <c r="HF126"/>
  <c r="HG126" s="1"/>
  <c r="HF127"/>
  <c r="HG127" s="1"/>
  <c r="HF128"/>
  <c r="HG128" s="1"/>
  <c r="HF129"/>
  <c r="HG129" s="1"/>
  <c r="HF130"/>
  <c r="HG130" s="1"/>
  <c r="HF131"/>
  <c r="HG131" s="1"/>
  <c r="HF132"/>
  <c r="HG132" s="1"/>
  <c r="HF133"/>
  <c r="HG133" s="1"/>
  <c r="HF134"/>
  <c r="HG134" s="1"/>
  <c r="HF135"/>
  <c r="HG135" s="1"/>
  <c r="HF136"/>
  <c r="HG136" s="1"/>
  <c r="HF137"/>
  <c r="HG137" s="1"/>
  <c r="HF138"/>
  <c r="HG138" s="1"/>
  <c r="HF139"/>
  <c r="HG139" s="1"/>
  <c r="HF140"/>
  <c r="HG140" s="1"/>
  <c r="HF141"/>
  <c r="HG141" s="1"/>
  <c r="HF142"/>
  <c r="HG142" s="1"/>
  <c r="HF143"/>
  <c r="HG143" s="1"/>
  <c r="HF144"/>
  <c r="HG144" s="1"/>
  <c r="HF145"/>
  <c r="HG145" s="1"/>
  <c r="HF146"/>
  <c r="HG146" s="1"/>
  <c r="HF147"/>
  <c r="HG147" s="1"/>
  <c r="HF148"/>
  <c r="HG148" s="1"/>
  <c r="HF149"/>
  <c r="HG149" s="1"/>
  <c r="HF150"/>
  <c r="HG150" s="1"/>
  <c r="HF151"/>
  <c r="HG151" s="1"/>
  <c r="HF152"/>
  <c r="HG152" s="1"/>
  <c r="HF153"/>
  <c r="HG153" s="1"/>
  <c r="HF154"/>
  <c r="HG154" s="1"/>
  <c r="HF155"/>
  <c r="HG155" s="1"/>
  <c r="HF156"/>
  <c r="HG156" s="1"/>
  <c r="HF157"/>
  <c r="HG157" s="1"/>
  <c r="HF158"/>
  <c r="HG158" s="1"/>
  <c r="HF159"/>
  <c r="HG159" s="1"/>
  <c r="HF160"/>
  <c r="HG160" s="1"/>
  <c r="HF161"/>
  <c r="HG161" s="1"/>
  <c r="HF162"/>
  <c r="HG162" s="1"/>
  <c r="HF163"/>
  <c r="HG163" s="1"/>
  <c r="HF164"/>
  <c r="HG164" s="1"/>
  <c r="HF165"/>
  <c r="HG165" s="1"/>
  <c r="HF166"/>
  <c r="HG166" s="1"/>
  <c r="HF167"/>
  <c r="HG167" s="1"/>
  <c r="HF168"/>
  <c r="HG168" s="1"/>
  <c r="HF169"/>
  <c r="HG169" s="1"/>
  <c r="HF170"/>
  <c r="HG170" s="1"/>
  <c r="HF171"/>
  <c r="HG171" s="1"/>
  <c r="HF172"/>
  <c r="HG172" s="1"/>
  <c r="HF173"/>
  <c r="HG173" s="1"/>
  <c r="HF174"/>
  <c r="HG174" s="1"/>
  <c r="HF175"/>
  <c r="HG175" s="1"/>
  <c r="HF176"/>
  <c r="HG176" s="1"/>
  <c r="HF177"/>
  <c r="HG177" s="1"/>
  <c r="HF178"/>
  <c r="HG178" s="1"/>
  <c r="HF179"/>
  <c r="HG179" s="1"/>
  <c r="HF180"/>
  <c r="HG180" s="1"/>
  <c r="HF181"/>
  <c r="HG181" s="1"/>
  <c r="HF182"/>
  <c r="HG182" s="1"/>
  <c r="HF183"/>
  <c r="HG183" s="1"/>
  <c r="HF184"/>
  <c r="HG184" s="1"/>
  <c r="HF185"/>
  <c r="HG185" s="1"/>
  <c r="HF186"/>
  <c r="HG186" s="1"/>
  <c r="HF187"/>
  <c r="HG187" s="1"/>
  <c r="HF188"/>
  <c r="HG188" s="1"/>
  <c r="HF189"/>
  <c r="HG189" s="1"/>
  <c r="HF190"/>
  <c r="HG190" s="1"/>
  <c r="HF191"/>
  <c r="HG191" s="1"/>
  <c r="HF192"/>
  <c r="HG192" s="1"/>
  <c r="HF193"/>
  <c r="HG193" s="1"/>
  <c r="HF194"/>
  <c r="HG194" s="1"/>
  <c r="HF195"/>
  <c r="HG195" s="1"/>
  <c r="HF196"/>
  <c r="HG196" s="1"/>
  <c r="HF197"/>
  <c r="HG197" s="1"/>
  <c r="HF198"/>
  <c r="HG198" s="1"/>
  <c r="HF199"/>
  <c r="HG199" s="1"/>
  <c r="HF200"/>
  <c r="HG200" s="1"/>
  <c r="HF201"/>
  <c r="HG201" s="1"/>
  <c r="HF202"/>
  <c r="HG202" s="1"/>
  <c r="HF203"/>
  <c r="HG203" s="1"/>
  <c r="HF204"/>
  <c r="HG204" s="1"/>
  <c r="HF205"/>
  <c r="HG205" s="1"/>
  <c r="HF206"/>
  <c r="HG206" s="1"/>
  <c r="HF207"/>
  <c r="HG207" s="1"/>
  <c r="HF208"/>
  <c r="HG208" s="1"/>
  <c r="HF209"/>
  <c r="HG209" s="1"/>
  <c r="HF210"/>
  <c r="HG210" s="1"/>
  <c r="HF211"/>
  <c r="HG211" s="1"/>
  <c r="HF212"/>
  <c r="HG212" s="1"/>
  <c r="HF213"/>
  <c r="HG213" s="1"/>
  <c r="HF214"/>
  <c r="HG214" s="1"/>
  <c r="HF215"/>
  <c r="HG215" s="1"/>
  <c r="HF216"/>
  <c r="HG216" s="1"/>
  <c r="HF217"/>
  <c r="HG217" s="1"/>
  <c r="HF218"/>
  <c r="HG218" s="1"/>
  <c r="HF219"/>
  <c r="HG219" s="1"/>
  <c r="HF220"/>
  <c r="HG220" s="1"/>
  <c r="HF221"/>
  <c r="HG221" s="1"/>
  <c r="HF222"/>
  <c r="HG222" s="1"/>
  <c r="HF223"/>
  <c r="HG223" s="1"/>
  <c r="HF224"/>
  <c r="HG224" s="1"/>
  <c r="HF225"/>
  <c r="HG225" s="1"/>
  <c r="HF226"/>
  <c r="HG226" s="1"/>
  <c r="HF227"/>
  <c r="HG227" s="1"/>
  <c r="HF228"/>
  <c r="HG228" s="1"/>
  <c r="HF229"/>
  <c r="HG229" s="1"/>
  <c r="HF230"/>
  <c r="HG230" s="1"/>
  <c r="HF231"/>
  <c r="HG231" s="1"/>
  <c r="HF232"/>
  <c r="HG232" s="1"/>
  <c r="HF233"/>
  <c r="HG233" s="1"/>
  <c r="HF234"/>
  <c r="HG234" s="1"/>
  <c r="HF235"/>
  <c r="HG235" s="1"/>
  <c r="HF236"/>
  <c r="HG236" s="1"/>
  <c r="HF237"/>
  <c r="HG237" s="1"/>
  <c r="HF238"/>
  <c r="HG238" s="1"/>
  <c r="HF239"/>
  <c r="HG239" s="1"/>
  <c r="HF240"/>
  <c r="HG240" s="1"/>
  <c r="HF241"/>
  <c r="HG241" s="1"/>
  <c r="HF242"/>
  <c r="HG242" s="1"/>
  <c r="HF243"/>
  <c r="HG243" s="1"/>
  <c r="HF244"/>
  <c r="HG244" s="1"/>
  <c r="HF245"/>
  <c r="HG245" s="1"/>
  <c r="HF246"/>
  <c r="HG246" s="1"/>
  <c r="HF247"/>
  <c r="HG247" s="1"/>
  <c r="HF248"/>
  <c r="HG248" s="1"/>
  <c r="HF249"/>
  <c r="HG249" s="1"/>
  <c r="HF250"/>
  <c r="HG250" s="1"/>
  <c r="HF251"/>
  <c r="HG251" s="1"/>
  <c r="HF252"/>
  <c r="HG252" s="1"/>
  <c r="HF253"/>
  <c r="HG253" s="1"/>
  <c r="HF254"/>
  <c r="HG254" s="1"/>
  <c r="HF255"/>
  <c r="HG255" s="1"/>
  <c r="HF256"/>
  <c r="HG256" s="1"/>
  <c r="HF257"/>
  <c r="HG257" s="1"/>
  <c r="HF258"/>
  <c r="HG258" s="1"/>
  <c r="HF259"/>
  <c r="HG259" s="1"/>
  <c r="HF260"/>
  <c r="HG260" s="1"/>
  <c r="HF261"/>
  <c r="HG261" s="1"/>
  <c r="HF262"/>
  <c r="HG262" s="1"/>
  <c r="HF263"/>
  <c r="HG263" s="1"/>
  <c r="HF264"/>
  <c r="HG264" s="1"/>
  <c r="HF265"/>
  <c r="HG265" s="1"/>
  <c r="HF266"/>
  <c r="HG266" s="1"/>
  <c r="HF267"/>
  <c r="HG267" s="1"/>
  <c r="HF268"/>
  <c r="HG268" s="1"/>
  <c r="HF269"/>
  <c r="HG269" s="1"/>
  <c r="HF270"/>
  <c r="HG270" s="1"/>
  <c r="HF271"/>
  <c r="HG271" s="1"/>
  <c r="HF272"/>
  <c r="HG272" s="1"/>
  <c r="HF273"/>
  <c r="HG273" s="1"/>
  <c r="HF274"/>
  <c r="HG274" s="1"/>
  <c r="HF275"/>
  <c r="HG275" s="1"/>
  <c r="HF276"/>
  <c r="HG276" s="1"/>
  <c r="HF277"/>
  <c r="HG277" s="1"/>
  <c r="HF278"/>
  <c r="HG278" s="1"/>
  <c r="HF279"/>
  <c r="HG279" s="1"/>
  <c r="HD2"/>
  <c r="HE2" s="1"/>
  <c r="HD3"/>
  <c r="HE3" s="1"/>
  <c r="HD4"/>
  <c r="HE4" s="1"/>
  <c r="HD5"/>
  <c r="HE5" s="1"/>
  <c r="HD6"/>
  <c r="HE6" s="1"/>
  <c r="HD7"/>
  <c r="HE7" s="1"/>
  <c r="HD8"/>
  <c r="HE8" s="1"/>
  <c r="HD9"/>
  <c r="HE9" s="1"/>
  <c r="HD10"/>
  <c r="HE10" s="1"/>
  <c r="HD11"/>
  <c r="HE11" s="1"/>
  <c r="HD12"/>
  <c r="HE12" s="1"/>
  <c r="HD13"/>
  <c r="HE13" s="1"/>
  <c r="HD14"/>
  <c r="HE14" s="1"/>
  <c r="HD15"/>
  <c r="HE15" s="1"/>
  <c r="HD16"/>
  <c r="HE16" s="1"/>
  <c r="HD17"/>
  <c r="HE17" s="1"/>
  <c r="HD18"/>
  <c r="HE18" s="1"/>
  <c r="HD19"/>
  <c r="HE19" s="1"/>
  <c r="HD20"/>
  <c r="HE20" s="1"/>
  <c r="HD21"/>
  <c r="HE21" s="1"/>
  <c r="HD22"/>
  <c r="HE22" s="1"/>
  <c r="HD23"/>
  <c r="HE23" s="1"/>
  <c r="HD24"/>
  <c r="HE24" s="1"/>
  <c r="HD25"/>
  <c r="HE25" s="1"/>
  <c r="HD26"/>
  <c r="HE26" s="1"/>
  <c r="HD27"/>
  <c r="HE27" s="1"/>
  <c r="HD28"/>
  <c r="HE28" s="1"/>
  <c r="HD29"/>
  <c r="HE29" s="1"/>
  <c r="HD30"/>
  <c r="HE30" s="1"/>
  <c r="HD31"/>
  <c r="HE31" s="1"/>
  <c r="HD32"/>
  <c r="HE32" s="1"/>
  <c r="HD33"/>
  <c r="HE33" s="1"/>
  <c r="HD34"/>
  <c r="HE34" s="1"/>
  <c r="HD35"/>
  <c r="HE35" s="1"/>
  <c r="HD36"/>
  <c r="HE36" s="1"/>
  <c r="HD37"/>
  <c r="HE37" s="1"/>
  <c r="HD38"/>
  <c r="HE38" s="1"/>
  <c r="HD39"/>
  <c r="HE39" s="1"/>
  <c r="HD40"/>
  <c r="HE40" s="1"/>
  <c r="HD41"/>
  <c r="HE41" s="1"/>
  <c r="HD42"/>
  <c r="HE42" s="1"/>
  <c r="HD43"/>
  <c r="HE43" s="1"/>
  <c r="HD44"/>
  <c r="HE44" s="1"/>
  <c r="HD45"/>
  <c r="HE45" s="1"/>
  <c r="HD46"/>
  <c r="HE46" s="1"/>
  <c r="HD47"/>
  <c r="HE47" s="1"/>
  <c r="HD48"/>
  <c r="HE48" s="1"/>
  <c r="HD49"/>
  <c r="HE49" s="1"/>
  <c r="HD50"/>
  <c r="HE50" s="1"/>
  <c r="HD51"/>
  <c r="HE51" s="1"/>
  <c r="HD52"/>
  <c r="HE52" s="1"/>
  <c r="HD53"/>
  <c r="HE53" s="1"/>
  <c r="HD54"/>
  <c r="HE54" s="1"/>
  <c r="HD55"/>
  <c r="HE55" s="1"/>
  <c r="HD56"/>
  <c r="HE56" s="1"/>
  <c r="HD57"/>
  <c r="HE57" s="1"/>
  <c r="HD58"/>
  <c r="HE58" s="1"/>
  <c r="HD59"/>
  <c r="HE59" s="1"/>
  <c r="HD60"/>
  <c r="HE60" s="1"/>
  <c r="HD61"/>
  <c r="HE61" s="1"/>
  <c r="HD62"/>
  <c r="HE62" s="1"/>
  <c r="HD63"/>
  <c r="HE63" s="1"/>
  <c r="HD64"/>
  <c r="HE64" s="1"/>
  <c r="HD65"/>
  <c r="HE65" s="1"/>
  <c r="HD66"/>
  <c r="HE66" s="1"/>
  <c r="HD67"/>
  <c r="HE67" s="1"/>
  <c r="HD68"/>
  <c r="HE68" s="1"/>
  <c r="HD69"/>
  <c r="HE69" s="1"/>
  <c r="HD70"/>
  <c r="HE70" s="1"/>
  <c r="HD71"/>
  <c r="HE71" s="1"/>
  <c r="HD72"/>
  <c r="HE72" s="1"/>
  <c r="HD73"/>
  <c r="HE73" s="1"/>
  <c r="HD74"/>
  <c r="HE74" s="1"/>
  <c r="HD75"/>
  <c r="HE75" s="1"/>
  <c r="HD76"/>
  <c r="HE76" s="1"/>
  <c r="HD77"/>
  <c r="HE77" s="1"/>
  <c r="HD78"/>
  <c r="HE78" s="1"/>
  <c r="HD79"/>
  <c r="HE79" s="1"/>
  <c r="HD80"/>
  <c r="HE80" s="1"/>
  <c r="HD81"/>
  <c r="HE81" s="1"/>
  <c r="HD82"/>
  <c r="HE82" s="1"/>
  <c r="HD83"/>
  <c r="HE83" s="1"/>
  <c r="HD84"/>
  <c r="HE84" s="1"/>
  <c r="HD85"/>
  <c r="HE85" s="1"/>
  <c r="HD86"/>
  <c r="HE86" s="1"/>
  <c r="HD87"/>
  <c r="HE87" s="1"/>
  <c r="HD88"/>
  <c r="HE88" s="1"/>
  <c r="HD89"/>
  <c r="HE89" s="1"/>
  <c r="HD90"/>
  <c r="HE90" s="1"/>
  <c r="HD91"/>
  <c r="HE91" s="1"/>
  <c r="HD92"/>
  <c r="HE92" s="1"/>
  <c r="HD93"/>
  <c r="HE93" s="1"/>
  <c r="HD94"/>
  <c r="HE94" s="1"/>
  <c r="HD95"/>
  <c r="HE95" s="1"/>
  <c r="HD96"/>
  <c r="HE96" s="1"/>
  <c r="HD97"/>
  <c r="HE97" s="1"/>
  <c r="HD98"/>
  <c r="HE98" s="1"/>
  <c r="HD99"/>
  <c r="HE99" s="1"/>
  <c r="HD100"/>
  <c r="HE100" s="1"/>
  <c r="HD101"/>
  <c r="HE101" s="1"/>
  <c r="HD102"/>
  <c r="HE102" s="1"/>
  <c r="HD103"/>
  <c r="HE103" s="1"/>
  <c r="HD104"/>
  <c r="HE104" s="1"/>
  <c r="HD105"/>
  <c r="HE105" s="1"/>
  <c r="HD106"/>
  <c r="HE106" s="1"/>
  <c r="HD107"/>
  <c r="HE107" s="1"/>
  <c r="HD108"/>
  <c r="HE108" s="1"/>
  <c r="HD109"/>
  <c r="HE109" s="1"/>
  <c r="HD110"/>
  <c r="HE110" s="1"/>
  <c r="HD111"/>
  <c r="HE111" s="1"/>
  <c r="HD112"/>
  <c r="HE112" s="1"/>
  <c r="HD113"/>
  <c r="HE113" s="1"/>
  <c r="HD114"/>
  <c r="HE114" s="1"/>
  <c r="HD115"/>
  <c r="HE115" s="1"/>
  <c r="HD116"/>
  <c r="HE116" s="1"/>
  <c r="HD117"/>
  <c r="HE117" s="1"/>
  <c r="HD118"/>
  <c r="HE118" s="1"/>
  <c r="HD119"/>
  <c r="HE119" s="1"/>
  <c r="HD120"/>
  <c r="HE120" s="1"/>
  <c r="HD121"/>
  <c r="HE121" s="1"/>
  <c r="HD122"/>
  <c r="HE122" s="1"/>
  <c r="HD123"/>
  <c r="HE123" s="1"/>
  <c r="HD124"/>
  <c r="HE124" s="1"/>
  <c r="HD125"/>
  <c r="HE125" s="1"/>
  <c r="HD126"/>
  <c r="HE126" s="1"/>
  <c r="HD127"/>
  <c r="HE127" s="1"/>
  <c r="HD128"/>
  <c r="HE128" s="1"/>
  <c r="HD129"/>
  <c r="HE129" s="1"/>
  <c r="HD130"/>
  <c r="HE130" s="1"/>
  <c r="HD131"/>
  <c r="HE131" s="1"/>
  <c r="HD132"/>
  <c r="HE132" s="1"/>
  <c r="HD133"/>
  <c r="HE133" s="1"/>
  <c r="HD134"/>
  <c r="HE134" s="1"/>
  <c r="HD135"/>
  <c r="HE135" s="1"/>
  <c r="HD136"/>
  <c r="HE136" s="1"/>
  <c r="HD137"/>
  <c r="HE137" s="1"/>
  <c r="HD138"/>
  <c r="HE138" s="1"/>
  <c r="HD139"/>
  <c r="HE139" s="1"/>
  <c r="HD140"/>
  <c r="HE140" s="1"/>
  <c r="HD141"/>
  <c r="HE141" s="1"/>
  <c r="HD142"/>
  <c r="HE142" s="1"/>
  <c r="HD143"/>
  <c r="HE143" s="1"/>
  <c r="HD144"/>
  <c r="HE144" s="1"/>
  <c r="HD145"/>
  <c r="HE145" s="1"/>
  <c r="HD146"/>
  <c r="HE146" s="1"/>
  <c r="HD147"/>
  <c r="HE147" s="1"/>
  <c r="HD148"/>
  <c r="HE148" s="1"/>
  <c r="HD149"/>
  <c r="HE149" s="1"/>
  <c r="HD150"/>
  <c r="HE150" s="1"/>
  <c r="HD151"/>
  <c r="HE151" s="1"/>
  <c r="HD152"/>
  <c r="HE152" s="1"/>
  <c r="HD153"/>
  <c r="HE153" s="1"/>
  <c r="HD154"/>
  <c r="HE154" s="1"/>
  <c r="HD155"/>
  <c r="HE155" s="1"/>
  <c r="HD156"/>
  <c r="HE156" s="1"/>
  <c r="HD157"/>
  <c r="HE157" s="1"/>
  <c r="HD158"/>
  <c r="HE158" s="1"/>
  <c r="HD159"/>
  <c r="HE159" s="1"/>
  <c r="HD160"/>
  <c r="HE160" s="1"/>
  <c r="HD161"/>
  <c r="HE161" s="1"/>
  <c r="HD162"/>
  <c r="HE162" s="1"/>
  <c r="HD163"/>
  <c r="HE163" s="1"/>
  <c r="HD164"/>
  <c r="HE164" s="1"/>
  <c r="HD165"/>
  <c r="HE165" s="1"/>
  <c r="HD166"/>
  <c r="HE166" s="1"/>
  <c r="HD167"/>
  <c r="HE167" s="1"/>
  <c r="HD168"/>
  <c r="HE168" s="1"/>
  <c r="HD169"/>
  <c r="HE169" s="1"/>
  <c r="HD170"/>
  <c r="HE170" s="1"/>
  <c r="HD171"/>
  <c r="HE171" s="1"/>
  <c r="HD172"/>
  <c r="HE172" s="1"/>
  <c r="HD173"/>
  <c r="HE173" s="1"/>
  <c r="HD174"/>
  <c r="HE174" s="1"/>
  <c r="HD175"/>
  <c r="HE175" s="1"/>
  <c r="HD176"/>
  <c r="HE176" s="1"/>
  <c r="HD177"/>
  <c r="HE177" s="1"/>
  <c r="HD178"/>
  <c r="HE178" s="1"/>
  <c r="HD179"/>
  <c r="HE179" s="1"/>
  <c r="HD180"/>
  <c r="HE180" s="1"/>
  <c r="HD181"/>
  <c r="HE181" s="1"/>
  <c r="HD182"/>
  <c r="HE182" s="1"/>
  <c r="HD183"/>
  <c r="HE183" s="1"/>
  <c r="HD184"/>
  <c r="HE184" s="1"/>
  <c r="HD185"/>
  <c r="HE185" s="1"/>
  <c r="HD186"/>
  <c r="HE186" s="1"/>
  <c r="HD187"/>
  <c r="HE187" s="1"/>
  <c r="HD188"/>
  <c r="HE188" s="1"/>
  <c r="HD189"/>
  <c r="HE189" s="1"/>
  <c r="HD190"/>
  <c r="HE190" s="1"/>
  <c r="HD191"/>
  <c r="HE191" s="1"/>
  <c r="HD192"/>
  <c r="HE192" s="1"/>
  <c r="HD193"/>
  <c r="HE193" s="1"/>
  <c r="HD194"/>
  <c r="HE194" s="1"/>
  <c r="HD195"/>
  <c r="HE195" s="1"/>
  <c r="HD196"/>
  <c r="HE196" s="1"/>
  <c r="HD197"/>
  <c r="HE197" s="1"/>
  <c r="HD198"/>
  <c r="HE198" s="1"/>
  <c r="HD199"/>
  <c r="HE199" s="1"/>
  <c r="HD200"/>
  <c r="HE200" s="1"/>
  <c r="HD201"/>
  <c r="HE201" s="1"/>
  <c r="HD202"/>
  <c r="HE202" s="1"/>
  <c r="HD203"/>
  <c r="HE203" s="1"/>
  <c r="HD204"/>
  <c r="HE204" s="1"/>
  <c r="HD205"/>
  <c r="HE205" s="1"/>
  <c r="HD206"/>
  <c r="HE206" s="1"/>
  <c r="HD207"/>
  <c r="HE207" s="1"/>
  <c r="HD208"/>
  <c r="HE208" s="1"/>
  <c r="HD209"/>
  <c r="HE209" s="1"/>
  <c r="HD210"/>
  <c r="HE210" s="1"/>
  <c r="HD211"/>
  <c r="HE211" s="1"/>
  <c r="HD212"/>
  <c r="HE212" s="1"/>
  <c r="HD213"/>
  <c r="HE213" s="1"/>
  <c r="HD214"/>
  <c r="HE214" s="1"/>
  <c r="HD215"/>
  <c r="HE215" s="1"/>
  <c r="HD216"/>
  <c r="HE216" s="1"/>
  <c r="HD217"/>
  <c r="HE217" s="1"/>
  <c r="HD218"/>
  <c r="HE218" s="1"/>
  <c r="HD219"/>
  <c r="HE219" s="1"/>
  <c r="HD220"/>
  <c r="HE220" s="1"/>
  <c r="HD221"/>
  <c r="HE221" s="1"/>
  <c r="HD222"/>
  <c r="HE222" s="1"/>
  <c r="HD223"/>
  <c r="HE223" s="1"/>
  <c r="HD224"/>
  <c r="HE224" s="1"/>
  <c r="HD225"/>
  <c r="HE225" s="1"/>
  <c r="HD226"/>
  <c r="HE226" s="1"/>
  <c r="HD227"/>
  <c r="HE227" s="1"/>
  <c r="HD228"/>
  <c r="HE228" s="1"/>
  <c r="HD229"/>
  <c r="HE229" s="1"/>
  <c r="HD230"/>
  <c r="HE230" s="1"/>
  <c r="HD231"/>
  <c r="HE231" s="1"/>
  <c r="HD232"/>
  <c r="HE232" s="1"/>
  <c r="HD233"/>
  <c r="HE233" s="1"/>
  <c r="HD234"/>
  <c r="HE234" s="1"/>
  <c r="HD235"/>
  <c r="HE235" s="1"/>
  <c r="HD236"/>
  <c r="HE236" s="1"/>
  <c r="HD237"/>
  <c r="HE237" s="1"/>
  <c r="HD238"/>
  <c r="HE238" s="1"/>
  <c r="HD239"/>
  <c r="HE239" s="1"/>
  <c r="HD240"/>
  <c r="HE240" s="1"/>
  <c r="HD241"/>
  <c r="HE241" s="1"/>
  <c r="HD242"/>
  <c r="HE242" s="1"/>
  <c r="HD243"/>
  <c r="HE243" s="1"/>
  <c r="HD244"/>
  <c r="HE244" s="1"/>
  <c r="HD245"/>
  <c r="HE245" s="1"/>
  <c r="HD246"/>
  <c r="HE246" s="1"/>
  <c r="HD247"/>
  <c r="HE247" s="1"/>
  <c r="HD248"/>
  <c r="HE248" s="1"/>
  <c r="HD249"/>
  <c r="HE249" s="1"/>
  <c r="HD250"/>
  <c r="HE250" s="1"/>
  <c r="HD251"/>
  <c r="HE251" s="1"/>
  <c r="HD252"/>
  <c r="HE252" s="1"/>
  <c r="HD253"/>
  <c r="HE253" s="1"/>
  <c r="HD254"/>
  <c r="HE254" s="1"/>
  <c r="HD255"/>
  <c r="HE255" s="1"/>
  <c r="HD256"/>
  <c r="HE256" s="1"/>
  <c r="HD257"/>
  <c r="HE257" s="1"/>
  <c r="HD258"/>
  <c r="HE258" s="1"/>
  <c r="HD259"/>
  <c r="HE259" s="1"/>
  <c r="HD260"/>
  <c r="HE260" s="1"/>
  <c r="HD261"/>
  <c r="HE261" s="1"/>
  <c r="HD262"/>
  <c r="HD263"/>
  <c r="HE263" s="1"/>
  <c r="HD264"/>
  <c r="HE264" s="1"/>
  <c r="HD265"/>
  <c r="HE265" s="1"/>
  <c r="HD266"/>
  <c r="HE266" s="1"/>
  <c r="HD267"/>
  <c r="HE267" s="1"/>
  <c r="HD268"/>
  <c r="HE268" s="1"/>
  <c r="HD269"/>
  <c r="HE269" s="1"/>
  <c r="HD270"/>
  <c r="HE270" s="1"/>
  <c r="HD271"/>
  <c r="HE271" s="1"/>
  <c r="HD272"/>
  <c r="HE272" s="1"/>
  <c r="HD273"/>
  <c r="HE273" s="1"/>
  <c r="HD274"/>
  <c r="HE274" s="1"/>
  <c r="HD275"/>
  <c r="HE275" s="1"/>
  <c r="HD276"/>
  <c r="HE276" s="1"/>
  <c r="HD277"/>
  <c r="HE277" s="1"/>
  <c r="HD278"/>
  <c r="HE278" s="1"/>
  <c r="HD279"/>
  <c r="HE279" s="1"/>
  <c r="HC3"/>
  <c r="HC7"/>
  <c r="HC11"/>
  <c r="HC19"/>
  <c r="HC23"/>
  <c r="HC27"/>
  <c r="HC35"/>
  <c r="HC39"/>
  <c r="HC43"/>
  <c r="HC51"/>
  <c r="HC55"/>
  <c r="HC67"/>
  <c r="HC71"/>
  <c r="HB2"/>
  <c r="HC2" s="1"/>
  <c r="HB3"/>
  <c r="HB4"/>
  <c r="HC4" s="1"/>
  <c r="HB5"/>
  <c r="HC5" s="1"/>
  <c r="HB6"/>
  <c r="HC6" s="1"/>
  <c r="HB7"/>
  <c r="HB8"/>
  <c r="HC8" s="1"/>
  <c r="HB9"/>
  <c r="HC9" s="1"/>
  <c r="HB10"/>
  <c r="HC10" s="1"/>
  <c r="HB11"/>
  <c r="HB12"/>
  <c r="HC12" s="1"/>
  <c r="HB13"/>
  <c r="HC13" s="1"/>
  <c r="HB14"/>
  <c r="HC14" s="1"/>
  <c r="HB15"/>
  <c r="HC15" s="1"/>
  <c r="HB16"/>
  <c r="HC16" s="1"/>
  <c r="HB17"/>
  <c r="HC17" s="1"/>
  <c r="HB18"/>
  <c r="HC18" s="1"/>
  <c r="HB19"/>
  <c r="HB20"/>
  <c r="HC20" s="1"/>
  <c r="HB21"/>
  <c r="HC21" s="1"/>
  <c r="HB22"/>
  <c r="HC22" s="1"/>
  <c r="HB23"/>
  <c r="HB24"/>
  <c r="HC24" s="1"/>
  <c r="HB25"/>
  <c r="HC25" s="1"/>
  <c r="HB26"/>
  <c r="HC26" s="1"/>
  <c r="HB27"/>
  <c r="HB28"/>
  <c r="HC28" s="1"/>
  <c r="HB29"/>
  <c r="HC29" s="1"/>
  <c r="HB30"/>
  <c r="HC30" s="1"/>
  <c r="HB31"/>
  <c r="HC31" s="1"/>
  <c r="HB32"/>
  <c r="HC32" s="1"/>
  <c r="HB33"/>
  <c r="HC33" s="1"/>
  <c r="HB34"/>
  <c r="HC34" s="1"/>
  <c r="HB35"/>
  <c r="HB36"/>
  <c r="HC36" s="1"/>
  <c r="HB37"/>
  <c r="HC37" s="1"/>
  <c r="HB38"/>
  <c r="HC38" s="1"/>
  <c r="HB39"/>
  <c r="HB40"/>
  <c r="HC40" s="1"/>
  <c r="HB41"/>
  <c r="HC41" s="1"/>
  <c r="HB42"/>
  <c r="HC42" s="1"/>
  <c r="HB43"/>
  <c r="HB44"/>
  <c r="HC44" s="1"/>
  <c r="HB45"/>
  <c r="HC45" s="1"/>
  <c r="HB46"/>
  <c r="HC46" s="1"/>
  <c r="HB47"/>
  <c r="HC47" s="1"/>
  <c r="HB48"/>
  <c r="HC48" s="1"/>
  <c r="HB49"/>
  <c r="HC49" s="1"/>
  <c r="HB50"/>
  <c r="HC50" s="1"/>
  <c r="HB51"/>
  <c r="HB52"/>
  <c r="HC52" s="1"/>
  <c r="HB53"/>
  <c r="HC53" s="1"/>
  <c r="HB54"/>
  <c r="HC54" s="1"/>
  <c r="HB55"/>
  <c r="HB56"/>
  <c r="HC56" s="1"/>
  <c r="HB57"/>
  <c r="HC57" s="1"/>
  <c r="HB58"/>
  <c r="HC58" s="1"/>
  <c r="HB59"/>
  <c r="HC59" s="1"/>
  <c r="HB60"/>
  <c r="HC60" s="1"/>
  <c r="HB61"/>
  <c r="HC61" s="1"/>
  <c r="HB62"/>
  <c r="HC62" s="1"/>
  <c r="HB63"/>
  <c r="HC63" s="1"/>
  <c r="HB64"/>
  <c r="HC64" s="1"/>
  <c r="HB65"/>
  <c r="HC65" s="1"/>
  <c r="HB66"/>
  <c r="HC66" s="1"/>
  <c r="HB67"/>
  <c r="HB68"/>
  <c r="HC68" s="1"/>
  <c r="HB69"/>
  <c r="HC69" s="1"/>
  <c r="HB70"/>
  <c r="HC70" s="1"/>
  <c r="HB71"/>
  <c r="HB72"/>
  <c r="HC72" s="1"/>
  <c r="HB73"/>
  <c r="HC73" s="1"/>
  <c r="HB74"/>
  <c r="HC74" s="1"/>
  <c r="HB75"/>
  <c r="HC75" s="1"/>
  <c r="HB76"/>
  <c r="HC76" s="1"/>
  <c r="HB77"/>
  <c r="HC77" s="1"/>
  <c r="HB78"/>
  <c r="HC78" s="1"/>
  <c r="HB79"/>
  <c r="HC79" s="1"/>
  <c r="HB80"/>
  <c r="HC80" s="1"/>
  <c r="HB81"/>
  <c r="HC81" s="1"/>
  <c r="HB82"/>
  <c r="HC82" s="1"/>
  <c r="HB83"/>
  <c r="HC83" s="1"/>
  <c r="HB84"/>
  <c r="HC84" s="1"/>
  <c r="HB85"/>
  <c r="HC85" s="1"/>
  <c r="HB86"/>
  <c r="HC86" s="1"/>
  <c r="HB87"/>
  <c r="HC87" s="1"/>
  <c r="HB88"/>
  <c r="HC88" s="1"/>
  <c r="HB89"/>
  <c r="HC89" s="1"/>
  <c r="HB90"/>
  <c r="HC90" s="1"/>
  <c r="HB91"/>
  <c r="HC91" s="1"/>
  <c r="HB92"/>
  <c r="HC92" s="1"/>
  <c r="HB93"/>
  <c r="HC93" s="1"/>
  <c r="HB94"/>
  <c r="HC94" s="1"/>
  <c r="HB95"/>
  <c r="HC95" s="1"/>
  <c r="HB96"/>
  <c r="HC96" s="1"/>
  <c r="HB97"/>
  <c r="HC97" s="1"/>
  <c r="HB98"/>
  <c r="HC98" s="1"/>
  <c r="HB99"/>
  <c r="HC99" s="1"/>
  <c r="HB100"/>
  <c r="HC100" s="1"/>
  <c r="HB101"/>
  <c r="HC101" s="1"/>
  <c r="HB102"/>
  <c r="HC102" s="1"/>
  <c r="HB103"/>
  <c r="HC103" s="1"/>
  <c r="HB104"/>
  <c r="HC104" s="1"/>
  <c r="HB105"/>
  <c r="HC105" s="1"/>
  <c r="HB106"/>
  <c r="HC106" s="1"/>
  <c r="HB107"/>
  <c r="HC107" s="1"/>
  <c r="HB108"/>
  <c r="HC108" s="1"/>
  <c r="HB109"/>
  <c r="HC109" s="1"/>
  <c r="HB110"/>
  <c r="HC110" s="1"/>
  <c r="HB111"/>
  <c r="HC111" s="1"/>
  <c r="HB112"/>
  <c r="HC112" s="1"/>
  <c r="HB113"/>
  <c r="HC113" s="1"/>
  <c r="HB114"/>
  <c r="HC114" s="1"/>
  <c r="HB115"/>
  <c r="HC115" s="1"/>
  <c r="HB116"/>
  <c r="HC116" s="1"/>
  <c r="HB117"/>
  <c r="HC117" s="1"/>
  <c r="HB118"/>
  <c r="HC118" s="1"/>
  <c r="HB119"/>
  <c r="HC119" s="1"/>
  <c r="HB120"/>
  <c r="HC120" s="1"/>
  <c r="HB121"/>
  <c r="HC121" s="1"/>
  <c r="HB122"/>
  <c r="HC122" s="1"/>
  <c r="HB123"/>
  <c r="HC123" s="1"/>
  <c r="HB124"/>
  <c r="HC124" s="1"/>
  <c r="HB125"/>
  <c r="HC125" s="1"/>
  <c r="HB126"/>
  <c r="HC126" s="1"/>
  <c r="HB127"/>
  <c r="HC127" s="1"/>
  <c r="HB128"/>
  <c r="HC128" s="1"/>
  <c r="HB129"/>
  <c r="HC129" s="1"/>
  <c r="HB130"/>
  <c r="HC130" s="1"/>
  <c r="HB131"/>
  <c r="HC131" s="1"/>
  <c r="HB132"/>
  <c r="HC132" s="1"/>
  <c r="HB133"/>
  <c r="HC133" s="1"/>
  <c r="HB134"/>
  <c r="HC134" s="1"/>
  <c r="HB135"/>
  <c r="HC135" s="1"/>
  <c r="HB136"/>
  <c r="HC136" s="1"/>
  <c r="HB137"/>
  <c r="HC137" s="1"/>
  <c r="HB138"/>
  <c r="HC138" s="1"/>
  <c r="HB139"/>
  <c r="HC139" s="1"/>
  <c r="HB140"/>
  <c r="HC140" s="1"/>
  <c r="HB141"/>
  <c r="HC141" s="1"/>
  <c r="HB142"/>
  <c r="HC142" s="1"/>
  <c r="HB143"/>
  <c r="HC143" s="1"/>
  <c r="HB144"/>
  <c r="HC144" s="1"/>
  <c r="HB145"/>
  <c r="HC145" s="1"/>
  <c r="HB146"/>
  <c r="HC146" s="1"/>
  <c r="HB147"/>
  <c r="HC147" s="1"/>
  <c r="HB148"/>
  <c r="HC148" s="1"/>
  <c r="HB149"/>
  <c r="HC149" s="1"/>
  <c r="HB150"/>
  <c r="HC150" s="1"/>
  <c r="HB151"/>
  <c r="HC151" s="1"/>
  <c r="HB152"/>
  <c r="HC152" s="1"/>
  <c r="HB153"/>
  <c r="HC153" s="1"/>
  <c r="HB154"/>
  <c r="HC154" s="1"/>
  <c r="HB155"/>
  <c r="HC155" s="1"/>
  <c r="HB156"/>
  <c r="HC156" s="1"/>
  <c r="HB157"/>
  <c r="HC157" s="1"/>
  <c r="HB158"/>
  <c r="HC158" s="1"/>
  <c r="HB159"/>
  <c r="HC159" s="1"/>
  <c r="HB160"/>
  <c r="HC160" s="1"/>
  <c r="HB161"/>
  <c r="HC161" s="1"/>
  <c r="HB162"/>
  <c r="HC162" s="1"/>
  <c r="HB163"/>
  <c r="HC163" s="1"/>
  <c r="HB164"/>
  <c r="HC164" s="1"/>
  <c r="HB165"/>
  <c r="HC165" s="1"/>
  <c r="HB166"/>
  <c r="HC166" s="1"/>
  <c r="HB167"/>
  <c r="HC167" s="1"/>
  <c r="HB168"/>
  <c r="HC168" s="1"/>
  <c r="HB169"/>
  <c r="HC169" s="1"/>
  <c r="HB170"/>
  <c r="HC170" s="1"/>
  <c r="HB171"/>
  <c r="HC171" s="1"/>
  <c r="HB172"/>
  <c r="HC172" s="1"/>
  <c r="HB173"/>
  <c r="HC173" s="1"/>
  <c r="HB174"/>
  <c r="HC174" s="1"/>
  <c r="HB175"/>
  <c r="HC175" s="1"/>
  <c r="HB176"/>
  <c r="HC176" s="1"/>
  <c r="HB177"/>
  <c r="HC177" s="1"/>
  <c r="HB178"/>
  <c r="HC178" s="1"/>
  <c r="HB179"/>
  <c r="HC179" s="1"/>
  <c r="HB180"/>
  <c r="HC180" s="1"/>
  <c r="HB181"/>
  <c r="HC181" s="1"/>
  <c r="HB182"/>
  <c r="HC182" s="1"/>
  <c r="HB183"/>
  <c r="HC183" s="1"/>
  <c r="HB184"/>
  <c r="HC184" s="1"/>
  <c r="HB185"/>
  <c r="HC185" s="1"/>
  <c r="HB186"/>
  <c r="HC186" s="1"/>
  <c r="HB187"/>
  <c r="HC187" s="1"/>
  <c r="HB188"/>
  <c r="HC188" s="1"/>
  <c r="HB189"/>
  <c r="HC189" s="1"/>
  <c r="HB190"/>
  <c r="HC190" s="1"/>
  <c r="HB191"/>
  <c r="HC191" s="1"/>
  <c r="HB192"/>
  <c r="HC192" s="1"/>
  <c r="HB193"/>
  <c r="HC193" s="1"/>
  <c r="HB194"/>
  <c r="HC194" s="1"/>
  <c r="HB195"/>
  <c r="HC195" s="1"/>
  <c r="HB196"/>
  <c r="HC196" s="1"/>
  <c r="HB197"/>
  <c r="HC197" s="1"/>
  <c r="HB198"/>
  <c r="HC198" s="1"/>
  <c r="HB199"/>
  <c r="HC199" s="1"/>
  <c r="HB200"/>
  <c r="HC200" s="1"/>
  <c r="HB201"/>
  <c r="HC201" s="1"/>
  <c r="HB202"/>
  <c r="HC202" s="1"/>
  <c r="HB203"/>
  <c r="HC203" s="1"/>
  <c r="HB204"/>
  <c r="HC204" s="1"/>
  <c r="HB205"/>
  <c r="HC205" s="1"/>
  <c r="HB206"/>
  <c r="HC206" s="1"/>
  <c r="HB207"/>
  <c r="HC207" s="1"/>
  <c r="HB208"/>
  <c r="HC208" s="1"/>
  <c r="HB209"/>
  <c r="HC209" s="1"/>
  <c r="HB210"/>
  <c r="HC210" s="1"/>
  <c r="HB211"/>
  <c r="HC211" s="1"/>
  <c r="HB212"/>
  <c r="HC212" s="1"/>
  <c r="HB213"/>
  <c r="HC213" s="1"/>
  <c r="HB214"/>
  <c r="HC214" s="1"/>
  <c r="HB215"/>
  <c r="HC215" s="1"/>
  <c r="HB216"/>
  <c r="HC216" s="1"/>
  <c r="HB217"/>
  <c r="HC217" s="1"/>
  <c r="HB218"/>
  <c r="HC218" s="1"/>
  <c r="HB219"/>
  <c r="HC219" s="1"/>
  <c r="HB220"/>
  <c r="HC220" s="1"/>
  <c r="HB221"/>
  <c r="HC221" s="1"/>
  <c r="HB222"/>
  <c r="HC222" s="1"/>
  <c r="HB223"/>
  <c r="HC223" s="1"/>
  <c r="HB224"/>
  <c r="HC224" s="1"/>
  <c r="HB225"/>
  <c r="HC225" s="1"/>
  <c r="HB226"/>
  <c r="HC226" s="1"/>
  <c r="HB227"/>
  <c r="HC227" s="1"/>
  <c r="HB228"/>
  <c r="HC228" s="1"/>
  <c r="HB229"/>
  <c r="HC229" s="1"/>
  <c r="HB230"/>
  <c r="HC230" s="1"/>
  <c r="HB231"/>
  <c r="HC231" s="1"/>
  <c r="HB232"/>
  <c r="HC232" s="1"/>
  <c r="HB233"/>
  <c r="HC233" s="1"/>
  <c r="HB234"/>
  <c r="HC234" s="1"/>
  <c r="HB235"/>
  <c r="HC235" s="1"/>
  <c r="HB236"/>
  <c r="HC236" s="1"/>
  <c r="HB237"/>
  <c r="HC237" s="1"/>
  <c r="HB238"/>
  <c r="HC238" s="1"/>
  <c r="HB239"/>
  <c r="HC239" s="1"/>
  <c r="HB240"/>
  <c r="HC240" s="1"/>
  <c r="HB241"/>
  <c r="HC241" s="1"/>
  <c r="HB242"/>
  <c r="HC242" s="1"/>
  <c r="HB243"/>
  <c r="HC243" s="1"/>
  <c r="HB244"/>
  <c r="HC244" s="1"/>
  <c r="HB245"/>
  <c r="HC245" s="1"/>
  <c r="HB246"/>
  <c r="HC246" s="1"/>
  <c r="HB247"/>
  <c r="HC247" s="1"/>
  <c r="HB248"/>
  <c r="HC248" s="1"/>
  <c r="HB249"/>
  <c r="HC249" s="1"/>
  <c r="HB250"/>
  <c r="HC250" s="1"/>
  <c r="HB251"/>
  <c r="HC251" s="1"/>
  <c r="HB252"/>
  <c r="HC252" s="1"/>
  <c r="HB253"/>
  <c r="HC253" s="1"/>
  <c r="HB254"/>
  <c r="HC254" s="1"/>
  <c r="HB255"/>
  <c r="HC255" s="1"/>
  <c r="HB256"/>
  <c r="HC256" s="1"/>
  <c r="HB257"/>
  <c r="HC257" s="1"/>
  <c r="HB258"/>
  <c r="HC258" s="1"/>
  <c r="HB259"/>
  <c r="HC259" s="1"/>
  <c r="HB260"/>
  <c r="HC260" s="1"/>
  <c r="HB261"/>
  <c r="HC261" s="1"/>
  <c r="HB262"/>
  <c r="HC262" s="1"/>
  <c r="HB263"/>
  <c r="HC263" s="1"/>
  <c r="HB264"/>
  <c r="HC264" s="1"/>
  <c r="HB265"/>
  <c r="HC265" s="1"/>
  <c r="HB266"/>
  <c r="HC266" s="1"/>
  <c r="HB267"/>
  <c r="HC267" s="1"/>
  <c r="HB268"/>
  <c r="HC268" s="1"/>
  <c r="HB269"/>
  <c r="HC269" s="1"/>
  <c r="HB270"/>
  <c r="HC270" s="1"/>
  <c r="HB271"/>
  <c r="HC271" s="1"/>
  <c r="HB272"/>
  <c r="HC272" s="1"/>
  <c r="HB273"/>
  <c r="HC273" s="1"/>
  <c r="HB274"/>
  <c r="HC274" s="1"/>
  <c r="HB275"/>
  <c r="HC275" s="1"/>
  <c r="HB276"/>
  <c r="HC276" s="1"/>
  <c r="HB277"/>
  <c r="HC277" s="1"/>
  <c r="HB278"/>
  <c r="HC278" s="1"/>
  <c r="HB279"/>
  <c r="HC279" s="1"/>
  <c r="GZ2"/>
  <c r="HA2" s="1"/>
  <c r="GZ3"/>
  <c r="HA3" s="1"/>
  <c r="GZ4"/>
  <c r="HA4" s="1"/>
  <c r="GZ5"/>
  <c r="HA5" s="1"/>
  <c r="GZ6"/>
  <c r="HA6" s="1"/>
  <c r="GZ7"/>
  <c r="HA7" s="1"/>
  <c r="GZ8"/>
  <c r="HA8" s="1"/>
  <c r="GZ9"/>
  <c r="HA9" s="1"/>
  <c r="GZ10"/>
  <c r="HA10" s="1"/>
  <c r="GZ11"/>
  <c r="HA11" s="1"/>
  <c r="GZ12"/>
  <c r="HA12" s="1"/>
  <c r="GZ13"/>
  <c r="HA13" s="1"/>
  <c r="GZ14"/>
  <c r="HA14" s="1"/>
  <c r="GZ15"/>
  <c r="HA15" s="1"/>
  <c r="GZ16"/>
  <c r="HA16" s="1"/>
  <c r="GZ17"/>
  <c r="HA17" s="1"/>
  <c r="GZ18"/>
  <c r="HA18" s="1"/>
  <c r="GZ19"/>
  <c r="HA19" s="1"/>
  <c r="GZ20"/>
  <c r="HA20" s="1"/>
  <c r="GZ21"/>
  <c r="HA21" s="1"/>
  <c r="GZ22"/>
  <c r="HA22" s="1"/>
  <c r="GZ23"/>
  <c r="HA23" s="1"/>
  <c r="GZ24"/>
  <c r="HA24" s="1"/>
  <c r="GZ25"/>
  <c r="HA25" s="1"/>
  <c r="GZ26"/>
  <c r="HA26" s="1"/>
  <c r="GZ27"/>
  <c r="HA27" s="1"/>
  <c r="GZ28"/>
  <c r="HA28" s="1"/>
  <c r="GZ29"/>
  <c r="HA29" s="1"/>
  <c r="GZ30"/>
  <c r="HA30" s="1"/>
  <c r="GZ31"/>
  <c r="HA31" s="1"/>
  <c r="GZ32"/>
  <c r="HA32" s="1"/>
  <c r="GZ33"/>
  <c r="HA33" s="1"/>
  <c r="GZ34"/>
  <c r="HA34" s="1"/>
  <c r="GZ35"/>
  <c r="HA35" s="1"/>
  <c r="GZ36"/>
  <c r="HA36" s="1"/>
  <c r="GZ37"/>
  <c r="HA37" s="1"/>
  <c r="GZ38"/>
  <c r="HA38" s="1"/>
  <c r="GZ39"/>
  <c r="HA39" s="1"/>
  <c r="GZ40"/>
  <c r="HA40" s="1"/>
  <c r="GZ41"/>
  <c r="HA41" s="1"/>
  <c r="GZ42"/>
  <c r="HA42" s="1"/>
  <c r="GZ43"/>
  <c r="GZ44"/>
  <c r="HA44" s="1"/>
  <c r="GZ45"/>
  <c r="HA45" s="1"/>
  <c r="GZ46"/>
  <c r="HA46" s="1"/>
  <c r="GZ47"/>
  <c r="HA47" s="1"/>
  <c r="GZ48"/>
  <c r="HA48" s="1"/>
  <c r="GZ49"/>
  <c r="HA49" s="1"/>
  <c r="GZ50"/>
  <c r="HA50" s="1"/>
  <c r="GZ51"/>
  <c r="HA51" s="1"/>
  <c r="GZ52"/>
  <c r="HA52" s="1"/>
  <c r="GZ53"/>
  <c r="HA53" s="1"/>
  <c r="GZ54"/>
  <c r="HA54" s="1"/>
  <c r="GZ55"/>
  <c r="HA55" s="1"/>
  <c r="GZ56"/>
  <c r="HA56" s="1"/>
  <c r="GZ57"/>
  <c r="HA57" s="1"/>
  <c r="GZ58"/>
  <c r="HA58" s="1"/>
  <c r="GZ59"/>
  <c r="HA59" s="1"/>
  <c r="GZ60"/>
  <c r="HA60" s="1"/>
  <c r="GZ61"/>
  <c r="HA61" s="1"/>
  <c r="GZ62"/>
  <c r="HA62" s="1"/>
  <c r="GZ63"/>
  <c r="HA63" s="1"/>
  <c r="GZ64"/>
  <c r="HA64" s="1"/>
  <c r="GZ65"/>
  <c r="HA65" s="1"/>
  <c r="GZ66"/>
  <c r="HA66" s="1"/>
  <c r="GZ67"/>
  <c r="HA67" s="1"/>
  <c r="GZ68"/>
  <c r="HA68" s="1"/>
  <c r="GZ69"/>
  <c r="HA69" s="1"/>
  <c r="GZ70"/>
  <c r="HA70" s="1"/>
  <c r="GZ71"/>
  <c r="HA71" s="1"/>
  <c r="GZ72"/>
  <c r="HA72" s="1"/>
  <c r="GZ73"/>
  <c r="HA73" s="1"/>
  <c r="GZ74"/>
  <c r="HA74" s="1"/>
  <c r="GZ75"/>
  <c r="HA75" s="1"/>
  <c r="GZ76"/>
  <c r="HA76" s="1"/>
  <c r="GZ77"/>
  <c r="HA77" s="1"/>
  <c r="GZ78"/>
  <c r="HA78" s="1"/>
  <c r="GZ79"/>
  <c r="HA79" s="1"/>
  <c r="GZ80"/>
  <c r="HA80" s="1"/>
  <c r="GZ81"/>
  <c r="HA81" s="1"/>
  <c r="GZ82"/>
  <c r="HA82" s="1"/>
  <c r="GZ83"/>
  <c r="HA83" s="1"/>
  <c r="GZ84"/>
  <c r="HA84" s="1"/>
  <c r="GZ85"/>
  <c r="HA85" s="1"/>
  <c r="GZ86"/>
  <c r="HA86" s="1"/>
  <c r="GZ87"/>
  <c r="HA87" s="1"/>
  <c r="GZ88"/>
  <c r="HA88" s="1"/>
  <c r="GZ89"/>
  <c r="HA89" s="1"/>
  <c r="GZ90"/>
  <c r="HA90" s="1"/>
  <c r="GZ91"/>
  <c r="HA91" s="1"/>
  <c r="GZ92"/>
  <c r="HA92" s="1"/>
  <c r="GZ93"/>
  <c r="HA93" s="1"/>
  <c r="GZ94"/>
  <c r="HA94" s="1"/>
  <c r="GZ95"/>
  <c r="HA95" s="1"/>
  <c r="GZ96"/>
  <c r="HA96" s="1"/>
  <c r="GZ97"/>
  <c r="HA97" s="1"/>
  <c r="GZ98"/>
  <c r="HA98" s="1"/>
  <c r="GZ99"/>
  <c r="HA99" s="1"/>
  <c r="GZ100"/>
  <c r="HA100" s="1"/>
  <c r="GZ101"/>
  <c r="HA101" s="1"/>
  <c r="GZ102"/>
  <c r="HA102" s="1"/>
  <c r="GZ103"/>
  <c r="HA103" s="1"/>
  <c r="GZ104"/>
  <c r="HA104" s="1"/>
  <c r="GZ105"/>
  <c r="HA105" s="1"/>
  <c r="GZ106"/>
  <c r="HA106" s="1"/>
  <c r="GZ107"/>
  <c r="HA107" s="1"/>
  <c r="GZ108"/>
  <c r="HA108" s="1"/>
  <c r="GZ109"/>
  <c r="HA109" s="1"/>
  <c r="GZ110"/>
  <c r="HA110" s="1"/>
  <c r="GZ111"/>
  <c r="HA111" s="1"/>
  <c r="GZ112"/>
  <c r="HA112" s="1"/>
  <c r="GZ113"/>
  <c r="HA113" s="1"/>
  <c r="GZ114"/>
  <c r="HA114" s="1"/>
  <c r="GZ115"/>
  <c r="HA115" s="1"/>
  <c r="GZ116"/>
  <c r="HA116" s="1"/>
  <c r="GZ117"/>
  <c r="HA117" s="1"/>
  <c r="GZ118"/>
  <c r="HA118" s="1"/>
  <c r="GZ119"/>
  <c r="HA119" s="1"/>
  <c r="GZ120"/>
  <c r="HA120" s="1"/>
  <c r="GZ121"/>
  <c r="HA121" s="1"/>
  <c r="GZ122"/>
  <c r="HA122" s="1"/>
  <c r="GZ123"/>
  <c r="HA123" s="1"/>
  <c r="GZ124"/>
  <c r="HA124" s="1"/>
  <c r="GZ125"/>
  <c r="HA125" s="1"/>
  <c r="GZ126"/>
  <c r="HA126" s="1"/>
  <c r="GZ127"/>
  <c r="HA127" s="1"/>
  <c r="GZ128"/>
  <c r="HA128" s="1"/>
  <c r="GZ129"/>
  <c r="HA129" s="1"/>
  <c r="GZ130"/>
  <c r="HA130" s="1"/>
  <c r="GZ131"/>
  <c r="HA131" s="1"/>
  <c r="GZ132"/>
  <c r="HA132" s="1"/>
  <c r="GZ133"/>
  <c r="HA133" s="1"/>
  <c r="GZ134"/>
  <c r="HA134" s="1"/>
  <c r="GZ135"/>
  <c r="HA135" s="1"/>
  <c r="GZ136"/>
  <c r="HA136" s="1"/>
  <c r="GZ137"/>
  <c r="HA137" s="1"/>
  <c r="GZ138"/>
  <c r="HA138" s="1"/>
  <c r="GZ139"/>
  <c r="HA139" s="1"/>
  <c r="GZ140"/>
  <c r="HA140" s="1"/>
  <c r="GZ141"/>
  <c r="HA141" s="1"/>
  <c r="GZ142"/>
  <c r="HA142" s="1"/>
  <c r="GZ143"/>
  <c r="HA143" s="1"/>
  <c r="GZ144"/>
  <c r="HA144" s="1"/>
  <c r="GZ145"/>
  <c r="HA145" s="1"/>
  <c r="GZ146"/>
  <c r="HA146" s="1"/>
  <c r="GZ147"/>
  <c r="HA147" s="1"/>
  <c r="GZ148"/>
  <c r="HA148" s="1"/>
  <c r="GZ149"/>
  <c r="HA149" s="1"/>
  <c r="GZ150"/>
  <c r="HA150" s="1"/>
  <c r="GZ151"/>
  <c r="HA151" s="1"/>
  <c r="GZ152"/>
  <c r="HA152" s="1"/>
  <c r="GZ153"/>
  <c r="HA153" s="1"/>
  <c r="GZ154"/>
  <c r="HA154" s="1"/>
  <c r="GZ155"/>
  <c r="HA155" s="1"/>
  <c r="GZ156"/>
  <c r="HA156" s="1"/>
  <c r="GZ157"/>
  <c r="HA157" s="1"/>
  <c r="GZ158"/>
  <c r="HA158" s="1"/>
  <c r="GZ159"/>
  <c r="HA159" s="1"/>
  <c r="GZ160"/>
  <c r="HA160" s="1"/>
  <c r="GZ161"/>
  <c r="HA161" s="1"/>
  <c r="GZ162"/>
  <c r="HA162" s="1"/>
  <c r="GZ163"/>
  <c r="HA163" s="1"/>
  <c r="GZ164"/>
  <c r="HA164" s="1"/>
  <c r="GZ165"/>
  <c r="HA165" s="1"/>
  <c r="GZ166"/>
  <c r="HA166" s="1"/>
  <c r="GZ167"/>
  <c r="HA167" s="1"/>
  <c r="GZ168"/>
  <c r="HA168" s="1"/>
  <c r="GZ169"/>
  <c r="HA169" s="1"/>
  <c r="GZ170"/>
  <c r="HA170" s="1"/>
  <c r="GZ171"/>
  <c r="HA171" s="1"/>
  <c r="GZ172"/>
  <c r="HA172" s="1"/>
  <c r="GZ173"/>
  <c r="HA173" s="1"/>
  <c r="GZ174"/>
  <c r="HA174" s="1"/>
  <c r="GZ175"/>
  <c r="HA175" s="1"/>
  <c r="GZ176"/>
  <c r="HA176" s="1"/>
  <c r="GZ177"/>
  <c r="HA177" s="1"/>
  <c r="GZ178"/>
  <c r="HA178" s="1"/>
  <c r="GZ179"/>
  <c r="HA179" s="1"/>
  <c r="GZ180"/>
  <c r="HA180" s="1"/>
  <c r="GZ181"/>
  <c r="HA181" s="1"/>
  <c r="GZ182"/>
  <c r="HA182" s="1"/>
  <c r="GZ183"/>
  <c r="HA183" s="1"/>
  <c r="GZ184"/>
  <c r="HA184" s="1"/>
  <c r="GZ185"/>
  <c r="HA185" s="1"/>
  <c r="GZ186"/>
  <c r="HA186" s="1"/>
  <c r="GZ187"/>
  <c r="HA187" s="1"/>
  <c r="GZ188"/>
  <c r="HA188" s="1"/>
  <c r="GZ189"/>
  <c r="HA189" s="1"/>
  <c r="GZ190"/>
  <c r="HA190" s="1"/>
  <c r="GZ191"/>
  <c r="HA191" s="1"/>
  <c r="GZ192"/>
  <c r="HA192" s="1"/>
  <c r="GZ193"/>
  <c r="HA193" s="1"/>
  <c r="GZ194"/>
  <c r="HA194" s="1"/>
  <c r="GZ195"/>
  <c r="GZ196"/>
  <c r="HA196" s="1"/>
  <c r="GZ197"/>
  <c r="HA197" s="1"/>
  <c r="GZ198"/>
  <c r="HA198" s="1"/>
  <c r="GZ199"/>
  <c r="HA199" s="1"/>
  <c r="GZ200"/>
  <c r="HA200" s="1"/>
  <c r="GZ201"/>
  <c r="HA201" s="1"/>
  <c r="GZ202"/>
  <c r="HA202" s="1"/>
  <c r="GZ203"/>
  <c r="GZ204"/>
  <c r="HA204" s="1"/>
  <c r="GZ205"/>
  <c r="HA205" s="1"/>
  <c r="GZ206"/>
  <c r="HA206" s="1"/>
  <c r="GZ207"/>
  <c r="HA207" s="1"/>
  <c r="GZ208"/>
  <c r="HA208" s="1"/>
  <c r="GZ209"/>
  <c r="HA209" s="1"/>
  <c r="GZ210"/>
  <c r="HA210" s="1"/>
  <c r="GZ211"/>
  <c r="HA211" s="1"/>
  <c r="GZ212"/>
  <c r="HA212" s="1"/>
  <c r="GZ213"/>
  <c r="HA213" s="1"/>
  <c r="GZ214"/>
  <c r="HA214" s="1"/>
  <c r="GZ215"/>
  <c r="HA215" s="1"/>
  <c r="GZ216"/>
  <c r="HA216" s="1"/>
  <c r="GZ217"/>
  <c r="HA217" s="1"/>
  <c r="GZ218"/>
  <c r="HA218" s="1"/>
  <c r="GZ219"/>
  <c r="HA219" s="1"/>
  <c r="GZ220"/>
  <c r="HA220" s="1"/>
  <c r="GZ221"/>
  <c r="HA221" s="1"/>
  <c r="GZ222"/>
  <c r="HA222" s="1"/>
  <c r="GZ223"/>
  <c r="HA223" s="1"/>
  <c r="GZ224"/>
  <c r="HA224" s="1"/>
  <c r="GZ225"/>
  <c r="HA225" s="1"/>
  <c r="GZ226"/>
  <c r="HA226" s="1"/>
  <c r="GZ227"/>
  <c r="HA227" s="1"/>
  <c r="GZ228"/>
  <c r="HA228" s="1"/>
  <c r="GZ229"/>
  <c r="HA229" s="1"/>
  <c r="GZ230"/>
  <c r="HA230" s="1"/>
  <c r="GZ231"/>
  <c r="HA231" s="1"/>
  <c r="GZ232"/>
  <c r="HA232" s="1"/>
  <c r="GZ233"/>
  <c r="HA233" s="1"/>
  <c r="GZ234"/>
  <c r="HA234" s="1"/>
  <c r="GZ235"/>
  <c r="HA235" s="1"/>
  <c r="GZ236"/>
  <c r="HA236" s="1"/>
  <c r="GZ237"/>
  <c r="HA237" s="1"/>
  <c r="GZ238"/>
  <c r="HA238" s="1"/>
  <c r="GZ239"/>
  <c r="HA239" s="1"/>
  <c r="GZ240"/>
  <c r="HA240" s="1"/>
  <c r="GZ241"/>
  <c r="HA241" s="1"/>
  <c r="GZ242"/>
  <c r="HA242" s="1"/>
  <c r="GZ243"/>
  <c r="HA243" s="1"/>
  <c r="GZ244"/>
  <c r="HA244" s="1"/>
  <c r="GZ245"/>
  <c r="HA245" s="1"/>
  <c r="GZ246"/>
  <c r="HA246" s="1"/>
  <c r="GZ247"/>
  <c r="HA247" s="1"/>
  <c r="GZ248"/>
  <c r="HA248" s="1"/>
  <c r="GZ249"/>
  <c r="HA249" s="1"/>
  <c r="GZ250"/>
  <c r="HA250" s="1"/>
  <c r="GZ251"/>
  <c r="HA251" s="1"/>
  <c r="GZ252"/>
  <c r="HA252" s="1"/>
  <c r="GZ253"/>
  <c r="HA253" s="1"/>
  <c r="GZ254"/>
  <c r="HA254" s="1"/>
  <c r="GZ255"/>
  <c r="HA255" s="1"/>
  <c r="GZ256"/>
  <c r="HA256" s="1"/>
  <c r="GZ257"/>
  <c r="HA257" s="1"/>
  <c r="GZ258"/>
  <c r="HA258" s="1"/>
  <c r="GZ259"/>
  <c r="HA259" s="1"/>
  <c r="GZ260"/>
  <c r="HA260" s="1"/>
  <c r="GZ261"/>
  <c r="HA261" s="1"/>
  <c r="GZ262"/>
  <c r="HA262" s="1"/>
  <c r="GZ263"/>
  <c r="HA263" s="1"/>
  <c r="GZ264"/>
  <c r="HA264" s="1"/>
  <c r="GZ265"/>
  <c r="HA265" s="1"/>
  <c r="GZ266"/>
  <c r="HA266" s="1"/>
  <c r="GZ267"/>
  <c r="HA267" s="1"/>
  <c r="GZ268"/>
  <c r="HA268" s="1"/>
  <c r="GZ269"/>
  <c r="HA269" s="1"/>
  <c r="GZ270"/>
  <c r="HA270" s="1"/>
  <c r="GZ271"/>
  <c r="HA271" s="1"/>
  <c r="GZ272"/>
  <c r="HA272" s="1"/>
  <c r="GZ273"/>
  <c r="HA273" s="1"/>
  <c r="GZ274"/>
  <c r="HA274" s="1"/>
  <c r="GZ275"/>
  <c r="HA275" s="1"/>
  <c r="GZ276"/>
  <c r="HA276" s="1"/>
  <c r="GZ277"/>
  <c r="HA277" s="1"/>
  <c r="GZ278"/>
  <c r="HA278" s="1"/>
  <c r="GZ279"/>
  <c r="HA279" s="1"/>
  <c r="GX2"/>
  <c r="GY2" s="1"/>
  <c r="GX3"/>
  <c r="GY3" s="1"/>
  <c r="GX4"/>
  <c r="GY4" s="1"/>
  <c r="GX5"/>
  <c r="GY5" s="1"/>
  <c r="GX6"/>
  <c r="GY6" s="1"/>
  <c r="GX7"/>
  <c r="GY7" s="1"/>
  <c r="GX8"/>
  <c r="GY8" s="1"/>
  <c r="GX9"/>
  <c r="GY9" s="1"/>
  <c r="GX10"/>
  <c r="GY10" s="1"/>
  <c r="GX11"/>
  <c r="GY11" s="1"/>
  <c r="GX12"/>
  <c r="GY12" s="1"/>
  <c r="GX13"/>
  <c r="GY13" s="1"/>
  <c r="GX14"/>
  <c r="GY14" s="1"/>
  <c r="GX15"/>
  <c r="GY15" s="1"/>
  <c r="GX16"/>
  <c r="GY16" s="1"/>
  <c r="GX17"/>
  <c r="GY17" s="1"/>
  <c r="GX18"/>
  <c r="GY18" s="1"/>
  <c r="GX19"/>
  <c r="GY19" s="1"/>
  <c r="GX20"/>
  <c r="GY20" s="1"/>
  <c r="GX21"/>
  <c r="GY21" s="1"/>
  <c r="GX22"/>
  <c r="GY22" s="1"/>
  <c r="GX23"/>
  <c r="GY23" s="1"/>
  <c r="GX24"/>
  <c r="GY24" s="1"/>
  <c r="GX25"/>
  <c r="GY25" s="1"/>
  <c r="GX26"/>
  <c r="GY26" s="1"/>
  <c r="GX27"/>
  <c r="GY27" s="1"/>
  <c r="GX28"/>
  <c r="GY28" s="1"/>
  <c r="GX29"/>
  <c r="GY29" s="1"/>
  <c r="GX30"/>
  <c r="GY30" s="1"/>
  <c r="GX31"/>
  <c r="GY31" s="1"/>
  <c r="GX32"/>
  <c r="GY32" s="1"/>
  <c r="GX33"/>
  <c r="GY33" s="1"/>
  <c r="GX34"/>
  <c r="GX35"/>
  <c r="GY35" s="1"/>
  <c r="GX36"/>
  <c r="GY36" s="1"/>
  <c r="GX37"/>
  <c r="GY37" s="1"/>
  <c r="GX38"/>
  <c r="GY38" s="1"/>
  <c r="GX39"/>
  <c r="GY39" s="1"/>
  <c r="GX40"/>
  <c r="GY40" s="1"/>
  <c r="GX41"/>
  <c r="GY41" s="1"/>
  <c r="GX42"/>
  <c r="GY42" s="1"/>
  <c r="GX43"/>
  <c r="GY43" s="1"/>
  <c r="GX44"/>
  <c r="GY44" s="1"/>
  <c r="GX45"/>
  <c r="GY45" s="1"/>
  <c r="GX46"/>
  <c r="GY46" s="1"/>
  <c r="GX47"/>
  <c r="GY47" s="1"/>
  <c r="GX48"/>
  <c r="GY48" s="1"/>
  <c r="GX49"/>
  <c r="GY49" s="1"/>
  <c r="GX50"/>
  <c r="GY50" s="1"/>
  <c r="GX51"/>
  <c r="GY51" s="1"/>
  <c r="GX52"/>
  <c r="GY52" s="1"/>
  <c r="GX53"/>
  <c r="GY53" s="1"/>
  <c r="GX54"/>
  <c r="GY54" s="1"/>
  <c r="GX55"/>
  <c r="GY55" s="1"/>
  <c r="GX56"/>
  <c r="GY56" s="1"/>
  <c r="GX57"/>
  <c r="GY57" s="1"/>
  <c r="GX58"/>
  <c r="GY58" s="1"/>
  <c r="GX59"/>
  <c r="GY59" s="1"/>
  <c r="GX60"/>
  <c r="GY60" s="1"/>
  <c r="GX61"/>
  <c r="GY61" s="1"/>
  <c r="GX62"/>
  <c r="GY62" s="1"/>
  <c r="GX63"/>
  <c r="GY63" s="1"/>
  <c r="GX64"/>
  <c r="GY64" s="1"/>
  <c r="GX65"/>
  <c r="GY65" s="1"/>
  <c r="GX66"/>
  <c r="GY66" s="1"/>
  <c r="GX67"/>
  <c r="GY67" s="1"/>
  <c r="GX68"/>
  <c r="GY68" s="1"/>
  <c r="GX69"/>
  <c r="GY69" s="1"/>
  <c r="GX70"/>
  <c r="GY70" s="1"/>
  <c r="GX71"/>
  <c r="GY71" s="1"/>
  <c r="GX72"/>
  <c r="GY72" s="1"/>
  <c r="GX73"/>
  <c r="GY73" s="1"/>
  <c r="GX74"/>
  <c r="GY74" s="1"/>
  <c r="GX75"/>
  <c r="GY75" s="1"/>
  <c r="GX76"/>
  <c r="GY76" s="1"/>
  <c r="GX77"/>
  <c r="GY77" s="1"/>
  <c r="GX78"/>
  <c r="GY78" s="1"/>
  <c r="GX79"/>
  <c r="GY79" s="1"/>
  <c r="GX80"/>
  <c r="GY80" s="1"/>
  <c r="GX81"/>
  <c r="GY81" s="1"/>
  <c r="GX82"/>
  <c r="GY82" s="1"/>
  <c r="GX83"/>
  <c r="GY83" s="1"/>
  <c r="GX84"/>
  <c r="GY84" s="1"/>
  <c r="GX85"/>
  <c r="GY85" s="1"/>
  <c r="GX86"/>
  <c r="GY86" s="1"/>
  <c r="GX87"/>
  <c r="GY87" s="1"/>
  <c r="GX88"/>
  <c r="GY88" s="1"/>
  <c r="GX89"/>
  <c r="GY89" s="1"/>
  <c r="GX90"/>
  <c r="GY90" s="1"/>
  <c r="GX91"/>
  <c r="GY91" s="1"/>
  <c r="GX92"/>
  <c r="GY92" s="1"/>
  <c r="GX93"/>
  <c r="GY93" s="1"/>
  <c r="GX94"/>
  <c r="GY94" s="1"/>
  <c r="GX95"/>
  <c r="GY95" s="1"/>
  <c r="GX96"/>
  <c r="GY96" s="1"/>
  <c r="GX97"/>
  <c r="GY97" s="1"/>
  <c r="GX98"/>
  <c r="GY98" s="1"/>
  <c r="GX99"/>
  <c r="GY99" s="1"/>
  <c r="GX100"/>
  <c r="GY100" s="1"/>
  <c r="GX101"/>
  <c r="GY101" s="1"/>
  <c r="GX102"/>
  <c r="GY102" s="1"/>
  <c r="GX103"/>
  <c r="GY103" s="1"/>
  <c r="GX104"/>
  <c r="GY104" s="1"/>
  <c r="GX105"/>
  <c r="GY105" s="1"/>
  <c r="GX106"/>
  <c r="GY106" s="1"/>
  <c r="GX107"/>
  <c r="GY107" s="1"/>
  <c r="GX108"/>
  <c r="GY108" s="1"/>
  <c r="GX109"/>
  <c r="GY109" s="1"/>
  <c r="GX110"/>
  <c r="GY110" s="1"/>
  <c r="GX111"/>
  <c r="GY111" s="1"/>
  <c r="GX112"/>
  <c r="GY112" s="1"/>
  <c r="GX113"/>
  <c r="GY113" s="1"/>
  <c r="GX114"/>
  <c r="GY114" s="1"/>
  <c r="GX115"/>
  <c r="GY115" s="1"/>
  <c r="GX116"/>
  <c r="GY116" s="1"/>
  <c r="GX117"/>
  <c r="GY117" s="1"/>
  <c r="GX118"/>
  <c r="GY118" s="1"/>
  <c r="GX119"/>
  <c r="GY119" s="1"/>
  <c r="GX120"/>
  <c r="GX121"/>
  <c r="GY121" s="1"/>
  <c r="GX122"/>
  <c r="GY122" s="1"/>
  <c r="GX123"/>
  <c r="GY123" s="1"/>
  <c r="GX124"/>
  <c r="GY124" s="1"/>
  <c r="GX125"/>
  <c r="GY125" s="1"/>
  <c r="GX126"/>
  <c r="GY126" s="1"/>
  <c r="GX127"/>
  <c r="GY127" s="1"/>
  <c r="GX128"/>
  <c r="GY128" s="1"/>
  <c r="GX129"/>
  <c r="GY129" s="1"/>
  <c r="GX130"/>
  <c r="GY130" s="1"/>
  <c r="GX131"/>
  <c r="GY131" s="1"/>
  <c r="GX132"/>
  <c r="GY132" s="1"/>
  <c r="GX133"/>
  <c r="GY133" s="1"/>
  <c r="GX134"/>
  <c r="GY134" s="1"/>
  <c r="GX135"/>
  <c r="GY135" s="1"/>
  <c r="GX136"/>
  <c r="GY136" s="1"/>
  <c r="GX137"/>
  <c r="GY137" s="1"/>
  <c r="GX138"/>
  <c r="GY138" s="1"/>
  <c r="GX139"/>
  <c r="GY139" s="1"/>
  <c r="GX140"/>
  <c r="GY140" s="1"/>
  <c r="GX141"/>
  <c r="GY141" s="1"/>
  <c r="GX142"/>
  <c r="GY142" s="1"/>
  <c r="GX143"/>
  <c r="GY143" s="1"/>
  <c r="GX144"/>
  <c r="GX145"/>
  <c r="GY145" s="1"/>
  <c r="GX146"/>
  <c r="GY146" s="1"/>
  <c r="GX147"/>
  <c r="GY147" s="1"/>
  <c r="GX148"/>
  <c r="GY148" s="1"/>
  <c r="GX149"/>
  <c r="GY149" s="1"/>
  <c r="GX150"/>
  <c r="GY150" s="1"/>
  <c r="GX151"/>
  <c r="GY151" s="1"/>
  <c r="GX152"/>
  <c r="GY152" s="1"/>
  <c r="GX153"/>
  <c r="GY153" s="1"/>
  <c r="GX154"/>
  <c r="GY154" s="1"/>
  <c r="GX155"/>
  <c r="GX156"/>
  <c r="GY156" s="1"/>
  <c r="GX157"/>
  <c r="GX158"/>
  <c r="GY158" s="1"/>
  <c r="GX159"/>
  <c r="GY159" s="1"/>
  <c r="GX160"/>
  <c r="GY160" s="1"/>
  <c r="GX161"/>
  <c r="GY161" s="1"/>
  <c r="GX162"/>
  <c r="GY162" s="1"/>
  <c r="GX163"/>
  <c r="GY163" s="1"/>
  <c r="GX164"/>
  <c r="GY164" s="1"/>
  <c r="GX165"/>
  <c r="GY165" s="1"/>
  <c r="GX166"/>
  <c r="GY166" s="1"/>
  <c r="GX167"/>
  <c r="GY167" s="1"/>
  <c r="GX168"/>
  <c r="GY168" s="1"/>
  <c r="GX169"/>
  <c r="GY169" s="1"/>
  <c r="GX170"/>
  <c r="GY170" s="1"/>
  <c r="GX171"/>
  <c r="GY171" s="1"/>
  <c r="GX172"/>
  <c r="GY172" s="1"/>
  <c r="GX173"/>
  <c r="GY173" s="1"/>
  <c r="GX174"/>
  <c r="GY174" s="1"/>
  <c r="GX175"/>
  <c r="GY175" s="1"/>
  <c r="GX176"/>
  <c r="GY176" s="1"/>
  <c r="GX177"/>
  <c r="GY177" s="1"/>
  <c r="GX178"/>
  <c r="GY178" s="1"/>
  <c r="GX179"/>
  <c r="GY179" s="1"/>
  <c r="GX180"/>
  <c r="GY180" s="1"/>
  <c r="GX181"/>
  <c r="GY181" s="1"/>
  <c r="GX182"/>
  <c r="GY182" s="1"/>
  <c r="GX183"/>
  <c r="GY183" s="1"/>
  <c r="GX184"/>
  <c r="GY184" s="1"/>
  <c r="GX185"/>
  <c r="GY185" s="1"/>
  <c r="GX186"/>
  <c r="GY186" s="1"/>
  <c r="GX187"/>
  <c r="GY187" s="1"/>
  <c r="GX188"/>
  <c r="GY188" s="1"/>
  <c r="GX189"/>
  <c r="GY189" s="1"/>
  <c r="GX190"/>
  <c r="GY190" s="1"/>
  <c r="GX191"/>
  <c r="GY191" s="1"/>
  <c r="GX192"/>
  <c r="GY192" s="1"/>
  <c r="GX193"/>
  <c r="GY193" s="1"/>
  <c r="GX194"/>
  <c r="GY194" s="1"/>
  <c r="GX195"/>
  <c r="GY195" s="1"/>
  <c r="GX196"/>
  <c r="GY196" s="1"/>
  <c r="GX197"/>
  <c r="GY197" s="1"/>
  <c r="GX198"/>
  <c r="GY198" s="1"/>
  <c r="GX199"/>
  <c r="GY199" s="1"/>
  <c r="GX200"/>
  <c r="GY200" s="1"/>
  <c r="GX201"/>
  <c r="GY201" s="1"/>
  <c r="GX202"/>
  <c r="GY202" s="1"/>
  <c r="GX203"/>
  <c r="GY203" s="1"/>
  <c r="GX204"/>
  <c r="GY204" s="1"/>
  <c r="GX205"/>
  <c r="GY205" s="1"/>
  <c r="GX206"/>
  <c r="GY206" s="1"/>
  <c r="GX207"/>
  <c r="GY207" s="1"/>
  <c r="GX208"/>
  <c r="GY208" s="1"/>
  <c r="GX209"/>
  <c r="GY209" s="1"/>
  <c r="GX210"/>
  <c r="GY210" s="1"/>
  <c r="GX211"/>
  <c r="GY211" s="1"/>
  <c r="GX212"/>
  <c r="GY212" s="1"/>
  <c r="GX213"/>
  <c r="GY213" s="1"/>
  <c r="GX214"/>
  <c r="GY214" s="1"/>
  <c r="GX215"/>
  <c r="GY215" s="1"/>
  <c r="GX216"/>
  <c r="GY216" s="1"/>
  <c r="GX217"/>
  <c r="GY217" s="1"/>
  <c r="GX218"/>
  <c r="GY218" s="1"/>
  <c r="GX219"/>
  <c r="GY219" s="1"/>
  <c r="GX220"/>
  <c r="GY220" s="1"/>
  <c r="GX221"/>
  <c r="GY221" s="1"/>
  <c r="GX222"/>
  <c r="GY222" s="1"/>
  <c r="GX223"/>
  <c r="GY223" s="1"/>
  <c r="GX224"/>
  <c r="GY224" s="1"/>
  <c r="GX225"/>
  <c r="GY225" s="1"/>
  <c r="GX226"/>
  <c r="GY226" s="1"/>
  <c r="GX227"/>
  <c r="GY227" s="1"/>
  <c r="GX228"/>
  <c r="GY228" s="1"/>
  <c r="GX229"/>
  <c r="GY229" s="1"/>
  <c r="GX230"/>
  <c r="GY230" s="1"/>
  <c r="GX231"/>
  <c r="GY231" s="1"/>
  <c r="GX232"/>
  <c r="GY232" s="1"/>
  <c r="GX233"/>
  <c r="GY233" s="1"/>
  <c r="GX234"/>
  <c r="GY234" s="1"/>
  <c r="GX235"/>
  <c r="GY235" s="1"/>
  <c r="GX236"/>
  <c r="GY236" s="1"/>
  <c r="GX237"/>
  <c r="GY237" s="1"/>
  <c r="GX238"/>
  <c r="GY238" s="1"/>
  <c r="GX239"/>
  <c r="GY239" s="1"/>
  <c r="GX240"/>
  <c r="GY240" s="1"/>
  <c r="GX241"/>
  <c r="GY241" s="1"/>
  <c r="GX242"/>
  <c r="GY242" s="1"/>
  <c r="GX243"/>
  <c r="GY243" s="1"/>
  <c r="GX244"/>
  <c r="GY244" s="1"/>
  <c r="GX245"/>
  <c r="GY245" s="1"/>
  <c r="GX246"/>
  <c r="GY246" s="1"/>
  <c r="GX247"/>
  <c r="GY247" s="1"/>
  <c r="GX248"/>
  <c r="GY248" s="1"/>
  <c r="GX249"/>
  <c r="GY249" s="1"/>
  <c r="GX250"/>
  <c r="GY250" s="1"/>
  <c r="GX251"/>
  <c r="GY251" s="1"/>
  <c r="GX252"/>
  <c r="GY252" s="1"/>
  <c r="GX253"/>
  <c r="GY253" s="1"/>
  <c r="GX254"/>
  <c r="GY254" s="1"/>
  <c r="GX255"/>
  <c r="GY255" s="1"/>
  <c r="GX256"/>
  <c r="GY256" s="1"/>
  <c r="GX257"/>
  <c r="GY257" s="1"/>
  <c r="GX258"/>
  <c r="GY258" s="1"/>
  <c r="GX259"/>
  <c r="GY259" s="1"/>
  <c r="GX260"/>
  <c r="GY260" s="1"/>
  <c r="GX261"/>
  <c r="GY261" s="1"/>
  <c r="GX262"/>
  <c r="GY262" s="1"/>
  <c r="GX263"/>
  <c r="GY263" s="1"/>
  <c r="GX264"/>
  <c r="GY264" s="1"/>
  <c r="GX265"/>
  <c r="GY265" s="1"/>
  <c r="GX266"/>
  <c r="GY266" s="1"/>
  <c r="GX267"/>
  <c r="GY267" s="1"/>
  <c r="GX268"/>
  <c r="GY268" s="1"/>
  <c r="GX269"/>
  <c r="GY269" s="1"/>
  <c r="GX270"/>
  <c r="GY270" s="1"/>
  <c r="GX271"/>
  <c r="GY271" s="1"/>
  <c r="GX272"/>
  <c r="GY272" s="1"/>
  <c r="GX273"/>
  <c r="GY273" s="1"/>
  <c r="GX274"/>
  <c r="GY274" s="1"/>
  <c r="GX275"/>
  <c r="GY275" s="1"/>
  <c r="GX276"/>
  <c r="GY276" s="1"/>
  <c r="GX277"/>
  <c r="GY277" s="1"/>
  <c r="GX278"/>
  <c r="GY278" s="1"/>
  <c r="GX279"/>
  <c r="GY279" s="1"/>
  <c r="GW25"/>
  <c r="GW42"/>
  <c r="GW50"/>
  <c r="GV2"/>
  <c r="GW2" s="1"/>
  <c r="GV3"/>
  <c r="GW3" s="1"/>
  <c r="GV4"/>
  <c r="GW4" s="1"/>
  <c r="GV5"/>
  <c r="GW5" s="1"/>
  <c r="GV6"/>
  <c r="GW6" s="1"/>
  <c r="GV7"/>
  <c r="GW7" s="1"/>
  <c r="GV8"/>
  <c r="GW8" s="1"/>
  <c r="GV9"/>
  <c r="GW9" s="1"/>
  <c r="GV10"/>
  <c r="GW10" s="1"/>
  <c r="GV11"/>
  <c r="GW11" s="1"/>
  <c r="GV12"/>
  <c r="GW12" s="1"/>
  <c r="GV13"/>
  <c r="GW13" s="1"/>
  <c r="GV14"/>
  <c r="GW14" s="1"/>
  <c r="GV15"/>
  <c r="GW15" s="1"/>
  <c r="GV16"/>
  <c r="GW16" s="1"/>
  <c r="GV17"/>
  <c r="GW17" s="1"/>
  <c r="GV18"/>
  <c r="GW18" s="1"/>
  <c r="GV19"/>
  <c r="GW19" s="1"/>
  <c r="GV20"/>
  <c r="GW20" s="1"/>
  <c r="GV21"/>
  <c r="GW21" s="1"/>
  <c r="GV22"/>
  <c r="GW22" s="1"/>
  <c r="GV23"/>
  <c r="GW23" s="1"/>
  <c r="GV24"/>
  <c r="GW24" s="1"/>
  <c r="GV25"/>
  <c r="GV26"/>
  <c r="GW26" s="1"/>
  <c r="GV27"/>
  <c r="GW27" s="1"/>
  <c r="GV28"/>
  <c r="GW28" s="1"/>
  <c r="GV29"/>
  <c r="GW29" s="1"/>
  <c r="GV30"/>
  <c r="GW30" s="1"/>
  <c r="GV31"/>
  <c r="GW31" s="1"/>
  <c r="GV32"/>
  <c r="GW32" s="1"/>
  <c r="GV33"/>
  <c r="GW33" s="1"/>
  <c r="GV34"/>
  <c r="GW34" s="1"/>
  <c r="GV35"/>
  <c r="GW35" s="1"/>
  <c r="GV36"/>
  <c r="GW36" s="1"/>
  <c r="GV37"/>
  <c r="GW37" s="1"/>
  <c r="GV38"/>
  <c r="GW38" s="1"/>
  <c r="GV39"/>
  <c r="GW39" s="1"/>
  <c r="GV40"/>
  <c r="GW40" s="1"/>
  <c r="GV41"/>
  <c r="GW41" s="1"/>
  <c r="GV42"/>
  <c r="GV43"/>
  <c r="GW43" s="1"/>
  <c r="GV44"/>
  <c r="GW44" s="1"/>
  <c r="GV45"/>
  <c r="GW45" s="1"/>
  <c r="GV46"/>
  <c r="GW46" s="1"/>
  <c r="GV47"/>
  <c r="GW47" s="1"/>
  <c r="GV48"/>
  <c r="GW48" s="1"/>
  <c r="GV49"/>
  <c r="GW49" s="1"/>
  <c r="GV50"/>
  <c r="GV51"/>
  <c r="GW51" s="1"/>
  <c r="GV52"/>
  <c r="GW52" s="1"/>
  <c r="GV53"/>
  <c r="GW53" s="1"/>
  <c r="GV54"/>
  <c r="GW54" s="1"/>
  <c r="GV55"/>
  <c r="GW55" s="1"/>
  <c r="GV56"/>
  <c r="GW56" s="1"/>
  <c r="GV57"/>
  <c r="GW57" s="1"/>
  <c r="GV58"/>
  <c r="GW58" s="1"/>
  <c r="GV59"/>
  <c r="GW59" s="1"/>
  <c r="GV60"/>
  <c r="GW60" s="1"/>
  <c r="GV61"/>
  <c r="GW61" s="1"/>
  <c r="GV62"/>
  <c r="GW62" s="1"/>
  <c r="GV63"/>
  <c r="GW63" s="1"/>
  <c r="GV64"/>
  <c r="GW64" s="1"/>
  <c r="GV65"/>
  <c r="GW65" s="1"/>
  <c r="GV66"/>
  <c r="GW66" s="1"/>
  <c r="GV67"/>
  <c r="GW67" s="1"/>
  <c r="GV68"/>
  <c r="GW68" s="1"/>
  <c r="GV69"/>
  <c r="GW69" s="1"/>
  <c r="GV70"/>
  <c r="GW70" s="1"/>
  <c r="GV71"/>
  <c r="GW71" s="1"/>
  <c r="GV72"/>
  <c r="GW72" s="1"/>
  <c r="GV73"/>
  <c r="GW73" s="1"/>
  <c r="GV74"/>
  <c r="GW74" s="1"/>
  <c r="GV75"/>
  <c r="GW75" s="1"/>
  <c r="GV76"/>
  <c r="GW76" s="1"/>
  <c r="GV77"/>
  <c r="GW77" s="1"/>
  <c r="GV78"/>
  <c r="GW78" s="1"/>
  <c r="GV79"/>
  <c r="GW79" s="1"/>
  <c r="GV80"/>
  <c r="GW80" s="1"/>
  <c r="GV81"/>
  <c r="GW81" s="1"/>
  <c r="GV82"/>
  <c r="GW82" s="1"/>
  <c r="GV83"/>
  <c r="GW83" s="1"/>
  <c r="GV84"/>
  <c r="GW84" s="1"/>
  <c r="GV85"/>
  <c r="GV86"/>
  <c r="GW86" s="1"/>
  <c r="GV87"/>
  <c r="GW87" s="1"/>
  <c r="GV88"/>
  <c r="GW88" s="1"/>
  <c r="GV89"/>
  <c r="GW89" s="1"/>
  <c r="GV90"/>
  <c r="GW90" s="1"/>
  <c r="GV91"/>
  <c r="GW91" s="1"/>
  <c r="GV92"/>
  <c r="GW92" s="1"/>
  <c r="GV93"/>
  <c r="GW93" s="1"/>
  <c r="GV94"/>
  <c r="GW94" s="1"/>
  <c r="GV95"/>
  <c r="GW95" s="1"/>
  <c r="GV96"/>
  <c r="GW96" s="1"/>
  <c r="GV97"/>
  <c r="GW97" s="1"/>
  <c r="GV98"/>
  <c r="GW98" s="1"/>
  <c r="GV99"/>
  <c r="GW99" s="1"/>
  <c r="GV100"/>
  <c r="GW100" s="1"/>
  <c r="GV101"/>
  <c r="GW101" s="1"/>
  <c r="GV102"/>
  <c r="GW102" s="1"/>
  <c r="GV103"/>
  <c r="GW103" s="1"/>
  <c r="GV104"/>
  <c r="GW104" s="1"/>
  <c r="GV105"/>
  <c r="GW105" s="1"/>
  <c r="GV106"/>
  <c r="GW106" s="1"/>
  <c r="GV107"/>
  <c r="GW107" s="1"/>
  <c r="GV108"/>
  <c r="GW108" s="1"/>
  <c r="GV109"/>
  <c r="GW109" s="1"/>
  <c r="GV110"/>
  <c r="GW110" s="1"/>
  <c r="GV111"/>
  <c r="GW111" s="1"/>
  <c r="GV112"/>
  <c r="GW112" s="1"/>
  <c r="GV113"/>
  <c r="GW113" s="1"/>
  <c r="GV114"/>
  <c r="GW114" s="1"/>
  <c r="GV115"/>
  <c r="GW115" s="1"/>
  <c r="GV116"/>
  <c r="GW116" s="1"/>
  <c r="GV117"/>
  <c r="GW117" s="1"/>
  <c r="GV118"/>
  <c r="GW118" s="1"/>
  <c r="GV119"/>
  <c r="GW119" s="1"/>
  <c r="GV120"/>
  <c r="GW120" s="1"/>
  <c r="GV121"/>
  <c r="GW121" s="1"/>
  <c r="GV122"/>
  <c r="GW122" s="1"/>
  <c r="GV123"/>
  <c r="GW123" s="1"/>
  <c r="GV124"/>
  <c r="GW124" s="1"/>
  <c r="GV125"/>
  <c r="GW125" s="1"/>
  <c r="GV126"/>
  <c r="GW126" s="1"/>
  <c r="GV127"/>
  <c r="GW127" s="1"/>
  <c r="GV128"/>
  <c r="GW128" s="1"/>
  <c r="GV129"/>
  <c r="GW129" s="1"/>
  <c r="GV130"/>
  <c r="GW130" s="1"/>
  <c r="GV131"/>
  <c r="GW131" s="1"/>
  <c r="GV132"/>
  <c r="GW132" s="1"/>
  <c r="GV133"/>
  <c r="GW133" s="1"/>
  <c r="GV134"/>
  <c r="GW134" s="1"/>
  <c r="GV135"/>
  <c r="GW135" s="1"/>
  <c r="GV136"/>
  <c r="GW136" s="1"/>
  <c r="GV137"/>
  <c r="GW137" s="1"/>
  <c r="GV138"/>
  <c r="GW138" s="1"/>
  <c r="GV139"/>
  <c r="GW139" s="1"/>
  <c r="GV140"/>
  <c r="GW140" s="1"/>
  <c r="GV141"/>
  <c r="GW141" s="1"/>
  <c r="GV142"/>
  <c r="GW142" s="1"/>
  <c r="GV143"/>
  <c r="GW143" s="1"/>
  <c r="GV144"/>
  <c r="GW144" s="1"/>
  <c r="GV145"/>
  <c r="GW145" s="1"/>
  <c r="GV146"/>
  <c r="GW146" s="1"/>
  <c r="GV147"/>
  <c r="GW147" s="1"/>
  <c r="GV148"/>
  <c r="GW148" s="1"/>
  <c r="GV149"/>
  <c r="GW149" s="1"/>
  <c r="GV150"/>
  <c r="GW150" s="1"/>
  <c r="GV151"/>
  <c r="GW151" s="1"/>
  <c r="GV152"/>
  <c r="GW152" s="1"/>
  <c r="GV153"/>
  <c r="GW153" s="1"/>
  <c r="GV154"/>
  <c r="GW154" s="1"/>
  <c r="GV155"/>
  <c r="GW155" s="1"/>
  <c r="GV156"/>
  <c r="GW156" s="1"/>
  <c r="GV157"/>
  <c r="GW157" s="1"/>
  <c r="GV158"/>
  <c r="GW158" s="1"/>
  <c r="GV159"/>
  <c r="GW159" s="1"/>
  <c r="GV160"/>
  <c r="GW160" s="1"/>
  <c r="GV161"/>
  <c r="GW161" s="1"/>
  <c r="GV162"/>
  <c r="GV163"/>
  <c r="GW163" s="1"/>
  <c r="GV164"/>
  <c r="GW164" s="1"/>
  <c r="GV165"/>
  <c r="GW165" s="1"/>
  <c r="GV166"/>
  <c r="GW166" s="1"/>
  <c r="GV167"/>
  <c r="GW167" s="1"/>
  <c r="GV168"/>
  <c r="GW168" s="1"/>
  <c r="GV169"/>
  <c r="GW169" s="1"/>
  <c r="GV170"/>
  <c r="GW170" s="1"/>
  <c r="GV171"/>
  <c r="GW171" s="1"/>
  <c r="GV172"/>
  <c r="GW172" s="1"/>
  <c r="GV173"/>
  <c r="GW173" s="1"/>
  <c r="GV174"/>
  <c r="GW174" s="1"/>
  <c r="GV175"/>
  <c r="GW175" s="1"/>
  <c r="GV176"/>
  <c r="GW176" s="1"/>
  <c r="GV177"/>
  <c r="GW177" s="1"/>
  <c r="GV178"/>
  <c r="GW178" s="1"/>
  <c r="GV179"/>
  <c r="GW179" s="1"/>
  <c r="GV180"/>
  <c r="GW180" s="1"/>
  <c r="GV181"/>
  <c r="GW181" s="1"/>
  <c r="GV182"/>
  <c r="GW182" s="1"/>
  <c r="GV183"/>
  <c r="GW183" s="1"/>
  <c r="GV184"/>
  <c r="GW184" s="1"/>
  <c r="GV185"/>
  <c r="GW185" s="1"/>
  <c r="GV186"/>
  <c r="GW186" s="1"/>
  <c r="GV187"/>
  <c r="GW187" s="1"/>
  <c r="GV188"/>
  <c r="GW188" s="1"/>
  <c r="GV189"/>
  <c r="GW189" s="1"/>
  <c r="GV190"/>
  <c r="GW190" s="1"/>
  <c r="GV191"/>
  <c r="GW191" s="1"/>
  <c r="GV192"/>
  <c r="GW192" s="1"/>
  <c r="GV193"/>
  <c r="GW193" s="1"/>
  <c r="GV194"/>
  <c r="GW194" s="1"/>
  <c r="GV195"/>
  <c r="GW195" s="1"/>
  <c r="GV196"/>
  <c r="GW196" s="1"/>
  <c r="GV197"/>
  <c r="GW197" s="1"/>
  <c r="GV198"/>
  <c r="GW198" s="1"/>
  <c r="GV199"/>
  <c r="GW199" s="1"/>
  <c r="GV200"/>
  <c r="GW200" s="1"/>
  <c r="GV201"/>
  <c r="GW201" s="1"/>
  <c r="GV202"/>
  <c r="GW202" s="1"/>
  <c r="GV203"/>
  <c r="GW203" s="1"/>
  <c r="GV204"/>
  <c r="GW204" s="1"/>
  <c r="GV205"/>
  <c r="GW205" s="1"/>
  <c r="GV206"/>
  <c r="GW206" s="1"/>
  <c r="GV207"/>
  <c r="GW207" s="1"/>
  <c r="GV208"/>
  <c r="GW208" s="1"/>
  <c r="GV209"/>
  <c r="GW209" s="1"/>
  <c r="GV210"/>
  <c r="GW210" s="1"/>
  <c r="GV211"/>
  <c r="GW211" s="1"/>
  <c r="GV212"/>
  <c r="GW212" s="1"/>
  <c r="GV213"/>
  <c r="GW213" s="1"/>
  <c r="GV214"/>
  <c r="GW214" s="1"/>
  <c r="GV215"/>
  <c r="GW215" s="1"/>
  <c r="GV216"/>
  <c r="GW216" s="1"/>
  <c r="GV217"/>
  <c r="GW217" s="1"/>
  <c r="GV218"/>
  <c r="GW218" s="1"/>
  <c r="GV219"/>
  <c r="GW219" s="1"/>
  <c r="GV220"/>
  <c r="GW220" s="1"/>
  <c r="GV221"/>
  <c r="GW221" s="1"/>
  <c r="GV222"/>
  <c r="GW222" s="1"/>
  <c r="GV223"/>
  <c r="GW223" s="1"/>
  <c r="GV224"/>
  <c r="GW224" s="1"/>
  <c r="GV225"/>
  <c r="GW225" s="1"/>
  <c r="GV226"/>
  <c r="GW226" s="1"/>
  <c r="GV227"/>
  <c r="GW227" s="1"/>
  <c r="GV228"/>
  <c r="GW228" s="1"/>
  <c r="GV229"/>
  <c r="GW229" s="1"/>
  <c r="GV230"/>
  <c r="GW230" s="1"/>
  <c r="GV231"/>
  <c r="GW231" s="1"/>
  <c r="GV232"/>
  <c r="GW232" s="1"/>
  <c r="GV233"/>
  <c r="GW233" s="1"/>
  <c r="GV234"/>
  <c r="GW234" s="1"/>
  <c r="GV235"/>
  <c r="GW235" s="1"/>
  <c r="GV236"/>
  <c r="GW236" s="1"/>
  <c r="GV237"/>
  <c r="GW237" s="1"/>
  <c r="GV238"/>
  <c r="GW238" s="1"/>
  <c r="GV239"/>
  <c r="GW239" s="1"/>
  <c r="GV240"/>
  <c r="GW240" s="1"/>
  <c r="GV241"/>
  <c r="GW241" s="1"/>
  <c r="GV242"/>
  <c r="GW242" s="1"/>
  <c r="GV243"/>
  <c r="GW243" s="1"/>
  <c r="GV244"/>
  <c r="GW244" s="1"/>
  <c r="GV245"/>
  <c r="GW245" s="1"/>
  <c r="GV246"/>
  <c r="GW246" s="1"/>
  <c r="GV247"/>
  <c r="GW247" s="1"/>
  <c r="GV248"/>
  <c r="GW248" s="1"/>
  <c r="GV249"/>
  <c r="GW249" s="1"/>
  <c r="GV250"/>
  <c r="GW250" s="1"/>
  <c r="GV251"/>
  <c r="GW251" s="1"/>
  <c r="GV252"/>
  <c r="GW252" s="1"/>
  <c r="GV253"/>
  <c r="GW253" s="1"/>
  <c r="GV254"/>
  <c r="GW254" s="1"/>
  <c r="GV255"/>
  <c r="GW255" s="1"/>
  <c r="GV256"/>
  <c r="GW256" s="1"/>
  <c r="GV257"/>
  <c r="GW257" s="1"/>
  <c r="GV258"/>
  <c r="GW258" s="1"/>
  <c r="GV259"/>
  <c r="GW259" s="1"/>
  <c r="GV260"/>
  <c r="GW260" s="1"/>
  <c r="GV261"/>
  <c r="GW261" s="1"/>
  <c r="GV262"/>
  <c r="GW262" s="1"/>
  <c r="GV263"/>
  <c r="GW263" s="1"/>
  <c r="GV264"/>
  <c r="GW264" s="1"/>
  <c r="GV265"/>
  <c r="GW265" s="1"/>
  <c r="GV266"/>
  <c r="GW266" s="1"/>
  <c r="GV267"/>
  <c r="GW267" s="1"/>
  <c r="GV268"/>
  <c r="GW268" s="1"/>
  <c r="GV269"/>
  <c r="GV270"/>
  <c r="GW270" s="1"/>
  <c r="GV271"/>
  <c r="GW271" s="1"/>
  <c r="GV272"/>
  <c r="GW272" s="1"/>
  <c r="GV273"/>
  <c r="GW273" s="1"/>
  <c r="GV274"/>
  <c r="GW274" s="1"/>
  <c r="GV275"/>
  <c r="GW275" s="1"/>
  <c r="GV276"/>
  <c r="GW276" s="1"/>
  <c r="GV277"/>
  <c r="GW277" s="1"/>
  <c r="GV278"/>
  <c r="GW278" s="1"/>
  <c r="GV279"/>
  <c r="GW279" s="1"/>
  <c r="GT2"/>
  <c r="GT3"/>
  <c r="GT4"/>
  <c r="GU4" s="1"/>
  <c r="GT5"/>
  <c r="GU5" s="1"/>
  <c r="GT6"/>
  <c r="GT7"/>
  <c r="GT8"/>
  <c r="GU8" s="1"/>
  <c r="GT9"/>
  <c r="GU9" s="1"/>
  <c r="GT10"/>
  <c r="GT11"/>
  <c r="GT12"/>
  <c r="GU12" s="1"/>
  <c r="GT13"/>
  <c r="GU13" s="1"/>
  <c r="GT14"/>
  <c r="GT15"/>
  <c r="GT16"/>
  <c r="GU16" s="1"/>
  <c r="GT17"/>
  <c r="GU17" s="1"/>
  <c r="GT18"/>
  <c r="GT19"/>
  <c r="GT20"/>
  <c r="GU20" s="1"/>
  <c r="GT21"/>
  <c r="GU21" s="1"/>
  <c r="GT22"/>
  <c r="GT23"/>
  <c r="GT24"/>
  <c r="GU24" s="1"/>
  <c r="GT25"/>
  <c r="GU25" s="1"/>
  <c r="GT26"/>
  <c r="GT27"/>
  <c r="GT28"/>
  <c r="GU28" s="1"/>
  <c r="GT29"/>
  <c r="GU29" s="1"/>
  <c r="GT30"/>
  <c r="GT31"/>
  <c r="GT32"/>
  <c r="GU32" s="1"/>
  <c r="GT33"/>
  <c r="GU33" s="1"/>
  <c r="GT34"/>
  <c r="GT35"/>
  <c r="GT36"/>
  <c r="GU36" s="1"/>
  <c r="GT37"/>
  <c r="GU37" s="1"/>
  <c r="GT38"/>
  <c r="GT39"/>
  <c r="GT40"/>
  <c r="GU40" s="1"/>
  <c r="GT41"/>
  <c r="GU41" s="1"/>
  <c r="GT42"/>
  <c r="GT43"/>
  <c r="GT44"/>
  <c r="GU44" s="1"/>
  <c r="GT45"/>
  <c r="GU45" s="1"/>
  <c r="GT46"/>
  <c r="GT47"/>
  <c r="GT48"/>
  <c r="GU48" s="1"/>
  <c r="GT49"/>
  <c r="GU49" s="1"/>
  <c r="GT50"/>
  <c r="GT51"/>
  <c r="GT52"/>
  <c r="GU52" s="1"/>
  <c r="GT53"/>
  <c r="GU53" s="1"/>
  <c r="GT54"/>
  <c r="GT55"/>
  <c r="GT56"/>
  <c r="GU56" s="1"/>
  <c r="GT57"/>
  <c r="GU57" s="1"/>
  <c r="GT58"/>
  <c r="GT59"/>
  <c r="GT60"/>
  <c r="GU60" s="1"/>
  <c r="GT61"/>
  <c r="GU61" s="1"/>
  <c r="GT62"/>
  <c r="GT63"/>
  <c r="GT64"/>
  <c r="GU64" s="1"/>
  <c r="GT65"/>
  <c r="GU65" s="1"/>
  <c r="GT66"/>
  <c r="GT67"/>
  <c r="GT68"/>
  <c r="GU68" s="1"/>
  <c r="GT69"/>
  <c r="GU69" s="1"/>
  <c r="GT70"/>
  <c r="GT71"/>
  <c r="GT72"/>
  <c r="GU72" s="1"/>
  <c r="GT73"/>
  <c r="GU73" s="1"/>
  <c r="GT74"/>
  <c r="GT75"/>
  <c r="GT76"/>
  <c r="GU76" s="1"/>
  <c r="GT77"/>
  <c r="GU77" s="1"/>
  <c r="GT78"/>
  <c r="GT79"/>
  <c r="GT80"/>
  <c r="GU80" s="1"/>
  <c r="GT81"/>
  <c r="GU81" s="1"/>
  <c r="GT82"/>
  <c r="GT83"/>
  <c r="GT84"/>
  <c r="GU84" s="1"/>
  <c r="GT85"/>
  <c r="GU85" s="1"/>
  <c r="GT86"/>
  <c r="GT87"/>
  <c r="GT88"/>
  <c r="GU88" s="1"/>
  <c r="GT89"/>
  <c r="GU89" s="1"/>
  <c r="GT90"/>
  <c r="GT91"/>
  <c r="GT92"/>
  <c r="GU92" s="1"/>
  <c r="GT93"/>
  <c r="GU93" s="1"/>
  <c r="GT94"/>
  <c r="GT95"/>
  <c r="GT96"/>
  <c r="GU96" s="1"/>
  <c r="GT97"/>
  <c r="GU97" s="1"/>
  <c r="GT98"/>
  <c r="GT99"/>
  <c r="GT100"/>
  <c r="GU100" s="1"/>
  <c r="GT101"/>
  <c r="GU101" s="1"/>
  <c r="GT102"/>
  <c r="GT103"/>
  <c r="GT104"/>
  <c r="GU104" s="1"/>
  <c r="GT105"/>
  <c r="GU105" s="1"/>
  <c r="GT106"/>
  <c r="GT107"/>
  <c r="GT108"/>
  <c r="GU108" s="1"/>
  <c r="GT109"/>
  <c r="GU109" s="1"/>
  <c r="GT110"/>
  <c r="GT111"/>
  <c r="GT112"/>
  <c r="GU112" s="1"/>
  <c r="GT113"/>
  <c r="GU113" s="1"/>
  <c r="GT114"/>
  <c r="GT115"/>
  <c r="GT116"/>
  <c r="GU116" s="1"/>
  <c r="GT117"/>
  <c r="GU117" s="1"/>
  <c r="GT118"/>
  <c r="GT119"/>
  <c r="GT120"/>
  <c r="GU120" s="1"/>
  <c r="GT121"/>
  <c r="GU121" s="1"/>
  <c r="GT122"/>
  <c r="GT123"/>
  <c r="GT124"/>
  <c r="GU124" s="1"/>
  <c r="GT125"/>
  <c r="GU125" s="1"/>
  <c r="GT126"/>
  <c r="GT127"/>
  <c r="GT128"/>
  <c r="GU128" s="1"/>
  <c r="GT129"/>
  <c r="GU129" s="1"/>
  <c r="GT130"/>
  <c r="GT131"/>
  <c r="GT132"/>
  <c r="GU132" s="1"/>
  <c r="GT133"/>
  <c r="GU133" s="1"/>
  <c r="GT134"/>
  <c r="GT135"/>
  <c r="GT136"/>
  <c r="GU136" s="1"/>
  <c r="GT137"/>
  <c r="GU137" s="1"/>
  <c r="GT138"/>
  <c r="GT139"/>
  <c r="GT140"/>
  <c r="GU140" s="1"/>
  <c r="GT141"/>
  <c r="GU141" s="1"/>
  <c r="GT142"/>
  <c r="GT143"/>
  <c r="GT144"/>
  <c r="GU144" s="1"/>
  <c r="GT145"/>
  <c r="GU145" s="1"/>
  <c r="GT146"/>
  <c r="GT147"/>
  <c r="GT148"/>
  <c r="GT149"/>
  <c r="GU149" s="1"/>
  <c r="GT150"/>
  <c r="GT151"/>
  <c r="GT152"/>
  <c r="GT153"/>
  <c r="GU153" s="1"/>
  <c r="GT154"/>
  <c r="GT155"/>
  <c r="GU155" s="1"/>
  <c r="GT156"/>
  <c r="GT157"/>
  <c r="GT158"/>
  <c r="GT159"/>
  <c r="GT160"/>
  <c r="GT161"/>
  <c r="GT162"/>
  <c r="GT163"/>
  <c r="GT164"/>
  <c r="GT165"/>
  <c r="GT166"/>
  <c r="GT167"/>
  <c r="GT168"/>
  <c r="GT169"/>
  <c r="GT170"/>
  <c r="GT171"/>
  <c r="GT172"/>
  <c r="GT173"/>
  <c r="GT174"/>
  <c r="GT175"/>
  <c r="GT176"/>
  <c r="GT177"/>
  <c r="GT178"/>
  <c r="GT179"/>
  <c r="GT180"/>
  <c r="GT181"/>
  <c r="GT182"/>
  <c r="GT183"/>
  <c r="GU183" s="1"/>
  <c r="GT184"/>
  <c r="GT185"/>
  <c r="GT186"/>
  <c r="GT187"/>
  <c r="GU187" s="1"/>
  <c r="GT188"/>
  <c r="GT189"/>
  <c r="GT190"/>
  <c r="GT191"/>
  <c r="GU191" s="1"/>
  <c r="GT192"/>
  <c r="GT193"/>
  <c r="GT194"/>
  <c r="GT195"/>
  <c r="GU195" s="1"/>
  <c r="GT196"/>
  <c r="GT197"/>
  <c r="GT198"/>
  <c r="GT199"/>
  <c r="GU199" s="1"/>
  <c r="GT200"/>
  <c r="GT201"/>
  <c r="GU201" s="1"/>
  <c r="GT202"/>
  <c r="GT203"/>
  <c r="GT204"/>
  <c r="GU204" s="1"/>
  <c r="GT205"/>
  <c r="GU205" s="1"/>
  <c r="GT206"/>
  <c r="GT207"/>
  <c r="GT208"/>
  <c r="GU208" s="1"/>
  <c r="GT209"/>
  <c r="GU209" s="1"/>
  <c r="GT210"/>
  <c r="GT211"/>
  <c r="GT212"/>
  <c r="GU212" s="1"/>
  <c r="GT213"/>
  <c r="GU213" s="1"/>
  <c r="GT214"/>
  <c r="GT215"/>
  <c r="GT216"/>
  <c r="GU216" s="1"/>
  <c r="GT217"/>
  <c r="GU217" s="1"/>
  <c r="GT218"/>
  <c r="GT219"/>
  <c r="GT220"/>
  <c r="GU220" s="1"/>
  <c r="GT221"/>
  <c r="GU221" s="1"/>
  <c r="GT222"/>
  <c r="GT223"/>
  <c r="GT224"/>
  <c r="GU224" s="1"/>
  <c r="GT225"/>
  <c r="GU225" s="1"/>
  <c r="GT226"/>
  <c r="GT227"/>
  <c r="GT228"/>
  <c r="GU228" s="1"/>
  <c r="GT229"/>
  <c r="GU229" s="1"/>
  <c r="GT230"/>
  <c r="GT231"/>
  <c r="GT232"/>
  <c r="GU232" s="1"/>
  <c r="GT233"/>
  <c r="GU233" s="1"/>
  <c r="GT234"/>
  <c r="GT235"/>
  <c r="GT236"/>
  <c r="GU236" s="1"/>
  <c r="GT237"/>
  <c r="GU237" s="1"/>
  <c r="GT238"/>
  <c r="GT239"/>
  <c r="GT240"/>
  <c r="GU240" s="1"/>
  <c r="GT241"/>
  <c r="GU241" s="1"/>
  <c r="GT242"/>
  <c r="GT243"/>
  <c r="GT244"/>
  <c r="GU244" s="1"/>
  <c r="GT245"/>
  <c r="GU245" s="1"/>
  <c r="GT246"/>
  <c r="GT247"/>
  <c r="GT248"/>
  <c r="GU248" s="1"/>
  <c r="GT249"/>
  <c r="GU249" s="1"/>
  <c r="GT250"/>
  <c r="GT251"/>
  <c r="GT252"/>
  <c r="GU252" s="1"/>
  <c r="GT253"/>
  <c r="GU253" s="1"/>
  <c r="GT254"/>
  <c r="GT255"/>
  <c r="GT256"/>
  <c r="GU256" s="1"/>
  <c r="GT257"/>
  <c r="GU257" s="1"/>
  <c r="GT258"/>
  <c r="GT259"/>
  <c r="GT260"/>
  <c r="GU260" s="1"/>
  <c r="GT261"/>
  <c r="GU261" s="1"/>
  <c r="GT262"/>
  <c r="GT263"/>
  <c r="GT264"/>
  <c r="GU264" s="1"/>
  <c r="GT265"/>
  <c r="GU265" s="1"/>
  <c r="GT266"/>
  <c r="GT267"/>
  <c r="GT268"/>
  <c r="GU268" s="1"/>
  <c r="GT269"/>
  <c r="GU269" s="1"/>
  <c r="GT270"/>
  <c r="GT271"/>
  <c r="GT272"/>
  <c r="GU272" s="1"/>
  <c r="GT273"/>
  <c r="GU273" s="1"/>
  <c r="GT274"/>
  <c r="GT275"/>
  <c r="GT276"/>
  <c r="GU276" s="1"/>
  <c r="GT277"/>
  <c r="GU277" s="1"/>
  <c r="GT278"/>
  <c r="GT279"/>
  <c r="GU2"/>
  <c r="GU3"/>
  <c r="GU6"/>
  <c r="GU7"/>
  <c r="GU10"/>
  <c r="GU11"/>
  <c r="GU14"/>
  <c r="GU15"/>
  <c r="GU18"/>
  <c r="GU19"/>
  <c r="GU22"/>
  <c r="GU23"/>
  <c r="GU26"/>
  <c r="GU27"/>
  <c r="GU30"/>
  <c r="GU31"/>
  <c r="GU34"/>
  <c r="GU35"/>
  <c r="GU38"/>
  <c r="GU39"/>
  <c r="GU42"/>
  <c r="GU43"/>
  <c r="GU46"/>
  <c r="GU47"/>
  <c r="GU50"/>
  <c r="GU51"/>
  <c r="GU54"/>
  <c r="GU55"/>
  <c r="GU58"/>
  <c r="GU59"/>
  <c r="GU62"/>
  <c r="GU63"/>
  <c r="GU66"/>
  <c r="GU67"/>
  <c r="GU70"/>
  <c r="GU71"/>
  <c r="GU74"/>
  <c r="GU75"/>
  <c r="GU78"/>
  <c r="GU79"/>
  <c r="GU82"/>
  <c r="GU83"/>
  <c r="GU86"/>
  <c r="GU87"/>
  <c r="GU90"/>
  <c r="GU91"/>
  <c r="GU94"/>
  <c r="GU95"/>
  <c r="GU98"/>
  <c r="GU99"/>
  <c r="GU102"/>
  <c r="GU103"/>
  <c r="GU106"/>
  <c r="GU107"/>
  <c r="GU110"/>
  <c r="GU111"/>
  <c r="GU114"/>
  <c r="GU115"/>
  <c r="GU118"/>
  <c r="GU119"/>
  <c r="GU122"/>
  <c r="GU123"/>
  <c r="GU126"/>
  <c r="GU127"/>
  <c r="GU130"/>
  <c r="GU131"/>
  <c r="GU134"/>
  <c r="GU135"/>
  <c r="GU138"/>
  <c r="GU139"/>
  <c r="GU142"/>
  <c r="GU143"/>
  <c r="GU146"/>
  <c r="GU147"/>
  <c r="GU148"/>
  <c r="GU150"/>
  <c r="GU151"/>
  <c r="GU152"/>
  <c r="GU154"/>
  <c r="GU156"/>
  <c r="GU157"/>
  <c r="GU158"/>
  <c r="GU159"/>
  <c r="GU160"/>
  <c r="GU161"/>
  <c r="GU162"/>
  <c r="GU163"/>
  <c r="GU164"/>
  <c r="GU165"/>
  <c r="GU166"/>
  <c r="GU167"/>
  <c r="GU168"/>
  <c r="GU169"/>
  <c r="GU170"/>
  <c r="GU171"/>
  <c r="GU172"/>
  <c r="GU173"/>
  <c r="GU174"/>
  <c r="GU175"/>
  <c r="GU176"/>
  <c r="GU177"/>
  <c r="GU178"/>
  <c r="GU179"/>
  <c r="GU181"/>
  <c r="GU182"/>
  <c r="GU184"/>
  <c r="GU185"/>
  <c r="GU186"/>
  <c r="GU188"/>
  <c r="GU189"/>
  <c r="GU190"/>
  <c r="GU192"/>
  <c r="GU193"/>
  <c r="GU194"/>
  <c r="GU196"/>
  <c r="GU197"/>
  <c r="GU198"/>
  <c r="GU202"/>
  <c r="GU203"/>
  <c r="GU206"/>
  <c r="GU207"/>
  <c r="GU210"/>
  <c r="GU211"/>
  <c r="GU214"/>
  <c r="GU215"/>
  <c r="GU218"/>
  <c r="GU219"/>
  <c r="GU222"/>
  <c r="GU223"/>
  <c r="GU226"/>
  <c r="GU227"/>
  <c r="GU230"/>
  <c r="GU231"/>
  <c r="GU234"/>
  <c r="GU235"/>
  <c r="GU238"/>
  <c r="GU239"/>
  <c r="GU242"/>
  <c r="GU243"/>
  <c r="GU246"/>
  <c r="GU247"/>
  <c r="GU250"/>
  <c r="GU251"/>
  <c r="GU254"/>
  <c r="GU255"/>
  <c r="GU258"/>
  <c r="GU259"/>
  <c r="GU262"/>
  <c r="GU263"/>
  <c r="GU266"/>
  <c r="GU267"/>
  <c r="GU270"/>
  <c r="GU271"/>
  <c r="GU274"/>
  <c r="GU275"/>
  <c r="GU278"/>
  <c r="GU279"/>
  <c r="GR2"/>
  <c r="GR3"/>
  <c r="GR4"/>
  <c r="GR5"/>
  <c r="GR6"/>
  <c r="GR7"/>
  <c r="GR8"/>
  <c r="GR9"/>
  <c r="GR10"/>
  <c r="GR11"/>
  <c r="GR12"/>
  <c r="GR13"/>
  <c r="GR14"/>
  <c r="GR15"/>
  <c r="GR16"/>
  <c r="GR17"/>
  <c r="GR18"/>
  <c r="GR19"/>
  <c r="GR20"/>
  <c r="GR21"/>
  <c r="GR22"/>
  <c r="GR23"/>
  <c r="GR24"/>
  <c r="GR25"/>
  <c r="GR26"/>
  <c r="GR27"/>
  <c r="GR28"/>
  <c r="GR29"/>
  <c r="GR30"/>
  <c r="GR31"/>
  <c r="GR32"/>
  <c r="GR33"/>
  <c r="GR34"/>
  <c r="GR35"/>
  <c r="GR36"/>
  <c r="GR37"/>
  <c r="GR38"/>
  <c r="GR39"/>
  <c r="GR40"/>
  <c r="GR41"/>
  <c r="GR42"/>
  <c r="GR43"/>
  <c r="GR44"/>
  <c r="GR45"/>
  <c r="GR46"/>
  <c r="GR47"/>
  <c r="GR48"/>
  <c r="GR49"/>
  <c r="GR50"/>
  <c r="GR51"/>
  <c r="GR52"/>
  <c r="GR53"/>
  <c r="GR54"/>
  <c r="GR55"/>
  <c r="GR56"/>
  <c r="GR57"/>
  <c r="GR58"/>
  <c r="GR59"/>
  <c r="GR60"/>
  <c r="GR61"/>
  <c r="GR62"/>
  <c r="GR63"/>
  <c r="GR64"/>
  <c r="GR65"/>
  <c r="GR66"/>
  <c r="GR67"/>
  <c r="GR68"/>
  <c r="GR69"/>
  <c r="GR70"/>
  <c r="GR71"/>
  <c r="GR72"/>
  <c r="GR73"/>
  <c r="GR74"/>
  <c r="GR75"/>
  <c r="GR76"/>
  <c r="GR77"/>
  <c r="GR78"/>
  <c r="GR79"/>
  <c r="GR80"/>
  <c r="GR81"/>
  <c r="GR82"/>
  <c r="GR83"/>
  <c r="GR84"/>
  <c r="GR85"/>
  <c r="GR86"/>
  <c r="GR87"/>
  <c r="GR88"/>
  <c r="GR89"/>
  <c r="GR90"/>
  <c r="GR91"/>
  <c r="GR92"/>
  <c r="GR93"/>
  <c r="GR94"/>
  <c r="GR95"/>
  <c r="GR96"/>
  <c r="GR97"/>
  <c r="GR98"/>
  <c r="GR99"/>
  <c r="GR100"/>
  <c r="GR101"/>
  <c r="GR102"/>
  <c r="GR103"/>
  <c r="GR104"/>
  <c r="GR105"/>
  <c r="GR106"/>
  <c r="GR107"/>
  <c r="GR108"/>
  <c r="GR109"/>
  <c r="GR110"/>
  <c r="GR111"/>
  <c r="GR112"/>
  <c r="GR113"/>
  <c r="GR114"/>
  <c r="GR115"/>
  <c r="GR116"/>
  <c r="GR117"/>
  <c r="GR118"/>
  <c r="GR119"/>
  <c r="GR120"/>
  <c r="GR121"/>
  <c r="GR122"/>
  <c r="GR123"/>
  <c r="GR124"/>
  <c r="GR125"/>
  <c r="GR126"/>
  <c r="GR127"/>
  <c r="GR128"/>
  <c r="GR129"/>
  <c r="GR130"/>
  <c r="GR131"/>
  <c r="GR132"/>
  <c r="GR133"/>
  <c r="GR134"/>
  <c r="GR135"/>
  <c r="GR136"/>
  <c r="GR137"/>
  <c r="GR138"/>
  <c r="GR139"/>
  <c r="GR140"/>
  <c r="GR141"/>
  <c r="GR142"/>
  <c r="GR143"/>
  <c r="GR144"/>
  <c r="GR145"/>
  <c r="GR146"/>
  <c r="GR147"/>
  <c r="GR148"/>
  <c r="GR149"/>
  <c r="GR150"/>
  <c r="GR151"/>
  <c r="GR152"/>
  <c r="GR153"/>
  <c r="GR154"/>
  <c r="GR155"/>
  <c r="GR156"/>
  <c r="GR157"/>
  <c r="GR158"/>
  <c r="GR159"/>
  <c r="GR160"/>
  <c r="GR161"/>
  <c r="GR162"/>
  <c r="GR163"/>
  <c r="GR164"/>
  <c r="GR165"/>
  <c r="GR166"/>
  <c r="GR167"/>
  <c r="GR168"/>
  <c r="GR169"/>
  <c r="GR170"/>
  <c r="GR171"/>
  <c r="GR172"/>
  <c r="GR173"/>
  <c r="GR174"/>
  <c r="GR175"/>
  <c r="GR176"/>
  <c r="GR177"/>
  <c r="GR178"/>
  <c r="GR179"/>
  <c r="GR180"/>
  <c r="GR181"/>
  <c r="GR182"/>
  <c r="GR183"/>
  <c r="GR184"/>
  <c r="GR185"/>
  <c r="GR186"/>
  <c r="GR187"/>
  <c r="GR188"/>
  <c r="GR189"/>
  <c r="GR190"/>
  <c r="GR191"/>
  <c r="GR192"/>
  <c r="GR193"/>
  <c r="GR194"/>
  <c r="GR195"/>
  <c r="GR196"/>
  <c r="GR197"/>
  <c r="GR198"/>
  <c r="GR199"/>
  <c r="GR200"/>
  <c r="GR201"/>
  <c r="GR202"/>
  <c r="GR203"/>
  <c r="GR204"/>
  <c r="GR205"/>
  <c r="GR206"/>
  <c r="GR207"/>
  <c r="GR208"/>
  <c r="GR209"/>
  <c r="GR210"/>
  <c r="GR211"/>
  <c r="GR212"/>
  <c r="GR213"/>
  <c r="GR214"/>
  <c r="GR215"/>
  <c r="GR216"/>
  <c r="GR217"/>
  <c r="GR218"/>
  <c r="GR219"/>
  <c r="GR220"/>
  <c r="GR221"/>
  <c r="GR222"/>
  <c r="GR223"/>
  <c r="GR224"/>
  <c r="GR225"/>
  <c r="GR226"/>
  <c r="GR227"/>
  <c r="GR228"/>
  <c r="GR229"/>
  <c r="GR230"/>
  <c r="GR231"/>
  <c r="GR232"/>
  <c r="GR233"/>
  <c r="GR234"/>
  <c r="GR235"/>
  <c r="GR236"/>
  <c r="GR237"/>
  <c r="GR238"/>
  <c r="GR239"/>
  <c r="GR240"/>
  <c r="GR241"/>
  <c r="GR242"/>
  <c r="GR243"/>
  <c r="GR244"/>
  <c r="GR245"/>
  <c r="GR246"/>
  <c r="GR247"/>
  <c r="GR248"/>
  <c r="GR249"/>
  <c r="GR250"/>
  <c r="GR251"/>
  <c r="GR252"/>
  <c r="GR253"/>
  <c r="GR254"/>
  <c r="GR255"/>
  <c r="GR256"/>
  <c r="GR257"/>
  <c r="GR258"/>
  <c r="GR259"/>
  <c r="GR260"/>
  <c r="GR261"/>
  <c r="GR262"/>
  <c r="GR263"/>
  <c r="GR264"/>
  <c r="GR265"/>
  <c r="GR266"/>
  <c r="GR267"/>
  <c r="GR268"/>
  <c r="GR269"/>
  <c r="GR270"/>
  <c r="GR271"/>
  <c r="GR272"/>
  <c r="GR273"/>
  <c r="GR274"/>
  <c r="GR275"/>
  <c r="GR276"/>
  <c r="GR277"/>
  <c r="GR278"/>
  <c r="GR279"/>
  <c r="K57" i="7"/>
  <c r="K51"/>
  <c r="K45"/>
  <c r="K39"/>
  <c r="K33"/>
  <c r="K27"/>
  <c r="K21"/>
  <c r="K15"/>
  <c r="GS8" i="10"/>
  <c r="GS9"/>
  <c r="GS10"/>
  <c r="GS11"/>
  <c r="GS12"/>
  <c r="GS13"/>
  <c r="GS14"/>
  <c r="GS15"/>
  <c r="GS16"/>
  <c r="GS17"/>
  <c r="GS18"/>
  <c r="GS19"/>
  <c r="GS20"/>
  <c r="GS21"/>
  <c r="GS22"/>
  <c r="GS23"/>
  <c r="GS24"/>
  <c r="GS25"/>
  <c r="GS26"/>
  <c r="GS27"/>
  <c r="GS28"/>
  <c r="GS29"/>
  <c r="GS30"/>
  <c r="GS31"/>
  <c r="GS32"/>
  <c r="GS33"/>
  <c r="GS34"/>
  <c r="GS35"/>
  <c r="GS36"/>
  <c r="GS37"/>
  <c r="GS38"/>
  <c r="GS39"/>
  <c r="GS40"/>
  <c r="GS41"/>
  <c r="GS42"/>
  <c r="GS43"/>
  <c r="GS44"/>
  <c r="GS45"/>
  <c r="GS46"/>
  <c r="GS47"/>
  <c r="GS48"/>
  <c r="GS49"/>
  <c r="GS50"/>
  <c r="GS51"/>
  <c r="GS52"/>
  <c r="GS53"/>
  <c r="GS54"/>
  <c r="GS55"/>
  <c r="GS56"/>
  <c r="GS57"/>
  <c r="GS58"/>
  <c r="GS59"/>
  <c r="GS60"/>
  <c r="GS61"/>
  <c r="GS62"/>
  <c r="GS63"/>
  <c r="GS64"/>
  <c r="GS65"/>
  <c r="GS66"/>
  <c r="GS67"/>
  <c r="GS68"/>
  <c r="GS69"/>
  <c r="GS70"/>
  <c r="GS71"/>
  <c r="GS72"/>
  <c r="GS73"/>
  <c r="GS74"/>
  <c r="GS75"/>
  <c r="GS76"/>
  <c r="GS77"/>
  <c r="GS78"/>
  <c r="GS79"/>
  <c r="GS80"/>
  <c r="GS81"/>
  <c r="GS82"/>
  <c r="GS83"/>
  <c r="GS84"/>
  <c r="GS85"/>
  <c r="GS86"/>
  <c r="GS87"/>
  <c r="GS88"/>
  <c r="GS89"/>
  <c r="GS90"/>
  <c r="GS91"/>
  <c r="GS92"/>
  <c r="GS93"/>
  <c r="GS94"/>
  <c r="GS95"/>
  <c r="GS96"/>
  <c r="GS97"/>
  <c r="GS98"/>
  <c r="GS99"/>
  <c r="GS100"/>
  <c r="GS101"/>
  <c r="GS102"/>
  <c r="GS103"/>
  <c r="GS104"/>
  <c r="GS105"/>
  <c r="GS106"/>
  <c r="GS107"/>
  <c r="GS108"/>
  <c r="GS109"/>
  <c r="GS110"/>
  <c r="GS111"/>
  <c r="GS112"/>
  <c r="GS113"/>
  <c r="GS114"/>
  <c r="GS115"/>
  <c r="GS116"/>
  <c r="GS117"/>
  <c r="GS118"/>
  <c r="GS119"/>
  <c r="GS120"/>
  <c r="GS121"/>
  <c r="GS122"/>
  <c r="GS123"/>
  <c r="GS124"/>
  <c r="GS125"/>
  <c r="GS126"/>
  <c r="GS127"/>
  <c r="GS128"/>
  <c r="GS129"/>
  <c r="GS130"/>
  <c r="GS131"/>
  <c r="GS132"/>
  <c r="GS133"/>
  <c r="GS134"/>
  <c r="GS135"/>
  <c r="GS136"/>
  <c r="GS137"/>
  <c r="GS138"/>
  <c r="GS139"/>
  <c r="GS140"/>
  <c r="GS141"/>
  <c r="GS142"/>
  <c r="GS143"/>
  <c r="GS144"/>
  <c r="GS145"/>
  <c r="GS146"/>
  <c r="GS147"/>
  <c r="GS148"/>
  <c r="GS149"/>
  <c r="GS150"/>
  <c r="GS151"/>
  <c r="GS152"/>
  <c r="GS153"/>
  <c r="GS154"/>
  <c r="GS155"/>
  <c r="GS156"/>
  <c r="GS157"/>
  <c r="GS158"/>
  <c r="GS159"/>
  <c r="GS160"/>
  <c r="GS161"/>
  <c r="GS162"/>
  <c r="GS163"/>
  <c r="GS164"/>
  <c r="GS165"/>
  <c r="GS166"/>
  <c r="GS167"/>
  <c r="GS168"/>
  <c r="GS169"/>
  <c r="GS170"/>
  <c r="GS171"/>
  <c r="GS172"/>
  <c r="GS173"/>
  <c r="GS174"/>
  <c r="GS175"/>
  <c r="GS176"/>
  <c r="GS177"/>
  <c r="GS178"/>
  <c r="GS179"/>
  <c r="GS180"/>
  <c r="GS181"/>
  <c r="GS182"/>
  <c r="GS183"/>
  <c r="GS184"/>
  <c r="GS185"/>
  <c r="GS186"/>
  <c r="GS187"/>
  <c r="GS188"/>
  <c r="GS189"/>
  <c r="GS190"/>
  <c r="GS191"/>
  <c r="GS192"/>
  <c r="GS193"/>
  <c r="GS194"/>
  <c r="GS195"/>
  <c r="GS196"/>
  <c r="GS197"/>
  <c r="GS198"/>
  <c r="GS199"/>
  <c r="GS200"/>
  <c r="GS201"/>
  <c r="GS202"/>
  <c r="GS203"/>
  <c r="GS204"/>
  <c r="GS205"/>
  <c r="GS206"/>
  <c r="GS207"/>
  <c r="GS208"/>
  <c r="GS209"/>
  <c r="GS210"/>
  <c r="GS211"/>
  <c r="GS212"/>
  <c r="GS213"/>
  <c r="GS214"/>
  <c r="GS215"/>
  <c r="GS216"/>
  <c r="GS217"/>
  <c r="GS218"/>
  <c r="GS219"/>
  <c r="GS220"/>
  <c r="GS221"/>
  <c r="GS222"/>
  <c r="GS223"/>
  <c r="GS224"/>
  <c r="GS225"/>
  <c r="GS226"/>
  <c r="GS227"/>
  <c r="GS228"/>
  <c r="GS229"/>
  <c r="GS230"/>
  <c r="GS231"/>
  <c r="GS232"/>
  <c r="GS233"/>
  <c r="GS234"/>
  <c r="GS235"/>
  <c r="GS236"/>
  <c r="GS237"/>
  <c r="GS238"/>
  <c r="GS239"/>
  <c r="GS240"/>
  <c r="GS241"/>
  <c r="GS242"/>
  <c r="GS243"/>
  <c r="GS244"/>
  <c r="GS245"/>
  <c r="GS246"/>
  <c r="GS247"/>
  <c r="GS248"/>
  <c r="GS249"/>
  <c r="GS250"/>
  <c r="GS251"/>
  <c r="GS252"/>
  <c r="GS253"/>
  <c r="GS254"/>
  <c r="GS255"/>
  <c r="GS256"/>
  <c r="GS257"/>
  <c r="GS258"/>
  <c r="GS259"/>
  <c r="GS260"/>
  <c r="GS261"/>
  <c r="GS262"/>
  <c r="GS263"/>
  <c r="GS264"/>
  <c r="GS265"/>
  <c r="GS266"/>
  <c r="GS267"/>
  <c r="GS268"/>
  <c r="GS269"/>
  <c r="GS270"/>
  <c r="GS271"/>
  <c r="GS272"/>
  <c r="GS273"/>
  <c r="GS274"/>
  <c r="GS275"/>
  <c r="GS276"/>
  <c r="GS277"/>
  <c r="GS278"/>
  <c r="GS279"/>
  <c r="GS2"/>
  <c r="GS3"/>
  <c r="GS4"/>
  <c r="GS5"/>
  <c r="GS6"/>
  <c r="GS7"/>
  <c r="GP2"/>
  <c r="GQ2" s="1"/>
  <c r="GP3"/>
  <c r="GQ3" s="1"/>
  <c r="GP4"/>
  <c r="GQ4" s="1"/>
  <c r="GP5"/>
  <c r="GQ5" s="1"/>
  <c r="GP6"/>
  <c r="GQ6" s="1"/>
  <c r="GP7"/>
  <c r="GQ7" s="1"/>
  <c r="GP8"/>
  <c r="GQ8" s="1"/>
  <c r="GP9"/>
  <c r="GQ9" s="1"/>
  <c r="GP10"/>
  <c r="GQ10" s="1"/>
  <c r="GP11"/>
  <c r="GQ11" s="1"/>
  <c r="GP12"/>
  <c r="GQ12" s="1"/>
  <c r="GP13"/>
  <c r="GQ13" s="1"/>
  <c r="GP14"/>
  <c r="GQ14" s="1"/>
  <c r="GP15"/>
  <c r="GQ15" s="1"/>
  <c r="GP16"/>
  <c r="GQ16" s="1"/>
  <c r="GP17"/>
  <c r="GQ17" s="1"/>
  <c r="GP18"/>
  <c r="GQ18" s="1"/>
  <c r="GP19"/>
  <c r="GQ19" s="1"/>
  <c r="GP20"/>
  <c r="GQ20" s="1"/>
  <c r="GP21"/>
  <c r="GQ21" s="1"/>
  <c r="GP22"/>
  <c r="GQ22" s="1"/>
  <c r="GP23"/>
  <c r="GQ23" s="1"/>
  <c r="GP24"/>
  <c r="GQ24" s="1"/>
  <c r="GP25"/>
  <c r="GQ25" s="1"/>
  <c r="GP26"/>
  <c r="GQ26" s="1"/>
  <c r="GP27"/>
  <c r="GQ27" s="1"/>
  <c r="GP28"/>
  <c r="GQ28" s="1"/>
  <c r="GP29"/>
  <c r="GQ29" s="1"/>
  <c r="GP30"/>
  <c r="GQ30" s="1"/>
  <c r="GP31"/>
  <c r="GQ31" s="1"/>
  <c r="GP32"/>
  <c r="GQ32" s="1"/>
  <c r="GP33"/>
  <c r="GQ33" s="1"/>
  <c r="GP34"/>
  <c r="GQ34" s="1"/>
  <c r="GP35"/>
  <c r="GQ35" s="1"/>
  <c r="GP36"/>
  <c r="GQ36" s="1"/>
  <c r="GP37"/>
  <c r="GQ37" s="1"/>
  <c r="GP38"/>
  <c r="GQ38" s="1"/>
  <c r="GP39"/>
  <c r="GQ39" s="1"/>
  <c r="GP40"/>
  <c r="GQ40" s="1"/>
  <c r="GP41"/>
  <c r="GQ41" s="1"/>
  <c r="GP42"/>
  <c r="GQ42" s="1"/>
  <c r="GP43"/>
  <c r="GQ43" s="1"/>
  <c r="GP44"/>
  <c r="GQ44" s="1"/>
  <c r="GP45"/>
  <c r="GQ45" s="1"/>
  <c r="GP46"/>
  <c r="GQ46" s="1"/>
  <c r="GP47"/>
  <c r="GQ47" s="1"/>
  <c r="GP48"/>
  <c r="GQ48" s="1"/>
  <c r="GP49"/>
  <c r="GQ49" s="1"/>
  <c r="GP50"/>
  <c r="GQ50" s="1"/>
  <c r="GP51"/>
  <c r="GQ51" s="1"/>
  <c r="GP52"/>
  <c r="GQ52" s="1"/>
  <c r="GP53"/>
  <c r="GQ53" s="1"/>
  <c r="GP54"/>
  <c r="GQ54" s="1"/>
  <c r="GP55"/>
  <c r="GQ55" s="1"/>
  <c r="GP56"/>
  <c r="GQ56" s="1"/>
  <c r="GP57"/>
  <c r="GQ57" s="1"/>
  <c r="GP58"/>
  <c r="GQ58" s="1"/>
  <c r="GP59"/>
  <c r="GQ59" s="1"/>
  <c r="GP60"/>
  <c r="GQ60" s="1"/>
  <c r="GP61"/>
  <c r="GQ61" s="1"/>
  <c r="GP62"/>
  <c r="GQ62" s="1"/>
  <c r="GP63"/>
  <c r="GQ63" s="1"/>
  <c r="GP64"/>
  <c r="GQ64" s="1"/>
  <c r="GP65"/>
  <c r="GP66"/>
  <c r="GQ66" s="1"/>
  <c r="GP67"/>
  <c r="GQ67" s="1"/>
  <c r="GP68"/>
  <c r="GQ68" s="1"/>
  <c r="GP69"/>
  <c r="GQ69" s="1"/>
  <c r="GP70"/>
  <c r="GQ70" s="1"/>
  <c r="GP71"/>
  <c r="GQ71" s="1"/>
  <c r="GP72"/>
  <c r="GQ72" s="1"/>
  <c r="GP73"/>
  <c r="GQ73" s="1"/>
  <c r="GP74"/>
  <c r="GQ74" s="1"/>
  <c r="GP75"/>
  <c r="GQ75" s="1"/>
  <c r="GP76"/>
  <c r="GQ76" s="1"/>
  <c r="GP77"/>
  <c r="GQ77" s="1"/>
  <c r="GP78"/>
  <c r="GQ78" s="1"/>
  <c r="GP79"/>
  <c r="GQ79" s="1"/>
  <c r="GP80"/>
  <c r="GQ80" s="1"/>
  <c r="GP81"/>
  <c r="GQ81" s="1"/>
  <c r="GP82"/>
  <c r="GQ82" s="1"/>
  <c r="GP83"/>
  <c r="GQ83" s="1"/>
  <c r="GP84"/>
  <c r="GQ84" s="1"/>
  <c r="GP85"/>
  <c r="GQ85" s="1"/>
  <c r="GP86"/>
  <c r="GQ86" s="1"/>
  <c r="GP87"/>
  <c r="GQ87" s="1"/>
  <c r="GP88"/>
  <c r="GQ88" s="1"/>
  <c r="GP89"/>
  <c r="GQ89" s="1"/>
  <c r="GP90"/>
  <c r="GQ90" s="1"/>
  <c r="GP91"/>
  <c r="GQ91" s="1"/>
  <c r="GP92"/>
  <c r="GQ92" s="1"/>
  <c r="GP93"/>
  <c r="GQ93" s="1"/>
  <c r="GP94"/>
  <c r="GQ94" s="1"/>
  <c r="GP95"/>
  <c r="GQ95" s="1"/>
  <c r="GP96"/>
  <c r="GQ96" s="1"/>
  <c r="GP97"/>
  <c r="GQ97" s="1"/>
  <c r="GP98"/>
  <c r="GQ98" s="1"/>
  <c r="GP99"/>
  <c r="GQ99" s="1"/>
  <c r="GP100"/>
  <c r="GQ100" s="1"/>
  <c r="GP101"/>
  <c r="GQ101" s="1"/>
  <c r="GP102"/>
  <c r="GQ102" s="1"/>
  <c r="GP103"/>
  <c r="GQ103" s="1"/>
  <c r="GP104"/>
  <c r="GQ104" s="1"/>
  <c r="GP105"/>
  <c r="GQ105" s="1"/>
  <c r="GP106"/>
  <c r="GQ106" s="1"/>
  <c r="GP107"/>
  <c r="GQ107" s="1"/>
  <c r="GP108"/>
  <c r="GQ108" s="1"/>
  <c r="GP109"/>
  <c r="GQ109" s="1"/>
  <c r="GP110"/>
  <c r="GQ110" s="1"/>
  <c r="GP111"/>
  <c r="GQ111" s="1"/>
  <c r="GP112"/>
  <c r="GQ112" s="1"/>
  <c r="GP113"/>
  <c r="GQ113" s="1"/>
  <c r="GP114"/>
  <c r="GQ114" s="1"/>
  <c r="GP115"/>
  <c r="GQ115" s="1"/>
  <c r="GP116"/>
  <c r="GQ116" s="1"/>
  <c r="GP117"/>
  <c r="GQ117" s="1"/>
  <c r="GP118"/>
  <c r="GQ118" s="1"/>
  <c r="GP119"/>
  <c r="GQ119" s="1"/>
  <c r="GP120"/>
  <c r="GQ120" s="1"/>
  <c r="GP121"/>
  <c r="GQ121" s="1"/>
  <c r="GP122"/>
  <c r="GQ122" s="1"/>
  <c r="GP123"/>
  <c r="GQ123" s="1"/>
  <c r="GP124"/>
  <c r="GQ124" s="1"/>
  <c r="GP125"/>
  <c r="GQ125" s="1"/>
  <c r="GP126"/>
  <c r="GQ126" s="1"/>
  <c r="GP127"/>
  <c r="GQ127" s="1"/>
  <c r="GP128"/>
  <c r="GQ128" s="1"/>
  <c r="GP129"/>
  <c r="GQ129" s="1"/>
  <c r="GP130"/>
  <c r="GQ130" s="1"/>
  <c r="GP131"/>
  <c r="GQ131" s="1"/>
  <c r="GP132"/>
  <c r="GQ132" s="1"/>
  <c r="GP133"/>
  <c r="GQ133" s="1"/>
  <c r="GP134"/>
  <c r="GQ134" s="1"/>
  <c r="GP135"/>
  <c r="GQ135" s="1"/>
  <c r="GP136"/>
  <c r="GQ136" s="1"/>
  <c r="GP137"/>
  <c r="GQ137" s="1"/>
  <c r="GP138"/>
  <c r="GQ138" s="1"/>
  <c r="GP139"/>
  <c r="GQ139" s="1"/>
  <c r="GP140"/>
  <c r="GQ140" s="1"/>
  <c r="GP141"/>
  <c r="GQ141" s="1"/>
  <c r="GP142"/>
  <c r="GQ142" s="1"/>
  <c r="GP143"/>
  <c r="GQ143" s="1"/>
  <c r="GP144"/>
  <c r="GQ144" s="1"/>
  <c r="GP145"/>
  <c r="GQ145" s="1"/>
  <c r="GP146"/>
  <c r="GQ146" s="1"/>
  <c r="GP147"/>
  <c r="GQ147" s="1"/>
  <c r="GP148"/>
  <c r="GQ148" s="1"/>
  <c r="GP149"/>
  <c r="GQ149" s="1"/>
  <c r="GP150"/>
  <c r="GQ150" s="1"/>
  <c r="GP151"/>
  <c r="GQ151" s="1"/>
  <c r="GP152"/>
  <c r="GQ152" s="1"/>
  <c r="GP153"/>
  <c r="GQ153" s="1"/>
  <c r="GP154"/>
  <c r="GQ154" s="1"/>
  <c r="GP155"/>
  <c r="GQ155" s="1"/>
  <c r="GP156"/>
  <c r="GQ156" s="1"/>
  <c r="GP157"/>
  <c r="GQ157" s="1"/>
  <c r="GP158"/>
  <c r="GQ158" s="1"/>
  <c r="GP159"/>
  <c r="GQ159" s="1"/>
  <c r="GP160"/>
  <c r="GQ160" s="1"/>
  <c r="GP161"/>
  <c r="GQ161" s="1"/>
  <c r="GP162"/>
  <c r="GQ162" s="1"/>
  <c r="GP163"/>
  <c r="GQ163" s="1"/>
  <c r="GP164"/>
  <c r="GQ164" s="1"/>
  <c r="GP165"/>
  <c r="GQ165" s="1"/>
  <c r="GP166"/>
  <c r="GQ166" s="1"/>
  <c r="GP167"/>
  <c r="GQ167" s="1"/>
  <c r="GP168"/>
  <c r="GQ168" s="1"/>
  <c r="GP169"/>
  <c r="GQ169" s="1"/>
  <c r="GP170"/>
  <c r="GQ170" s="1"/>
  <c r="GP171"/>
  <c r="GQ171" s="1"/>
  <c r="GP172"/>
  <c r="GQ172" s="1"/>
  <c r="GP173"/>
  <c r="GQ173" s="1"/>
  <c r="GP174"/>
  <c r="GQ174" s="1"/>
  <c r="GP175"/>
  <c r="GQ175" s="1"/>
  <c r="GP176"/>
  <c r="GQ176" s="1"/>
  <c r="GP177"/>
  <c r="GQ177" s="1"/>
  <c r="GP178"/>
  <c r="GQ178" s="1"/>
  <c r="GP179"/>
  <c r="GQ179" s="1"/>
  <c r="GP180"/>
  <c r="GQ180" s="1"/>
  <c r="GP181"/>
  <c r="GQ181" s="1"/>
  <c r="GP182"/>
  <c r="GQ182" s="1"/>
  <c r="GP183"/>
  <c r="GQ183" s="1"/>
  <c r="GP184"/>
  <c r="GQ184" s="1"/>
  <c r="GP185"/>
  <c r="GQ185" s="1"/>
  <c r="GP186"/>
  <c r="GQ186" s="1"/>
  <c r="GP187"/>
  <c r="GQ187" s="1"/>
  <c r="GP188"/>
  <c r="GQ188" s="1"/>
  <c r="GP189"/>
  <c r="GQ189" s="1"/>
  <c r="GP190"/>
  <c r="GQ190" s="1"/>
  <c r="GP191"/>
  <c r="GQ191" s="1"/>
  <c r="GP192"/>
  <c r="GP193"/>
  <c r="GQ193" s="1"/>
  <c r="GP194"/>
  <c r="GQ194" s="1"/>
  <c r="GP195"/>
  <c r="GQ195" s="1"/>
  <c r="GP196"/>
  <c r="GQ196" s="1"/>
  <c r="GP197"/>
  <c r="GQ197" s="1"/>
  <c r="GP198"/>
  <c r="GQ198" s="1"/>
  <c r="GP199"/>
  <c r="GQ199" s="1"/>
  <c r="GP200"/>
  <c r="GQ200" s="1"/>
  <c r="GP201"/>
  <c r="GQ201" s="1"/>
  <c r="GP202"/>
  <c r="GQ202" s="1"/>
  <c r="GP203"/>
  <c r="GQ203" s="1"/>
  <c r="GP204"/>
  <c r="GQ204" s="1"/>
  <c r="GP205"/>
  <c r="GQ205" s="1"/>
  <c r="GP206"/>
  <c r="GQ206" s="1"/>
  <c r="GP207"/>
  <c r="GQ207" s="1"/>
  <c r="GP208"/>
  <c r="GQ208" s="1"/>
  <c r="GP209"/>
  <c r="GQ209" s="1"/>
  <c r="GP210"/>
  <c r="GQ210" s="1"/>
  <c r="GP211"/>
  <c r="GQ211" s="1"/>
  <c r="GP212"/>
  <c r="GQ212" s="1"/>
  <c r="GP213"/>
  <c r="GQ213" s="1"/>
  <c r="GP214"/>
  <c r="GQ214" s="1"/>
  <c r="GP215"/>
  <c r="GQ215" s="1"/>
  <c r="GP216"/>
  <c r="GQ216" s="1"/>
  <c r="GP217"/>
  <c r="GQ217" s="1"/>
  <c r="GP218"/>
  <c r="GQ218" s="1"/>
  <c r="GP219"/>
  <c r="GQ219" s="1"/>
  <c r="GP220"/>
  <c r="GQ220" s="1"/>
  <c r="GP221"/>
  <c r="GQ221" s="1"/>
  <c r="GP222"/>
  <c r="GQ222" s="1"/>
  <c r="GP223"/>
  <c r="GQ223" s="1"/>
  <c r="GP224"/>
  <c r="GQ224" s="1"/>
  <c r="GP225"/>
  <c r="GQ225" s="1"/>
  <c r="GP226"/>
  <c r="GQ226" s="1"/>
  <c r="GP227"/>
  <c r="GQ227" s="1"/>
  <c r="GP228"/>
  <c r="GQ228" s="1"/>
  <c r="GP229"/>
  <c r="GQ229" s="1"/>
  <c r="GP230"/>
  <c r="GQ230" s="1"/>
  <c r="GP231"/>
  <c r="GQ231" s="1"/>
  <c r="GP232"/>
  <c r="GQ232" s="1"/>
  <c r="GP233"/>
  <c r="GQ233" s="1"/>
  <c r="GP234"/>
  <c r="GQ234" s="1"/>
  <c r="GP235"/>
  <c r="GQ235" s="1"/>
  <c r="GP236"/>
  <c r="GP237"/>
  <c r="GQ237" s="1"/>
  <c r="GP238"/>
  <c r="GQ238" s="1"/>
  <c r="GP239"/>
  <c r="GQ239" s="1"/>
  <c r="GP240"/>
  <c r="GQ240" s="1"/>
  <c r="GP241"/>
  <c r="GQ241" s="1"/>
  <c r="GP242"/>
  <c r="GQ242" s="1"/>
  <c r="GP243"/>
  <c r="GQ243" s="1"/>
  <c r="GP244"/>
  <c r="GQ244" s="1"/>
  <c r="GP245"/>
  <c r="GQ245" s="1"/>
  <c r="GP246"/>
  <c r="GQ246" s="1"/>
  <c r="GP247"/>
  <c r="GQ247" s="1"/>
  <c r="GP248"/>
  <c r="GQ248" s="1"/>
  <c r="GP249"/>
  <c r="GQ249" s="1"/>
  <c r="GP250"/>
  <c r="GQ250" s="1"/>
  <c r="GP251"/>
  <c r="GQ251" s="1"/>
  <c r="GP252"/>
  <c r="GQ252" s="1"/>
  <c r="GP253"/>
  <c r="GQ253" s="1"/>
  <c r="GP254"/>
  <c r="GQ254" s="1"/>
  <c r="GP255"/>
  <c r="GQ255" s="1"/>
  <c r="GP256"/>
  <c r="GQ256" s="1"/>
  <c r="GP257"/>
  <c r="GQ257" s="1"/>
  <c r="GP258"/>
  <c r="GQ258" s="1"/>
  <c r="GP259"/>
  <c r="GQ259" s="1"/>
  <c r="GP260"/>
  <c r="GQ260" s="1"/>
  <c r="GP261"/>
  <c r="GQ261" s="1"/>
  <c r="GP262"/>
  <c r="GQ262" s="1"/>
  <c r="GP263"/>
  <c r="GQ263" s="1"/>
  <c r="GP264"/>
  <c r="GQ264" s="1"/>
  <c r="GP265"/>
  <c r="GQ265" s="1"/>
  <c r="GP266"/>
  <c r="GQ266" s="1"/>
  <c r="GP267"/>
  <c r="GQ267" s="1"/>
  <c r="GP268"/>
  <c r="GQ268" s="1"/>
  <c r="GP269"/>
  <c r="GQ269" s="1"/>
  <c r="GP270"/>
  <c r="GQ270" s="1"/>
  <c r="GP271"/>
  <c r="GQ271" s="1"/>
  <c r="GP272"/>
  <c r="GQ272" s="1"/>
  <c r="GP273"/>
  <c r="GQ273" s="1"/>
  <c r="GP274"/>
  <c r="GQ274" s="1"/>
  <c r="GP275"/>
  <c r="GQ275" s="1"/>
  <c r="GP276"/>
  <c r="GQ276" s="1"/>
  <c r="GP277"/>
  <c r="GQ277" s="1"/>
  <c r="GP278"/>
  <c r="GQ278" s="1"/>
  <c r="GP279"/>
  <c r="GQ279" s="1"/>
  <c r="GO8"/>
  <c r="GO16"/>
  <c r="GN2"/>
  <c r="GN3"/>
  <c r="GO3" s="1"/>
  <c r="GN4"/>
  <c r="GO4" s="1"/>
  <c r="GN5"/>
  <c r="GO5" s="1"/>
  <c r="GN6"/>
  <c r="GO6" s="1"/>
  <c r="GN7"/>
  <c r="GO7" s="1"/>
  <c r="GN8"/>
  <c r="GN9"/>
  <c r="GO9" s="1"/>
  <c r="GN10"/>
  <c r="GO10" s="1"/>
  <c r="GN11"/>
  <c r="GO11" s="1"/>
  <c r="GN12"/>
  <c r="GO12" s="1"/>
  <c r="GN13"/>
  <c r="GO13" s="1"/>
  <c r="GN14"/>
  <c r="GO14" s="1"/>
  <c r="GN15"/>
  <c r="GO15" s="1"/>
  <c r="GN16"/>
  <c r="GN17"/>
  <c r="GO17" s="1"/>
  <c r="GN18"/>
  <c r="GO18" s="1"/>
  <c r="GN19"/>
  <c r="GO19" s="1"/>
  <c r="GN20"/>
  <c r="GO20" s="1"/>
  <c r="GN21"/>
  <c r="GO21" s="1"/>
  <c r="GN22"/>
  <c r="GO22" s="1"/>
  <c r="GN23"/>
  <c r="GO23" s="1"/>
  <c r="GN24"/>
  <c r="GO24" s="1"/>
  <c r="GN25"/>
  <c r="GO25" s="1"/>
  <c r="GN26"/>
  <c r="GO26" s="1"/>
  <c r="GN27"/>
  <c r="GO27" s="1"/>
  <c r="GN28"/>
  <c r="GO28" s="1"/>
  <c r="GN29"/>
  <c r="GO29" s="1"/>
  <c r="GN30"/>
  <c r="GO30" s="1"/>
  <c r="GN31"/>
  <c r="GO31" s="1"/>
  <c r="GN32"/>
  <c r="GO32" s="1"/>
  <c r="GN33"/>
  <c r="GO33" s="1"/>
  <c r="GN34"/>
  <c r="GO34" s="1"/>
  <c r="GN35"/>
  <c r="GO35" s="1"/>
  <c r="GN36"/>
  <c r="GO36" s="1"/>
  <c r="GN37"/>
  <c r="GO37" s="1"/>
  <c r="GN38"/>
  <c r="GO38" s="1"/>
  <c r="GN39"/>
  <c r="GO39" s="1"/>
  <c r="GN40"/>
  <c r="GO40" s="1"/>
  <c r="GN41"/>
  <c r="GO41" s="1"/>
  <c r="GN42"/>
  <c r="GO42" s="1"/>
  <c r="GN43"/>
  <c r="GO43" s="1"/>
  <c r="GN44"/>
  <c r="GO44" s="1"/>
  <c r="GN45"/>
  <c r="GO45" s="1"/>
  <c r="GN46"/>
  <c r="GO46" s="1"/>
  <c r="GN47"/>
  <c r="GO47" s="1"/>
  <c r="GN48"/>
  <c r="GO48" s="1"/>
  <c r="GN49"/>
  <c r="GO49" s="1"/>
  <c r="GN50"/>
  <c r="GO50" s="1"/>
  <c r="GN51"/>
  <c r="GO51" s="1"/>
  <c r="GN52"/>
  <c r="GO52" s="1"/>
  <c r="GN53"/>
  <c r="GO53" s="1"/>
  <c r="GN54"/>
  <c r="GO54" s="1"/>
  <c r="GN55"/>
  <c r="GO55" s="1"/>
  <c r="GN56"/>
  <c r="GO56" s="1"/>
  <c r="GN57"/>
  <c r="GO57" s="1"/>
  <c r="GN58"/>
  <c r="GO58" s="1"/>
  <c r="GN59"/>
  <c r="GO59" s="1"/>
  <c r="GN60"/>
  <c r="GO60" s="1"/>
  <c r="GN61"/>
  <c r="GO61" s="1"/>
  <c r="GN62"/>
  <c r="GO62" s="1"/>
  <c r="GN63"/>
  <c r="GO63" s="1"/>
  <c r="GN64"/>
  <c r="GO64" s="1"/>
  <c r="GN65"/>
  <c r="GO65" s="1"/>
  <c r="GN66"/>
  <c r="GO66" s="1"/>
  <c r="GN67"/>
  <c r="GO67" s="1"/>
  <c r="GN68"/>
  <c r="GO68" s="1"/>
  <c r="GN69"/>
  <c r="GO69" s="1"/>
  <c r="GN70"/>
  <c r="GO70" s="1"/>
  <c r="GN71"/>
  <c r="GO71" s="1"/>
  <c r="GN72"/>
  <c r="GO72" s="1"/>
  <c r="GN73"/>
  <c r="GO73" s="1"/>
  <c r="GN74"/>
  <c r="GO74" s="1"/>
  <c r="GN75"/>
  <c r="GO75" s="1"/>
  <c r="GN76"/>
  <c r="GO76" s="1"/>
  <c r="GN77"/>
  <c r="GO77" s="1"/>
  <c r="GN78"/>
  <c r="GO78" s="1"/>
  <c r="GN79"/>
  <c r="GO79" s="1"/>
  <c r="GN80"/>
  <c r="GO80" s="1"/>
  <c r="GN81"/>
  <c r="GO81" s="1"/>
  <c r="GN82"/>
  <c r="GO82" s="1"/>
  <c r="GN83"/>
  <c r="GO83" s="1"/>
  <c r="GN84"/>
  <c r="GO84" s="1"/>
  <c r="GN85"/>
  <c r="GO85" s="1"/>
  <c r="GN86"/>
  <c r="GO86" s="1"/>
  <c r="GN87"/>
  <c r="GO87" s="1"/>
  <c r="GN88"/>
  <c r="GO88" s="1"/>
  <c r="GN89"/>
  <c r="GO89" s="1"/>
  <c r="GN90"/>
  <c r="GO90" s="1"/>
  <c r="GN91"/>
  <c r="GO91" s="1"/>
  <c r="GN92"/>
  <c r="GO92" s="1"/>
  <c r="GN93"/>
  <c r="GO93" s="1"/>
  <c r="GN94"/>
  <c r="GO94" s="1"/>
  <c r="GN95"/>
  <c r="GO95" s="1"/>
  <c r="GN96"/>
  <c r="GO96" s="1"/>
  <c r="GN97"/>
  <c r="GO97" s="1"/>
  <c r="GN98"/>
  <c r="GO98" s="1"/>
  <c r="GN99"/>
  <c r="GO99" s="1"/>
  <c r="GN100"/>
  <c r="GO100" s="1"/>
  <c r="GN101"/>
  <c r="GO101" s="1"/>
  <c r="GN102"/>
  <c r="GO102" s="1"/>
  <c r="GN103"/>
  <c r="GO103" s="1"/>
  <c r="GN104"/>
  <c r="GO104" s="1"/>
  <c r="GN105"/>
  <c r="GO105" s="1"/>
  <c r="GN106"/>
  <c r="GO106" s="1"/>
  <c r="GN107"/>
  <c r="GO107" s="1"/>
  <c r="GN108"/>
  <c r="GO108" s="1"/>
  <c r="GN109"/>
  <c r="GO109" s="1"/>
  <c r="GN110"/>
  <c r="GO110" s="1"/>
  <c r="GN111"/>
  <c r="GO111" s="1"/>
  <c r="GN112"/>
  <c r="GO112" s="1"/>
  <c r="GN113"/>
  <c r="GO113" s="1"/>
  <c r="GN114"/>
  <c r="GO114" s="1"/>
  <c r="GN115"/>
  <c r="GO115" s="1"/>
  <c r="GN116"/>
  <c r="GO116" s="1"/>
  <c r="GN117"/>
  <c r="GO117" s="1"/>
  <c r="GN118"/>
  <c r="GO118" s="1"/>
  <c r="GN119"/>
  <c r="GO119" s="1"/>
  <c r="GN120"/>
  <c r="GO120" s="1"/>
  <c r="GN121"/>
  <c r="GO121" s="1"/>
  <c r="GN122"/>
  <c r="GO122" s="1"/>
  <c r="GN123"/>
  <c r="GO123" s="1"/>
  <c r="GN124"/>
  <c r="GO124" s="1"/>
  <c r="GN125"/>
  <c r="GO125" s="1"/>
  <c r="GN126"/>
  <c r="GO126" s="1"/>
  <c r="GN127"/>
  <c r="GO127" s="1"/>
  <c r="GN128"/>
  <c r="GO128" s="1"/>
  <c r="GN129"/>
  <c r="GO129" s="1"/>
  <c r="GN130"/>
  <c r="GO130" s="1"/>
  <c r="GN131"/>
  <c r="GO131" s="1"/>
  <c r="GN132"/>
  <c r="GO132" s="1"/>
  <c r="GN133"/>
  <c r="GN134"/>
  <c r="GO134" s="1"/>
  <c r="GN135"/>
  <c r="GO135" s="1"/>
  <c r="GN136"/>
  <c r="GN137"/>
  <c r="GO137" s="1"/>
  <c r="GN138"/>
  <c r="GO138" s="1"/>
  <c r="GN139"/>
  <c r="GO139" s="1"/>
  <c r="GN140"/>
  <c r="GO140" s="1"/>
  <c r="GN141"/>
  <c r="GO141" s="1"/>
  <c r="GN142"/>
  <c r="GO142" s="1"/>
  <c r="GN143"/>
  <c r="GO143" s="1"/>
  <c r="GN144"/>
  <c r="GO144" s="1"/>
  <c r="GN145"/>
  <c r="GO145" s="1"/>
  <c r="GN146"/>
  <c r="GO146" s="1"/>
  <c r="GN147"/>
  <c r="GO147" s="1"/>
  <c r="GN148"/>
  <c r="GO148" s="1"/>
  <c r="GN149"/>
  <c r="GO149" s="1"/>
  <c r="GN150"/>
  <c r="GO150" s="1"/>
  <c r="GN151"/>
  <c r="GO151" s="1"/>
  <c r="GN152"/>
  <c r="GO152" s="1"/>
  <c r="GN153"/>
  <c r="GO153" s="1"/>
  <c r="GN154"/>
  <c r="GO154" s="1"/>
  <c r="GN155"/>
  <c r="GO155" s="1"/>
  <c r="GN156"/>
  <c r="GO156" s="1"/>
  <c r="GN157"/>
  <c r="GO157" s="1"/>
  <c r="GN158"/>
  <c r="GO158" s="1"/>
  <c r="GN159"/>
  <c r="GO159" s="1"/>
  <c r="GN160"/>
  <c r="GO160" s="1"/>
  <c r="GN161"/>
  <c r="GO161" s="1"/>
  <c r="GN162"/>
  <c r="GO162" s="1"/>
  <c r="GN163"/>
  <c r="GO163" s="1"/>
  <c r="GN164"/>
  <c r="GO164" s="1"/>
  <c r="GN165"/>
  <c r="GO165" s="1"/>
  <c r="GN166"/>
  <c r="GO166" s="1"/>
  <c r="GN167"/>
  <c r="GO167" s="1"/>
  <c r="GN168"/>
  <c r="GO168" s="1"/>
  <c r="GN169"/>
  <c r="GO169" s="1"/>
  <c r="GN170"/>
  <c r="GO170" s="1"/>
  <c r="GN171"/>
  <c r="GO171" s="1"/>
  <c r="GN172"/>
  <c r="GO172" s="1"/>
  <c r="GN173"/>
  <c r="GO173" s="1"/>
  <c r="GN174"/>
  <c r="GO174" s="1"/>
  <c r="GN175"/>
  <c r="GO175" s="1"/>
  <c r="GN176"/>
  <c r="GO176" s="1"/>
  <c r="GN177"/>
  <c r="GO177" s="1"/>
  <c r="GN178"/>
  <c r="GO178" s="1"/>
  <c r="GN179"/>
  <c r="GO179" s="1"/>
  <c r="GN180"/>
  <c r="GO180" s="1"/>
  <c r="GN181"/>
  <c r="GO181" s="1"/>
  <c r="GN182"/>
  <c r="GO182" s="1"/>
  <c r="GN183"/>
  <c r="GO183" s="1"/>
  <c r="GN184"/>
  <c r="GO184" s="1"/>
  <c r="GN185"/>
  <c r="GO185" s="1"/>
  <c r="GN186"/>
  <c r="GO186" s="1"/>
  <c r="GN187"/>
  <c r="GO187" s="1"/>
  <c r="GN188"/>
  <c r="GO188" s="1"/>
  <c r="GN189"/>
  <c r="GO189" s="1"/>
  <c r="GN190"/>
  <c r="GO190" s="1"/>
  <c r="GN191"/>
  <c r="GO191" s="1"/>
  <c r="GN192"/>
  <c r="GO192" s="1"/>
  <c r="GN193"/>
  <c r="GO193" s="1"/>
  <c r="GN194"/>
  <c r="GO194" s="1"/>
  <c r="GN195"/>
  <c r="GO195" s="1"/>
  <c r="GN196"/>
  <c r="GO196" s="1"/>
  <c r="GN197"/>
  <c r="GO197" s="1"/>
  <c r="GN198"/>
  <c r="GO198" s="1"/>
  <c r="GN199"/>
  <c r="GO199" s="1"/>
  <c r="GN200"/>
  <c r="GO200" s="1"/>
  <c r="GN201"/>
  <c r="GO201" s="1"/>
  <c r="GN202"/>
  <c r="GO202" s="1"/>
  <c r="GN203"/>
  <c r="GO203" s="1"/>
  <c r="GN204"/>
  <c r="GO204" s="1"/>
  <c r="GN205"/>
  <c r="GO205" s="1"/>
  <c r="GN206"/>
  <c r="GO206" s="1"/>
  <c r="GN207"/>
  <c r="GO207" s="1"/>
  <c r="GN208"/>
  <c r="GO208" s="1"/>
  <c r="GN209"/>
  <c r="GO209" s="1"/>
  <c r="GN210"/>
  <c r="GO210" s="1"/>
  <c r="GN211"/>
  <c r="GO211" s="1"/>
  <c r="GN212"/>
  <c r="GO212" s="1"/>
  <c r="GN213"/>
  <c r="GO213" s="1"/>
  <c r="GN214"/>
  <c r="GO214" s="1"/>
  <c r="GN215"/>
  <c r="GO215" s="1"/>
  <c r="GN216"/>
  <c r="GO216" s="1"/>
  <c r="GN217"/>
  <c r="GO217" s="1"/>
  <c r="GN218"/>
  <c r="GO218" s="1"/>
  <c r="GN219"/>
  <c r="GO219" s="1"/>
  <c r="GN220"/>
  <c r="GO220" s="1"/>
  <c r="GN221"/>
  <c r="GO221" s="1"/>
  <c r="GN222"/>
  <c r="GO222" s="1"/>
  <c r="GN223"/>
  <c r="GO223" s="1"/>
  <c r="GN224"/>
  <c r="GO224" s="1"/>
  <c r="GN225"/>
  <c r="GO225" s="1"/>
  <c r="GN226"/>
  <c r="GO226" s="1"/>
  <c r="GN227"/>
  <c r="GO227" s="1"/>
  <c r="GN228"/>
  <c r="GO228" s="1"/>
  <c r="GN229"/>
  <c r="GO229" s="1"/>
  <c r="GN230"/>
  <c r="GO230" s="1"/>
  <c r="GN231"/>
  <c r="GO231" s="1"/>
  <c r="GN232"/>
  <c r="GO232" s="1"/>
  <c r="GN233"/>
  <c r="GN234"/>
  <c r="GO234" s="1"/>
  <c r="GN235"/>
  <c r="GO235" s="1"/>
  <c r="GN236"/>
  <c r="GO236" s="1"/>
  <c r="GN237"/>
  <c r="GO237" s="1"/>
  <c r="GN238"/>
  <c r="GO238" s="1"/>
  <c r="GN239"/>
  <c r="GO239" s="1"/>
  <c r="GN240"/>
  <c r="GO240" s="1"/>
  <c r="GN241"/>
  <c r="GO241" s="1"/>
  <c r="GN242"/>
  <c r="GO242" s="1"/>
  <c r="GN243"/>
  <c r="GO243" s="1"/>
  <c r="GN244"/>
  <c r="GO244" s="1"/>
  <c r="GN245"/>
  <c r="GO245" s="1"/>
  <c r="GN246"/>
  <c r="GO246" s="1"/>
  <c r="GN247"/>
  <c r="GO247" s="1"/>
  <c r="GN248"/>
  <c r="GO248" s="1"/>
  <c r="GN249"/>
  <c r="GO249" s="1"/>
  <c r="GN250"/>
  <c r="GO250" s="1"/>
  <c r="GN251"/>
  <c r="GO251" s="1"/>
  <c r="GN252"/>
  <c r="GO252" s="1"/>
  <c r="GN253"/>
  <c r="GO253" s="1"/>
  <c r="GN254"/>
  <c r="GO254" s="1"/>
  <c r="GN255"/>
  <c r="GO255" s="1"/>
  <c r="GN256"/>
  <c r="GO256" s="1"/>
  <c r="GN257"/>
  <c r="GO257" s="1"/>
  <c r="GN258"/>
  <c r="GO258" s="1"/>
  <c r="GN259"/>
  <c r="GO259" s="1"/>
  <c r="GN260"/>
  <c r="GO260" s="1"/>
  <c r="GN261"/>
  <c r="GO261" s="1"/>
  <c r="GN262"/>
  <c r="GO262" s="1"/>
  <c r="GN263"/>
  <c r="GO263" s="1"/>
  <c r="GN264"/>
  <c r="GO264" s="1"/>
  <c r="GN265"/>
  <c r="GO265" s="1"/>
  <c r="GN266"/>
  <c r="GO266" s="1"/>
  <c r="GN267"/>
  <c r="GO267" s="1"/>
  <c r="GN268"/>
  <c r="GO268" s="1"/>
  <c r="GN269"/>
  <c r="GO269" s="1"/>
  <c r="GN270"/>
  <c r="GO270" s="1"/>
  <c r="GN271"/>
  <c r="GO271" s="1"/>
  <c r="GN272"/>
  <c r="GO272" s="1"/>
  <c r="GN273"/>
  <c r="GO273" s="1"/>
  <c r="GN274"/>
  <c r="GO274" s="1"/>
  <c r="GN275"/>
  <c r="GO275" s="1"/>
  <c r="GN276"/>
  <c r="GO276" s="1"/>
  <c r="GN277"/>
  <c r="GO277" s="1"/>
  <c r="GN278"/>
  <c r="GO278" s="1"/>
  <c r="GN279"/>
  <c r="GO279" s="1"/>
  <c r="GL2"/>
  <c r="GM2" s="1"/>
  <c r="GL3"/>
  <c r="GM3" s="1"/>
  <c r="GL4"/>
  <c r="GM4" s="1"/>
  <c r="GL5"/>
  <c r="GM5" s="1"/>
  <c r="GL6"/>
  <c r="GM6" s="1"/>
  <c r="GL7"/>
  <c r="GM7" s="1"/>
  <c r="GL8"/>
  <c r="GM8" s="1"/>
  <c r="GL9"/>
  <c r="GM9" s="1"/>
  <c r="GL10"/>
  <c r="GM10" s="1"/>
  <c r="GL11"/>
  <c r="GL12"/>
  <c r="GM12" s="1"/>
  <c r="GL13"/>
  <c r="GM13" s="1"/>
  <c r="GL14"/>
  <c r="GM14" s="1"/>
  <c r="GL15"/>
  <c r="GM15" s="1"/>
  <c r="GL16"/>
  <c r="GL17"/>
  <c r="GM17" s="1"/>
  <c r="GL18"/>
  <c r="GM18" s="1"/>
  <c r="GL19"/>
  <c r="GM19" s="1"/>
  <c r="GL20"/>
  <c r="GM20" s="1"/>
  <c r="GL21"/>
  <c r="GM21" s="1"/>
  <c r="GL22"/>
  <c r="GM22" s="1"/>
  <c r="GL23"/>
  <c r="GM23" s="1"/>
  <c r="GL24"/>
  <c r="GM24" s="1"/>
  <c r="GL25"/>
  <c r="GM25" s="1"/>
  <c r="GL26"/>
  <c r="GM26" s="1"/>
  <c r="GL27"/>
  <c r="GM27" s="1"/>
  <c r="GL28"/>
  <c r="GM28" s="1"/>
  <c r="GL29"/>
  <c r="GM29" s="1"/>
  <c r="GL30"/>
  <c r="GM30" s="1"/>
  <c r="GL31"/>
  <c r="GM31" s="1"/>
  <c r="GL32"/>
  <c r="GM32" s="1"/>
  <c r="GL33"/>
  <c r="GM33" s="1"/>
  <c r="GL34"/>
  <c r="GM34" s="1"/>
  <c r="GL35"/>
  <c r="GM35" s="1"/>
  <c r="GL36"/>
  <c r="GM36" s="1"/>
  <c r="GL37"/>
  <c r="GM37" s="1"/>
  <c r="GL38"/>
  <c r="GM38" s="1"/>
  <c r="GL39"/>
  <c r="GM39" s="1"/>
  <c r="GL40"/>
  <c r="GM40" s="1"/>
  <c r="GL41"/>
  <c r="GM41" s="1"/>
  <c r="GL42"/>
  <c r="GM42" s="1"/>
  <c r="GL43"/>
  <c r="GM43" s="1"/>
  <c r="GL44"/>
  <c r="GM44" s="1"/>
  <c r="GL45"/>
  <c r="GM45" s="1"/>
  <c r="GL46"/>
  <c r="GM46" s="1"/>
  <c r="GL47"/>
  <c r="GM47" s="1"/>
  <c r="GL48"/>
  <c r="GM48" s="1"/>
  <c r="GL49"/>
  <c r="GM49" s="1"/>
  <c r="GL50"/>
  <c r="GM50" s="1"/>
  <c r="GL51"/>
  <c r="GM51" s="1"/>
  <c r="GL52"/>
  <c r="GM52" s="1"/>
  <c r="GL53"/>
  <c r="GM53" s="1"/>
  <c r="GL54"/>
  <c r="GL55"/>
  <c r="GM55" s="1"/>
  <c r="GL56"/>
  <c r="GM56" s="1"/>
  <c r="GL57"/>
  <c r="GM57" s="1"/>
  <c r="GL58"/>
  <c r="GM58" s="1"/>
  <c r="GL59"/>
  <c r="GM59" s="1"/>
  <c r="GL60"/>
  <c r="GM60" s="1"/>
  <c r="GL61"/>
  <c r="GM61" s="1"/>
  <c r="GL62"/>
  <c r="GM62" s="1"/>
  <c r="GL63"/>
  <c r="GM63" s="1"/>
  <c r="GL64"/>
  <c r="GM64" s="1"/>
  <c r="GL65"/>
  <c r="GM65" s="1"/>
  <c r="GL66"/>
  <c r="GM66" s="1"/>
  <c r="GL67"/>
  <c r="GM67" s="1"/>
  <c r="GL68"/>
  <c r="GM68" s="1"/>
  <c r="GL69"/>
  <c r="GM69" s="1"/>
  <c r="GL70"/>
  <c r="GM70" s="1"/>
  <c r="GL71"/>
  <c r="GM71" s="1"/>
  <c r="GL72"/>
  <c r="GM72" s="1"/>
  <c r="GL73"/>
  <c r="GM73" s="1"/>
  <c r="GL74"/>
  <c r="GM74" s="1"/>
  <c r="GL75"/>
  <c r="GM75" s="1"/>
  <c r="GL76"/>
  <c r="GM76" s="1"/>
  <c r="GL77"/>
  <c r="GM77" s="1"/>
  <c r="GL78"/>
  <c r="GM78" s="1"/>
  <c r="GL79"/>
  <c r="GM79" s="1"/>
  <c r="GL80"/>
  <c r="GM80" s="1"/>
  <c r="GL81"/>
  <c r="GM81" s="1"/>
  <c r="GL82"/>
  <c r="GM82" s="1"/>
  <c r="GL83"/>
  <c r="GM83" s="1"/>
  <c r="GL84"/>
  <c r="GM84" s="1"/>
  <c r="GL85"/>
  <c r="GM85" s="1"/>
  <c r="GL86"/>
  <c r="GM86" s="1"/>
  <c r="GL87"/>
  <c r="GM87" s="1"/>
  <c r="GL88"/>
  <c r="GM88" s="1"/>
  <c r="GL89"/>
  <c r="GM89" s="1"/>
  <c r="GL90"/>
  <c r="GM90" s="1"/>
  <c r="GL91"/>
  <c r="GM91" s="1"/>
  <c r="GL92"/>
  <c r="GM92" s="1"/>
  <c r="GL93"/>
  <c r="GM93" s="1"/>
  <c r="GL94"/>
  <c r="GM94" s="1"/>
  <c r="GL95"/>
  <c r="GM95" s="1"/>
  <c r="GL96"/>
  <c r="GM96" s="1"/>
  <c r="GL97"/>
  <c r="GM97" s="1"/>
  <c r="GL98"/>
  <c r="GM98" s="1"/>
  <c r="GL99"/>
  <c r="GM99" s="1"/>
  <c r="GL100"/>
  <c r="GM100" s="1"/>
  <c r="GL101"/>
  <c r="GM101" s="1"/>
  <c r="GL102"/>
  <c r="GM102" s="1"/>
  <c r="GL103"/>
  <c r="GM103" s="1"/>
  <c r="GL104"/>
  <c r="GM104" s="1"/>
  <c r="GL105"/>
  <c r="GM105" s="1"/>
  <c r="GL106"/>
  <c r="GM106" s="1"/>
  <c r="GL107"/>
  <c r="GM107" s="1"/>
  <c r="GL108"/>
  <c r="GM108" s="1"/>
  <c r="GL109"/>
  <c r="GM109" s="1"/>
  <c r="GL110"/>
  <c r="GM110" s="1"/>
  <c r="GL111"/>
  <c r="GM111" s="1"/>
  <c r="GL112"/>
  <c r="GM112" s="1"/>
  <c r="GL113"/>
  <c r="GM113" s="1"/>
  <c r="GL114"/>
  <c r="GM114" s="1"/>
  <c r="GL115"/>
  <c r="GM115" s="1"/>
  <c r="GL116"/>
  <c r="GM116" s="1"/>
  <c r="GL117"/>
  <c r="GM117" s="1"/>
  <c r="GL118"/>
  <c r="GM118" s="1"/>
  <c r="GL119"/>
  <c r="GM119" s="1"/>
  <c r="GL120"/>
  <c r="GM120" s="1"/>
  <c r="GL121"/>
  <c r="GM121" s="1"/>
  <c r="GL122"/>
  <c r="GM122" s="1"/>
  <c r="GL123"/>
  <c r="GM123" s="1"/>
  <c r="GL124"/>
  <c r="GM124" s="1"/>
  <c r="GL125"/>
  <c r="GM125" s="1"/>
  <c r="GL126"/>
  <c r="GM126" s="1"/>
  <c r="GL127"/>
  <c r="GM127" s="1"/>
  <c r="GL128"/>
  <c r="GM128" s="1"/>
  <c r="GL129"/>
  <c r="GM129" s="1"/>
  <c r="GL130"/>
  <c r="GM130" s="1"/>
  <c r="GL131"/>
  <c r="GM131" s="1"/>
  <c r="GL132"/>
  <c r="GM132" s="1"/>
  <c r="GL133"/>
  <c r="GM133" s="1"/>
  <c r="GL134"/>
  <c r="GM134" s="1"/>
  <c r="GL135"/>
  <c r="GM135" s="1"/>
  <c r="GL136"/>
  <c r="GM136" s="1"/>
  <c r="GL137"/>
  <c r="GM137" s="1"/>
  <c r="GL138"/>
  <c r="GM138" s="1"/>
  <c r="GL139"/>
  <c r="GM139" s="1"/>
  <c r="GL140"/>
  <c r="GM140" s="1"/>
  <c r="GL141"/>
  <c r="GM141" s="1"/>
  <c r="GL142"/>
  <c r="GM142" s="1"/>
  <c r="GL143"/>
  <c r="GM143" s="1"/>
  <c r="GL144"/>
  <c r="GM144" s="1"/>
  <c r="GL145"/>
  <c r="GM145" s="1"/>
  <c r="GL146"/>
  <c r="GM146" s="1"/>
  <c r="GL147"/>
  <c r="GM147" s="1"/>
  <c r="GL148"/>
  <c r="GM148" s="1"/>
  <c r="GL149"/>
  <c r="GM149" s="1"/>
  <c r="GL150"/>
  <c r="GM150" s="1"/>
  <c r="GL151"/>
  <c r="GM151" s="1"/>
  <c r="GL152"/>
  <c r="GM152" s="1"/>
  <c r="GL153"/>
  <c r="GM153" s="1"/>
  <c r="GL154"/>
  <c r="GM154" s="1"/>
  <c r="GL155"/>
  <c r="GM155" s="1"/>
  <c r="GL156"/>
  <c r="GM156" s="1"/>
  <c r="GL157"/>
  <c r="GM157" s="1"/>
  <c r="GL158"/>
  <c r="GM158" s="1"/>
  <c r="GL159"/>
  <c r="GM159" s="1"/>
  <c r="GL160"/>
  <c r="GM160" s="1"/>
  <c r="GL161"/>
  <c r="GM161" s="1"/>
  <c r="GL162"/>
  <c r="GM162" s="1"/>
  <c r="GL163"/>
  <c r="GM163" s="1"/>
  <c r="GL164"/>
  <c r="GM164" s="1"/>
  <c r="GL165"/>
  <c r="GM165" s="1"/>
  <c r="GL166"/>
  <c r="GM166" s="1"/>
  <c r="GL167"/>
  <c r="GM167" s="1"/>
  <c r="GL168"/>
  <c r="GM168" s="1"/>
  <c r="GL169"/>
  <c r="GM169" s="1"/>
  <c r="GL170"/>
  <c r="GM170" s="1"/>
  <c r="GL171"/>
  <c r="GM171" s="1"/>
  <c r="GL172"/>
  <c r="GM172" s="1"/>
  <c r="GL173"/>
  <c r="GM173" s="1"/>
  <c r="GL174"/>
  <c r="GM174" s="1"/>
  <c r="GL175"/>
  <c r="GM175" s="1"/>
  <c r="GL176"/>
  <c r="GM176" s="1"/>
  <c r="GL177"/>
  <c r="GM177" s="1"/>
  <c r="GL178"/>
  <c r="GM178" s="1"/>
  <c r="GL179"/>
  <c r="GM179" s="1"/>
  <c r="GL180"/>
  <c r="GM180" s="1"/>
  <c r="GL181"/>
  <c r="GM181" s="1"/>
  <c r="GL182"/>
  <c r="GM182" s="1"/>
  <c r="GL183"/>
  <c r="GM183" s="1"/>
  <c r="GL184"/>
  <c r="GM184" s="1"/>
  <c r="GL185"/>
  <c r="GM185" s="1"/>
  <c r="GL186"/>
  <c r="GM186" s="1"/>
  <c r="GL187"/>
  <c r="GM187" s="1"/>
  <c r="GL188"/>
  <c r="GM188" s="1"/>
  <c r="GL189"/>
  <c r="GM189" s="1"/>
  <c r="GL190"/>
  <c r="GM190" s="1"/>
  <c r="GL191"/>
  <c r="GM191" s="1"/>
  <c r="GL192"/>
  <c r="GM192" s="1"/>
  <c r="GL193"/>
  <c r="GM193" s="1"/>
  <c r="GL194"/>
  <c r="GM194" s="1"/>
  <c r="GL195"/>
  <c r="GM195" s="1"/>
  <c r="GL196"/>
  <c r="GM196" s="1"/>
  <c r="GL197"/>
  <c r="GM197" s="1"/>
  <c r="GL198"/>
  <c r="GM198" s="1"/>
  <c r="GL199"/>
  <c r="GM199" s="1"/>
  <c r="GL200"/>
  <c r="GM200" s="1"/>
  <c r="GL201"/>
  <c r="GM201" s="1"/>
  <c r="GL202"/>
  <c r="GM202" s="1"/>
  <c r="GL203"/>
  <c r="GM203" s="1"/>
  <c r="GL204"/>
  <c r="GM204" s="1"/>
  <c r="GL205"/>
  <c r="GM205" s="1"/>
  <c r="GL206"/>
  <c r="GM206" s="1"/>
  <c r="GL207"/>
  <c r="GM207" s="1"/>
  <c r="GL208"/>
  <c r="GM208" s="1"/>
  <c r="GL209"/>
  <c r="GM209" s="1"/>
  <c r="GL210"/>
  <c r="GM210" s="1"/>
  <c r="GL211"/>
  <c r="GM211" s="1"/>
  <c r="GL212"/>
  <c r="GM212" s="1"/>
  <c r="GL213"/>
  <c r="GM213" s="1"/>
  <c r="GL214"/>
  <c r="GM214" s="1"/>
  <c r="GL215"/>
  <c r="GM215" s="1"/>
  <c r="GL216"/>
  <c r="GM216" s="1"/>
  <c r="GL217"/>
  <c r="GM217" s="1"/>
  <c r="GL218"/>
  <c r="GM218" s="1"/>
  <c r="GL219"/>
  <c r="GM219" s="1"/>
  <c r="GL220"/>
  <c r="GM220" s="1"/>
  <c r="GL221"/>
  <c r="GM221" s="1"/>
  <c r="GL222"/>
  <c r="GM222" s="1"/>
  <c r="GL223"/>
  <c r="GM223" s="1"/>
  <c r="GL224"/>
  <c r="GM224" s="1"/>
  <c r="GL225"/>
  <c r="GM225" s="1"/>
  <c r="GL226"/>
  <c r="GM226" s="1"/>
  <c r="GL227"/>
  <c r="GM227" s="1"/>
  <c r="GL228"/>
  <c r="GM228" s="1"/>
  <c r="GL229"/>
  <c r="GM229" s="1"/>
  <c r="GL230"/>
  <c r="GM230" s="1"/>
  <c r="GL231"/>
  <c r="GL232"/>
  <c r="GM232" s="1"/>
  <c r="GL233"/>
  <c r="GM233" s="1"/>
  <c r="GL234"/>
  <c r="GM234" s="1"/>
  <c r="GL235"/>
  <c r="GM235" s="1"/>
  <c r="GL236"/>
  <c r="GM236" s="1"/>
  <c r="GL237"/>
  <c r="GM237" s="1"/>
  <c r="GL238"/>
  <c r="GM238" s="1"/>
  <c r="GL239"/>
  <c r="GM239" s="1"/>
  <c r="GL240"/>
  <c r="GM240" s="1"/>
  <c r="GL241"/>
  <c r="GM241" s="1"/>
  <c r="GL242"/>
  <c r="GM242" s="1"/>
  <c r="GL243"/>
  <c r="GM243" s="1"/>
  <c r="GL244"/>
  <c r="GM244" s="1"/>
  <c r="GL245"/>
  <c r="GM245" s="1"/>
  <c r="GL246"/>
  <c r="GM246" s="1"/>
  <c r="GL247"/>
  <c r="GM247" s="1"/>
  <c r="GL248"/>
  <c r="GM248" s="1"/>
  <c r="GL249"/>
  <c r="GM249" s="1"/>
  <c r="GL250"/>
  <c r="GM250" s="1"/>
  <c r="GL251"/>
  <c r="GM251" s="1"/>
  <c r="GL252"/>
  <c r="GM252" s="1"/>
  <c r="GL253"/>
  <c r="GM253" s="1"/>
  <c r="GL254"/>
  <c r="GM254" s="1"/>
  <c r="GL255"/>
  <c r="GM255" s="1"/>
  <c r="GL256"/>
  <c r="GM256" s="1"/>
  <c r="GL257"/>
  <c r="GM257" s="1"/>
  <c r="GL258"/>
  <c r="GM258" s="1"/>
  <c r="GL259"/>
  <c r="GM259" s="1"/>
  <c r="GL260"/>
  <c r="GM260" s="1"/>
  <c r="GL261"/>
  <c r="GM261" s="1"/>
  <c r="GL262"/>
  <c r="GM262" s="1"/>
  <c r="GL263"/>
  <c r="GM263" s="1"/>
  <c r="GL264"/>
  <c r="GM264" s="1"/>
  <c r="GL265"/>
  <c r="GM265" s="1"/>
  <c r="GL266"/>
  <c r="GM266" s="1"/>
  <c r="GL267"/>
  <c r="GM267" s="1"/>
  <c r="GL268"/>
  <c r="GM268" s="1"/>
  <c r="GL269"/>
  <c r="GM269" s="1"/>
  <c r="GL270"/>
  <c r="GM270" s="1"/>
  <c r="GL271"/>
  <c r="GM271" s="1"/>
  <c r="GL272"/>
  <c r="GM272" s="1"/>
  <c r="GL273"/>
  <c r="GM273" s="1"/>
  <c r="GL274"/>
  <c r="GM274" s="1"/>
  <c r="GL275"/>
  <c r="GM275" s="1"/>
  <c r="GL276"/>
  <c r="GM276" s="1"/>
  <c r="GL277"/>
  <c r="GM277" s="1"/>
  <c r="GL278"/>
  <c r="GM278" s="1"/>
  <c r="GL279"/>
  <c r="GM279" s="1"/>
  <c r="GJ2"/>
  <c r="GK2" s="1"/>
  <c r="GJ3"/>
  <c r="GK3" s="1"/>
  <c r="GJ4"/>
  <c r="GK4" s="1"/>
  <c r="GJ5"/>
  <c r="GJ6"/>
  <c r="GK6" s="1"/>
  <c r="GJ7"/>
  <c r="GK7" s="1"/>
  <c r="GJ8"/>
  <c r="GK8" s="1"/>
  <c r="GJ9"/>
  <c r="GK9" s="1"/>
  <c r="GJ10"/>
  <c r="GK10" s="1"/>
  <c r="GJ11"/>
  <c r="GK11" s="1"/>
  <c r="GJ12"/>
  <c r="GK12" s="1"/>
  <c r="GJ13"/>
  <c r="GK13" s="1"/>
  <c r="GJ14"/>
  <c r="GK14" s="1"/>
  <c r="GJ15"/>
  <c r="GK15" s="1"/>
  <c r="GJ16"/>
  <c r="GK16" s="1"/>
  <c r="GJ17"/>
  <c r="GK17" s="1"/>
  <c r="GJ18"/>
  <c r="GK18" s="1"/>
  <c r="GJ19"/>
  <c r="GK19" s="1"/>
  <c r="GJ20"/>
  <c r="GK20" s="1"/>
  <c r="GJ21"/>
  <c r="GK21" s="1"/>
  <c r="GJ22"/>
  <c r="GK22" s="1"/>
  <c r="GJ23"/>
  <c r="GK23" s="1"/>
  <c r="GJ24"/>
  <c r="GK24" s="1"/>
  <c r="GJ25"/>
  <c r="GK25" s="1"/>
  <c r="GJ26"/>
  <c r="GK26" s="1"/>
  <c r="GJ27"/>
  <c r="GK27" s="1"/>
  <c r="GJ28"/>
  <c r="GK28" s="1"/>
  <c r="GJ29"/>
  <c r="GK29" s="1"/>
  <c r="GJ30"/>
  <c r="GK30" s="1"/>
  <c r="GJ31"/>
  <c r="GK31" s="1"/>
  <c r="GJ32"/>
  <c r="GK32" s="1"/>
  <c r="GJ33"/>
  <c r="GK33" s="1"/>
  <c r="GJ34"/>
  <c r="GK34" s="1"/>
  <c r="GJ35"/>
  <c r="GJ36"/>
  <c r="GK36" s="1"/>
  <c r="GJ37"/>
  <c r="GK37" s="1"/>
  <c r="GJ38"/>
  <c r="GK38" s="1"/>
  <c r="GJ39"/>
  <c r="GK39" s="1"/>
  <c r="GJ40"/>
  <c r="GK40" s="1"/>
  <c r="GJ41"/>
  <c r="GK41" s="1"/>
  <c r="GJ42"/>
  <c r="GK42" s="1"/>
  <c r="GJ43"/>
  <c r="GK43" s="1"/>
  <c r="GJ44"/>
  <c r="GK44" s="1"/>
  <c r="GJ45"/>
  <c r="GK45" s="1"/>
  <c r="GJ46"/>
  <c r="GK46" s="1"/>
  <c r="GJ47"/>
  <c r="GK47" s="1"/>
  <c r="GJ48"/>
  <c r="GK48" s="1"/>
  <c r="GJ49"/>
  <c r="GK49" s="1"/>
  <c r="GJ50"/>
  <c r="GK50" s="1"/>
  <c r="GJ51"/>
  <c r="GK51" s="1"/>
  <c r="GJ52"/>
  <c r="GK52" s="1"/>
  <c r="GJ53"/>
  <c r="GK53" s="1"/>
  <c r="GJ54"/>
  <c r="GK54" s="1"/>
  <c r="GJ55"/>
  <c r="GK55" s="1"/>
  <c r="GJ56"/>
  <c r="GK56" s="1"/>
  <c r="GJ57"/>
  <c r="GK57" s="1"/>
  <c r="GJ58"/>
  <c r="GK58" s="1"/>
  <c r="GJ59"/>
  <c r="GK59" s="1"/>
  <c r="GJ60"/>
  <c r="GK60" s="1"/>
  <c r="GJ61"/>
  <c r="GK61" s="1"/>
  <c r="GJ62"/>
  <c r="GK62" s="1"/>
  <c r="GJ63"/>
  <c r="GK63" s="1"/>
  <c r="GJ64"/>
  <c r="GK64" s="1"/>
  <c r="GJ65"/>
  <c r="GK65" s="1"/>
  <c r="GJ66"/>
  <c r="GK66" s="1"/>
  <c r="GJ67"/>
  <c r="GK67" s="1"/>
  <c r="GJ68"/>
  <c r="GK68" s="1"/>
  <c r="GJ69"/>
  <c r="GK69" s="1"/>
  <c r="GJ70"/>
  <c r="GK70" s="1"/>
  <c r="GJ71"/>
  <c r="GK71" s="1"/>
  <c r="GJ72"/>
  <c r="GK72" s="1"/>
  <c r="GJ73"/>
  <c r="GK73" s="1"/>
  <c r="GJ74"/>
  <c r="GK74" s="1"/>
  <c r="GJ75"/>
  <c r="GK75" s="1"/>
  <c r="GJ76"/>
  <c r="GK76" s="1"/>
  <c r="GJ77"/>
  <c r="GK77" s="1"/>
  <c r="GJ78"/>
  <c r="GK78" s="1"/>
  <c r="GJ79"/>
  <c r="GK79" s="1"/>
  <c r="GJ80"/>
  <c r="GK80" s="1"/>
  <c r="GJ81"/>
  <c r="GK81" s="1"/>
  <c r="GJ82"/>
  <c r="GK82" s="1"/>
  <c r="GJ83"/>
  <c r="GK83" s="1"/>
  <c r="GJ84"/>
  <c r="GK84" s="1"/>
  <c r="GJ85"/>
  <c r="GK85" s="1"/>
  <c r="GJ86"/>
  <c r="GK86" s="1"/>
  <c r="GJ87"/>
  <c r="GK87" s="1"/>
  <c r="GJ88"/>
  <c r="GK88" s="1"/>
  <c r="GJ89"/>
  <c r="GK89" s="1"/>
  <c r="GJ90"/>
  <c r="GK90" s="1"/>
  <c r="GJ91"/>
  <c r="GK91" s="1"/>
  <c r="GJ92"/>
  <c r="GK92" s="1"/>
  <c r="GJ93"/>
  <c r="GK93" s="1"/>
  <c r="GJ94"/>
  <c r="GK94" s="1"/>
  <c r="GJ95"/>
  <c r="GK95" s="1"/>
  <c r="GJ96"/>
  <c r="GK96" s="1"/>
  <c r="GJ97"/>
  <c r="GK97" s="1"/>
  <c r="GJ98"/>
  <c r="GK98" s="1"/>
  <c r="GJ99"/>
  <c r="GK99" s="1"/>
  <c r="GJ100"/>
  <c r="GK100" s="1"/>
  <c r="GJ101"/>
  <c r="GK101" s="1"/>
  <c r="GJ102"/>
  <c r="GK102" s="1"/>
  <c r="GJ103"/>
  <c r="GK103" s="1"/>
  <c r="GJ104"/>
  <c r="GK104" s="1"/>
  <c r="GJ105"/>
  <c r="GK105" s="1"/>
  <c r="GJ106"/>
  <c r="GK106" s="1"/>
  <c r="GJ107"/>
  <c r="GK107" s="1"/>
  <c r="GJ108"/>
  <c r="GK108" s="1"/>
  <c r="GJ109"/>
  <c r="GK109" s="1"/>
  <c r="GJ110"/>
  <c r="GK110" s="1"/>
  <c r="GJ111"/>
  <c r="GK111" s="1"/>
  <c r="GJ112"/>
  <c r="GK112" s="1"/>
  <c r="GJ113"/>
  <c r="GK113" s="1"/>
  <c r="GJ114"/>
  <c r="GK114" s="1"/>
  <c r="GJ115"/>
  <c r="GK115" s="1"/>
  <c r="GJ116"/>
  <c r="GK116" s="1"/>
  <c r="GJ117"/>
  <c r="GK117" s="1"/>
  <c r="GJ118"/>
  <c r="GK118" s="1"/>
  <c r="GJ119"/>
  <c r="GK119" s="1"/>
  <c r="GJ120"/>
  <c r="GK120" s="1"/>
  <c r="GJ121"/>
  <c r="GK121" s="1"/>
  <c r="GJ122"/>
  <c r="GK122" s="1"/>
  <c r="GJ123"/>
  <c r="GK123" s="1"/>
  <c r="GJ124"/>
  <c r="GK124" s="1"/>
  <c r="GJ125"/>
  <c r="GK125" s="1"/>
  <c r="GJ126"/>
  <c r="GK126" s="1"/>
  <c r="GJ127"/>
  <c r="GK127" s="1"/>
  <c r="GJ128"/>
  <c r="GK128" s="1"/>
  <c r="GJ129"/>
  <c r="GK129" s="1"/>
  <c r="GJ130"/>
  <c r="GK130" s="1"/>
  <c r="GJ131"/>
  <c r="GK131" s="1"/>
  <c r="GJ132"/>
  <c r="GK132" s="1"/>
  <c r="GJ133"/>
  <c r="GK133" s="1"/>
  <c r="GJ134"/>
  <c r="GK134" s="1"/>
  <c r="GJ135"/>
  <c r="GK135" s="1"/>
  <c r="GJ136"/>
  <c r="GK136" s="1"/>
  <c r="GJ137"/>
  <c r="GK137" s="1"/>
  <c r="GJ138"/>
  <c r="GK138" s="1"/>
  <c r="GJ139"/>
  <c r="GK139" s="1"/>
  <c r="GJ140"/>
  <c r="GK140" s="1"/>
  <c r="GJ141"/>
  <c r="GK141" s="1"/>
  <c r="GJ142"/>
  <c r="GK142" s="1"/>
  <c r="GJ143"/>
  <c r="GK143" s="1"/>
  <c r="GJ144"/>
  <c r="GK144" s="1"/>
  <c r="GJ145"/>
  <c r="GK145" s="1"/>
  <c r="GJ146"/>
  <c r="GK146" s="1"/>
  <c r="GJ147"/>
  <c r="GK147" s="1"/>
  <c r="GJ148"/>
  <c r="GK148" s="1"/>
  <c r="GJ149"/>
  <c r="GK149" s="1"/>
  <c r="GJ150"/>
  <c r="GK150" s="1"/>
  <c r="GJ151"/>
  <c r="GK151" s="1"/>
  <c r="GJ152"/>
  <c r="GK152" s="1"/>
  <c r="GJ153"/>
  <c r="GK153" s="1"/>
  <c r="GJ154"/>
  <c r="GK154" s="1"/>
  <c r="GJ155"/>
  <c r="GK155" s="1"/>
  <c r="GJ156"/>
  <c r="GK156" s="1"/>
  <c r="GJ157"/>
  <c r="GK157" s="1"/>
  <c r="GJ158"/>
  <c r="GK158" s="1"/>
  <c r="GJ159"/>
  <c r="GK159" s="1"/>
  <c r="GJ160"/>
  <c r="GK160" s="1"/>
  <c r="GJ161"/>
  <c r="GK161" s="1"/>
  <c r="GJ162"/>
  <c r="GK162" s="1"/>
  <c r="GJ163"/>
  <c r="GK163" s="1"/>
  <c r="GJ164"/>
  <c r="GK164" s="1"/>
  <c r="GJ165"/>
  <c r="GK165" s="1"/>
  <c r="GJ166"/>
  <c r="GK166" s="1"/>
  <c r="GJ167"/>
  <c r="GK167" s="1"/>
  <c r="GJ168"/>
  <c r="GK168" s="1"/>
  <c r="GJ169"/>
  <c r="GK169" s="1"/>
  <c r="GJ170"/>
  <c r="GK170" s="1"/>
  <c r="GJ171"/>
  <c r="GK171" s="1"/>
  <c r="GJ172"/>
  <c r="GK172" s="1"/>
  <c r="GJ173"/>
  <c r="GK173" s="1"/>
  <c r="GJ174"/>
  <c r="GK174" s="1"/>
  <c r="GJ175"/>
  <c r="GK175" s="1"/>
  <c r="GJ176"/>
  <c r="GK176" s="1"/>
  <c r="GJ177"/>
  <c r="GK177" s="1"/>
  <c r="GJ178"/>
  <c r="GK178" s="1"/>
  <c r="GJ179"/>
  <c r="GK179" s="1"/>
  <c r="GJ180"/>
  <c r="GK180" s="1"/>
  <c r="GJ181"/>
  <c r="GK181" s="1"/>
  <c r="GJ182"/>
  <c r="GK182" s="1"/>
  <c r="GJ183"/>
  <c r="GK183" s="1"/>
  <c r="GJ184"/>
  <c r="GK184" s="1"/>
  <c r="GJ185"/>
  <c r="GK185" s="1"/>
  <c r="GJ186"/>
  <c r="GK186" s="1"/>
  <c r="GJ187"/>
  <c r="GK187" s="1"/>
  <c r="GJ188"/>
  <c r="GK188" s="1"/>
  <c r="GJ189"/>
  <c r="GK189" s="1"/>
  <c r="GJ190"/>
  <c r="GK190" s="1"/>
  <c r="GJ191"/>
  <c r="GK191" s="1"/>
  <c r="GJ192"/>
  <c r="GK192" s="1"/>
  <c r="GJ193"/>
  <c r="GK193" s="1"/>
  <c r="GJ194"/>
  <c r="GK194" s="1"/>
  <c r="GJ195"/>
  <c r="GK195" s="1"/>
  <c r="GJ196"/>
  <c r="GK196" s="1"/>
  <c r="GJ197"/>
  <c r="GK197" s="1"/>
  <c r="GJ198"/>
  <c r="GK198" s="1"/>
  <c r="GJ199"/>
  <c r="GK199" s="1"/>
  <c r="GJ200"/>
  <c r="GK200" s="1"/>
  <c r="GJ201"/>
  <c r="GK201" s="1"/>
  <c r="GJ202"/>
  <c r="GK202" s="1"/>
  <c r="GJ203"/>
  <c r="GK203" s="1"/>
  <c r="GJ204"/>
  <c r="GK204" s="1"/>
  <c r="GJ205"/>
  <c r="GK205" s="1"/>
  <c r="GJ206"/>
  <c r="GK206" s="1"/>
  <c r="GJ207"/>
  <c r="GK207" s="1"/>
  <c r="GJ208"/>
  <c r="GK208" s="1"/>
  <c r="GJ209"/>
  <c r="GK209" s="1"/>
  <c r="GJ210"/>
  <c r="GK210" s="1"/>
  <c r="GJ211"/>
  <c r="GK211" s="1"/>
  <c r="GJ212"/>
  <c r="GK212" s="1"/>
  <c r="GJ213"/>
  <c r="GK213" s="1"/>
  <c r="GJ214"/>
  <c r="GK214" s="1"/>
  <c r="GJ215"/>
  <c r="GK215" s="1"/>
  <c r="GJ216"/>
  <c r="GK216" s="1"/>
  <c r="GJ217"/>
  <c r="GK217" s="1"/>
  <c r="GJ218"/>
  <c r="GK218" s="1"/>
  <c r="GJ219"/>
  <c r="GK219" s="1"/>
  <c r="GJ220"/>
  <c r="GK220" s="1"/>
  <c r="GJ221"/>
  <c r="GK221" s="1"/>
  <c r="GJ222"/>
  <c r="GK222" s="1"/>
  <c r="GJ223"/>
  <c r="GK223" s="1"/>
  <c r="GJ224"/>
  <c r="GK224" s="1"/>
  <c r="GJ225"/>
  <c r="GK225" s="1"/>
  <c r="GJ226"/>
  <c r="GK226" s="1"/>
  <c r="GJ227"/>
  <c r="GK227" s="1"/>
  <c r="GJ228"/>
  <c r="GK228" s="1"/>
  <c r="GJ229"/>
  <c r="GK229" s="1"/>
  <c r="GJ230"/>
  <c r="GK230" s="1"/>
  <c r="GJ231"/>
  <c r="GK231" s="1"/>
  <c r="GJ232"/>
  <c r="GK232" s="1"/>
  <c r="GJ233"/>
  <c r="GK233" s="1"/>
  <c r="GJ234"/>
  <c r="GK234" s="1"/>
  <c r="GJ235"/>
  <c r="GK235" s="1"/>
  <c r="GJ236"/>
  <c r="GK236" s="1"/>
  <c r="GJ237"/>
  <c r="GK237" s="1"/>
  <c r="GJ238"/>
  <c r="GK238" s="1"/>
  <c r="GJ239"/>
  <c r="GK239" s="1"/>
  <c r="GJ240"/>
  <c r="GK240" s="1"/>
  <c r="GJ241"/>
  <c r="GK241" s="1"/>
  <c r="GJ242"/>
  <c r="GK242" s="1"/>
  <c r="GJ243"/>
  <c r="GK243" s="1"/>
  <c r="GJ244"/>
  <c r="GK244" s="1"/>
  <c r="GJ245"/>
  <c r="GK245" s="1"/>
  <c r="GJ246"/>
  <c r="GK246" s="1"/>
  <c r="GJ247"/>
  <c r="GK247" s="1"/>
  <c r="GJ248"/>
  <c r="GK248" s="1"/>
  <c r="GJ249"/>
  <c r="GK249" s="1"/>
  <c r="GJ250"/>
  <c r="GK250" s="1"/>
  <c r="GJ251"/>
  <c r="GK251" s="1"/>
  <c r="GJ252"/>
  <c r="GK252" s="1"/>
  <c r="GJ253"/>
  <c r="GK253" s="1"/>
  <c r="GJ254"/>
  <c r="GK254" s="1"/>
  <c r="GJ255"/>
  <c r="GK255" s="1"/>
  <c r="GJ256"/>
  <c r="GK256" s="1"/>
  <c r="GJ257"/>
  <c r="GK257" s="1"/>
  <c r="GJ258"/>
  <c r="GK258" s="1"/>
  <c r="GJ259"/>
  <c r="GK259" s="1"/>
  <c r="GJ260"/>
  <c r="GK260" s="1"/>
  <c r="GJ261"/>
  <c r="GK261" s="1"/>
  <c r="GJ262"/>
  <c r="GK262" s="1"/>
  <c r="GJ263"/>
  <c r="GK263" s="1"/>
  <c r="GJ264"/>
  <c r="GK264" s="1"/>
  <c r="GJ265"/>
  <c r="GK265" s="1"/>
  <c r="GJ266"/>
  <c r="GJ267"/>
  <c r="GK267" s="1"/>
  <c r="GJ268"/>
  <c r="GK268" s="1"/>
  <c r="GJ269"/>
  <c r="GK269" s="1"/>
  <c r="GJ270"/>
  <c r="GK270" s="1"/>
  <c r="GJ271"/>
  <c r="GK271" s="1"/>
  <c r="GJ272"/>
  <c r="GK272" s="1"/>
  <c r="GJ273"/>
  <c r="GK273" s="1"/>
  <c r="GJ274"/>
  <c r="GK274" s="1"/>
  <c r="GJ275"/>
  <c r="GK275" s="1"/>
  <c r="GJ276"/>
  <c r="GK276" s="1"/>
  <c r="GJ277"/>
  <c r="GK277" s="1"/>
  <c r="GJ278"/>
  <c r="GK278" s="1"/>
  <c r="GJ279"/>
  <c r="GK279" s="1"/>
  <c r="K33" i="5"/>
  <c r="K27"/>
  <c r="K21"/>
  <c r="GH3" i="10"/>
  <c r="GI3" s="1"/>
  <c r="GH4"/>
  <c r="GI4" s="1"/>
  <c r="GH5"/>
  <c r="GI5" s="1"/>
  <c r="GH6"/>
  <c r="GI6" s="1"/>
  <c r="GH7"/>
  <c r="GI7" s="1"/>
  <c r="GH8"/>
  <c r="GI8" s="1"/>
  <c r="GH9"/>
  <c r="GI9" s="1"/>
  <c r="GH10"/>
  <c r="GI10" s="1"/>
  <c r="GH11"/>
  <c r="GI11" s="1"/>
  <c r="GH12"/>
  <c r="GI12" s="1"/>
  <c r="GH13"/>
  <c r="GI13" s="1"/>
  <c r="GH14"/>
  <c r="GI14" s="1"/>
  <c r="GH15"/>
  <c r="GI15" s="1"/>
  <c r="GH16"/>
  <c r="GI16" s="1"/>
  <c r="GH17"/>
  <c r="GI17" s="1"/>
  <c r="GH18"/>
  <c r="GI18" s="1"/>
  <c r="GH19"/>
  <c r="GI19" s="1"/>
  <c r="GH20"/>
  <c r="GI20" s="1"/>
  <c r="GH21"/>
  <c r="GI21" s="1"/>
  <c r="GH22"/>
  <c r="GI22" s="1"/>
  <c r="GH23"/>
  <c r="GI23" s="1"/>
  <c r="GH24"/>
  <c r="GI24" s="1"/>
  <c r="GH25"/>
  <c r="GI25" s="1"/>
  <c r="GH26"/>
  <c r="GI26" s="1"/>
  <c r="GH27"/>
  <c r="GI27" s="1"/>
  <c r="GH28"/>
  <c r="GI28" s="1"/>
  <c r="GH29"/>
  <c r="GI29" s="1"/>
  <c r="GH30"/>
  <c r="GI30" s="1"/>
  <c r="GH31"/>
  <c r="GI31" s="1"/>
  <c r="GH32"/>
  <c r="GI32" s="1"/>
  <c r="GH33"/>
  <c r="GI33" s="1"/>
  <c r="GH34"/>
  <c r="GI34" s="1"/>
  <c r="GH35"/>
  <c r="GI35" s="1"/>
  <c r="GH36"/>
  <c r="GI36" s="1"/>
  <c r="GH37"/>
  <c r="GH38"/>
  <c r="GH39"/>
  <c r="GI39" s="1"/>
  <c r="GH40"/>
  <c r="GI40" s="1"/>
  <c r="GH41"/>
  <c r="GI41" s="1"/>
  <c r="GH42"/>
  <c r="GI42" s="1"/>
  <c r="GH43"/>
  <c r="GI43" s="1"/>
  <c r="GH44"/>
  <c r="GI44" s="1"/>
  <c r="GH45"/>
  <c r="GI45" s="1"/>
  <c r="GH46"/>
  <c r="GI46" s="1"/>
  <c r="GH47"/>
  <c r="GI47" s="1"/>
  <c r="GH48"/>
  <c r="GI48" s="1"/>
  <c r="GH49"/>
  <c r="GI49" s="1"/>
  <c r="GH50"/>
  <c r="GI50" s="1"/>
  <c r="GH51"/>
  <c r="GI51" s="1"/>
  <c r="GH52"/>
  <c r="GI52" s="1"/>
  <c r="GH53"/>
  <c r="GI53" s="1"/>
  <c r="GH54"/>
  <c r="GI54" s="1"/>
  <c r="GH55"/>
  <c r="GI55" s="1"/>
  <c r="GH56"/>
  <c r="GI56" s="1"/>
  <c r="GH57"/>
  <c r="GI57" s="1"/>
  <c r="GH58"/>
  <c r="GI58" s="1"/>
  <c r="GH59"/>
  <c r="GI59" s="1"/>
  <c r="GH60"/>
  <c r="GI60" s="1"/>
  <c r="GH61"/>
  <c r="GI61" s="1"/>
  <c r="GH62"/>
  <c r="GI62" s="1"/>
  <c r="GH63"/>
  <c r="GI63" s="1"/>
  <c r="GH64"/>
  <c r="GI64" s="1"/>
  <c r="GH65"/>
  <c r="GI65" s="1"/>
  <c r="GH66"/>
  <c r="GI66" s="1"/>
  <c r="GH67"/>
  <c r="GI67" s="1"/>
  <c r="GH68"/>
  <c r="GI68" s="1"/>
  <c r="GH69"/>
  <c r="GI69" s="1"/>
  <c r="GH70"/>
  <c r="GI70" s="1"/>
  <c r="GH71"/>
  <c r="GI71" s="1"/>
  <c r="GH72"/>
  <c r="GI72" s="1"/>
  <c r="GH73"/>
  <c r="GI73" s="1"/>
  <c r="GH74"/>
  <c r="GI74" s="1"/>
  <c r="GH75"/>
  <c r="GI75" s="1"/>
  <c r="GH76"/>
  <c r="GI76" s="1"/>
  <c r="GH77"/>
  <c r="GI77" s="1"/>
  <c r="GH78"/>
  <c r="GI78" s="1"/>
  <c r="GH79"/>
  <c r="GI79" s="1"/>
  <c r="GH80"/>
  <c r="GI80" s="1"/>
  <c r="GH81"/>
  <c r="GI81" s="1"/>
  <c r="GH82"/>
  <c r="GI82" s="1"/>
  <c r="GH83"/>
  <c r="GI83" s="1"/>
  <c r="GH84"/>
  <c r="GI84" s="1"/>
  <c r="GH85"/>
  <c r="GI85" s="1"/>
  <c r="GH86"/>
  <c r="GI86" s="1"/>
  <c r="GH87"/>
  <c r="GH88"/>
  <c r="GI88" s="1"/>
  <c r="GH89"/>
  <c r="GI89" s="1"/>
  <c r="GH90"/>
  <c r="GI90" s="1"/>
  <c r="GH91"/>
  <c r="GI91" s="1"/>
  <c r="GH92"/>
  <c r="GI92" s="1"/>
  <c r="GH93"/>
  <c r="GI93" s="1"/>
  <c r="GH94"/>
  <c r="GI94" s="1"/>
  <c r="GH95"/>
  <c r="GI95" s="1"/>
  <c r="GH96"/>
  <c r="GI96" s="1"/>
  <c r="GH97"/>
  <c r="GI97" s="1"/>
  <c r="GH98"/>
  <c r="GI98" s="1"/>
  <c r="GH99"/>
  <c r="GI99" s="1"/>
  <c r="GH100"/>
  <c r="GI100" s="1"/>
  <c r="GH101"/>
  <c r="GI101" s="1"/>
  <c r="GH102"/>
  <c r="GI102" s="1"/>
  <c r="GH103"/>
  <c r="GI103" s="1"/>
  <c r="GH104"/>
  <c r="GI104" s="1"/>
  <c r="GH105"/>
  <c r="GI105" s="1"/>
  <c r="GH106"/>
  <c r="GI106" s="1"/>
  <c r="GH107"/>
  <c r="GI107" s="1"/>
  <c r="GH108"/>
  <c r="GI108" s="1"/>
  <c r="GH109"/>
  <c r="GI109" s="1"/>
  <c r="GH110"/>
  <c r="GI110" s="1"/>
  <c r="GH111"/>
  <c r="GI111" s="1"/>
  <c r="GH112"/>
  <c r="GI112" s="1"/>
  <c r="GH113"/>
  <c r="GI113" s="1"/>
  <c r="GH114"/>
  <c r="GI114" s="1"/>
  <c r="GH115"/>
  <c r="GI115" s="1"/>
  <c r="GH116"/>
  <c r="GI116" s="1"/>
  <c r="GH117"/>
  <c r="GI117" s="1"/>
  <c r="GH118"/>
  <c r="GI118" s="1"/>
  <c r="GH119"/>
  <c r="GI119" s="1"/>
  <c r="GH120"/>
  <c r="GI120" s="1"/>
  <c r="GH121"/>
  <c r="GI121" s="1"/>
  <c r="GH122"/>
  <c r="GI122" s="1"/>
  <c r="GH123"/>
  <c r="GI123" s="1"/>
  <c r="GH124"/>
  <c r="GI124" s="1"/>
  <c r="GH125"/>
  <c r="GI125" s="1"/>
  <c r="GH126"/>
  <c r="GI126" s="1"/>
  <c r="GH127"/>
  <c r="GI127" s="1"/>
  <c r="GH128"/>
  <c r="GI128" s="1"/>
  <c r="GH129"/>
  <c r="GI129" s="1"/>
  <c r="GH130"/>
  <c r="GI130" s="1"/>
  <c r="GH131"/>
  <c r="GI131" s="1"/>
  <c r="GH132"/>
  <c r="GI132" s="1"/>
  <c r="GH133"/>
  <c r="GI133" s="1"/>
  <c r="GH134"/>
  <c r="GI134" s="1"/>
  <c r="GH135"/>
  <c r="GI135" s="1"/>
  <c r="GH136"/>
  <c r="GI136" s="1"/>
  <c r="GH137"/>
  <c r="GI137" s="1"/>
  <c r="GH138"/>
  <c r="GI138" s="1"/>
  <c r="GH139"/>
  <c r="GI139" s="1"/>
  <c r="GH140"/>
  <c r="GI140" s="1"/>
  <c r="GH141"/>
  <c r="GI141" s="1"/>
  <c r="GH142"/>
  <c r="GI142" s="1"/>
  <c r="GH143"/>
  <c r="GI143" s="1"/>
  <c r="GH144"/>
  <c r="GI144" s="1"/>
  <c r="GH145"/>
  <c r="GI145" s="1"/>
  <c r="GH146"/>
  <c r="GI146" s="1"/>
  <c r="GH147"/>
  <c r="GI147" s="1"/>
  <c r="GH148"/>
  <c r="GI148" s="1"/>
  <c r="GH149"/>
  <c r="GI149" s="1"/>
  <c r="GH150"/>
  <c r="GI150" s="1"/>
  <c r="GH151"/>
  <c r="GI151" s="1"/>
  <c r="GH152"/>
  <c r="GI152" s="1"/>
  <c r="GH153"/>
  <c r="GI153" s="1"/>
  <c r="GH154"/>
  <c r="GI154" s="1"/>
  <c r="GH155"/>
  <c r="GI155" s="1"/>
  <c r="GH156"/>
  <c r="GI156" s="1"/>
  <c r="GH157"/>
  <c r="GI157" s="1"/>
  <c r="GH158"/>
  <c r="GI158" s="1"/>
  <c r="GH159"/>
  <c r="GI159" s="1"/>
  <c r="GH160"/>
  <c r="GI160" s="1"/>
  <c r="GH161"/>
  <c r="GI161" s="1"/>
  <c r="GH162"/>
  <c r="GI162" s="1"/>
  <c r="GH163"/>
  <c r="GI163" s="1"/>
  <c r="GH164"/>
  <c r="GI164" s="1"/>
  <c r="GH165"/>
  <c r="GI165" s="1"/>
  <c r="GH166"/>
  <c r="GI166" s="1"/>
  <c r="GH167"/>
  <c r="GI167" s="1"/>
  <c r="GH168"/>
  <c r="GI168" s="1"/>
  <c r="GH169"/>
  <c r="GI169" s="1"/>
  <c r="GH170"/>
  <c r="GI170" s="1"/>
  <c r="GH171"/>
  <c r="GI171" s="1"/>
  <c r="GH172"/>
  <c r="GI172" s="1"/>
  <c r="GH173"/>
  <c r="GI173" s="1"/>
  <c r="GH174"/>
  <c r="GI174" s="1"/>
  <c r="GH175"/>
  <c r="GI175" s="1"/>
  <c r="GH176"/>
  <c r="GI176" s="1"/>
  <c r="GH177"/>
  <c r="GI177" s="1"/>
  <c r="GH178"/>
  <c r="GI178" s="1"/>
  <c r="GH179"/>
  <c r="GI179" s="1"/>
  <c r="GH180"/>
  <c r="GI180" s="1"/>
  <c r="GH181"/>
  <c r="GI181" s="1"/>
  <c r="GH182"/>
  <c r="GI182" s="1"/>
  <c r="GH183"/>
  <c r="GI183" s="1"/>
  <c r="GH184"/>
  <c r="GI184" s="1"/>
  <c r="GH185"/>
  <c r="GI185" s="1"/>
  <c r="GH186"/>
  <c r="GI186" s="1"/>
  <c r="GH187"/>
  <c r="GI187" s="1"/>
  <c r="GH188"/>
  <c r="GI188" s="1"/>
  <c r="GH189"/>
  <c r="GI189" s="1"/>
  <c r="GH190"/>
  <c r="GI190" s="1"/>
  <c r="GH191"/>
  <c r="GI191" s="1"/>
  <c r="GH192"/>
  <c r="GI192" s="1"/>
  <c r="GH193"/>
  <c r="GI193" s="1"/>
  <c r="GH194"/>
  <c r="GI194" s="1"/>
  <c r="GH195"/>
  <c r="GI195" s="1"/>
  <c r="GH196"/>
  <c r="GI196" s="1"/>
  <c r="GH197"/>
  <c r="GI197" s="1"/>
  <c r="GH198"/>
  <c r="GI198" s="1"/>
  <c r="GH199"/>
  <c r="GI199" s="1"/>
  <c r="GH200"/>
  <c r="GI200" s="1"/>
  <c r="GH201"/>
  <c r="GI201" s="1"/>
  <c r="GH202"/>
  <c r="GI202" s="1"/>
  <c r="GH203"/>
  <c r="GI203" s="1"/>
  <c r="GH204"/>
  <c r="GI204" s="1"/>
  <c r="GH205"/>
  <c r="GI205" s="1"/>
  <c r="GH206"/>
  <c r="GI206" s="1"/>
  <c r="GH207"/>
  <c r="GI207" s="1"/>
  <c r="GH208"/>
  <c r="GI208" s="1"/>
  <c r="GH209"/>
  <c r="GI209" s="1"/>
  <c r="GH210"/>
  <c r="GI210" s="1"/>
  <c r="GH211"/>
  <c r="GI211" s="1"/>
  <c r="GH212"/>
  <c r="GI212" s="1"/>
  <c r="GH213"/>
  <c r="GI213" s="1"/>
  <c r="GH214"/>
  <c r="GI214" s="1"/>
  <c r="GH215"/>
  <c r="GI215" s="1"/>
  <c r="GH216"/>
  <c r="GI216" s="1"/>
  <c r="GH217"/>
  <c r="GI217" s="1"/>
  <c r="GH218"/>
  <c r="GI218" s="1"/>
  <c r="GH219"/>
  <c r="GI219" s="1"/>
  <c r="GH220"/>
  <c r="GI220" s="1"/>
  <c r="GH221"/>
  <c r="GI221" s="1"/>
  <c r="GH222"/>
  <c r="GI222" s="1"/>
  <c r="GH223"/>
  <c r="GI223" s="1"/>
  <c r="GH224"/>
  <c r="GI224" s="1"/>
  <c r="GH225"/>
  <c r="GI225" s="1"/>
  <c r="GH226"/>
  <c r="GI226" s="1"/>
  <c r="GH227"/>
  <c r="GI227" s="1"/>
  <c r="GH228"/>
  <c r="GI228" s="1"/>
  <c r="GH229"/>
  <c r="GI229" s="1"/>
  <c r="GH230"/>
  <c r="GI230" s="1"/>
  <c r="GH231"/>
  <c r="GI231" s="1"/>
  <c r="GH232"/>
  <c r="GI232" s="1"/>
  <c r="GH233"/>
  <c r="GI233" s="1"/>
  <c r="GH234"/>
  <c r="GI234" s="1"/>
  <c r="GH235"/>
  <c r="GI235" s="1"/>
  <c r="GH236"/>
  <c r="GI236" s="1"/>
  <c r="GH237"/>
  <c r="GI237" s="1"/>
  <c r="GH238"/>
  <c r="GI238" s="1"/>
  <c r="GH239"/>
  <c r="GI239" s="1"/>
  <c r="GH240"/>
  <c r="GI240" s="1"/>
  <c r="GH241"/>
  <c r="GI241" s="1"/>
  <c r="GH242"/>
  <c r="GI242" s="1"/>
  <c r="GH243"/>
  <c r="GI243" s="1"/>
  <c r="GH244"/>
  <c r="GI244" s="1"/>
  <c r="GH245"/>
  <c r="GI245" s="1"/>
  <c r="GH246"/>
  <c r="GI246" s="1"/>
  <c r="GH247"/>
  <c r="GI247" s="1"/>
  <c r="GH248"/>
  <c r="GI248" s="1"/>
  <c r="GH249"/>
  <c r="GI249" s="1"/>
  <c r="GH250"/>
  <c r="GI250" s="1"/>
  <c r="GH251"/>
  <c r="GI251" s="1"/>
  <c r="GH252"/>
  <c r="GI252" s="1"/>
  <c r="GH253"/>
  <c r="GI253" s="1"/>
  <c r="GH254"/>
  <c r="GI254" s="1"/>
  <c r="GH255"/>
  <c r="GI255" s="1"/>
  <c r="GH256"/>
  <c r="GI256" s="1"/>
  <c r="GH257"/>
  <c r="GI257" s="1"/>
  <c r="GH258"/>
  <c r="GI258" s="1"/>
  <c r="GH259"/>
  <c r="GI259" s="1"/>
  <c r="GH260"/>
  <c r="GI260" s="1"/>
  <c r="GH261"/>
  <c r="GI261" s="1"/>
  <c r="GH262"/>
  <c r="GI262" s="1"/>
  <c r="GH263"/>
  <c r="GI263" s="1"/>
  <c r="GH264"/>
  <c r="GI264" s="1"/>
  <c r="GH265"/>
  <c r="GI265" s="1"/>
  <c r="GH266"/>
  <c r="GI266" s="1"/>
  <c r="GH267"/>
  <c r="GI267" s="1"/>
  <c r="GH268"/>
  <c r="GI268" s="1"/>
  <c r="GH269"/>
  <c r="GI269" s="1"/>
  <c r="GH270"/>
  <c r="GI270" s="1"/>
  <c r="GH271"/>
  <c r="GI271" s="1"/>
  <c r="GH272"/>
  <c r="GI272" s="1"/>
  <c r="GH273"/>
  <c r="GI273" s="1"/>
  <c r="GH274"/>
  <c r="GI274" s="1"/>
  <c r="GH275"/>
  <c r="GI275" s="1"/>
  <c r="GH276"/>
  <c r="GI276" s="1"/>
  <c r="GH277"/>
  <c r="GI277" s="1"/>
  <c r="GH278"/>
  <c r="GI278" s="1"/>
  <c r="GH279"/>
  <c r="GI279" s="1"/>
  <c r="GH2"/>
  <c r="GF278"/>
  <c r="GG278" s="1"/>
  <c r="GF277"/>
  <c r="GG277" s="1"/>
  <c r="GF276"/>
  <c r="GG276" s="1"/>
  <c r="GF275"/>
  <c r="GG275" s="1"/>
  <c r="GF273"/>
  <c r="GG273" s="1"/>
  <c r="GF272"/>
  <c r="GG272" s="1"/>
  <c r="GF269"/>
  <c r="GG269" s="1"/>
  <c r="GF268"/>
  <c r="GG268" s="1"/>
  <c r="GF267"/>
  <c r="GG267" s="1"/>
  <c r="GF266"/>
  <c r="GG266" s="1"/>
  <c r="GF264"/>
  <c r="GG264" s="1"/>
  <c r="GF263"/>
  <c r="GG263" s="1"/>
  <c r="GF262"/>
  <c r="GG262" s="1"/>
  <c r="GF258"/>
  <c r="GG258" s="1"/>
  <c r="GF257"/>
  <c r="GG257" s="1"/>
  <c r="GF256"/>
  <c r="GG256" s="1"/>
  <c r="GF255"/>
  <c r="GG255" s="1"/>
  <c r="GF254"/>
  <c r="GG254" s="1"/>
  <c r="GF252"/>
  <c r="GG252" s="1"/>
  <c r="GF251"/>
  <c r="GG251" s="1"/>
  <c r="GF249"/>
  <c r="GG249" s="1"/>
  <c r="GF244"/>
  <c r="GG244" s="1"/>
  <c r="GF243"/>
  <c r="GG243" s="1"/>
  <c r="GF242"/>
  <c r="GG242" s="1"/>
  <c r="GF241"/>
  <c r="GF240"/>
  <c r="GG240" s="1"/>
  <c r="GF239"/>
  <c r="GG239" s="1"/>
  <c r="GF238"/>
  <c r="GG238" s="1"/>
  <c r="GF237"/>
  <c r="GF236"/>
  <c r="GG236" s="1"/>
  <c r="GF235"/>
  <c r="GG235" s="1"/>
  <c r="GF234"/>
  <c r="GG234" s="1"/>
  <c r="GF233"/>
  <c r="GG233" s="1"/>
  <c r="GF231"/>
  <c r="GG231" s="1"/>
  <c r="GF228"/>
  <c r="GG228" s="1"/>
  <c r="GF227"/>
  <c r="GG227" s="1"/>
  <c r="GF226"/>
  <c r="GG226" s="1"/>
  <c r="GF225"/>
  <c r="GG225" s="1"/>
  <c r="GF220"/>
  <c r="GG220" s="1"/>
  <c r="GF217"/>
  <c r="GG217" s="1"/>
  <c r="GF216"/>
  <c r="GG216" s="1"/>
  <c r="GF215"/>
  <c r="GG215" s="1"/>
  <c r="GF213"/>
  <c r="GG213" s="1"/>
  <c r="GF212"/>
  <c r="GG212" s="1"/>
  <c r="GF211"/>
  <c r="GG211" s="1"/>
  <c r="GF208"/>
  <c r="GG208" s="1"/>
  <c r="GF207"/>
  <c r="GG207" s="1"/>
  <c r="GF206"/>
  <c r="GG206" s="1"/>
  <c r="GF205"/>
  <c r="GG205" s="1"/>
  <c r="GF204"/>
  <c r="GG204" s="1"/>
  <c r="GF203"/>
  <c r="GG203" s="1"/>
  <c r="GF200"/>
  <c r="GG200" s="1"/>
  <c r="GF198"/>
  <c r="GG198" s="1"/>
  <c r="GF197"/>
  <c r="GG197" s="1"/>
  <c r="GF196"/>
  <c r="GG196" s="1"/>
  <c r="GF195"/>
  <c r="GG195" s="1"/>
  <c r="GF194"/>
  <c r="GG194" s="1"/>
  <c r="GF193"/>
  <c r="GF192"/>
  <c r="GG192" s="1"/>
  <c r="GF191"/>
  <c r="GG191" s="1"/>
  <c r="GF188"/>
  <c r="GG188" s="1"/>
  <c r="GF186"/>
  <c r="GG186" s="1"/>
  <c r="GF185"/>
  <c r="GG185" s="1"/>
  <c r="GF182"/>
  <c r="GG182" s="1"/>
  <c r="GF181"/>
  <c r="GG181" s="1"/>
  <c r="GF180"/>
  <c r="GG180" s="1"/>
  <c r="GF179"/>
  <c r="GG179" s="1"/>
  <c r="GF176"/>
  <c r="GG176" s="1"/>
  <c r="GF175"/>
  <c r="GG175" s="1"/>
  <c r="GF174"/>
  <c r="GG174" s="1"/>
  <c r="GF173"/>
  <c r="GG173" s="1"/>
  <c r="GF172"/>
  <c r="GG172" s="1"/>
  <c r="GF171"/>
  <c r="GG171" s="1"/>
  <c r="GF168"/>
  <c r="GG168" s="1"/>
  <c r="GF165"/>
  <c r="GG165" s="1"/>
  <c r="GF164"/>
  <c r="GG164" s="1"/>
  <c r="GF162"/>
  <c r="GG162" s="1"/>
  <c r="GF160"/>
  <c r="GG160" s="1"/>
  <c r="GF157"/>
  <c r="GG157" s="1"/>
  <c r="GF155"/>
  <c r="GG155" s="1"/>
  <c r="GF154"/>
  <c r="GG154" s="1"/>
  <c r="GF153"/>
  <c r="GG153" s="1"/>
  <c r="GF152"/>
  <c r="GG152" s="1"/>
  <c r="GF151"/>
  <c r="GG151" s="1"/>
  <c r="GF150"/>
  <c r="GG150" s="1"/>
  <c r="GF149"/>
  <c r="GG149" s="1"/>
  <c r="GF148"/>
  <c r="GG148" s="1"/>
  <c r="GF144"/>
  <c r="GG144" s="1"/>
  <c r="GF143"/>
  <c r="GG143" s="1"/>
  <c r="GF142"/>
  <c r="GG142" s="1"/>
  <c r="GF140"/>
  <c r="GG140" s="1"/>
  <c r="GF139"/>
  <c r="GG139" s="1"/>
  <c r="GF136"/>
  <c r="GG136" s="1"/>
  <c r="GF135"/>
  <c r="GG135" s="1"/>
  <c r="GF133"/>
  <c r="GG133" s="1"/>
  <c r="GF132"/>
  <c r="GG132" s="1"/>
  <c r="GF131"/>
  <c r="GG131" s="1"/>
  <c r="GF129"/>
  <c r="GG129" s="1"/>
  <c r="GF127"/>
  <c r="GG127" s="1"/>
  <c r="GF126"/>
  <c r="GG126" s="1"/>
  <c r="GF125"/>
  <c r="GG125" s="1"/>
  <c r="GF124"/>
  <c r="GG124" s="1"/>
  <c r="GF123"/>
  <c r="GG123" s="1"/>
  <c r="GF121"/>
  <c r="GG121" s="1"/>
  <c r="GF120"/>
  <c r="GG120" s="1"/>
  <c r="GF116"/>
  <c r="GG116" s="1"/>
  <c r="GF115"/>
  <c r="GG115" s="1"/>
  <c r="GF114"/>
  <c r="GG114" s="1"/>
  <c r="GF111"/>
  <c r="GG111" s="1"/>
  <c r="GF110"/>
  <c r="GG110" s="1"/>
  <c r="GF109"/>
  <c r="GG109" s="1"/>
  <c r="GF107"/>
  <c r="GG107" s="1"/>
  <c r="GF105"/>
  <c r="GG105" s="1"/>
  <c r="GF104"/>
  <c r="GG104" s="1"/>
  <c r="GF103"/>
  <c r="GF100"/>
  <c r="GG100" s="1"/>
  <c r="GF99"/>
  <c r="GG99" s="1"/>
  <c r="GF98"/>
  <c r="GG98" s="1"/>
  <c r="GF97"/>
  <c r="GG97" s="1"/>
  <c r="GF95"/>
  <c r="GG95" s="1"/>
  <c r="GF94"/>
  <c r="GG94" s="1"/>
  <c r="GF93"/>
  <c r="GG93" s="1"/>
  <c r="GF91"/>
  <c r="GG91" s="1"/>
  <c r="GF90"/>
  <c r="GG90" s="1"/>
  <c r="GF89"/>
  <c r="GG89" s="1"/>
  <c r="GF88"/>
  <c r="GG88" s="1"/>
  <c r="GF87"/>
  <c r="GG87" s="1"/>
  <c r="GF86"/>
  <c r="GG86" s="1"/>
  <c r="GF85"/>
  <c r="GG85" s="1"/>
  <c r="GF84"/>
  <c r="GG84" s="1"/>
  <c r="GF83"/>
  <c r="GG83" s="1"/>
  <c r="GF81"/>
  <c r="GG81" s="1"/>
  <c r="GF80"/>
  <c r="GG80" s="1"/>
  <c r="GF79"/>
  <c r="GG79" s="1"/>
  <c r="GF77"/>
  <c r="GG77" s="1"/>
  <c r="GF76"/>
  <c r="GG76" s="1"/>
  <c r="GF75"/>
  <c r="GG75" s="1"/>
  <c r="GF74"/>
  <c r="GG74" s="1"/>
  <c r="GF71"/>
  <c r="GG71" s="1"/>
  <c r="GF69"/>
  <c r="GG69" s="1"/>
  <c r="GF67"/>
  <c r="GG67" s="1"/>
  <c r="GF65"/>
  <c r="GG65" s="1"/>
  <c r="GF59"/>
  <c r="GG59" s="1"/>
  <c r="GF57"/>
  <c r="GG57" s="1"/>
  <c r="GF56"/>
  <c r="GG56" s="1"/>
  <c r="GF54"/>
  <c r="GG54" s="1"/>
  <c r="GF53"/>
  <c r="GG53" s="1"/>
  <c r="GF51"/>
  <c r="GG51" s="1"/>
  <c r="GF50"/>
  <c r="GG50" s="1"/>
  <c r="GF49"/>
  <c r="GG49" s="1"/>
  <c r="GF48"/>
  <c r="GG48" s="1"/>
  <c r="GF46"/>
  <c r="GG46" s="1"/>
  <c r="GF45"/>
  <c r="GG45" s="1"/>
  <c r="GF43"/>
  <c r="GG43" s="1"/>
  <c r="GF41"/>
  <c r="GG41" s="1"/>
  <c r="GF39"/>
  <c r="GG39" s="1"/>
  <c r="GF38"/>
  <c r="GG38" s="1"/>
  <c r="GF37"/>
  <c r="GG37" s="1"/>
  <c r="GF36"/>
  <c r="GG36" s="1"/>
  <c r="GF35"/>
  <c r="GG35" s="1"/>
  <c r="GF34"/>
  <c r="GG34" s="1"/>
  <c r="GF33"/>
  <c r="GG33" s="1"/>
  <c r="GF31"/>
  <c r="GG31" s="1"/>
  <c r="GF30"/>
  <c r="GG30" s="1"/>
  <c r="GF29"/>
  <c r="GG29" s="1"/>
  <c r="GF28"/>
  <c r="GG28" s="1"/>
  <c r="GF26"/>
  <c r="GG26" s="1"/>
  <c r="GF24"/>
  <c r="GG24" s="1"/>
  <c r="GF22"/>
  <c r="GG22" s="1"/>
  <c r="GF21"/>
  <c r="GG21" s="1"/>
  <c r="GF20"/>
  <c r="GG20" s="1"/>
  <c r="GF19"/>
  <c r="GG19" s="1"/>
  <c r="GF18"/>
  <c r="GG18" s="1"/>
  <c r="GF17"/>
  <c r="GG17" s="1"/>
  <c r="GF16"/>
  <c r="GG16" s="1"/>
  <c r="GF13"/>
  <c r="GG13" s="1"/>
  <c r="GF11"/>
  <c r="GG11" s="1"/>
  <c r="GF10"/>
  <c r="GG10" s="1"/>
  <c r="GF9"/>
  <c r="GG9" s="1"/>
  <c r="GF8"/>
  <c r="GG8" s="1"/>
  <c r="GF5"/>
  <c r="GG5" s="1"/>
  <c r="GF4"/>
  <c r="GG4" s="1"/>
  <c r="GF2"/>
  <c r="GF3"/>
  <c r="GG3" s="1"/>
  <c r="GF6"/>
  <c r="GG6" s="1"/>
  <c r="GF7"/>
  <c r="GG7" s="1"/>
  <c r="GF12"/>
  <c r="GG12" s="1"/>
  <c r="GF14"/>
  <c r="GG14" s="1"/>
  <c r="GF15"/>
  <c r="GG15" s="1"/>
  <c r="GF23"/>
  <c r="GG23" s="1"/>
  <c r="GF25"/>
  <c r="GG25" s="1"/>
  <c r="GF27"/>
  <c r="GG27" s="1"/>
  <c r="GF32"/>
  <c r="GG32" s="1"/>
  <c r="GF40"/>
  <c r="GG40" s="1"/>
  <c r="GF42"/>
  <c r="GG42" s="1"/>
  <c r="GF44"/>
  <c r="GG44" s="1"/>
  <c r="GF47"/>
  <c r="GG47" s="1"/>
  <c r="GF52"/>
  <c r="GG52" s="1"/>
  <c r="GF55"/>
  <c r="GG55" s="1"/>
  <c r="GF58"/>
  <c r="GG58" s="1"/>
  <c r="GF60"/>
  <c r="GG60" s="1"/>
  <c r="GF61"/>
  <c r="GG61" s="1"/>
  <c r="GF62"/>
  <c r="GG62" s="1"/>
  <c r="GF63"/>
  <c r="GG63" s="1"/>
  <c r="GF64"/>
  <c r="GG64" s="1"/>
  <c r="GF66"/>
  <c r="GG66" s="1"/>
  <c r="GF68"/>
  <c r="GG68" s="1"/>
  <c r="GF70"/>
  <c r="GG70" s="1"/>
  <c r="GF72"/>
  <c r="GG72" s="1"/>
  <c r="GF73"/>
  <c r="GG73" s="1"/>
  <c r="GF78"/>
  <c r="GG78" s="1"/>
  <c r="GF82"/>
  <c r="GG82" s="1"/>
  <c r="GF92"/>
  <c r="GG92" s="1"/>
  <c r="GF96"/>
  <c r="GG96" s="1"/>
  <c r="GF101"/>
  <c r="GG101" s="1"/>
  <c r="GF102"/>
  <c r="GG102" s="1"/>
  <c r="GF106"/>
  <c r="GG106" s="1"/>
  <c r="GF108"/>
  <c r="GG108" s="1"/>
  <c r="GF112"/>
  <c r="GG112" s="1"/>
  <c r="GF113"/>
  <c r="GG113" s="1"/>
  <c r="GF117"/>
  <c r="GG117" s="1"/>
  <c r="GF118"/>
  <c r="GG118" s="1"/>
  <c r="GF119"/>
  <c r="GG119" s="1"/>
  <c r="GF122"/>
  <c r="GG122" s="1"/>
  <c r="GF128"/>
  <c r="GG128" s="1"/>
  <c r="GF130"/>
  <c r="GG130" s="1"/>
  <c r="GF134"/>
  <c r="GG134" s="1"/>
  <c r="GF137"/>
  <c r="GG137" s="1"/>
  <c r="GF138"/>
  <c r="GG138" s="1"/>
  <c r="GF141"/>
  <c r="GG141" s="1"/>
  <c r="GF145"/>
  <c r="GG145" s="1"/>
  <c r="GF146"/>
  <c r="GG146" s="1"/>
  <c r="GF147"/>
  <c r="GG147" s="1"/>
  <c r="GF156"/>
  <c r="GG156" s="1"/>
  <c r="GF158"/>
  <c r="GG158" s="1"/>
  <c r="GF159"/>
  <c r="GG159" s="1"/>
  <c r="GF161"/>
  <c r="GG161" s="1"/>
  <c r="GF163"/>
  <c r="GG163" s="1"/>
  <c r="GF166"/>
  <c r="GG166" s="1"/>
  <c r="GF167"/>
  <c r="GG167" s="1"/>
  <c r="GF169"/>
  <c r="GG169" s="1"/>
  <c r="GF170"/>
  <c r="GG170" s="1"/>
  <c r="GF177"/>
  <c r="GG177" s="1"/>
  <c r="GF178"/>
  <c r="GG178" s="1"/>
  <c r="GF183"/>
  <c r="GG183" s="1"/>
  <c r="GF184"/>
  <c r="GG184" s="1"/>
  <c r="GF187"/>
  <c r="GG187" s="1"/>
  <c r="GF189"/>
  <c r="GG189" s="1"/>
  <c r="GF190"/>
  <c r="GG190" s="1"/>
  <c r="GF199"/>
  <c r="GG199" s="1"/>
  <c r="GF201"/>
  <c r="GG201" s="1"/>
  <c r="GF202"/>
  <c r="GG202" s="1"/>
  <c r="GF209"/>
  <c r="GG209" s="1"/>
  <c r="GF210"/>
  <c r="GG210" s="1"/>
  <c r="GF214"/>
  <c r="GG214" s="1"/>
  <c r="GF218"/>
  <c r="GG218" s="1"/>
  <c r="GF219"/>
  <c r="GG219" s="1"/>
  <c r="GF221"/>
  <c r="GG221" s="1"/>
  <c r="GF222"/>
  <c r="GG222" s="1"/>
  <c r="GF223"/>
  <c r="GG223" s="1"/>
  <c r="GF224"/>
  <c r="GG224" s="1"/>
  <c r="GF229"/>
  <c r="GG229" s="1"/>
  <c r="GF230"/>
  <c r="GG230" s="1"/>
  <c r="GF232"/>
  <c r="GG232" s="1"/>
  <c r="GF245"/>
  <c r="GG245" s="1"/>
  <c r="GF246"/>
  <c r="GG246" s="1"/>
  <c r="GF247"/>
  <c r="GG247" s="1"/>
  <c r="GF248"/>
  <c r="GG248" s="1"/>
  <c r="GF250"/>
  <c r="GG250" s="1"/>
  <c r="GF253"/>
  <c r="GG253" s="1"/>
  <c r="GF259"/>
  <c r="GG259" s="1"/>
  <c r="GF260"/>
  <c r="GG260" s="1"/>
  <c r="GF261"/>
  <c r="GG261" s="1"/>
  <c r="GF265"/>
  <c r="GG265" s="1"/>
  <c r="GF270"/>
  <c r="GG270" s="1"/>
  <c r="GF271"/>
  <c r="GG271" s="1"/>
  <c r="GF274"/>
  <c r="GG274" s="1"/>
  <c r="GF279"/>
  <c r="GG279" s="1"/>
  <c r="HZ2"/>
  <c r="HZ3"/>
  <c r="HZ4"/>
  <c r="HZ5"/>
  <c r="HZ6"/>
  <c r="HZ7"/>
  <c r="HZ8"/>
  <c r="HZ9"/>
  <c r="HZ10"/>
  <c r="HZ11"/>
  <c r="HZ12"/>
  <c r="HZ13"/>
  <c r="HZ14"/>
  <c r="HZ15"/>
  <c r="HZ16"/>
  <c r="HZ17"/>
  <c r="HZ18"/>
  <c r="HZ19"/>
  <c r="HZ20"/>
  <c r="HZ21"/>
  <c r="HZ22"/>
  <c r="HZ23"/>
  <c r="HZ24"/>
  <c r="HZ25"/>
  <c r="HZ26"/>
  <c r="HZ27"/>
  <c r="HZ28"/>
  <c r="HZ29"/>
  <c r="HZ30"/>
  <c r="HZ31"/>
  <c r="HZ32"/>
  <c r="HZ33"/>
  <c r="HZ34"/>
  <c r="HZ35"/>
  <c r="HZ36"/>
  <c r="HZ37"/>
  <c r="HZ38"/>
  <c r="HZ39"/>
  <c r="HZ40"/>
  <c r="HZ41"/>
  <c r="HZ42"/>
  <c r="HZ43"/>
  <c r="HZ44"/>
  <c r="HZ45"/>
  <c r="HZ46"/>
  <c r="HZ47"/>
  <c r="HZ48"/>
  <c r="HZ49"/>
  <c r="HZ50"/>
  <c r="HZ51"/>
  <c r="HZ52"/>
  <c r="HZ53"/>
  <c r="HZ54"/>
  <c r="HZ55"/>
  <c r="HZ56"/>
  <c r="HZ57"/>
  <c r="HZ58"/>
  <c r="HZ59"/>
  <c r="HZ60"/>
  <c r="HZ61"/>
  <c r="HZ62"/>
  <c r="HZ63"/>
  <c r="HZ64"/>
  <c r="HZ65"/>
  <c r="HZ66"/>
  <c r="HZ67"/>
  <c r="HZ68"/>
  <c r="HZ69"/>
  <c r="HZ70"/>
  <c r="HZ71"/>
  <c r="HZ72"/>
  <c r="HZ73"/>
  <c r="HZ74"/>
  <c r="HZ75"/>
  <c r="HZ76"/>
  <c r="HZ77"/>
  <c r="HZ78"/>
  <c r="HZ79"/>
  <c r="HZ80"/>
  <c r="HZ81"/>
  <c r="HZ82"/>
  <c r="HZ83"/>
  <c r="HZ84"/>
  <c r="HZ85"/>
  <c r="HZ86"/>
  <c r="HZ87"/>
  <c r="HZ88"/>
  <c r="HZ89"/>
  <c r="HZ90"/>
  <c r="HZ91"/>
  <c r="HZ92"/>
  <c r="HZ93"/>
  <c r="HZ94"/>
  <c r="HZ95"/>
  <c r="HZ96"/>
  <c r="HZ97"/>
  <c r="HZ98"/>
  <c r="HZ99"/>
  <c r="HZ100"/>
  <c r="HZ101"/>
  <c r="HZ102"/>
  <c r="HZ103"/>
  <c r="HZ104"/>
  <c r="HZ105"/>
  <c r="HZ106"/>
  <c r="HZ107"/>
  <c r="HZ108"/>
  <c r="HZ109"/>
  <c r="HZ110"/>
  <c r="HZ111"/>
  <c r="HZ112"/>
  <c r="HZ113"/>
  <c r="HZ114"/>
  <c r="HZ115"/>
  <c r="HZ116"/>
  <c r="HZ117"/>
  <c r="HZ118"/>
  <c r="HZ119"/>
  <c r="HZ120"/>
  <c r="HZ121"/>
  <c r="HZ122"/>
  <c r="HZ123"/>
  <c r="HZ124"/>
  <c r="HZ125"/>
  <c r="HZ126"/>
  <c r="HZ127"/>
  <c r="HZ128"/>
  <c r="HZ129"/>
  <c r="HZ130"/>
  <c r="HZ131"/>
  <c r="HZ132"/>
  <c r="HZ133"/>
  <c r="HZ134"/>
  <c r="HZ135"/>
  <c r="HZ136"/>
  <c r="HZ137"/>
  <c r="HZ138"/>
  <c r="HZ139"/>
  <c r="HZ140"/>
  <c r="HZ141"/>
  <c r="HZ142"/>
  <c r="HZ143"/>
  <c r="HZ144"/>
  <c r="HZ145"/>
  <c r="HZ146"/>
  <c r="HZ147"/>
  <c r="HZ148"/>
  <c r="HZ149"/>
  <c r="HZ150"/>
  <c r="HZ151"/>
  <c r="HZ152"/>
  <c r="HZ153"/>
  <c r="HZ154"/>
  <c r="HZ155"/>
  <c r="HZ156"/>
  <c r="HZ157"/>
  <c r="HZ158"/>
  <c r="HZ159"/>
  <c r="HZ160"/>
  <c r="HZ161"/>
  <c r="HZ162"/>
  <c r="HZ163"/>
  <c r="HZ164"/>
  <c r="HZ165"/>
  <c r="HZ166"/>
  <c r="HZ167"/>
  <c r="HZ168"/>
  <c r="HZ169"/>
  <c r="HZ170"/>
  <c r="HZ171"/>
  <c r="HZ172"/>
  <c r="HZ173"/>
  <c r="HZ174"/>
  <c r="HZ175"/>
  <c r="HZ176"/>
  <c r="HZ177"/>
  <c r="HZ178"/>
  <c r="HZ179"/>
  <c r="HZ180"/>
  <c r="HZ181"/>
  <c r="HZ182"/>
  <c r="HZ183"/>
  <c r="HZ184"/>
  <c r="HZ185"/>
  <c r="HZ186"/>
  <c r="HZ187"/>
  <c r="HZ188"/>
  <c r="HZ189"/>
  <c r="HZ190"/>
  <c r="HZ191"/>
  <c r="HZ192"/>
  <c r="HZ193"/>
  <c r="HZ194"/>
  <c r="HZ195"/>
  <c r="HZ196"/>
  <c r="HZ197"/>
  <c r="HZ198"/>
  <c r="HZ199"/>
  <c r="HZ200"/>
  <c r="HZ201"/>
  <c r="HZ202"/>
  <c r="HZ203"/>
  <c r="HZ204"/>
  <c r="HZ205"/>
  <c r="HZ206"/>
  <c r="HZ207"/>
  <c r="HZ208"/>
  <c r="HZ209"/>
  <c r="HZ210"/>
  <c r="HZ211"/>
  <c r="HZ212"/>
  <c r="HZ213"/>
  <c r="HZ214"/>
  <c r="HZ215"/>
  <c r="HZ216"/>
  <c r="HZ217"/>
  <c r="HZ218"/>
  <c r="HZ219"/>
  <c r="HZ220"/>
  <c r="HZ221"/>
  <c r="HZ222"/>
  <c r="HZ223"/>
  <c r="HZ224"/>
  <c r="HZ225"/>
  <c r="HZ226"/>
  <c r="HZ227"/>
  <c r="HZ228"/>
  <c r="HZ229"/>
  <c r="HZ230"/>
  <c r="HZ231"/>
  <c r="HZ232"/>
  <c r="HZ233"/>
  <c r="HZ234"/>
  <c r="HZ235"/>
  <c r="HZ236"/>
  <c r="HZ237"/>
  <c r="HZ238"/>
  <c r="HZ239"/>
  <c r="HZ240"/>
  <c r="HZ241"/>
  <c r="HZ242"/>
  <c r="HZ243"/>
  <c r="HZ244"/>
  <c r="HZ245"/>
  <c r="HZ246"/>
  <c r="HZ247"/>
  <c r="HZ248"/>
  <c r="HZ249"/>
  <c r="HZ250"/>
  <c r="HZ251"/>
  <c r="HZ252"/>
  <c r="HZ253"/>
  <c r="HZ254"/>
  <c r="HZ255"/>
  <c r="HZ256"/>
  <c r="HZ257"/>
  <c r="HZ258"/>
  <c r="HZ259"/>
  <c r="HZ260"/>
  <c r="HZ261"/>
  <c r="HZ262"/>
  <c r="HZ263"/>
  <c r="HZ264"/>
  <c r="HZ265"/>
  <c r="HZ266"/>
  <c r="HZ267"/>
  <c r="HZ268"/>
  <c r="HZ269"/>
  <c r="HZ270"/>
  <c r="HZ271"/>
  <c r="HZ272"/>
  <c r="HZ273"/>
  <c r="HZ274"/>
  <c r="HZ275"/>
  <c r="HZ276"/>
  <c r="HZ277"/>
  <c r="HZ278"/>
  <c r="HZ279"/>
  <c r="GK266" l="1"/>
  <c r="GM16"/>
  <c r="HA203"/>
  <c r="HA195"/>
  <c r="K75" i="7"/>
  <c r="K93"/>
  <c r="GK35" i="10"/>
  <c r="HU123"/>
  <c r="GO233"/>
  <c r="GO133"/>
  <c r="GY155"/>
  <c r="HE262"/>
  <c r="HI174"/>
  <c r="HS34"/>
  <c r="K81" i="7"/>
  <c r="K15" i="5"/>
  <c r="GO136" i="10"/>
  <c r="HG93"/>
  <c r="HO17"/>
  <c r="GK5"/>
  <c r="GO2"/>
  <c r="K9" i="5"/>
  <c r="GI37" i="10"/>
  <c r="GI38"/>
  <c r="GM54"/>
  <c r="GQ236"/>
  <c r="GQ192"/>
  <c r="K3" i="7"/>
  <c r="GI87" i="10"/>
  <c r="GM231"/>
  <c r="GM11"/>
  <c r="GQ65"/>
  <c r="HA43"/>
  <c r="GY144"/>
  <c r="GY157"/>
  <c r="HM2"/>
  <c r="K63" i="7"/>
  <c r="HM129" i="10"/>
  <c r="HM41"/>
  <c r="K69" i="7"/>
  <c r="K87"/>
  <c r="HS2" i="10"/>
  <c r="K9" i="7"/>
  <c r="GU200" i="10"/>
  <c r="GU180"/>
  <c r="GW162"/>
  <c r="GW269"/>
  <c r="GW85"/>
  <c r="GY34"/>
  <c r="GY120"/>
  <c r="GI2"/>
  <c r="K3" i="5"/>
  <c r="B5" s="1"/>
  <c r="C5" s="1"/>
  <c r="GG193" i="10"/>
  <c r="GG103"/>
  <c r="GG2"/>
  <c r="GG237"/>
  <c r="GG241"/>
  <c r="HX2"/>
  <c r="IB2"/>
  <c r="IB3"/>
  <c r="IB4"/>
  <c r="IB5"/>
  <c r="IB6"/>
  <c r="IB7"/>
  <c r="IB8"/>
  <c r="IB9"/>
  <c r="IB10"/>
  <c r="IB11"/>
  <c r="IB12"/>
  <c r="IB13"/>
  <c r="IB14"/>
  <c r="IB15"/>
  <c r="IB16"/>
  <c r="IB17"/>
  <c r="IB18"/>
  <c r="IB19"/>
  <c r="IB20"/>
  <c r="IB21"/>
  <c r="IB22"/>
  <c r="IB23"/>
  <c r="IB24"/>
  <c r="IB25"/>
  <c r="IB26"/>
  <c r="IB27"/>
  <c r="IB28"/>
  <c r="IB29"/>
  <c r="IB30"/>
  <c r="IB31"/>
  <c r="IB32"/>
  <c r="IB33"/>
  <c r="IB34"/>
  <c r="IB35"/>
  <c r="IB36"/>
  <c r="IB37"/>
  <c r="IB38"/>
  <c r="IB39"/>
  <c r="IB40"/>
  <c r="IB41"/>
  <c r="IB42"/>
  <c r="IB43"/>
  <c r="IB44"/>
  <c r="IB45"/>
  <c r="IB46"/>
  <c r="IB47"/>
  <c r="IB48"/>
  <c r="IB49"/>
  <c r="IB50"/>
  <c r="IB51"/>
  <c r="IB52"/>
  <c r="IB53"/>
  <c r="IB54"/>
  <c r="IB55"/>
  <c r="IB56"/>
  <c r="IB57"/>
  <c r="IB58"/>
  <c r="IB59"/>
  <c r="IB60"/>
  <c r="IB61"/>
  <c r="IB62"/>
  <c r="IB63"/>
  <c r="IB64"/>
  <c r="IB65"/>
  <c r="IB66"/>
  <c r="IB67"/>
  <c r="IB68"/>
  <c r="IB69"/>
  <c r="IB70"/>
  <c r="IB71"/>
  <c r="IB72"/>
  <c r="IB73"/>
  <c r="IB74"/>
  <c r="IB75"/>
  <c r="IB76"/>
  <c r="IB77"/>
  <c r="IB78"/>
  <c r="IB79"/>
  <c r="IB80"/>
  <c r="IB81"/>
  <c r="IB82"/>
  <c r="IB83"/>
  <c r="IB84"/>
  <c r="IB85"/>
  <c r="IB86"/>
  <c r="IB87"/>
  <c r="IB88"/>
  <c r="IB89"/>
  <c r="IB90"/>
  <c r="IB91"/>
  <c r="IB92"/>
  <c r="IB93"/>
  <c r="IB94"/>
  <c r="IB95"/>
  <c r="IB96"/>
  <c r="IB97"/>
  <c r="IB98"/>
  <c r="IB99"/>
  <c r="IB100"/>
  <c r="IB101"/>
  <c r="IB102"/>
  <c r="IB103"/>
  <c r="IB104"/>
  <c r="IB105"/>
  <c r="IB106"/>
  <c r="IB107"/>
  <c r="IB108"/>
  <c r="IB109"/>
  <c r="IB110"/>
  <c r="IB111"/>
  <c r="IB112"/>
  <c r="IB113"/>
  <c r="IB114"/>
  <c r="IB115"/>
  <c r="IB116"/>
  <c r="IB117"/>
  <c r="IB118"/>
  <c r="IB119"/>
  <c r="IB120"/>
  <c r="IB121"/>
  <c r="IB122"/>
  <c r="IB123"/>
  <c r="IB124"/>
  <c r="IB125"/>
  <c r="IB126"/>
  <c r="IB127"/>
  <c r="IB128"/>
  <c r="IB129"/>
  <c r="IB130"/>
  <c r="IB131"/>
  <c r="IB132"/>
  <c r="IB133"/>
  <c r="IB134"/>
  <c r="IB135"/>
  <c r="IB136"/>
  <c r="IB137"/>
  <c r="IB138"/>
  <c r="IB139"/>
  <c r="IB140"/>
  <c r="IB141"/>
  <c r="IB142"/>
  <c r="IB143"/>
  <c r="IB144"/>
  <c r="IB145"/>
  <c r="IB146"/>
  <c r="IB147"/>
  <c r="IB148"/>
  <c r="IB149"/>
  <c r="IB150"/>
  <c r="IB151"/>
  <c r="IB152"/>
  <c r="IB153"/>
  <c r="IB154"/>
  <c r="IB155"/>
  <c r="IB156"/>
  <c r="IB157"/>
  <c r="IB158"/>
  <c r="IB159"/>
  <c r="IB160"/>
  <c r="IB161"/>
  <c r="IB162"/>
  <c r="IB163"/>
  <c r="IB164"/>
  <c r="IB165"/>
  <c r="IB166"/>
  <c r="IB167"/>
  <c r="IB168"/>
  <c r="IB169"/>
  <c r="IB170"/>
  <c r="IB171"/>
  <c r="IB172"/>
  <c r="IB173"/>
  <c r="IB174"/>
  <c r="IB175"/>
  <c r="IB176"/>
  <c r="IB177"/>
  <c r="IB178"/>
  <c r="IB179"/>
  <c r="IB180"/>
  <c r="IB181"/>
  <c r="IB182"/>
  <c r="IB183"/>
  <c r="IB184"/>
  <c r="IB185"/>
  <c r="IB186"/>
  <c r="IB187"/>
  <c r="IB188"/>
  <c r="IB189"/>
  <c r="IB190"/>
  <c r="IB191"/>
  <c r="IB192"/>
  <c r="IB193"/>
  <c r="IB194"/>
  <c r="IB195"/>
  <c r="IB196"/>
  <c r="IB197"/>
  <c r="IB198"/>
  <c r="IB199"/>
  <c r="IB200"/>
  <c r="IB201"/>
  <c r="IB202"/>
  <c r="IB203"/>
  <c r="IB204"/>
  <c r="IB205"/>
  <c r="IB206"/>
  <c r="IB207"/>
  <c r="IB208"/>
  <c r="IB209"/>
  <c r="IB210"/>
  <c r="IB211"/>
  <c r="IB212"/>
  <c r="IB213"/>
  <c r="IB214"/>
  <c r="IB215"/>
  <c r="IB216"/>
  <c r="IB217"/>
  <c r="IB218"/>
  <c r="IB219"/>
  <c r="IB220"/>
  <c r="IB221"/>
  <c r="IB222"/>
  <c r="IB223"/>
  <c r="IB224"/>
  <c r="IB225"/>
  <c r="IB226"/>
  <c r="IB227"/>
  <c r="IB228"/>
  <c r="IB229"/>
  <c r="IB230"/>
  <c r="IB231"/>
  <c r="IB232"/>
  <c r="IB233"/>
  <c r="IB234"/>
  <c r="IB235"/>
  <c r="IB236"/>
  <c r="IB237"/>
  <c r="IB238"/>
  <c r="IB239"/>
  <c r="IB240"/>
  <c r="IB241"/>
  <c r="IB242"/>
  <c r="IB243"/>
  <c r="IB244"/>
  <c r="IB245"/>
  <c r="IB246"/>
  <c r="IB247"/>
  <c r="IB248"/>
  <c r="IB249"/>
  <c r="IB250"/>
  <c r="IB251"/>
  <c r="IB252"/>
  <c r="IB253"/>
  <c r="IB254"/>
  <c r="IB255"/>
  <c r="IB256"/>
  <c r="IB257"/>
  <c r="IB258"/>
  <c r="IB259"/>
  <c r="IB260"/>
  <c r="IB261"/>
  <c r="IB262"/>
  <c r="IB263"/>
  <c r="IB264"/>
  <c r="IB265"/>
  <c r="IB266"/>
  <c r="IB267"/>
  <c r="IB268"/>
  <c r="IB269"/>
  <c r="IB270"/>
  <c r="IB271"/>
  <c r="IB272"/>
  <c r="IB273"/>
  <c r="IB274"/>
  <c r="IB275"/>
  <c r="IB276"/>
  <c r="IB277"/>
  <c r="IB278"/>
  <c r="IB279"/>
  <c r="E2" i="11"/>
  <c r="F2"/>
  <c r="EH2" i="10"/>
  <c r="EH3"/>
  <c r="EH4"/>
  <c r="EH5"/>
  <c r="EH6"/>
  <c r="EH7"/>
  <c r="EH8"/>
  <c r="EH9"/>
  <c r="EH10"/>
  <c r="EH11"/>
  <c r="EH12"/>
  <c r="EH13"/>
  <c r="EH14"/>
  <c r="EH15"/>
  <c r="EH16"/>
  <c r="EH17"/>
  <c r="EH18"/>
  <c r="EH19"/>
  <c r="EH20"/>
  <c r="EH21"/>
  <c r="EH22"/>
  <c r="EH23"/>
  <c r="EH24"/>
  <c r="EH25"/>
  <c r="EH26"/>
  <c r="EH27"/>
  <c r="EH28"/>
  <c r="EH29"/>
  <c r="EH30"/>
  <c r="EH31"/>
  <c r="EH32"/>
  <c r="EH33"/>
  <c r="EH34"/>
  <c r="EH35"/>
  <c r="EH36"/>
  <c r="EH37"/>
  <c r="EH38"/>
  <c r="EH39"/>
  <c r="EH40"/>
  <c r="EH41"/>
  <c r="EH42"/>
  <c r="EH43"/>
  <c r="EH44"/>
  <c r="EH45"/>
  <c r="EH46"/>
  <c r="EH47"/>
  <c r="EH48"/>
  <c r="EH49"/>
  <c r="EH50"/>
  <c r="EH51"/>
  <c r="EH52"/>
  <c r="EH53"/>
  <c r="EH54"/>
  <c r="EH55"/>
  <c r="EH56"/>
  <c r="EH57"/>
  <c r="EH58"/>
  <c r="EH59"/>
  <c r="EH60"/>
  <c r="EH61"/>
  <c r="EH62"/>
  <c r="EH63"/>
  <c r="EH64"/>
  <c r="EH65"/>
  <c r="EH66"/>
  <c r="EH67"/>
  <c r="EH68"/>
  <c r="EH69"/>
  <c r="EH70"/>
  <c r="EH71"/>
  <c r="EH72"/>
  <c r="EH73"/>
  <c r="EH74"/>
  <c r="EH75"/>
  <c r="EH76"/>
  <c r="EH77"/>
  <c r="EH78"/>
  <c r="EH79"/>
  <c r="EH80"/>
  <c r="EH81"/>
  <c r="EH82"/>
  <c r="EH83"/>
  <c r="EH84"/>
  <c r="EH85"/>
  <c r="EH86"/>
  <c r="EH87"/>
  <c r="EH88"/>
  <c r="EH89"/>
  <c r="EH90"/>
  <c r="EH91"/>
  <c r="EH92"/>
  <c r="EH93"/>
  <c r="EH94"/>
  <c r="EH95"/>
  <c r="EH96"/>
  <c r="EH97"/>
  <c r="EH98"/>
  <c r="EH99"/>
  <c r="EH100"/>
  <c r="EH101"/>
  <c r="EH102"/>
  <c r="EH103"/>
  <c r="EH104"/>
  <c r="EH105"/>
  <c r="EH106"/>
  <c r="EH107"/>
  <c r="EH108"/>
  <c r="EH109"/>
  <c r="EH110"/>
  <c r="EH111"/>
  <c r="EH112"/>
  <c r="EH113"/>
  <c r="EH114"/>
  <c r="EH115"/>
  <c r="EH116"/>
  <c r="EH117"/>
  <c r="EH118"/>
  <c r="EH119"/>
  <c r="EH120"/>
  <c r="EH121"/>
  <c r="EH122"/>
  <c r="EH123"/>
  <c r="EH124"/>
  <c r="EH125"/>
  <c r="EH126"/>
  <c r="EH127"/>
  <c r="EH128"/>
  <c r="EH129"/>
  <c r="EH130"/>
  <c r="EH131"/>
  <c r="EH132"/>
  <c r="EH133"/>
  <c r="EH134"/>
  <c r="EH135"/>
  <c r="EH136"/>
  <c r="EH137"/>
  <c r="EH138"/>
  <c r="EH139"/>
  <c r="EH140"/>
  <c r="EH141"/>
  <c r="EH142"/>
  <c r="EH143"/>
  <c r="EH144"/>
  <c r="EH145"/>
  <c r="EH146"/>
  <c r="EH147"/>
  <c r="EH148"/>
  <c r="EH149"/>
  <c r="EH150"/>
  <c r="EH151"/>
  <c r="EH152"/>
  <c r="EH153"/>
  <c r="EH154"/>
  <c r="EH155"/>
  <c r="EH156"/>
  <c r="EH157"/>
  <c r="EH158"/>
  <c r="EH159"/>
  <c r="EH160"/>
  <c r="EH161"/>
  <c r="EH162"/>
  <c r="EH163"/>
  <c r="EH164"/>
  <c r="EH165"/>
  <c r="EH166"/>
  <c r="EH167"/>
  <c r="EH168"/>
  <c r="EH169"/>
  <c r="EH170"/>
  <c r="EH171"/>
  <c r="EH172"/>
  <c r="EH173"/>
  <c r="EH174"/>
  <c r="EH175"/>
  <c r="EH176"/>
  <c r="EH177"/>
  <c r="EH178"/>
  <c r="EH179"/>
  <c r="EH180"/>
  <c r="EH181"/>
  <c r="EH182"/>
  <c r="EH183"/>
  <c r="EH184"/>
  <c r="EH185"/>
  <c r="EH186"/>
  <c r="EH187"/>
  <c r="EH188"/>
  <c r="EH189"/>
  <c r="EH190"/>
  <c r="EH191"/>
  <c r="EH192"/>
  <c r="EH193"/>
  <c r="EH194"/>
  <c r="EH195"/>
  <c r="EH196"/>
  <c r="EH197"/>
  <c r="EH198"/>
  <c r="EH199"/>
  <c r="EH200"/>
  <c r="EH201"/>
  <c r="EH202"/>
  <c r="EH203"/>
  <c r="EH204"/>
  <c r="EH205"/>
  <c r="EH206"/>
  <c r="EH207"/>
  <c r="EH208"/>
  <c r="EH209"/>
  <c r="EH210"/>
  <c r="EH211"/>
  <c r="EH212"/>
  <c r="EH213"/>
  <c r="EH214"/>
  <c r="EH215"/>
  <c r="EH216"/>
  <c r="EH217"/>
  <c r="EH218"/>
  <c r="EH219"/>
  <c r="EH220"/>
  <c r="EH221"/>
  <c r="EH222"/>
  <c r="EH223"/>
  <c r="EH224"/>
  <c r="EH225"/>
  <c r="EH226"/>
  <c r="EH227"/>
  <c r="EH228"/>
  <c r="EH229"/>
  <c r="EH230"/>
  <c r="EH231"/>
  <c r="EH232"/>
  <c r="EH233"/>
  <c r="EH234"/>
  <c r="EH235"/>
  <c r="EH236"/>
  <c r="EH237"/>
  <c r="EH238"/>
  <c r="EH239"/>
  <c r="EH240"/>
  <c r="EH241"/>
  <c r="EH242"/>
  <c r="EH243"/>
  <c r="EH244"/>
  <c r="EH245"/>
  <c r="EH246"/>
  <c r="EH247"/>
  <c r="EH248"/>
  <c r="EH249"/>
  <c r="EH250"/>
  <c r="EH251"/>
  <c r="EH252"/>
  <c r="EH253"/>
  <c r="EH254"/>
  <c r="EH255"/>
  <c r="EH256"/>
  <c r="EH257"/>
  <c r="EH258"/>
  <c r="EH259"/>
  <c r="EH260"/>
  <c r="EH261"/>
  <c r="EH262"/>
  <c r="EH263"/>
  <c r="EH264"/>
  <c r="EH265"/>
  <c r="EH266"/>
  <c r="EH267"/>
  <c r="EH268"/>
  <c r="EH269"/>
  <c r="EH270"/>
  <c r="EH271"/>
  <c r="EH272"/>
  <c r="EH273"/>
  <c r="EH274"/>
  <c r="EH275"/>
  <c r="EH276"/>
  <c r="EH277"/>
  <c r="EH278"/>
  <c r="EH279"/>
  <c r="B7" i="5" l="1"/>
  <c r="C7" s="1"/>
  <c r="E5"/>
  <c r="B4"/>
  <c r="C4" s="1"/>
  <c r="B6"/>
  <c r="C6" s="1"/>
  <c r="F5"/>
  <c r="D5"/>
  <c r="H5"/>
  <c r="G5"/>
  <c r="H6"/>
  <c r="G6"/>
  <c r="F6"/>
  <c r="E6"/>
  <c r="D6"/>
  <c r="H7"/>
  <c r="G7"/>
  <c r="F7"/>
  <c r="E7"/>
  <c r="D7"/>
  <c r="H4"/>
  <c r="G4"/>
  <c r="F4"/>
  <c r="E4"/>
  <c r="D4"/>
  <c r="F1" i="7"/>
  <c r="E1"/>
  <c r="F1" i="6"/>
  <c r="E1"/>
  <c r="F1" i="5"/>
  <c r="E1"/>
  <c r="F1" i="3"/>
  <c r="E1"/>
  <c r="E109" i="11" l="1"/>
  <c r="F108"/>
  <c r="E108"/>
  <c r="F107"/>
  <c r="E107"/>
  <c r="F106"/>
  <c r="E106"/>
  <c r="F105"/>
  <c r="E105"/>
  <c r="F104"/>
  <c r="E104"/>
  <c r="F103"/>
  <c r="E103"/>
  <c r="F102"/>
  <c r="E102"/>
  <c r="F101"/>
  <c r="E101"/>
  <c r="F100"/>
  <c r="E100"/>
  <c r="F99"/>
  <c r="E99"/>
  <c r="F98"/>
  <c r="E98"/>
  <c r="F97"/>
  <c r="E97"/>
  <c r="F96"/>
  <c r="E96"/>
  <c r="F95"/>
  <c r="E95"/>
  <c r="F94"/>
  <c r="E94"/>
  <c r="F93"/>
  <c r="E93"/>
  <c r="F92"/>
  <c r="E92"/>
  <c r="F91"/>
  <c r="E91"/>
  <c r="F90"/>
  <c r="E90"/>
  <c r="F89"/>
  <c r="E89"/>
  <c r="F88"/>
  <c r="E88"/>
  <c r="F87"/>
  <c r="E87"/>
  <c r="F86"/>
  <c r="E86"/>
  <c r="F85"/>
  <c r="E85"/>
  <c r="F84"/>
  <c r="E84"/>
  <c r="F83"/>
  <c r="E83"/>
  <c r="F82"/>
  <c r="E82"/>
  <c r="F81"/>
  <c r="E81"/>
  <c r="F80"/>
  <c r="E80"/>
  <c r="F79"/>
  <c r="E79"/>
  <c r="F78"/>
  <c r="E78"/>
  <c r="F77"/>
  <c r="E77"/>
  <c r="F76"/>
  <c r="E76"/>
  <c r="F75"/>
  <c r="E75"/>
  <c r="F74"/>
  <c r="E74"/>
  <c r="F73"/>
  <c r="E73"/>
  <c r="F72"/>
  <c r="E72"/>
  <c r="F71"/>
  <c r="E71"/>
  <c r="F70"/>
  <c r="E70"/>
  <c r="F69"/>
  <c r="E69"/>
  <c r="F68"/>
  <c r="E68"/>
  <c r="F67"/>
  <c r="E67"/>
  <c r="F66"/>
  <c r="E66"/>
  <c r="F65"/>
  <c r="E65"/>
  <c r="F64"/>
  <c r="E64"/>
  <c r="F63"/>
  <c r="E63"/>
  <c r="GD279" i="10" l="1"/>
  <c r="GB279"/>
  <c r="FZ279"/>
  <c r="FX279"/>
  <c r="FV279"/>
  <c r="FT279"/>
  <c r="FR279"/>
  <c r="FP279"/>
  <c r="FN279"/>
  <c r="FL279"/>
  <c r="FJ279"/>
  <c r="FH279"/>
  <c r="FF279"/>
  <c r="FD279"/>
  <c r="FB279"/>
  <c r="EZ279"/>
  <c r="EX279"/>
  <c r="EV279"/>
  <c r="ET279"/>
  <c r="ER279"/>
  <c r="EP279"/>
  <c r="EN279"/>
  <c r="EL279"/>
  <c r="EJ279"/>
  <c r="GD278"/>
  <c r="GB278"/>
  <c r="FZ278"/>
  <c r="FX278"/>
  <c r="FV278"/>
  <c r="FT278"/>
  <c r="FR278"/>
  <c r="FP278"/>
  <c r="FN278"/>
  <c r="FL278"/>
  <c r="FJ278"/>
  <c r="FH278"/>
  <c r="FF278"/>
  <c r="FD278"/>
  <c r="FB278"/>
  <c r="EZ278"/>
  <c r="EX278"/>
  <c r="EV278"/>
  <c r="ET278"/>
  <c r="ER278"/>
  <c r="EP278"/>
  <c r="EN278"/>
  <c r="EL278"/>
  <c r="EJ278"/>
  <c r="GD277"/>
  <c r="GB277"/>
  <c r="FZ277"/>
  <c r="FX277"/>
  <c r="FV277"/>
  <c r="FT277"/>
  <c r="FR277"/>
  <c r="FP277"/>
  <c r="FN277"/>
  <c r="FL277"/>
  <c r="FJ277"/>
  <c r="FH277"/>
  <c r="FF277"/>
  <c r="FD277"/>
  <c r="FB277"/>
  <c r="EZ277"/>
  <c r="EX277"/>
  <c r="EV277"/>
  <c r="ET277"/>
  <c r="ER277"/>
  <c r="EP277"/>
  <c r="EN277"/>
  <c r="EL277"/>
  <c r="EJ277"/>
  <c r="GD276"/>
  <c r="GB276"/>
  <c r="FZ276"/>
  <c r="FX276"/>
  <c r="FV276"/>
  <c r="FT276"/>
  <c r="FR276"/>
  <c r="FP276"/>
  <c r="FN276"/>
  <c r="FL276"/>
  <c r="FJ276"/>
  <c r="FH276"/>
  <c r="FF276"/>
  <c r="FD276"/>
  <c r="FB276"/>
  <c r="EZ276"/>
  <c r="EX276"/>
  <c r="EV276"/>
  <c r="ET276"/>
  <c r="ER276"/>
  <c r="EP276"/>
  <c r="EN276"/>
  <c r="EL276"/>
  <c r="EJ276"/>
  <c r="GD275"/>
  <c r="GB275"/>
  <c r="FZ275"/>
  <c r="FX275"/>
  <c r="FV275"/>
  <c r="FT275"/>
  <c r="FR275"/>
  <c r="FP275"/>
  <c r="FN275"/>
  <c r="FL275"/>
  <c r="FJ275"/>
  <c r="FH275"/>
  <c r="FF275"/>
  <c r="FD275"/>
  <c r="FB275"/>
  <c r="EZ275"/>
  <c r="EX275"/>
  <c r="EV275"/>
  <c r="ET275"/>
  <c r="ER275"/>
  <c r="EP275"/>
  <c r="EN275"/>
  <c r="EL275"/>
  <c r="EJ275"/>
  <c r="GD274"/>
  <c r="GB274"/>
  <c r="FZ274"/>
  <c r="FX274"/>
  <c r="FV274"/>
  <c r="FT274"/>
  <c r="FR274"/>
  <c r="FP274"/>
  <c r="FN274"/>
  <c r="FL274"/>
  <c r="FJ274"/>
  <c r="FH274"/>
  <c r="FF274"/>
  <c r="FD274"/>
  <c r="FB274"/>
  <c r="EZ274"/>
  <c r="EX274"/>
  <c r="EV274"/>
  <c r="ET274"/>
  <c r="ER274"/>
  <c r="EP274"/>
  <c r="EN274"/>
  <c r="EL274"/>
  <c r="EJ274"/>
  <c r="GD273"/>
  <c r="GB273"/>
  <c r="FZ273"/>
  <c r="FX273"/>
  <c r="FV273"/>
  <c r="FT273"/>
  <c r="FR273"/>
  <c r="FP273"/>
  <c r="FN273"/>
  <c r="FL273"/>
  <c r="FJ273"/>
  <c r="FH273"/>
  <c r="FF273"/>
  <c r="FD273"/>
  <c r="FB273"/>
  <c r="EZ273"/>
  <c r="EX273"/>
  <c r="EV273"/>
  <c r="ET273"/>
  <c r="ER273"/>
  <c r="EP273"/>
  <c r="EN273"/>
  <c r="EL273"/>
  <c r="EJ273"/>
  <c r="GD272"/>
  <c r="GB272"/>
  <c r="FZ272"/>
  <c r="FX272"/>
  <c r="FV272"/>
  <c r="FT272"/>
  <c r="FR272"/>
  <c r="FP272"/>
  <c r="FN272"/>
  <c r="FL272"/>
  <c r="FJ272"/>
  <c r="FH272"/>
  <c r="FF272"/>
  <c r="FD272"/>
  <c r="FB272"/>
  <c r="EZ272"/>
  <c r="EX272"/>
  <c r="EV272"/>
  <c r="ET272"/>
  <c r="ER272"/>
  <c r="EP272"/>
  <c r="EN272"/>
  <c r="EL272"/>
  <c r="EJ272"/>
  <c r="GD271"/>
  <c r="GB271"/>
  <c r="FZ271"/>
  <c r="FX271"/>
  <c r="FV271"/>
  <c r="FT271"/>
  <c r="FR271"/>
  <c r="FP271"/>
  <c r="FN271"/>
  <c r="FL271"/>
  <c r="FJ271"/>
  <c r="FH271"/>
  <c r="FF271"/>
  <c r="FD271"/>
  <c r="FB271"/>
  <c r="EZ271"/>
  <c r="EX271"/>
  <c r="EV271"/>
  <c r="ET271"/>
  <c r="ER271"/>
  <c r="EP271"/>
  <c r="EN271"/>
  <c r="EL271"/>
  <c r="EJ271"/>
  <c r="GD270"/>
  <c r="GB270"/>
  <c r="FZ270"/>
  <c r="FX270"/>
  <c r="FV270"/>
  <c r="FT270"/>
  <c r="FR270"/>
  <c r="FP270"/>
  <c r="FN270"/>
  <c r="FL270"/>
  <c r="FJ270"/>
  <c r="FH270"/>
  <c r="FF270"/>
  <c r="FD270"/>
  <c r="FB270"/>
  <c r="EZ270"/>
  <c r="EX270"/>
  <c r="EV270"/>
  <c r="ET270"/>
  <c r="ER270"/>
  <c r="EP270"/>
  <c r="EN270"/>
  <c r="EL270"/>
  <c r="EJ270"/>
  <c r="GD269"/>
  <c r="GB269"/>
  <c r="FZ269"/>
  <c r="FX269"/>
  <c r="FV269"/>
  <c r="FT269"/>
  <c r="FR269"/>
  <c r="FP269"/>
  <c r="FN269"/>
  <c r="FL269"/>
  <c r="FJ269"/>
  <c r="FH269"/>
  <c r="FF269"/>
  <c r="FD269"/>
  <c r="FB269"/>
  <c r="EZ269"/>
  <c r="EX269"/>
  <c r="EV269"/>
  <c r="ET269"/>
  <c r="ER269"/>
  <c r="EP269"/>
  <c r="EN269"/>
  <c r="EL269"/>
  <c r="EJ269"/>
  <c r="GD268"/>
  <c r="GB268"/>
  <c r="FZ268"/>
  <c r="FX268"/>
  <c r="FV268"/>
  <c r="FT268"/>
  <c r="FR268"/>
  <c r="FP268"/>
  <c r="FN268"/>
  <c r="FL268"/>
  <c r="FJ268"/>
  <c r="FH268"/>
  <c r="FF268"/>
  <c r="FD268"/>
  <c r="FB268"/>
  <c r="EZ268"/>
  <c r="EX268"/>
  <c r="EV268"/>
  <c r="ET268"/>
  <c r="ER268"/>
  <c r="EP268"/>
  <c r="EN268"/>
  <c r="EL268"/>
  <c r="EJ268"/>
  <c r="GD267"/>
  <c r="GB267"/>
  <c r="FZ267"/>
  <c r="FX267"/>
  <c r="FV267"/>
  <c r="FT267"/>
  <c r="FR267"/>
  <c r="FP267"/>
  <c r="FN267"/>
  <c r="FL267"/>
  <c r="FJ267"/>
  <c r="FH267"/>
  <c r="FF267"/>
  <c r="FD267"/>
  <c r="FB267"/>
  <c r="EZ267"/>
  <c r="EX267"/>
  <c r="EV267"/>
  <c r="ET267"/>
  <c r="ER267"/>
  <c r="EP267"/>
  <c r="EN267"/>
  <c r="EL267"/>
  <c r="EJ267"/>
  <c r="GD266"/>
  <c r="GB266"/>
  <c r="FZ266"/>
  <c r="FX266"/>
  <c r="FV266"/>
  <c r="FT266"/>
  <c r="FR266"/>
  <c r="FP266"/>
  <c r="FN266"/>
  <c r="FL266"/>
  <c r="FJ266"/>
  <c r="FH266"/>
  <c r="FF266"/>
  <c r="FD266"/>
  <c r="FB266"/>
  <c r="EZ266"/>
  <c r="EX266"/>
  <c r="EV266"/>
  <c r="ET266"/>
  <c r="ER266"/>
  <c r="EP266"/>
  <c r="EN266"/>
  <c r="EL266"/>
  <c r="EJ266"/>
  <c r="GD265"/>
  <c r="GB265"/>
  <c r="FZ265"/>
  <c r="FX265"/>
  <c r="FV265"/>
  <c r="FT265"/>
  <c r="FR265"/>
  <c r="FP265"/>
  <c r="FN265"/>
  <c r="FL265"/>
  <c r="FJ265"/>
  <c r="FH265"/>
  <c r="FF265"/>
  <c r="FD265"/>
  <c r="FB265"/>
  <c r="EZ265"/>
  <c r="EX265"/>
  <c r="EV265"/>
  <c r="ET265"/>
  <c r="ER265"/>
  <c r="EP265"/>
  <c r="EN265"/>
  <c r="EL265"/>
  <c r="EJ265"/>
  <c r="GD264"/>
  <c r="GB264"/>
  <c r="FZ264"/>
  <c r="FX264"/>
  <c r="FV264"/>
  <c r="FT264"/>
  <c r="FR264"/>
  <c r="FP264"/>
  <c r="FN264"/>
  <c r="FL264"/>
  <c r="FJ264"/>
  <c r="FH264"/>
  <c r="FF264"/>
  <c r="FD264"/>
  <c r="FB264"/>
  <c r="EZ264"/>
  <c r="EX264"/>
  <c r="EV264"/>
  <c r="ET264"/>
  <c r="ER264"/>
  <c r="EP264"/>
  <c r="EN264"/>
  <c r="EL264"/>
  <c r="EJ264"/>
  <c r="GD263"/>
  <c r="GB263"/>
  <c r="FZ263"/>
  <c r="FX263"/>
  <c r="FV263"/>
  <c r="FT263"/>
  <c r="FR263"/>
  <c r="FP263"/>
  <c r="FN263"/>
  <c r="FL263"/>
  <c r="FJ263"/>
  <c r="FH263"/>
  <c r="FF263"/>
  <c r="FD263"/>
  <c r="FB263"/>
  <c r="EZ263"/>
  <c r="EX263"/>
  <c r="EV263"/>
  <c r="ET263"/>
  <c r="ER263"/>
  <c r="EP263"/>
  <c r="EN263"/>
  <c r="EL263"/>
  <c r="EJ263"/>
  <c r="GD262"/>
  <c r="GB262"/>
  <c r="FZ262"/>
  <c r="FX262"/>
  <c r="FV262"/>
  <c r="FT262"/>
  <c r="FR262"/>
  <c r="FP262"/>
  <c r="FN262"/>
  <c r="FL262"/>
  <c r="FJ262"/>
  <c r="FH262"/>
  <c r="FF262"/>
  <c r="FD262"/>
  <c r="FB262"/>
  <c r="EZ262"/>
  <c r="EX262"/>
  <c r="EV262"/>
  <c r="ET262"/>
  <c r="ER262"/>
  <c r="EP262"/>
  <c r="EN262"/>
  <c r="EL262"/>
  <c r="EJ262"/>
  <c r="GD261"/>
  <c r="GB261"/>
  <c r="FZ261"/>
  <c r="FX261"/>
  <c r="FV261"/>
  <c r="FT261"/>
  <c r="FR261"/>
  <c r="FP261"/>
  <c r="FN261"/>
  <c r="FL261"/>
  <c r="FJ261"/>
  <c r="FH261"/>
  <c r="FF261"/>
  <c r="FD261"/>
  <c r="FB261"/>
  <c r="EZ261"/>
  <c r="EX261"/>
  <c r="EV261"/>
  <c r="ET261"/>
  <c r="ER261"/>
  <c r="EP261"/>
  <c r="EN261"/>
  <c r="EL261"/>
  <c r="EJ261"/>
  <c r="GD260"/>
  <c r="GB260"/>
  <c r="FZ260"/>
  <c r="FX260"/>
  <c r="FV260"/>
  <c r="FT260"/>
  <c r="FR260"/>
  <c r="FP260"/>
  <c r="FN260"/>
  <c r="FL260"/>
  <c r="FJ260"/>
  <c r="FH260"/>
  <c r="FF260"/>
  <c r="FD260"/>
  <c r="FB260"/>
  <c r="EZ260"/>
  <c r="EX260"/>
  <c r="EV260"/>
  <c r="ET260"/>
  <c r="ER260"/>
  <c r="EP260"/>
  <c r="EN260"/>
  <c r="EL260"/>
  <c r="EJ260"/>
  <c r="GD259"/>
  <c r="GB259"/>
  <c r="FZ259"/>
  <c r="FX259"/>
  <c r="FV259"/>
  <c r="FT259"/>
  <c r="FR259"/>
  <c r="FP259"/>
  <c r="FN259"/>
  <c r="FL259"/>
  <c r="FJ259"/>
  <c r="FH259"/>
  <c r="FF259"/>
  <c r="FD259"/>
  <c r="FB259"/>
  <c r="EZ259"/>
  <c r="EX259"/>
  <c r="EV259"/>
  <c r="ET259"/>
  <c r="ER259"/>
  <c r="EP259"/>
  <c r="EN259"/>
  <c r="EL259"/>
  <c r="EJ259"/>
  <c r="GD258"/>
  <c r="GB258"/>
  <c r="FZ258"/>
  <c r="FX258"/>
  <c r="FV258"/>
  <c r="FT258"/>
  <c r="FR258"/>
  <c r="FP258"/>
  <c r="FN258"/>
  <c r="FL258"/>
  <c r="FJ258"/>
  <c r="FH258"/>
  <c r="FF258"/>
  <c r="FD258"/>
  <c r="FB258"/>
  <c r="EZ258"/>
  <c r="EX258"/>
  <c r="EV258"/>
  <c r="ET258"/>
  <c r="ER258"/>
  <c r="EP258"/>
  <c r="EN258"/>
  <c r="EL258"/>
  <c r="EJ258"/>
  <c r="GD257"/>
  <c r="GB257"/>
  <c r="FZ257"/>
  <c r="FX257"/>
  <c r="FV257"/>
  <c r="FT257"/>
  <c r="FR257"/>
  <c r="FP257"/>
  <c r="FN257"/>
  <c r="FL257"/>
  <c r="FJ257"/>
  <c r="FH257"/>
  <c r="FF257"/>
  <c r="FD257"/>
  <c r="FB257"/>
  <c r="EZ257"/>
  <c r="EX257"/>
  <c r="EV257"/>
  <c r="ET257"/>
  <c r="ER257"/>
  <c r="EP257"/>
  <c r="EN257"/>
  <c r="EL257"/>
  <c r="EJ257"/>
  <c r="GD256"/>
  <c r="GB256"/>
  <c r="FZ256"/>
  <c r="FX256"/>
  <c r="FV256"/>
  <c r="FT256"/>
  <c r="FR256"/>
  <c r="FP256"/>
  <c r="FN256"/>
  <c r="FL256"/>
  <c r="FJ256"/>
  <c r="FH256"/>
  <c r="FF256"/>
  <c r="FD256"/>
  <c r="FB256"/>
  <c r="EZ256"/>
  <c r="EX256"/>
  <c r="EV256"/>
  <c r="ET256"/>
  <c r="ER256"/>
  <c r="EP256"/>
  <c r="EN256"/>
  <c r="EL256"/>
  <c r="EJ256"/>
  <c r="GD255"/>
  <c r="GB255"/>
  <c r="FZ255"/>
  <c r="FX255"/>
  <c r="FV255"/>
  <c r="FT255"/>
  <c r="FR255"/>
  <c r="FP255"/>
  <c r="FN255"/>
  <c r="FL255"/>
  <c r="FJ255"/>
  <c r="FH255"/>
  <c r="FF255"/>
  <c r="FD255"/>
  <c r="FB255"/>
  <c r="EZ255"/>
  <c r="EX255"/>
  <c r="EV255"/>
  <c r="ET255"/>
  <c r="ER255"/>
  <c r="EP255"/>
  <c r="EN255"/>
  <c r="EL255"/>
  <c r="EJ255"/>
  <c r="GD254"/>
  <c r="GB254"/>
  <c r="FZ254"/>
  <c r="FX254"/>
  <c r="FV254"/>
  <c r="FT254"/>
  <c r="FR254"/>
  <c r="FP254"/>
  <c r="FN254"/>
  <c r="FL254"/>
  <c r="FJ254"/>
  <c r="FH254"/>
  <c r="FF254"/>
  <c r="FD254"/>
  <c r="FB254"/>
  <c r="EZ254"/>
  <c r="EX254"/>
  <c r="EV254"/>
  <c r="ET254"/>
  <c r="ER254"/>
  <c r="EP254"/>
  <c r="EN254"/>
  <c r="EL254"/>
  <c r="EJ254"/>
  <c r="GD253"/>
  <c r="GB253"/>
  <c r="FZ253"/>
  <c r="FX253"/>
  <c r="FV253"/>
  <c r="FT253"/>
  <c r="FR253"/>
  <c r="FP253"/>
  <c r="FN253"/>
  <c r="FL253"/>
  <c r="FJ253"/>
  <c r="FH253"/>
  <c r="FF253"/>
  <c r="FD253"/>
  <c r="FB253"/>
  <c r="EZ253"/>
  <c r="EX253"/>
  <c r="EV253"/>
  <c r="ET253"/>
  <c r="ER253"/>
  <c r="EP253"/>
  <c r="EN253"/>
  <c r="EL253"/>
  <c r="EJ253"/>
  <c r="GD252"/>
  <c r="GB252"/>
  <c r="FZ252"/>
  <c r="FX252"/>
  <c r="FV252"/>
  <c r="FT252"/>
  <c r="FR252"/>
  <c r="FP252"/>
  <c r="FN252"/>
  <c r="FL252"/>
  <c r="FJ252"/>
  <c r="FH252"/>
  <c r="FF252"/>
  <c r="FD252"/>
  <c r="FB252"/>
  <c r="EZ252"/>
  <c r="EX252"/>
  <c r="EV252"/>
  <c r="ET252"/>
  <c r="ER252"/>
  <c r="EP252"/>
  <c r="EN252"/>
  <c r="EL252"/>
  <c r="EJ252"/>
  <c r="GD251"/>
  <c r="GB251"/>
  <c r="FZ251"/>
  <c r="FX251"/>
  <c r="FV251"/>
  <c r="FT251"/>
  <c r="FR251"/>
  <c r="FP251"/>
  <c r="FN251"/>
  <c r="FL251"/>
  <c r="FJ251"/>
  <c r="FH251"/>
  <c r="FF251"/>
  <c r="FD251"/>
  <c r="FB251"/>
  <c r="EZ251"/>
  <c r="EX251"/>
  <c r="EV251"/>
  <c r="ET251"/>
  <c r="ER251"/>
  <c r="EP251"/>
  <c r="EN251"/>
  <c r="EL251"/>
  <c r="EJ251"/>
  <c r="GD250"/>
  <c r="GB250"/>
  <c r="FZ250"/>
  <c r="FX250"/>
  <c r="FV250"/>
  <c r="FT250"/>
  <c r="FR250"/>
  <c r="FP250"/>
  <c r="FN250"/>
  <c r="FL250"/>
  <c r="FJ250"/>
  <c r="FH250"/>
  <c r="FF250"/>
  <c r="FD250"/>
  <c r="FB250"/>
  <c r="EZ250"/>
  <c r="EX250"/>
  <c r="EV250"/>
  <c r="ET250"/>
  <c r="ER250"/>
  <c r="EP250"/>
  <c r="EN250"/>
  <c r="EL250"/>
  <c r="EJ250"/>
  <c r="GD249"/>
  <c r="GB249"/>
  <c r="FZ249"/>
  <c r="FX249"/>
  <c r="FV249"/>
  <c r="FT249"/>
  <c r="FR249"/>
  <c r="FP249"/>
  <c r="FN249"/>
  <c r="FL249"/>
  <c r="FJ249"/>
  <c r="FH249"/>
  <c r="FF249"/>
  <c r="FD249"/>
  <c r="FB249"/>
  <c r="EZ249"/>
  <c r="EX249"/>
  <c r="EV249"/>
  <c r="ET249"/>
  <c r="ER249"/>
  <c r="EP249"/>
  <c r="EN249"/>
  <c r="EL249"/>
  <c r="EJ249"/>
  <c r="GD248"/>
  <c r="GB248"/>
  <c r="FZ248"/>
  <c r="FX248"/>
  <c r="FV248"/>
  <c r="FT248"/>
  <c r="FR248"/>
  <c r="FP248"/>
  <c r="FN248"/>
  <c r="FL248"/>
  <c r="FJ248"/>
  <c r="FH248"/>
  <c r="FF248"/>
  <c r="FD248"/>
  <c r="FB248"/>
  <c r="EZ248"/>
  <c r="EX248"/>
  <c r="EV248"/>
  <c r="ET248"/>
  <c r="ER248"/>
  <c r="EP248"/>
  <c r="EN248"/>
  <c r="EL248"/>
  <c r="EJ248"/>
  <c r="GD247"/>
  <c r="GB247"/>
  <c r="FZ247"/>
  <c r="FX247"/>
  <c r="FV247"/>
  <c r="FT247"/>
  <c r="FR247"/>
  <c r="FP247"/>
  <c r="FN247"/>
  <c r="FL247"/>
  <c r="FJ247"/>
  <c r="FH247"/>
  <c r="FF247"/>
  <c r="FD247"/>
  <c r="FB247"/>
  <c r="EZ247"/>
  <c r="EX247"/>
  <c r="EV247"/>
  <c r="ET247"/>
  <c r="ER247"/>
  <c r="EP247"/>
  <c r="EN247"/>
  <c r="EL247"/>
  <c r="EJ247"/>
  <c r="GD246"/>
  <c r="GB246"/>
  <c r="FZ246"/>
  <c r="FX246"/>
  <c r="FV246"/>
  <c r="FT246"/>
  <c r="FR246"/>
  <c r="FP246"/>
  <c r="FN246"/>
  <c r="FL246"/>
  <c r="FJ246"/>
  <c r="FH246"/>
  <c r="FF246"/>
  <c r="FD246"/>
  <c r="FB246"/>
  <c r="EZ246"/>
  <c r="EX246"/>
  <c r="EV246"/>
  <c r="ET246"/>
  <c r="ER246"/>
  <c r="EP246"/>
  <c r="EN246"/>
  <c r="EL246"/>
  <c r="EJ246"/>
  <c r="GD245"/>
  <c r="GB245"/>
  <c r="FZ245"/>
  <c r="FX245"/>
  <c r="FV245"/>
  <c r="FT245"/>
  <c r="FR245"/>
  <c r="FP245"/>
  <c r="FN245"/>
  <c r="FL245"/>
  <c r="FJ245"/>
  <c r="FH245"/>
  <c r="FF245"/>
  <c r="FD245"/>
  <c r="FB245"/>
  <c r="EZ245"/>
  <c r="EX245"/>
  <c r="EV245"/>
  <c r="ET245"/>
  <c r="ER245"/>
  <c r="EP245"/>
  <c r="EN245"/>
  <c r="EL245"/>
  <c r="EJ245"/>
  <c r="GD244"/>
  <c r="GB244"/>
  <c r="FZ244"/>
  <c r="FX244"/>
  <c r="FV244"/>
  <c r="FT244"/>
  <c r="FR244"/>
  <c r="FP244"/>
  <c r="FN244"/>
  <c r="FL244"/>
  <c r="FJ244"/>
  <c r="FH244"/>
  <c r="FF244"/>
  <c r="FD244"/>
  <c r="FB244"/>
  <c r="EZ244"/>
  <c r="EX244"/>
  <c r="EV244"/>
  <c r="ET244"/>
  <c r="ER244"/>
  <c r="EP244"/>
  <c r="EN244"/>
  <c r="EL244"/>
  <c r="EJ244"/>
  <c r="GD243"/>
  <c r="GB243"/>
  <c r="FZ243"/>
  <c r="FX243"/>
  <c r="FV243"/>
  <c r="FT243"/>
  <c r="FR243"/>
  <c r="FP243"/>
  <c r="FN243"/>
  <c r="FL243"/>
  <c r="FJ243"/>
  <c r="FH243"/>
  <c r="FF243"/>
  <c r="FD243"/>
  <c r="FB243"/>
  <c r="EZ243"/>
  <c r="EX243"/>
  <c r="EV243"/>
  <c r="ET243"/>
  <c r="ER243"/>
  <c r="EP243"/>
  <c r="EN243"/>
  <c r="EL243"/>
  <c r="EJ243"/>
  <c r="GD242"/>
  <c r="GB242"/>
  <c r="FZ242"/>
  <c r="FX242"/>
  <c r="FV242"/>
  <c r="FT242"/>
  <c r="FR242"/>
  <c r="FP242"/>
  <c r="FN242"/>
  <c r="FL242"/>
  <c r="FJ242"/>
  <c r="FH242"/>
  <c r="FF242"/>
  <c r="FD242"/>
  <c r="FB242"/>
  <c r="EZ242"/>
  <c r="EX242"/>
  <c r="EV242"/>
  <c r="ET242"/>
  <c r="ER242"/>
  <c r="EP242"/>
  <c r="EN242"/>
  <c r="EL242"/>
  <c r="EJ242"/>
  <c r="GD241"/>
  <c r="GB241"/>
  <c r="FZ241"/>
  <c r="FX241"/>
  <c r="FV241"/>
  <c r="FT241"/>
  <c r="FR241"/>
  <c r="FP241"/>
  <c r="FN241"/>
  <c r="FL241"/>
  <c r="FJ241"/>
  <c r="FH241"/>
  <c r="FF241"/>
  <c r="FD241"/>
  <c r="FB241"/>
  <c r="EZ241"/>
  <c r="EX241"/>
  <c r="EV241"/>
  <c r="ET241"/>
  <c r="ER241"/>
  <c r="EP241"/>
  <c r="EN241"/>
  <c r="EL241"/>
  <c r="EJ241"/>
  <c r="GD240"/>
  <c r="GB240"/>
  <c r="FZ240"/>
  <c r="FX240"/>
  <c r="FV240"/>
  <c r="FT240"/>
  <c r="FR240"/>
  <c r="FP240"/>
  <c r="FN240"/>
  <c r="FL240"/>
  <c r="FJ240"/>
  <c r="FH240"/>
  <c r="FF240"/>
  <c r="FD240"/>
  <c r="FB240"/>
  <c r="EZ240"/>
  <c r="EX240"/>
  <c r="EV240"/>
  <c r="ET240"/>
  <c r="ER240"/>
  <c r="EP240"/>
  <c r="EN240"/>
  <c r="EL240"/>
  <c r="EJ240"/>
  <c r="GD239"/>
  <c r="GB239"/>
  <c r="FZ239"/>
  <c r="FX239"/>
  <c r="FV239"/>
  <c r="FT239"/>
  <c r="FR239"/>
  <c r="FP239"/>
  <c r="FN239"/>
  <c r="FL239"/>
  <c r="FJ239"/>
  <c r="FH239"/>
  <c r="FF239"/>
  <c r="FD239"/>
  <c r="FB239"/>
  <c r="EZ239"/>
  <c r="EX239"/>
  <c r="EV239"/>
  <c r="ET239"/>
  <c r="ER239"/>
  <c r="EP239"/>
  <c r="EN239"/>
  <c r="EL239"/>
  <c r="EJ239"/>
  <c r="GD238"/>
  <c r="GB238"/>
  <c r="FZ238"/>
  <c r="FX238"/>
  <c r="FV238"/>
  <c r="FT238"/>
  <c r="FR238"/>
  <c r="FP238"/>
  <c r="FN238"/>
  <c r="FL238"/>
  <c r="FJ238"/>
  <c r="FH238"/>
  <c r="FF238"/>
  <c r="FD238"/>
  <c r="FB238"/>
  <c r="EZ238"/>
  <c r="EX238"/>
  <c r="EV238"/>
  <c r="ET238"/>
  <c r="ER238"/>
  <c r="EP238"/>
  <c r="EN238"/>
  <c r="EL238"/>
  <c r="EJ238"/>
  <c r="GD237"/>
  <c r="GB237"/>
  <c r="FZ237"/>
  <c r="FX237"/>
  <c r="FV237"/>
  <c r="FT237"/>
  <c r="FR237"/>
  <c r="FP237"/>
  <c r="FN237"/>
  <c r="FL237"/>
  <c r="FJ237"/>
  <c r="FH237"/>
  <c r="FF237"/>
  <c r="FD237"/>
  <c r="FB237"/>
  <c r="EZ237"/>
  <c r="EX237"/>
  <c r="EV237"/>
  <c r="ET237"/>
  <c r="ER237"/>
  <c r="EP237"/>
  <c r="EN237"/>
  <c r="EL237"/>
  <c r="EJ237"/>
  <c r="GD236"/>
  <c r="GB236"/>
  <c r="FZ236"/>
  <c r="FX236"/>
  <c r="FV236"/>
  <c r="FT236"/>
  <c r="FR236"/>
  <c r="FP236"/>
  <c r="FN236"/>
  <c r="FL236"/>
  <c r="FJ236"/>
  <c r="FH236"/>
  <c r="FF236"/>
  <c r="FD236"/>
  <c r="FB236"/>
  <c r="EZ236"/>
  <c r="EX236"/>
  <c r="EV236"/>
  <c r="ET236"/>
  <c r="ER236"/>
  <c r="EP236"/>
  <c r="EN236"/>
  <c r="EL236"/>
  <c r="EJ236"/>
  <c r="GD235"/>
  <c r="GB235"/>
  <c r="FZ235"/>
  <c r="FX235"/>
  <c r="FV235"/>
  <c r="FT235"/>
  <c r="FR235"/>
  <c r="FP235"/>
  <c r="FN235"/>
  <c r="FL235"/>
  <c r="FJ235"/>
  <c r="FH235"/>
  <c r="FF235"/>
  <c r="FD235"/>
  <c r="FB235"/>
  <c r="EZ235"/>
  <c r="EX235"/>
  <c r="EV235"/>
  <c r="ET235"/>
  <c r="ER235"/>
  <c r="EP235"/>
  <c r="EN235"/>
  <c r="EL235"/>
  <c r="EJ235"/>
  <c r="GD234"/>
  <c r="GB234"/>
  <c r="FZ234"/>
  <c r="FX234"/>
  <c r="FV234"/>
  <c r="FT234"/>
  <c r="FR234"/>
  <c r="FP234"/>
  <c r="FN234"/>
  <c r="FL234"/>
  <c r="FJ234"/>
  <c r="FH234"/>
  <c r="FF234"/>
  <c r="FD234"/>
  <c r="FB234"/>
  <c r="EZ234"/>
  <c r="EX234"/>
  <c r="EV234"/>
  <c r="ET234"/>
  <c r="ER234"/>
  <c r="EP234"/>
  <c r="EN234"/>
  <c r="EL234"/>
  <c r="EJ234"/>
  <c r="GD233"/>
  <c r="GB233"/>
  <c r="FZ233"/>
  <c r="FX233"/>
  <c r="FV233"/>
  <c r="FT233"/>
  <c r="FR233"/>
  <c r="FP233"/>
  <c r="FN233"/>
  <c r="FL233"/>
  <c r="FJ233"/>
  <c r="FH233"/>
  <c r="FF233"/>
  <c r="FD233"/>
  <c r="FB233"/>
  <c r="EZ233"/>
  <c r="EX233"/>
  <c r="EV233"/>
  <c r="ET233"/>
  <c r="ER233"/>
  <c r="EP233"/>
  <c r="EN233"/>
  <c r="EL233"/>
  <c r="EJ233"/>
  <c r="GD232"/>
  <c r="GB232"/>
  <c r="FZ232"/>
  <c r="FX232"/>
  <c r="FV232"/>
  <c r="FT232"/>
  <c r="FR232"/>
  <c r="FP232"/>
  <c r="FN232"/>
  <c r="FL232"/>
  <c r="FJ232"/>
  <c r="FH232"/>
  <c r="FF232"/>
  <c r="FD232"/>
  <c r="FB232"/>
  <c r="EZ232"/>
  <c r="EX232"/>
  <c r="EV232"/>
  <c r="ET232"/>
  <c r="ER232"/>
  <c r="EP232"/>
  <c r="EN232"/>
  <c r="EL232"/>
  <c r="EJ232"/>
  <c r="GD231"/>
  <c r="GB231"/>
  <c r="FZ231"/>
  <c r="FX231"/>
  <c r="FV231"/>
  <c r="FT231"/>
  <c r="FR231"/>
  <c r="FP231"/>
  <c r="FN231"/>
  <c r="FL231"/>
  <c r="FJ231"/>
  <c r="FH231"/>
  <c r="FF231"/>
  <c r="FD231"/>
  <c r="FB231"/>
  <c r="EZ231"/>
  <c r="EX231"/>
  <c r="EV231"/>
  <c r="ET231"/>
  <c r="ER231"/>
  <c r="EP231"/>
  <c r="EN231"/>
  <c r="EL231"/>
  <c r="EJ231"/>
  <c r="GD230"/>
  <c r="GB230"/>
  <c r="FZ230"/>
  <c r="FX230"/>
  <c r="FV230"/>
  <c r="FT230"/>
  <c r="FR230"/>
  <c r="FP230"/>
  <c r="FN230"/>
  <c r="FL230"/>
  <c r="FJ230"/>
  <c r="FH230"/>
  <c r="FF230"/>
  <c r="FD230"/>
  <c r="FB230"/>
  <c r="EZ230"/>
  <c r="EX230"/>
  <c r="EV230"/>
  <c r="ET230"/>
  <c r="ER230"/>
  <c r="EP230"/>
  <c r="EN230"/>
  <c r="EL230"/>
  <c r="EJ230"/>
  <c r="GD229"/>
  <c r="GB229"/>
  <c r="FZ229"/>
  <c r="FX229"/>
  <c r="FV229"/>
  <c r="FT229"/>
  <c r="FR229"/>
  <c r="FP229"/>
  <c r="FN229"/>
  <c r="FL229"/>
  <c r="FJ229"/>
  <c r="FH229"/>
  <c r="FF229"/>
  <c r="FD229"/>
  <c r="FB229"/>
  <c r="EZ229"/>
  <c r="EX229"/>
  <c r="EV229"/>
  <c r="ET229"/>
  <c r="ER229"/>
  <c r="EP229"/>
  <c r="EN229"/>
  <c r="EL229"/>
  <c r="EJ229"/>
  <c r="GD228"/>
  <c r="GB228"/>
  <c r="FZ228"/>
  <c r="FX228"/>
  <c r="FV228"/>
  <c r="FT228"/>
  <c r="FR228"/>
  <c r="FP228"/>
  <c r="FN228"/>
  <c r="FL228"/>
  <c r="FJ228"/>
  <c r="FH228"/>
  <c r="FF228"/>
  <c r="FD228"/>
  <c r="FB228"/>
  <c r="EZ228"/>
  <c r="EX228"/>
  <c r="EV228"/>
  <c r="ET228"/>
  <c r="ER228"/>
  <c r="EP228"/>
  <c r="EN228"/>
  <c r="EL228"/>
  <c r="EJ228"/>
  <c r="GD227"/>
  <c r="GB227"/>
  <c r="FZ227"/>
  <c r="FX227"/>
  <c r="FV227"/>
  <c r="FT227"/>
  <c r="FR227"/>
  <c r="FP227"/>
  <c r="FN227"/>
  <c r="FL227"/>
  <c r="FJ227"/>
  <c r="FH227"/>
  <c r="FF227"/>
  <c r="FD227"/>
  <c r="FB227"/>
  <c r="EZ227"/>
  <c r="EX227"/>
  <c r="EV227"/>
  <c r="ET227"/>
  <c r="ER227"/>
  <c r="EP227"/>
  <c r="EN227"/>
  <c r="EL227"/>
  <c r="EJ227"/>
  <c r="GD226"/>
  <c r="GB226"/>
  <c r="FZ226"/>
  <c r="FX226"/>
  <c r="FV226"/>
  <c r="FT226"/>
  <c r="FR226"/>
  <c r="FP226"/>
  <c r="FN226"/>
  <c r="FL226"/>
  <c r="FJ226"/>
  <c r="FH226"/>
  <c r="FF226"/>
  <c r="FD226"/>
  <c r="FB226"/>
  <c r="EZ226"/>
  <c r="EX226"/>
  <c r="EV226"/>
  <c r="ET226"/>
  <c r="ER226"/>
  <c r="EP226"/>
  <c r="EN226"/>
  <c r="EL226"/>
  <c r="EJ226"/>
  <c r="GD225"/>
  <c r="GB225"/>
  <c r="FZ225"/>
  <c r="FX225"/>
  <c r="FV225"/>
  <c r="FT225"/>
  <c r="FR225"/>
  <c r="FP225"/>
  <c r="FN225"/>
  <c r="FL225"/>
  <c r="FJ225"/>
  <c r="FH225"/>
  <c r="FF225"/>
  <c r="FD225"/>
  <c r="FB225"/>
  <c r="EZ225"/>
  <c r="EX225"/>
  <c r="EV225"/>
  <c r="ET225"/>
  <c r="ER225"/>
  <c r="EP225"/>
  <c r="EN225"/>
  <c r="EL225"/>
  <c r="EJ225"/>
  <c r="GD224"/>
  <c r="GB224"/>
  <c r="FZ224"/>
  <c r="FX224"/>
  <c r="FV224"/>
  <c r="FT224"/>
  <c r="FR224"/>
  <c r="FP224"/>
  <c r="FN224"/>
  <c r="FL224"/>
  <c r="FJ224"/>
  <c r="FH224"/>
  <c r="FF224"/>
  <c r="FD224"/>
  <c r="FB224"/>
  <c r="EZ224"/>
  <c r="EX224"/>
  <c r="EV224"/>
  <c r="ET224"/>
  <c r="ER224"/>
  <c r="EP224"/>
  <c r="EN224"/>
  <c r="EL224"/>
  <c r="EJ224"/>
  <c r="GD223"/>
  <c r="GB223"/>
  <c r="FZ223"/>
  <c r="FX223"/>
  <c r="FV223"/>
  <c r="FT223"/>
  <c r="FR223"/>
  <c r="FP223"/>
  <c r="FN223"/>
  <c r="FL223"/>
  <c r="FJ223"/>
  <c r="FH223"/>
  <c r="FF223"/>
  <c r="FD223"/>
  <c r="FB223"/>
  <c r="EZ223"/>
  <c r="EX223"/>
  <c r="EV223"/>
  <c r="ET223"/>
  <c r="ER223"/>
  <c r="EP223"/>
  <c r="EN223"/>
  <c r="EL223"/>
  <c r="EJ223"/>
  <c r="GD222"/>
  <c r="GB222"/>
  <c r="FZ222"/>
  <c r="FX222"/>
  <c r="FV222"/>
  <c r="FT222"/>
  <c r="FR222"/>
  <c r="FP222"/>
  <c r="FN222"/>
  <c r="FL222"/>
  <c r="FJ222"/>
  <c r="FH222"/>
  <c r="FF222"/>
  <c r="FD222"/>
  <c r="FB222"/>
  <c r="EZ222"/>
  <c r="EX222"/>
  <c r="EV222"/>
  <c r="ET222"/>
  <c r="ER222"/>
  <c r="EP222"/>
  <c r="EN222"/>
  <c r="EL222"/>
  <c r="EJ222"/>
  <c r="GD221"/>
  <c r="GB221"/>
  <c r="FZ221"/>
  <c r="FX221"/>
  <c r="FV221"/>
  <c r="FT221"/>
  <c r="FR221"/>
  <c r="FP221"/>
  <c r="FN221"/>
  <c r="FL221"/>
  <c r="FJ221"/>
  <c r="FH221"/>
  <c r="FF221"/>
  <c r="FD221"/>
  <c r="FB221"/>
  <c r="EZ221"/>
  <c r="EX221"/>
  <c r="EV221"/>
  <c r="ET221"/>
  <c r="ER221"/>
  <c r="EP221"/>
  <c r="EN221"/>
  <c r="EL221"/>
  <c r="EJ221"/>
  <c r="GD220"/>
  <c r="GB220"/>
  <c r="FZ220"/>
  <c r="FX220"/>
  <c r="FV220"/>
  <c r="FT220"/>
  <c r="FR220"/>
  <c r="FP220"/>
  <c r="FN220"/>
  <c r="FL220"/>
  <c r="FJ220"/>
  <c r="FH220"/>
  <c r="FF220"/>
  <c r="FD220"/>
  <c r="FB220"/>
  <c r="EZ220"/>
  <c r="EX220"/>
  <c r="EV220"/>
  <c r="ET220"/>
  <c r="ER220"/>
  <c r="EP220"/>
  <c r="EN220"/>
  <c r="EL220"/>
  <c r="EJ220"/>
  <c r="GD219"/>
  <c r="GB219"/>
  <c r="FZ219"/>
  <c r="FX219"/>
  <c r="FV219"/>
  <c r="FT219"/>
  <c r="FR219"/>
  <c r="FP219"/>
  <c r="FN219"/>
  <c r="FL219"/>
  <c r="FJ219"/>
  <c r="FH219"/>
  <c r="FF219"/>
  <c r="FD219"/>
  <c r="FB219"/>
  <c r="EZ219"/>
  <c r="EX219"/>
  <c r="EV219"/>
  <c r="ET219"/>
  <c r="ER219"/>
  <c r="EP219"/>
  <c r="EN219"/>
  <c r="EL219"/>
  <c r="EJ219"/>
  <c r="GD218"/>
  <c r="GB218"/>
  <c r="FZ218"/>
  <c r="FX218"/>
  <c r="FV218"/>
  <c r="FT218"/>
  <c r="FR218"/>
  <c r="FP218"/>
  <c r="FN218"/>
  <c r="FL218"/>
  <c r="FJ218"/>
  <c r="FH218"/>
  <c r="FF218"/>
  <c r="FD218"/>
  <c r="FB218"/>
  <c r="EZ218"/>
  <c r="EX218"/>
  <c r="EV218"/>
  <c r="ET218"/>
  <c r="ER218"/>
  <c r="EP218"/>
  <c r="EN218"/>
  <c r="EL218"/>
  <c r="EJ218"/>
  <c r="GD217"/>
  <c r="GB217"/>
  <c r="FZ217"/>
  <c r="FX217"/>
  <c r="FV217"/>
  <c r="FT217"/>
  <c r="FR217"/>
  <c r="FP217"/>
  <c r="FN217"/>
  <c r="FL217"/>
  <c r="FJ217"/>
  <c r="FH217"/>
  <c r="FF217"/>
  <c r="FD217"/>
  <c r="FB217"/>
  <c r="EZ217"/>
  <c r="EX217"/>
  <c r="EV217"/>
  <c r="ET217"/>
  <c r="ER217"/>
  <c r="EP217"/>
  <c r="EN217"/>
  <c r="EL217"/>
  <c r="EJ217"/>
  <c r="GD216"/>
  <c r="GB216"/>
  <c r="FZ216"/>
  <c r="FX216"/>
  <c r="FV216"/>
  <c r="FT216"/>
  <c r="FR216"/>
  <c r="FP216"/>
  <c r="FN216"/>
  <c r="FL216"/>
  <c r="FJ216"/>
  <c r="FH216"/>
  <c r="FF216"/>
  <c r="FD216"/>
  <c r="FB216"/>
  <c r="EZ216"/>
  <c r="EX216"/>
  <c r="EV216"/>
  <c r="ET216"/>
  <c r="ER216"/>
  <c r="EP216"/>
  <c r="EN216"/>
  <c r="EL216"/>
  <c r="EJ216"/>
  <c r="GD215"/>
  <c r="GB215"/>
  <c r="FZ215"/>
  <c r="FX215"/>
  <c r="FV215"/>
  <c r="FT215"/>
  <c r="FR215"/>
  <c r="FP215"/>
  <c r="FN215"/>
  <c r="FL215"/>
  <c r="FJ215"/>
  <c r="FH215"/>
  <c r="FF215"/>
  <c r="FD215"/>
  <c r="FB215"/>
  <c r="EZ215"/>
  <c r="EX215"/>
  <c r="EV215"/>
  <c r="ET215"/>
  <c r="ER215"/>
  <c r="EP215"/>
  <c r="EN215"/>
  <c r="EL215"/>
  <c r="EJ215"/>
  <c r="GD214"/>
  <c r="GB214"/>
  <c r="FZ214"/>
  <c r="FX214"/>
  <c r="FV214"/>
  <c r="FT214"/>
  <c r="FR214"/>
  <c r="FP214"/>
  <c r="FN214"/>
  <c r="FL214"/>
  <c r="FJ214"/>
  <c r="FH214"/>
  <c r="FF214"/>
  <c r="FD214"/>
  <c r="FB214"/>
  <c r="EZ214"/>
  <c r="EX214"/>
  <c r="EV214"/>
  <c r="ET214"/>
  <c r="ER214"/>
  <c r="EP214"/>
  <c r="EN214"/>
  <c r="EL214"/>
  <c r="EJ214"/>
  <c r="GD213"/>
  <c r="GB213"/>
  <c r="FZ213"/>
  <c r="FX213"/>
  <c r="FV213"/>
  <c r="FT213"/>
  <c r="FR213"/>
  <c r="FP213"/>
  <c r="FN213"/>
  <c r="FL213"/>
  <c r="FJ213"/>
  <c r="FH213"/>
  <c r="FF213"/>
  <c r="FD213"/>
  <c r="FB213"/>
  <c r="EZ213"/>
  <c r="EX213"/>
  <c r="EV213"/>
  <c r="ET213"/>
  <c r="ER213"/>
  <c r="EP213"/>
  <c r="EN213"/>
  <c r="EL213"/>
  <c r="EJ213"/>
  <c r="GD212"/>
  <c r="GB212"/>
  <c r="FZ212"/>
  <c r="FX212"/>
  <c r="FV212"/>
  <c r="FT212"/>
  <c r="FR212"/>
  <c r="FP212"/>
  <c r="FN212"/>
  <c r="FL212"/>
  <c r="FJ212"/>
  <c r="FH212"/>
  <c r="FF212"/>
  <c r="FD212"/>
  <c r="FB212"/>
  <c r="EZ212"/>
  <c r="EX212"/>
  <c r="EV212"/>
  <c r="ET212"/>
  <c r="ER212"/>
  <c r="EP212"/>
  <c r="EN212"/>
  <c r="EL212"/>
  <c r="EJ212"/>
  <c r="GD211"/>
  <c r="GB211"/>
  <c r="FZ211"/>
  <c r="FX211"/>
  <c r="FV211"/>
  <c r="FT211"/>
  <c r="FR211"/>
  <c r="FP211"/>
  <c r="FN211"/>
  <c r="FL211"/>
  <c r="FJ211"/>
  <c r="FH211"/>
  <c r="FF211"/>
  <c r="FD211"/>
  <c r="FB211"/>
  <c r="EZ211"/>
  <c r="EX211"/>
  <c r="EV211"/>
  <c r="ET211"/>
  <c r="ER211"/>
  <c r="EP211"/>
  <c r="EN211"/>
  <c r="EL211"/>
  <c r="EJ211"/>
  <c r="GD210"/>
  <c r="GB210"/>
  <c r="FZ210"/>
  <c r="FX210"/>
  <c r="FV210"/>
  <c r="FT210"/>
  <c r="FR210"/>
  <c r="FP210"/>
  <c r="FN210"/>
  <c r="FL210"/>
  <c r="FJ210"/>
  <c r="FH210"/>
  <c r="FF210"/>
  <c r="FD210"/>
  <c r="FB210"/>
  <c r="EZ210"/>
  <c r="EX210"/>
  <c r="EV210"/>
  <c r="ET210"/>
  <c r="ER210"/>
  <c r="EP210"/>
  <c r="EN210"/>
  <c r="EL210"/>
  <c r="EJ210"/>
  <c r="GD209"/>
  <c r="GB209"/>
  <c r="FZ209"/>
  <c r="FX209"/>
  <c r="FV209"/>
  <c r="FT209"/>
  <c r="FR209"/>
  <c r="FP209"/>
  <c r="FN209"/>
  <c r="FL209"/>
  <c r="FJ209"/>
  <c r="FH209"/>
  <c r="FF209"/>
  <c r="FD209"/>
  <c r="FB209"/>
  <c r="EZ209"/>
  <c r="EX209"/>
  <c r="EV209"/>
  <c r="ET209"/>
  <c r="ER209"/>
  <c r="EP209"/>
  <c r="EN209"/>
  <c r="EL209"/>
  <c r="EJ209"/>
  <c r="GD208"/>
  <c r="GB208"/>
  <c r="FZ208"/>
  <c r="FX208"/>
  <c r="FV208"/>
  <c r="FT208"/>
  <c r="FR208"/>
  <c r="FP208"/>
  <c r="FN208"/>
  <c r="FL208"/>
  <c r="FJ208"/>
  <c r="FH208"/>
  <c r="FF208"/>
  <c r="FD208"/>
  <c r="FB208"/>
  <c r="EZ208"/>
  <c r="EX208"/>
  <c r="EV208"/>
  <c r="ET208"/>
  <c r="ER208"/>
  <c r="EP208"/>
  <c r="EN208"/>
  <c r="EL208"/>
  <c r="EJ208"/>
  <c r="GD207"/>
  <c r="GB207"/>
  <c r="FZ207"/>
  <c r="FX207"/>
  <c r="FV207"/>
  <c r="FT207"/>
  <c r="FR207"/>
  <c r="FP207"/>
  <c r="FN207"/>
  <c r="FL207"/>
  <c r="FJ207"/>
  <c r="FH207"/>
  <c r="FF207"/>
  <c r="FD207"/>
  <c r="FB207"/>
  <c r="EZ207"/>
  <c r="EX207"/>
  <c r="EV207"/>
  <c r="ET207"/>
  <c r="ER207"/>
  <c r="EP207"/>
  <c r="EN207"/>
  <c r="EL207"/>
  <c r="EJ207"/>
  <c r="GD206"/>
  <c r="GB206"/>
  <c r="FZ206"/>
  <c r="FX206"/>
  <c r="FV206"/>
  <c r="FT206"/>
  <c r="FR206"/>
  <c r="FP206"/>
  <c r="FN206"/>
  <c r="FL206"/>
  <c r="FJ206"/>
  <c r="FH206"/>
  <c r="FF206"/>
  <c r="FD206"/>
  <c r="FB206"/>
  <c r="EZ206"/>
  <c r="EX206"/>
  <c r="EV206"/>
  <c r="ET206"/>
  <c r="ER206"/>
  <c r="EP206"/>
  <c r="EN206"/>
  <c r="EL206"/>
  <c r="EJ206"/>
  <c r="GD205"/>
  <c r="GB205"/>
  <c r="FZ205"/>
  <c r="FX205"/>
  <c r="FV205"/>
  <c r="FT205"/>
  <c r="FR205"/>
  <c r="FP205"/>
  <c r="FN205"/>
  <c r="FL205"/>
  <c r="FJ205"/>
  <c r="FH205"/>
  <c r="FF205"/>
  <c r="FD205"/>
  <c r="FB205"/>
  <c r="EZ205"/>
  <c r="EX205"/>
  <c r="EV205"/>
  <c r="ET205"/>
  <c r="ER205"/>
  <c r="EP205"/>
  <c r="EN205"/>
  <c r="EL205"/>
  <c r="EJ205"/>
  <c r="GD204"/>
  <c r="GB204"/>
  <c r="FZ204"/>
  <c r="FX204"/>
  <c r="FV204"/>
  <c r="FT204"/>
  <c r="FR204"/>
  <c r="FP204"/>
  <c r="FN204"/>
  <c r="FL204"/>
  <c r="FJ204"/>
  <c r="FH204"/>
  <c r="FF204"/>
  <c r="FD204"/>
  <c r="FB204"/>
  <c r="EZ204"/>
  <c r="EX204"/>
  <c r="EV204"/>
  <c r="ET204"/>
  <c r="ER204"/>
  <c r="EP204"/>
  <c r="EN204"/>
  <c r="EL204"/>
  <c r="EJ204"/>
  <c r="GD203"/>
  <c r="GB203"/>
  <c r="FZ203"/>
  <c r="FX203"/>
  <c r="FV203"/>
  <c r="FT203"/>
  <c r="FR203"/>
  <c r="FP203"/>
  <c r="FN203"/>
  <c r="FL203"/>
  <c r="FJ203"/>
  <c r="FH203"/>
  <c r="FF203"/>
  <c r="FD203"/>
  <c r="FB203"/>
  <c r="EZ203"/>
  <c r="EX203"/>
  <c r="EV203"/>
  <c r="ET203"/>
  <c r="ER203"/>
  <c r="EP203"/>
  <c r="EN203"/>
  <c r="EL203"/>
  <c r="EJ203"/>
  <c r="GD202"/>
  <c r="GB202"/>
  <c r="FZ202"/>
  <c r="FX202"/>
  <c r="FV202"/>
  <c r="FT202"/>
  <c r="FR202"/>
  <c r="FP202"/>
  <c r="FN202"/>
  <c r="FL202"/>
  <c r="FJ202"/>
  <c r="FH202"/>
  <c r="FF202"/>
  <c r="FD202"/>
  <c r="FB202"/>
  <c r="EZ202"/>
  <c r="EX202"/>
  <c r="EV202"/>
  <c r="ET202"/>
  <c r="ER202"/>
  <c r="EP202"/>
  <c r="EN202"/>
  <c r="EL202"/>
  <c r="EJ202"/>
  <c r="GD201"/>
  <c r="GB201"/>
  <c r="FZ201"/>
  <c r="FX201"/>
  <c r="FV201"/>
  <c r="FT201"/>
  <c r="FR201"/>
  <c r="FP201"/>
  <c r="FN201"/>
  <c r="FL201"/>
  <c r="FJ201"/>
  <c r="FH201"/>
  <c r="FF201"/>
  <c r="FD201"/>
  <c r="FB201"/>
  <c r="EZ201"/>
  <c r="EX201"/>
  <c r="EV201"/>
  <c r="ET201"/>
  <c r="ER201"/>
  <c r="EP201"/>
  <c r="EN201"/>
  <c r="EL201"/>
  <c r="EJ201"/>
  <c r="GD200"/>
  <c r="GB200"/>
  <c r="FZ200"/>
  <c r="FX200"/>
  <c r="FV200"/>
  <c r="FT200"/>
  <c r="FR200"/>
  <c r="FP200"/>
  <c r="FN200"/>
  <c r="FL200"/>
  <c r="FJ200"/>
  <c r="FH200"/>
  <c r="FF200"/>
  <c r="FD200"/>
  <c r="FB200"/>
  <c r="EZ200"/>
  <c r="EX200"/>
  <c r="EV200"/>
  <c r="ET200"/>
  <c r="ER200"/>
  <c r="EP200"/>
  <c r="EN200"/>
  <c r="EL200"/>
  <c r="EJ200"/>
  <c r="GD199"/>
  <c r="GB199"/>
  <c r="FZ199"/>
  <c r="FX199"/>
  <c r="FV199"/>
  <c r="FT199"/>
  <c r="FR199"/>
  <c r="FP199"/>
  <c r="FN199"/>
  <c r="FL199"/>
  <c r="FJ199"/>
  <c r="FH199"/>
  <c r="FF199"/>
  <c r="FD199"/>
  <c r="FB199"/>
  <c r="EZ199"/>
  <c r="EX199"/>
  <c r="EV199"/>
  <c r="ET199"/>
  <c r="ER199"/>
  <c r="EP199"/>
  <c r="EN199"/>
  <c r="EL199"/>
  <c r="EJ199"/>
  <c r="GD198"/>
  <c r="GB198"/>
  <c r="FZ198"/>
  <c r="FX198"/>
  <c r="FV198"/>
  <c r="FT198"/>
  <c r="FR198"/>
  <c r="FP198"/>
  <c r="FN198"/>
  <c r="FL198"/>
  <c r="FJ198"/>
  <c r="FH198"/>
  <c r="FF198"/>
  <c r="FD198"/>
  <c r="FB198"/>
  <c r="EZ198"/>
  <c r="EX198"/>
  <c r="EV198"/>
  <c r="ET198"/>
  <c r="ER198"/>
  <c r="EP198"/>
  <c r="EN198"/>
  <c r="EL198"/>
  <c r="EJ198"/>
  <c r="GD197"/>
  <c r="GB197"/>
  <c r="FZ197"/>
  <c r="FX197"/>
  <c r="FV197"/>
  <c r="FT197"/>
  <c r="FR197"/>
  <c r="FP197"/>
  <c r="FN197"/>
  <c r="FL197"/>
  <c r="FJ197"/>
  <c r="FH197"/>
  <c r="FF197"/>
  <c r="FD197"/>
  <c r="FB197"/>
  <c r="EZ197"/>
  <c r="EX197"/>
  <c r="EV197"/>
  <c r="ET197"/>
  <c r="ER197"/>
  <c r="EP197"/>
  <c r="EN197"/>
  <c r="EL197"/>
  <c r="EJ197"/>
  <c r="GD196"/>
  <c r="GB196"/>
  <c r="FZ196"/>
  <c r="FX196"/>
  <c r="FV196"/>
  <c r="FT196"/>
  <c r="FR196"/>
  <c r="FP196"/>
  <c r="FN196"/>
  <c r="FL196"/>
  <c r="FJ196"/>
  <c r="FH196"/>
  <c r="FF196"/>
  <c r="FD196"/>
  <c r="FB196"/>
  <c r="EZ196"/>
  <c r="EX196"/>
  <c r="EV196"/>
  <c r="ET196"/>
  <c r="ER196"/>
  <c r="EP196"/>
  <c r="EN196"/>
  <c r="EL196"/>
  <c r="EJ196"/>
  <c r="GD195"/>
  <c r="GB195"/>
  <c r="FZ195"/>
  <c r="FX195"/>
  <c r="FV195"/>
  <c r="FT195"/>
  <c r="FR195"/>
  <c r="FP195"/>
  <c r="FN195"/>
  <c r="FL195"/>
  <c r="FJ195"/>
  <c r="FH195"/>
  <c r="FF195"/>
  <c r="FD195"/>
  <c r="FB195"/>
  <c r="EZ195"/>
  <c r="EX195"/>
  <c r="EV195"/>
  <c r="ET195"/>
  <c r="ER195"/>
  <c r="EP195"/>
  <c r="EN195"/>
  <c r="EL195"/>
  <c r="EJ195"/>
  <c r="GD194"/>
  <c r="GB194"/>
  <c r="FZ194"/>
  <c r="FX194"/>
  <c r="FV194"/>
  <c r="FT194"/>
  <c r="FR194"/>
  <c r="FP194"/>
  <c r="FN194"/>
  <c r="FL194"/>
  <c r="FJ194"/>
  <c r="FH194"/>
  <c r="FF194"/>
  <c r="FD194"/>
  <c r="FB194"/>
  <c r="EZ194"/>
  <c r="EX194"/>
  <c r="EV194"/>
  <c r="ET194"/>
  <c r="ER194"/>
  <c r="EP194"/>
  <c r="EN194"/>
  <c r="EL194"/>
  <c r="EJ194"/>
  <c r="GD193"/>
  <c r="GB193"/>
  <c r="FZ193"/>
  <c r="FX193"/>
  <c r="FV193"/>
  <c r="FT193"/>
  <c r="FR193"/>
  <c r="FP193"/>
  <c r="FN193"/>
  <c r="FL193"/>
  <c r="FJ193"/>
  <c r="FH193"/>
  <c r="FF193"/>
  <c r="FD193"/>
  <c r="FB193"/>
  <c r="EZ193"/>
  <c r="EX193"/>
  <c r="EV193"/>
  <c r="ET193"/>
  <c r="ER193"/>
  <c r="EP193"/>
  <c r="EN193"/>
  <c r="EL193"/>
  <c r="EJ193"/>
  <c r="GD192"/>
  <c r="GB192"/>
  <c r="FZ192"/>
  <c r="FX192"/>
  <c r="FV192"/>
  <c r="FT192"/>
  <c r="FR192"/>
  <c r="FP192"/>
  <c r="FN192"/>
  <c r="FL192"/>
  <c r="FJ192"/>
  <c r="FH192"/>
  <c r="FF192"/>
  <c r="FD192"/>
  <c r="FB192"/>
  <c r="EZ192"/>
  <c r="EX192"/>
  <c r="EV192"/>
  <c r="ET192"/>
  <c r="ER192"/>
  <c r="EP192"/>
  <c r="EN192"/>
  <c r="EL192"/>
  <c r="EJ192"/>
  <c r="GD191"/>
  <c r="GB191"/>
  <c r="FZ191"/>
  <c r="FX191"/>
  <c r="FV191"/>
  <c r="FT191"/>
  <c r="FR191"/>
  <c r="FP191"/>
  <c r="FN191"/>
  <c r="FL191"/>
  <c r="FJ191"/>
  <c r="FH191"/>
  <c r="FF191"/>
  <c r="FD191"/>
  <c r="FB191"/>
  <c r="EZ191"/>
  <c r="EX191"/>
  <c r="EV191"/>
  <c r="ET191"/>
  <c r="ER191"/>
  <c r="EP191"/>
  <c r="EN191"/>
  <c r="EL191"/>
  <c r="EJ191"/>
  <c r="GD190"/>
  <c r="GB190"/>
  <c r="FZ190"/>
  <c r="FX190"/>
  <c r="FV190"/>
  <c r="FT190"/>
  <c r="FR190"/>
  <c r="FP190"/>
  <c r="FN190"/>
  <c r="FL190"/>
  <c r="FJ190"/>
  <c r="FH190"/>
  <c r="FF190"/>
  <c r="FD190"/>
  <c r="FB190"/>
  <c r="EZ190"/>
  <c r="EX190"/>
  <c r="EV190"/>
  <c r="ET190"/>
  <c r="ER190"/>
  <c r="EP190"/>
  <c r="EN190"/>
  <c r="EL190"/>
  <c r="EJ190"/>
  <c r="GD189"/>
  <c r="GB189"/>
  <c r="FZ189"/>
  <c r="FX189"/>
  <c r="FV189"/>
  <c r="FT189"/>
  <c r="FR189"/>
  <c r="FP189"/>
  <c r="FN189"/>
  <c r="FL189"/>
  <c r="FJ189"/>
  <c r="FH189"/>
  <c r="FF189"/>
  <c r="FD189"/>
  <c r="FB189"/>
  <c r="EZ189"/>
  <c r="EX189"/>
  <c r="EV189"/>
  <c r="ET189"/>
  <c r="ER189"/>
  <c r="EP189"/>
  <c r="EN189"/>
  <c r="EL189"/>
  <c r="EJ189"/>
  <c r="GD188"/>
  <c r="GB188"/>
  <c r="FZ188"/>
  <c r="FX188"/>
  <c r="FV188"/>
  <c r="FT188"/>
  <c r="FR188"/>
  <c r="FP188"/>
  <c r="FN188"/>
  <c r="FL188"/>
  <c r="FJ188"/>
  <c r="FH188"/>
  <c r="FF188"/>
  <c r="FD188"/>
  <c r="FB188"/>
  <c r="EZ188"/>
  <c r="EX188"/>
  <c r="EV188"/>
  <c r="ET188"/>
  <c r="ER188"/>
  <c r="EP188"/>
  <c r="EN188"/>
  <c r="EL188"/>
  <c r="EJ188"/>
  <c r="GD187"/>
  <c r="GB187"/>
  <c r="FZ187"/>
  <c r="FX187"/>
  <c r="FV187"/>
  <c r="FT187"/>
  <c r="FR187"/>
  <c r="FP187"/>
  <c r="FN187"/>
  <c r="FL187"/>
  <c r="FJ187"/>
  <c r="FH187"/>
  <c r="FF187"/>
  <c r="FD187"/>
  <c r="FB187"/>
  <c r="EZ187"/>
  <c r="EX187"/>
  <c r="EV187"/>
  <c r="ET187"/>
  <c r="ER187"/>
  <c r="EP187"/>
  <c r="EN187"/>
  <c r="EL187"/>
  <c r="EJ187"/>
  <c r="GD186"/>
  <c r="GB186"/>
  <c r="FZ186"/>
  <c r="FX186"/>
  <c r="FV186"/>
  <c r="FT186"/>
  <c r="FR186"/>
  <c r="FP186"/>
  <c r="FN186"/>
  <c r="FL186"/>
  <c r="FJ186"/>
  <c r="FH186"/>
  <c r="FF186"/>
  <c r="FD186"/>
  <c r="FB186"/>
  <c r="EZ186"/>
  <c r="EX186"/>
  <c r="EV186"/>
  <c r="ET186"/>
  <c r="ER186"/>
  <c r="EP186"/>
  <c r="EN186"/>
  <c r="EL186"/>
  <c r="EJ186"/>
  <c r="GD185"/>
  <c r="GB185"/>
  <c r="FZ185"/>
  <c r="FX185"/>
  <c r="FV185"/>
  <c r="FT185"/>
  <c r="FR185"/>
  <c r="FP185"/>
  <c r="FN185"/>
  <c r="FL185"/>
  <c r="FJ185"/>
  <c r="FH185"/>
  <c r="FF185"/>
  <c r="FD185"/>
  <c r="FB185"/>
  <c r="EZ185"/>
  <c r="EX185"/>
  <c r="EV185"/>
  <c r="ET185"/>
  <c r="ER185"/>
  <c r="EP185"/>
  <c r="EN185"/>
  <c r="EL185"/>
  <c r="EJ185"/>
  <c r="GD184"/>
  <c r="GB184"/>
  <c r="FZ184"/>
  <c r="FX184"/>
  <c r="FV184"/>
  <c r="FT184"/>
  <c r="FR184"/>
  <c r="FP184"/>
  <c r="FN184"/>
  <c r="FL184"/>
  <c r="FJ184"/>
  <c r="FH184"/>
  <c r="FF184"/>
  <c r="FD184"/>
  <c r="FB184"/>
  <c r="EZ184"/>
  <c r="EX184"/>
  <c r="EV184"/>
  <c r="ET184"/>
  <c r="ER184"/>
  <c r="EP184"/>
  <c r="EN184"/>
  <c r="EL184"/>
  <c r="EJ184"/>
  <c r="GD183"/>
  <c r="GB183"/>
  <c r="FZ183"/>
  <c r="FX183"/>
  <c r="FV183"/>
  <c r="FT183"/>
  <c r="FR183"/>
  <c r="FP183"/>
  <c r="FN183"/>
  <c r="FL183"/>
  <c r="FJ183"/>
  <c r="FH183"/>
  <c r="FF183"/>
  <c r="FD183"/>
  <c r="FB183"/>
  <c r="EZ183"/>
  <c r="EX183"/>
  <c r="EV183"/>
  <c r="ET183"/>
  <c r="ER183"/>
  <c r="EP183"/>
  <c r="EN183"/>
  <c r="EL183"/>
  <c r="EJ183"/>
  <c r="GD182"/>
  <c r="GB182"/>
  <c r="FZ182"/>
  <c r="FX182"/>
  <c r="FV182"/>
  <c r="FT182"/>
  <c r="FR182"/>
  <c r="FP182"/>
  <c r="FN182"/>
  <c r="FL182"/>
  <c r="FJ182"/>
  <c r="FH182"/>
  <c r="FF182"/>
  <c r="FD182"/>
  <c r="FB182"/>
  <c r="EZ182"/>
  <c r="EX182"/>
  <c r="EV182"/>
  <c r="ET182"/>
  <c r="ER182"/>
  <c r="EP182"/>
  <c r="EN182"/>
  <c r="EL182"/>
  <c r="EJ182"/>
  <c r="GD181"/>
  <c r="GB181"/>
  <c r="FZ181"/>
  <c r="FX181"/>
  <c r="FV181"/>
  <c r="FT181"/>
  <c r="FR181"/>
  <c r="FP181"/>
  <c r="FN181"/>
  <c r="FL181"/>
  <c r="FJ181"/>
  <c r="FH181"/>
  <c r="FF181"/>
  <c r="FD181"/>
  <c r="FB181"/>
  <c r="EZ181"/>
  <c r="EX181"/>
  <c r="EV181"/>
  <c r="ET181"/>
  <c r="ER181"/>
  <c r="EP181"/>
  <c r="EN181"/>
  <c r="EL181"/>
  <c r="EJ181"/>
  <c r="GD180"/>
  <c r="GB180"/>
  <c r="FZ180"/>
  <c r="FX180"/>
  <c r="FV180"/>
  <c r="FT180"/>
  <c r="FR180"/>
  <c r="FP180"/>
  <c r="FN180"/>
  <c r="FL180"/>
  <c r="FJ180"/>
  <c r="FH180"/>
  <c r="FF180"/>
  <c r="FD180"/>
  <c r="FB180"/>
  <c r="EZ180"/>
  <c r="EX180"/>
  <c r="EV180"/>
  <c r="ET180"/>
  <c r="ER180"/>
  <c r="EP180"/>
  <c r="EN180"/>
  <c r="EL180"/>
  <c r="EJ180"/>
  <c r="GD179"/>
  <c r="GB179"/>
  <c r="FZ179"/>
  <c r="FX179"/>
  <c r="FV179"/>
  <c r="FT179"/>
  <c r="FR179"/>
  <c r="FP179"/>
  <c r="FN179"/>
  <c r="FL179"/>
  <c r="FJ179"/>
  <c r="FH179"/>
  <c r="FF179"/>
  <c r="FD179"/>
  <c r="FB179"/>
  <c r="EZ179"/>
  <c r="EX179"/>
  <c r="EV179"/>
  <c r="ET179"/>
  <c r="ER179"/>
  <c r="EP179"/>
  <c r="EN179"/>
  <c r="EL179"/>
  <c r="EJ179"/>
  <c r="GD178"/>
  <c r="GB178"/>
  <c r="FZ178"/>
  <c r="FX178"/>
  <c r="FV178"/>
  <c r="FT178"/>
  <c r="FR178"/>
  <c r="FP178"/>
  <c r="FN178"/>
  <c r="FL178"/>
  <c r="FJ178"/>
  <c r="FH178"/>
  <c r="FF178"/>
  <c r="FD178"/>
  <c r="FB178"/>
  <c r="EZ178"/>
  <c r="EX178"/>
  <c r="EV178"/>
  <c r="ET178"/>
  <c r="ER178"/>
  <c r="EP178"/>
  <c r="EN178"/>
  <c r="EL178"/>
  <c r="EJ178"/>
  <c r="GD177"/>
  <c r="GB177"/>
  <c r="FZ177"/>
  <c r="FX177"/>
  <c r="FV177"/>
  <c r="FT177"/>
  <c r="FR177"/>
  <c r="FP177"/>
  <c r="FN177"/>
  <c r="FL177"/>
  <c r="FJ177"/>
  <c r="FH177"/>
  <c r="FF177"/>
  <c r="FD177"/>
  <c r="FB177"/>
  <c r="EZ177"/>
  <c r="EX177"/>
  <c r="EV177"/>
  <c r="ET177"/>
  <c r="ER177"/>
  <c r="EP177"/>
  <c r="EN177"/>
  <c r="EL177"/>
  <c r="EJ177"/>
  <c r="GD176"/>
  <c r="GB176"/>
  <c r="FZ176"/>
  <c r="FX176"/>
  <c r="FV176"/>
  <c r="FT176"/>
  <c r="FR176"/>
  <c r="FP176"/>
  <c r="FN176"/>
  <c r="FL176"/>
  <c r="FJ176"/>
  <c r="FH176"/>
  <c r="FF176"/>
  <c r="FD176"/>
  <c r="FB176"/>
  <c r="EZ176"/>
  <c r="EX176"/>
  <c r="EV176"/>
  <c r="ET176"/>
  <c r="ER176"/>
  <c r="EP176"/>
  <c r="EN176"/>
  <c r="EL176"/>
  <c r="EJ176"/>
  <c r="GD175"/>
  <c r="GB175"/>
  <c r="FZ175"/>
  <c r="FX175"/>
  <c r="FV175"/>
  <c r="FT175"/>
  <c r="FR175"/>
  <c r="FP175"/>
  <c r="FN175"/>
  <c r="FL175"/>
  <c r="FJ175"/>
  <c r="FH175"/>
  <c r="FF175"/>
  <c r="FD175"/>
  <c r="FB175"/>
  <c r="EZ175"/>
  <c r="EX175"/>
  <c r="EV175"/>
  <c r="ET175"/>
  <c r="ER175"/>
  <c r="EP175"/>
  <c r="EN175"/>
  <c r="EL175"/>
  <c r="EJ175"/>
  <c r="GD174"/>
  <c r="GB174"/>
  <c r="FZ174"/>
  <c r="FX174"/>
  <c r="FV174"/>
  <c r="FT174"/>
  <c r="FR174"/>
  <c r="FP174"/>
  <c r="FN174"/>
  <c r="FL174"/>
  <c r="FJ174"/>
  <c r="FH174"/>
  <c r="FF174"/>
  <c r="FD174"/>
  <c r="FB174"/>
  <c r="EZ174"/>
  <c r="EX174"/>
  <c r="EV174"/>
  <c r="ET174"/>
  <c r="ER174"/>
  <c r="EP174"/>
  <c r="EN174"/>
  <c r="EL174"/>
  <c r="EJ174"/>
  <c r="GD173"/>
  <c r="GB173"/>
  <c r="FZ173"/>
  <c r="FX173"/>
  <c r="FV173"/>
  <c r="FT173"/>
  <c r="FR173"/>
  <c r="FP173"/>
  <c r="FN173"/>
  <c r="FL173"/>
  <c r="FJ173"/>
  <c r="FH173"/>
  <c r="FF173"/>
  <c r="FD173"/>
  <c r="FB173"/>
  <c r="EZ173"/>
  <c r="EX173"/>
  <c r="EV173"/>
  <c r="ET173"/>
  <c r="ER173"/>
  <c r="EP173"/>
  <c r="EN173"/>
  <c r="EL173"/>
  <c r="EJ173"/>
  <c r="GD172"/>
  <c r="GB172"/>
  <c r="FZ172"/>
  <c r="FX172"/>
  <c r="FV172"/>
  <c r="FT172"/>
  <c r="FR172"/>
  <c r="FP172"/>
  <c r="FN172"/>
  <c r="FL172"/>
  <c r="FJ172"/>
  <c r="FH172"/>
  <c r="FF172"/>
  <c r="FD172"/>
  <c r="FB172"/>
  <c r="EZ172"/>
  <c r="EX172"/>
  <c r="EV172"/>
  <c r="ET172"/>
  <c r="ER172"/>
  <c r="EP172"/>
  <c r="EN172"/>
  <c r="EL172"/>
  <c r="EJ172"/>
  <c r="GD171"/>
  <c r="GB171"/>
  <c r="FZ171"/>
  <c r="FX171"/>
  <c r="FV171"/>
  <c r="FT171"/>
  <c r="FR171"/>
  <c r="FP171"/>
  <c r="FN171"/>
  <c r="FL171"/>
  <c r="FJ171"/>
  <c r="FH171"/>
  <c r="FF171"/>
  <c r="FD171"/>
  <c r="FB171"/>
  <c r="EZ171"/>
  <c r="EX171"/>
  <c r="EV171"/>
  <c r="ET171"/>
  <c r="ER171"/>
  <c r="EP171"/>
  <c r="EN171"/>
  <c r="EL171"/>
  <c r="EJ171"/>
  <c r="GD170"/>
  <c r="GB170"/>
  <c r="FZ170"/>
  <c r="FX170"/>
  <c r="FV170"/>
  <c r="FT170"/>
  <c r="FR170"/>
  <c r="FP170"/>
  <c r="FN170"/>
  <c r="FL170"/>
  <c r="FJ170"/>
  <c r="FH170"/>
  <c r="FF170"/>
  <c r="FD170"/>
  <c r="FB170"/>
  <c r="EZ170"/>
  <c r="EX170"/>
  <c r="EV170"/>
  <c r="ET170"/>
  <c r="ER170"/>
  <c r="EP170"/>
  <c r="EN170"/>
  <c r="EL170"/>
  <c r="EJ170"/>
  <c r="GD169"/>
  <c r="GB169"/>
  <c r="FZ169"/>
  <c r="FX169"/>
  <c r="FV169"/>
  <c r="FT169"/>
  <c r="FR169"/>
  <c r="FP169"/>
  <c r="FN169"/>
  <c r="FL169"/>
  <c r="FJ169"/>
  <c r="FH169"/>
  <c r="FF169"/>
  <c r="FD169"/>
  <c r="FB169"/>
  <c r="EZ169"/>
  <c r="EX169"/>
  <c r="EV169"/>
  <c r="ET169"/>
  <c r="ER169"/>
  <c r="EP169"/>
  <c r="EN169"/>
  <c r="EL169"/>
  <c r="EJ169"/>
  <c r="GD168"/>
  <c r="GB168"/>
  <c r="FZ168"/>
  <c r="FX168"/>
  <c r="FV168"/>
  <c r="FT168"/>
  <c r="FR168"/>
  <c r="FP168"/>
  <c r="FN168"/>
  <c r="FL168"/>
  <c r="FJ168"/>
  <c r="FH168"/>
  <c r="FF168"/>
  <c r="FD168"/>
  <c r="FB168"/>
  <c r="EZ168"/>
  <c r="EX168"/>
  <c r="EV168"/>
  <c r="ET168"/>
  <c r="ER168"/>
  <c r="EP168"/>
  <c r="EN168"/>
  <c r="EL168"/>
  <c r="EJ168"/>
  <c r="GD167"/>
  <c r="GB167"/>
  <c r="FZ167"/>
  <c r="FX167"/>
  <c r="FV167"/>
  <c r="FT167"/>
  <c r="FR167"/>
  <c r="FP167"/>
  <c r="FN167"/>
  <c r="FL167"/>
  <c r="FJ167"/>
  <c r="FH167"/>
  <c r="FF167"/>
  <c r="FD167"/>
  <c r="FB167"/>
  <c r="EZ167"/>
  <c r="EX167"/>
  <c r="EV167"/>
  <c r="ET167"/>
  <c r="ER167"/>
  <c r="EP167"/>
  <c r="EN167"/>
  <c r="EL167"/>
  <c r="EJ167"/>
  <c r="GD166"/>
  <c r="GB166"/>
  <c r="FZ166"/>
  <c r="FX166"/>
  <c r="FV166"/>
  <c r="FT166"/>
  <c r="FR166"/>
  <c r="FP166"/>
  <c r="FN166"/>
  <c r="FL166"/>
  <c r="FJ166"/>
  <c r="FH166"/>
  <c r="FF166"/>
  <c r="FD166"/>
  <c r="FB166"/>
  <c r="EZ166"/>
  <c r="EX166"/>
  <c r="EV166"/>
  <c r="ET166"/>
  <c r="ER166"/>
  <c r="EP166"/>
  <c r="EN166"/>
  <c r="EL166"/>
  <c r="EJ166"/>
  <c r="GD165"/>
  <c r="GB165"/>
  <c r="FZ165"/>
  <c r="FX165"/>
  <c r="FV165"/>
  <c r="FT165"/>
  <c r="FR165"/>
  <c r="FP165"/>
  <c r="FN165"/>
  <c r="FL165"/>
  <c r="FJ165"/>
  <c r="FH165"/>
  <c r="FF165"/>
  <c r="FD165"/>
  <c r="FB165"/>
  <c r="EZ165"/>
  <c r="EX165"/>
  <c r="EV165"/>
  <c r="ET165"/>
  <c r="ER165"/>
  <c r="EP165"/>
  <c r="EN165"/>
  <c r="EL165"/>
  <c r="EJ165"/>
  <c r="GD164"/>
  <c r="GB164"/>
  <c r="FZ164"/>
  <c r="FX164"/>
  <c r="FV164"/>
  <c r="FT164"/>
  <c r="FR164"/>
  <c r="FP164"/>
  <c r="FN164"/>
  <c r="FL164"/>
  <c r="FJ164"/>
  <c r="FH164"/>
  <c r="FF164"/>
  <c r="FD164"/>
  <c r="FB164"/>
  <c r="EZ164"/>
  <c r="EX164"/>
  <c r="EV164"/>
  <c r="ET164"/>
  <c r="ER164"/>
  <c r="EP164"/>
  <c r="EN164"/>
  <c r="EL164"/>
  <c r="EJ164"/>
  <c r="GD163"/>
  <c r="GB163"/>
  <c r="FZ163"/>
  <c r="FX163"/>
  <c r="FV163"/>
  <c r="FT163"/>
  <c r="FR163"/>
  <c r="FP163"/>
  <c r="FN163"/>
  <c r="FL163"/>
  <c r="FJ163"/>
  <c r="FH163"/>
  <c r="FF163"/>
  <c r="FD163"/>
  <c r="FB163"/>
  <c r="EZ163"/>
  <c r="EX163"/>
  <c r="EV163"/>
  <c r="ET163"/>
  <c r="ER163"/>
  <c r="EP163"/>
  <c r="EN163"/>
  <c r="EL163"/>
  <c r="EJ163"/>
  <c r="GD162"/>
  <c r="GB162"/>
  <c r="FZ162"/>
  <c r="FX162"/>
  <c r="FV162"/>
  <c r="FT162"/>
  <c r="FR162"/>
  <c r="FP162"/>
  <c r="FN162"/>
  <c r="FL162"/>
  <c r="FJ162"/>
  <c r="FH162"/>
  <c r="FF162"/>
  <c r="FD162"/>
  <c r="FB162"/>
  <c r="EZ162"/>
  <c r="EX162"/>
  <c r="EV162"/>
  <c r="ET162"/>
  <c r="ER162"/>
  <c r="EP162"/>
  <c r="EN162"/>
  <c r="EL162"/>
  <c r="EJ162"/>
  <c r="GD161"/>
  <c r="GB161"/>
  <c r="FZ161"/>
  <c r="FX161"/>
  <c r="FV161"/>
  <c r="FT161"/>
  <c r="FR161"/>
  <c r="FP161"/>
  <c r="FN161"/>
  <c r="FL161"/>
  <c r="FJ161"/>
  <c r="FH161"/>
  <c r="FF161"/>
  <c r="FD161"/>
  <c r="FB161"/>
  <c r="EZ161"/>
  <c r="EX161"/>
  <c r="EV161"/>
  <c r="ET161"/>
  <c r="ER161"/>
  <c r="EP161"/>
  <c r="EN161"/>
  <c r="EL161"/>
  <c r="EJ161"/>
  <c r="GD160"/>
  <c r="GB160"/>
  <c r="FZ160"/>
  <c r="FX160"/>
  <c r="FV160"/>
  <c r="FT160"/>
  <c r="FR160"/>
  <c r="FP160"/>
  <c r="FN160"/>
  <c r="FL160"/>
  <c r="FJ160"/>
  <c r="FH160"/>
  <c r="FF160"/>
  <c r="FD160"/>
  <c r="FB160"/>
  <c r="EZ160"/>
  <c r="EX160"/>
  <c r="EV160"/>
  <c r="ET160"/>
  <c r="ER160"/>
  <c r="EP160"/>
  <c r="EN160"/>
  <c r="EL160"/>
  <c r="EJ160"/>
  <c r="GD159"/>
  <c r="GB159"/>
  <c r="FZ159"/>
  <c r="FX159"/>
  <c r="FV159"/>
  <c r="FT159"/>
  <c r="FR159"/>
  <c r="FP159"/>
  <c r="FN159"/>
  <c r="FL159"/>
  <c r="FJ159"/>
  <c r="FH159"/>
  <c r="FF159"/>
  <c r="FD159"/>
  <c r="FB159"/>
  <c r="EZ159"/>
  <c r="EX159"/>
  <c r="EV159"/>
  <c r="ET159"/>
  <c r="ER159"/>
  <c r="EP159"/>
  <c r="EN159"/>
  <c r="EL159"/>
  <c r="EJ159"/>
  <c r="GD158"/>
  <c r="GB158"/>
  <c r="FZ158"/>
  <c r="FX158"/>
  <c r="FV158"/>
  <c r="FT158"/>
  <c r="FR158"/>
  <c r="FP158"/>
  <c r="FN158"/>
  <c r="FL158"/>
  <c r="FJ158"/>
  <c r="FH158"/>
  <c r="FF158"/>
  <c r="FD158"/>
  <c r="FB158"/>
  <c r="EZ158"/>
  <c r="EX158"/>
  <c r="EV158"/>
  <c r="ET158"/>
  <c r="ER158"/>
  <c r="EP158"/>
  <c r="EN158"/>
  <c r="EL158"/>
  <c r="EJ158"/>
  <c r="GD157"/>
  <c r="GB157"/>
  <c r="FZ157"/>
  <c r="FX157"/>
  <c r="FV157"/>
  <c r="FT157"/>
  <c r="FR157"/>
  <c r="FP157"/>
  <c r="FN157"/>
  <c r="FL157"/>
  <c r="FJ157"/>
  <c r="FH157"/>
  <c r="FF157"/>
  <c r="FD157"/>
  <c r="FB157"/>
  <c r="EZ157"/>
  <c r="EX157"/>
  <c r="EV157"/>
  <c r="ET157"/>
  <c r="ER157"/>
  <c r="EP157"/>
  <c r="EN157"/>
  <c r="EL157"/>
  <c r="EJ157"/>
  <c r="GD156"/>
  <c r="GB156"/>
  <c r="FZ156"/>
  <c r="FX156"/>
  <c r="FV156"/>
  <c r="FT156"/>
  <c r="FR156"/>
  <c r="FP156"/>
  <c r="FN156"/>
  <c r="FL156"/>
  <c r="FJ156"/>
  <c r="FH156"/>
  <c r="FF156"/>
  <c r="FD156"/>
  <c r="FB156"/>
  <c r="EZ156"/>
  <c r="EX156"/>
  <c r="EV156"/>
  <c r="ET156"/>
  <c r="ER156"/>
  <c r="EP156"/>
  <c r="EN156"/>
  <c r="EL156"/>
  <c r="EJ156"/>
  <c r="GD155"/>
  <c r="GB155"/>
  <c r="FZ155"/>
  <c r="FX155"/>
  <c r="FV155"/>
  <c r="FT155"/>
  <c r="FR155"/>
  <c r="FP155"/>
  <c r="FN155"/>
  <c r="FL155"/>
  <c r="FJ155"/>
  <c r="FH155"/>
  <c r="FF155"/>
  <c r="FD155"/>
  <c r="FB155"/>
  <c r="EZ155"/>
  <c r="EX155"/>
  <c r="EV155"/>
  <c r="ET155"/>
  <c r="ER155"/>
  <c r="EP155"/>
  <c r="EN155"/>
  <c r="EL155"/>
  <c r="EJ155"/>
  <c r="GD154"/>
  <c r="GB154"/>
  <c r="FZ154"/>
  <c r="FX154"/>
  <c r="FV154"/>
  <c r="FT154"/>
  <c r="FR154"/>
  <c r="FP154"/>
  <c r="FN154"/>
  <c r="FL154"/>
  <c r="FJ154"/>
  <c r="FH154"/>
  <c r="FF154"/>
  <c r="FD154"/>
  <c r="FB154"/>
  <c r="EZ154"/>
  <c r="EX154"/>
  <c r="EV154"/>
  <c r="ET154"/>
  <c r="ER154"/>
  <c r="EP154"/>
  <c r="EN154"/>
  <c r="EL154"/>
  <c r="EJ154"/>
  <c r="GD153"/>
  <c r="GB153"/>
  <c r="FZ153"/>
  <c r="FX153"/>
  <c r="FV153"/>
  <c r="FT153"/>
  <c r="FR153"/>
  <c r="FP153"/>
  <c r="FN153"/>
  <c r="FL153"/>
  <c r="FJ153"/>
  <c r="FH153"/>
  <c r="FF153"/>
  <c r="FD153"/>
  <c r="FB153"/>
  <c r="EZ153"/>
  <c r="EX153"/>
  <c r="EV153"/>
  <c r="ET153"/>
  <c r="ER153"/>
  <c r="EP153"/>
  <c r="EN153"/>
  <c r="EL153"/>
  <c r="EJ153"/>
  <c r="GD152"/>
  <c r="GB152"/>
  <c r="FZ152"/>
  <c r="FX152"/>
  <c r="FV152"/>
  <c r="FT152"/>
  <c r="FR152"/>
  <c r="FP152"/>
  <c r="FN152"/>
  <c r="FL152"/>
  <c r="FJ152"/>
  <c r="FH152"/>
  <c r="FF152"/>
  <c r="FD152"/>
  <c r="FB152"/>
  <c r="EZ152"/>
  <c r="EX152"/>
  <c r="EV152"/>
  <c r="ET152"/>
  <c r="ER152"/>
  <c r="EP152"/>
  <c r="EN152"/>
  <c r="EL152"/>
  <c r="EJ152"/>
  <c r="GD151"/>
  <c r="GB151"/>
  <c r="FZ151"/>
  <c r="FX151"/>
  <c r="FV151"/>
  <c r="FT151"/>
  <c r="FR151"/>
  <c r="FP151"/>
  <c r="FN151"/>
  <c r="FL151"/>
  <c r="FJ151"/>
  <c r="FH151"/>
  <c r="FF151"/>
  <c r="FD151"/>
  <c r="FB151"/>
  <c r="EZ151"/>
  <c r="EX151"/>
  <c r="EV151"/>
  <c r="ET151"/>
  <c r="ER151"/>
  <c r="EP151"/>
  <c r="EN151"/>
  <c r="EL151"/>
  <c r="EJ151"/>
  <c r="GD150"/>
  <c r="GB150"/>
  <c r="FZ150"/>
  <c r="FX150"/>
  <c r="FV150"/>
  <c r="FT150"/>
  <c r="FR150"/>
  <c r="FP150"/>
  <c r="FN150"/>
  <c r="FL150"/>
  <c r="FJ150"/>
  <c r="FH150"/>
  <c r="FF150"/>
  <c r="FD150"/>
  <c r="FB150"/>
  <c r="EZ150"/>
  <c r="EX150"/>
  <c r="EV150"/>
  <c r="ET150"/>
  <c r="ER150"/>
  <c r="EP150"/>
  <c r="EN150"/>
  <c r="EL150"/>
  <c r="EJ150"/>
  <c r="GD149"/>
  <c r="GB149"/>
  <c r="FZ149"/>
  <c r="FX149"/>
  <c r="FV149"/>
  <c r="FT149"/>
  <c r="FR149"/>
  <c r="FP149"/>
  <c r="FN149"/>
  <c r="FL149"/>
  <c r="FJ149"/>
  <c r="FH149"/>
  <c r="FF149"/>
  <c r="FD149"/>
  <c r="FB149"/>
  <c r="EZ149"/>
  <c r="EX149"/>
  <c r="EV149"/>
  <c r="ET149"/>
  <c r="ER149"/>
  <c r="EP149"/>
  <c r="EN149"/>
  <c r="EL149"/>
  <c r="EJ149"/>
  <c r="GD148"/>
  <c r="GB148"/>
  <c r="FZ148"/>
  <c r="FX148"/>
  <c r="FV148"/>
  <c r="FT148"/>
  <c r="FR148"/>
  <c r="FP148"/>
  <c r="FN148"/>
  <c r="FL148"/>
  <c r="FJ148"/>
  <c r="FH148"/>
  <c r="FF148"/>
  <c r="FD148"/>
  <c r="FB148"/>
  <c r="EZ148"/>
  <c r="EX148"/>
  <c r="EV148"/>
  <c r="ET148"/>
  <c r="ER148"/>
  <c r="EP148"/>
  <c r="EN148"/>
  <c r="EL148"/>
  <c r="EJ148"/>
  <c r="GD147"/>
  <c r="GB147"/>
  <c r="FZ147"/>
  <c r="FX147"/>
  <c r="FV147"/>
  <c r="FT147"/>
  <c r="FR147"/>
  <c r="FP147"/>
  <c r="FN147"/>
  <c r="FL147"/>
  <c r="FJ147"/>
  <c r="FH147"/>
  <c r="FF147"/>
  <c r="FD147"/>
  <c r="FB147"/>
  <c r="EZ147"/>
  <c r="EX147"/>
  <c r="EV147"/>
  <c r="ET147"/>
  <c r="ER147"/>
  <c r="EP147"/>
  <c r="EN147"/>
  <c r="EL147"/>
  <c r="EJ147"/>
  <c r="GD146"/>
  <c r="GB146"/>
  <c r="FZ146"/>
  <c r="FX146"/>
  <c r="FV146"/>
  <c r="FT146"/>
  <c r="FR146"/>
  <c r="FP146"/>
  <c r="FN146"/>
  <c r="FL146"/>
  <c r="FJ146"/>
  <c r="FH146"/>
  <c r="FF146"/>
  <c r="FD146"/>
  <c r="FB146"/>
  <c r="EZ146"/>
  <c r="EX146"/>
  <c r="EV146"/>
  <c r="ET146"/>
  <c r="ER146"/>
  <c r="EP146"/>
  <c r="EN146"/>
  <c r="EL146"/>
  <c r="EJ146"/>
  <c r="GD145"/>
  <c r="GB145"/>
  <c r="FZ145"/>
  <c r="FX145"/>
  <c r="FV145"/>
  <c r="FT145"/>
  <c r="FR145"/>
  <c r="FP145"/>
  <c r="FN145"/>
  <c r="FL145"/>
  <c r="FJ145"/>
  <c r="FH145"/>
  <c r="FF145"/>
  <c r="FD145"/>
  <c r="FB145"/>
  <c r="EZ145"/>
  <c r="EX145"/>
  <c r="EV145"/>
  <c r="ET145"/>
  <c r="ER145"/>
  <c r="EP145"/>
  <c r="EN145"/>
  <c r="EL145"/>
  <c r="EJ145"/>
  <c r="GD144"/>
  <c r="GB144"/>
  <c r="FZ144"/>
  <c r="FX144"/>
  <c r="FV144"/>
  <c r="FT144"/>
  <c r="FR144"/>
  <c r="FP144"/>
  <c r="FN144"/>
  <c r="FL144"/>
  <c r="FJ144"/>
  <c r="FH144"/>
  <c r="FF144"/>
  <c r="FD144"/>
  <c r="FB144"/>
  <c r="EZ144"/>
  <c r="EX144"/>
  <c r="EV144"/>
  <c r="ET144"/>
  <c r="ER144"/>
  <c r="EP144"/>
  <c r="EN144"/>
  <c r="EL144"/>
  <c r="EJ144"/>
  <c r="GD143"/>
  <c r="GB143"/>
  <c r="FZ143"/>
  <c r="FX143"/>
  <c r="FV143"/>
  <c r="FT143"/>
  <c r="FR143"/>
  <c r="FP143"/>
  <c r="FN143"/>
  <c r="FL143"/>
  <c r="FJ143"/>
  <c r="FH143"/>
  <c r="FF143"/>
  <c r="FD143"/>
  <c r="FB143"/>
  <c r="EZ143"/>
  <c r="EX143"/>
  <c r="EV143"/>
  <c r="ET143"/>
  <c r="ER143"/>
  <c r="EP143"/>
  <c r="EN143"/>
  <c r="EL143"/>
  <c r="EJ143"/>
  <c r="GD142"/>
  <c r="GB142"/>
  <c r="FZ142"/>
  <c r="FX142"/>
  <c r="FV142"/>
  <c r="FT142"/>
  <c r="FR142"/>
  <c r="FP142"/>
  <c r="FN142"/>
  <c r="FL142"/>
  <c r="FJ142"/>
  <c r="FH142"/>
  <c r="FF142"/>
  <c r="FD142"/>
  <c r="FB142"/>
  <c r="EZ142"/>
  <c r="EX142"/>
  <c r="EV142"/>
  <c r="ET142"/>
  <c r="ER142"/>
  <c r="EP142"/>
  <c r="EN142"/>
  <c r="EL142"/>
  <c r="EJ142"/>
  <c r="GD141"/>
  <c r="GB141"/>
  <c r="FZ141"/>
  <c r="FX141"/>
  <c r="FV141"/>
  <c r="FT141"/>
  <c r="FR141"/>
  <c r="FP141"/>
  <c r="FN141"/>
  <c r="FL141"/>
  <c r="FJ141"/>
  <c r="FH141"/>
  <c r="FF141"/>
  <c r="FD141"/>
  <c r="FB141"/>
  <c r="EZ141"/>
  <c r="EX141"/>
  <c r="EV141"/>
  <c r="ET141"/>
  <c r="ER141"/>
  <c r="EP141"/>
  <c r="EN141"/>
  <c r="EL141"/>
  <c r="EJ141"/>
  <c r="GD140"/>
  <c r="GB140"/>
  <c r="FZ140"/>
  <c r="FX140"/>
  <c r="FV140"/>
  <c r="FT140"/>
  <c r="FR140"/>
  <c r="FP140"/>
  <c r="FN140"/>
  <c r="FL140"/>
  <c r="FJ140"/>
  <c r="FH140"/>
  <c r="FF140"/>
  <c r="FD140"/>
  <c r="FB140"/>
  <c r="EZ140"/>
  <c r="EX140"/>
  <c r="EV140"/>
  <c r="ET140"/>
  <c r="ER140"/>
  <c r="EP140"/>
  <c r="EN140"/>
  <c r="EL140"/>
  <c r="EJ140"/>
  <c r="GD139"/>
  <c r="GB139"/>
  <c r="FZ139"/>
  <c r="FX139"/>
  <c r="FV139"/>
  <c r="FT139"/>
  <c r="FR139"/>
  <c r="FP139"/>
  <c r="FN139"/>
  <c r="FL139"/>
  <c r="FJ139"/>
  <c r="FH139"/>
  <c r="FF139"/>
  <c r="FD139"/>
  <c r="FB139"/>
  <c r="EZ139"/>
  <c r="EX139"/>
  <c r="EV139"/>
  <c r="ET139"/>
  <c r="ER139"/>
  <c r="EP139"/>
  <c r="EN139"/>
  <c r="EL139"/>
  <c r="EJ139"/>
  <c r="GD138"/>
  <c r="GB138"/>
  <c r="FZ138"/>
  <c r="FX138"/>
  <c r="FV138"/>
  <c r="FT138"/>
  <c r="FR138"/>
  <c r="FP138"/>
  <c r="FN138"/>
  <c r="FL138"/>
  <c r="FJ138"/>
  <c r="FH138"/>
  <c r="FF138"/>
  <c r="FD138"/>
  <c r="FB138"/>
  <c r="EZ138"/>
  <c r="EX138"/>
  <c r="EV138"/>
  <c r="ET138"/>
  <c r="ER138"/>
  <c r="EP138"/>
  <c r="EN138"/>
  <c r="EL138"/>
  <c r="EJ138"/>
  <c r="GD137"/>
  <c r="GB137"/>
  <c r="FZ137"/>
  <c r="FX137"/>
  <c r="FV137"/>
  <c r="FT137"/>
  <c r="FR137"/>
  <c r="FP137"/>
  <c r="FN137"/>
  <c r="FL137"/>
  <c r="FJ137"/>
  <c r="FH137"/>
  <c r="FF137"/>
  <c r="FD137"/>
  <c r="FB137"/>
  <c r="EZ137"/>
  <c r="EX137"/>
  <c r="EV137"/>
  <c r="ET137"/>
  <c r="ER137"/>
  <c r="EP137"/>
  <c r="EN137"/>
  <c r="EL137"/>
  <c r="EJ137"/>
  <c r="GD136"/>
  <c r="GB136"/>
  <c r="FZ136"/>
  <c r="FX136"/>
  <c r="FV136"/>
  <c r="FT136"/>
  <c r="FR136"/>
  <c r="FP136"/>
  <c r="FN136"/>
  <c r="FL136"/>
  <c r="FJ136"/>
  <c r="FH136"/>
  <c r="FF136"/>
  <c r="FD136"/>
  <c r="FB136"/>
  <c r="EZ136"/>
  <c r="EX136"/>
  <c r="EV136"/>
  <c r="ET136"/>
  <c r="ER136"/>
  <c r="EP136"/>
  <c r="EN136"/>
  <c r="EL136"/>
  <c r="EJ136"/>
  <c r="GD135"/>
  <c r="GB135"/>
  <c r="FZ135"/>
  <c r="FX135"/>
  <c r="FV135"/>
  <c r="FT135"/>
  <c r="FR135"/>
  <c r="FP135"/>
  <c r="FN135"/>
  <c r="FL135"/>
  <c r="FJ135"/>
  <c r="FH135"/>
  <c r="FF135"/>
  <c r="FD135"/>
  <c r="FB135"/>
  <c r="EZ135"/>
  <c r="EX135"/>
  <c r="EV135"/>
  <c r="ET135"/>
  <c r="ER135"/>
  <c r="EP135"/>
  <c r="EN135"/>
  <c r="EL135"/>
  <c r="EJ135"/>
  <c r="GD134"/>
  <c r="GB134"/>
  <c r="FZ134"/>
  <c r="FX134"/>
  <c r="FV134"/>
  <c r="FT134"/>
  <c r="FR134"/>
  <c r="FP134"/>
  <c r="FN134"/>
  <c r="FL134"/>
  <c r="FJ134"/>
  <c r="FH134"/>
  <c r="FF134"/>
  <c r="FD134"/>
  <c r="FB134"/>
  <c r="EZ134"/>
  <c r="EX134"/>
  <c r="EV134"/>
  <c r="ET134"/>
  <c r="ER134"/>
  <c r="EP134"/>
  <c r="EN134"/>
  <c r="EL134"/>
  <c r="EJ134"/>
  <c r="GD133"/>
  <c r="GB133"/>
  <c r="FZ133"/>
  <c r="FX133"/>
  <c r="FV133"/>
  <c r="FT133"/>
  <c r="FR133"/>
  <c r="FP133"/>
  <c r="FN133"/>
  <c r="FL133"/>
  <c r="FJ133"/>
  <c r="FH133"/>
  <c r="FF133"/>
  <c r="FD133"/>
  <c r="FB133"/>
  <c r="EZ133"/>
  <c r="EX133"/>
  <c r="EV133"/>
  <c r="ET133"/>
  <c r="ER133"/>
  <c r="EP133"/>
  <c r="EN133"/>
  <c r="EL133"/>
  <c r="EJ133"/>
  <c r="GD132"/>
  <c r="GB132"/>
  <c r="FZ132"/>
  <c r="FX132"/>
  <c r="FV132"/>
  <c r="FT132"/>
  <c r="FR132"/>
  <c r="FP132"/>
  <c r="FN132"/>
  <c r="FL132"/>
  <c r="FJ132"/>
  <c r="FH132"/>
  <c r="FF132"/>
  <c r="FD132"/>
  <c r="FB132"/>
  <c r="EZ132"/>
  <c r="EX132"/>
  <c r="EV132"/>
  <c r="ET132"/>
  <c r="ER132"/>
  <c r="EP132"/>
  <c r="EN132"/>
  <c r="EL132"/>
  <c r="EJ132"/>
  <c r="GD131"/>
  <c r="GB131"/>
  <c r="FZ131"/>
  <c r="FX131"/>
  <c r="FV131"/>
  <c r="FT131"/>
  <c r="FR131"/>
  <c r="FP131"/>
  <c r="FN131"/>
  <c r="FL131"/>
  <c r="FJ131"/>
  <c r="FH131"/>
  <c r="FF131"/>
  <c r="FD131"/>
  <c r="FB131"/>
  <c r="EZ131"/>
  <c r="EX131"/>
  <c r="EV131"/>
  <c r="ET131"/>
  <c r="ER131"/>
  <c r="EP131"/>
  <c r="EN131"/>
  <c r="EL131"/>
  <c r="EJ131"/>
  <c r="GD130"/>
  <c r="GB130"/>
  <c r="FZ130"/>
  <c r="FX130"/>
  <c r="FV130"/>
  <c r="FT130"/>
  <c r="FR130"/>
  <c r="FP130"/>
  <c r="FN130"/>
  <c r="FL130"/>
  <c r="FJ130"/>
  <c r="FH130"/>
  <c r="FF130"/>
  <c r="FD130"/>
  <c r="FB130"/>
  <c r="EZ130"/>
  <c r="EX130"/>
  <c r="EV130"/>
  <c r="ET130"/>
  <c r="ER130"/>
  <c r="EP130"/>
  <c r="EN130"/>
  <c r="EL130"/>
  <c r="EJ130"/>
  <c r="GD129"/>
  <c r="GB129"/>
  <c r="FZ129"/>
  <c r="FX129"/>
  <c r="FV129"/>
  <c r="FT129"/>
  <c r="FR129"/>
  <c r="FP129"/>
  <c r="FN129"/>
  <c r="FL129"/>
  <c r="FJ129"/>
  <c r="FH129"/>
  <c r="FF129"/>
  <c r="FD129"/>
  <c r="FB129"/>
  <c r="EZ129"/>
  <c r="EX129"/>
  <c r="EV129"/>
  <c r="ET129"/>
  <c r="ER129"/>
  <c r="EP129"/>
  <c r="EN129"/>
  <c r="EL129"/>
  <c r="EJ129"/>
  <c r="GD128"/>
  <c r="GB128"/>
  <c r="FZ128"/>
  <c r="FX128"/>
  <c r="FV128"/>
  <c r="FT128"/>
  <c r="FR128"/>
  <c r="FP128"/>
  <c r="FN128"/>
  <c r="FL128"/>
  <c r="FJ128"/>
  <c r="FH128"/>
  <c r="FF128"/>
  <c r="FD128"/>
  <c r="FB128"/>
  <c r="EZ128"/>
  <c r="EX128"/>
  <c r="EV128"/>
  <c r="ET128"/>
  <c r="ER128"/>
  <c r="EP128"/>
  <c r="EN128"/>
  <c r="EL128"/>
  <c r="EJ128"/>
  <c r="GD127"/>
  <c r="GB127"/>
  <c r="FZ127"/>
  <c r="FX127"/>
  <c r="FV127"/>
  <c r="FT127"/>
  <c r="FR127"/>
  <c r="FP127"/>
  <c r="FN127"/>
  <c r="FL127"/>
  <c r="FJ127"/>
  <c r="FH127"/>
  <c r="FF127"/>
  <c r="FD127"/>
  <c r="FB127"/>
  <c r="EZ127"/>
  <c r="EX127"/>
  <c r="EV127"/>
  <c r="ET127"/>
  <c r="ER127"/>
  <c r="EP127"/>
  <c r="EN127"/>
  <c r="EL127"/>
  <c r="EJ127"/>
  <c r="GD126"/>
  <c r="GB126"/>
  <c r="FZ126"/>
  <c r="FX126"/>
  <c r="FV126"/>
  <c r="FT126"/>
  <c r="FR126"/>
  <c r="FP126"/>
  <c r="FN126"/>
  <c r="FL126"/>
  <c r="FJ126"/>
  <c r="FH126"/>
  <c r="FF126"/>
  <c r="FD126"/>
  <c r="FB126"/>
  <c r="EZ126"/>
  <c r="EX126"/>
  <c r="EV126"/>
  <c r="ET126"/>
  <c r="ER126"/>
  <c r="EP126"/>
  <c r="EN126"/>
  <c r="EL126"/>
  <c r="EJ126"/>
  <c r="GD125"/>
  <c r="GB125"/>
  <c r="FZ125"/>
  <c r="FX125"/>
  <c r="FV125"/>
  <c r="FT125"/>
  <c r="FR125"/>
  <c r="FP125"/>
  <c r="FN125"/>
  <c r="FL125"/>
  <c r="FJ125"/>
  <c r="FH125"/>
  <c r="FF125"/>
  <c r="FD125"/>
  <c r="FB125"/>
  <c r="EZ125"/>
  <c r="EX125"/>
  <c r="EV125"/>
  <c r="ET125"/>
  <c r="ER125"/>
  <c r="EP125"/>
  <c r="EN125"/>
  <c r="EL125"/>
  <c r="EJ125"/>
  <c r="GD124"/>
  <c r="GB124"/>
  <c r="FZ124"/>
  <c r="FX124"/>
  <c r="FV124"/>
  <c r="FT124"/>
  <c r="FR124"/>
  <c r="FP124"/>
  <c r="FN124"/>
  <c r="FL124"/>
  <c r="FJ124"/>
  <c r="FH124"/>
  <c r="FF124"/>
  <c r="FD124"/>
  <c r="FB124"/>
  <c r="EZ124"/>
  <c r="EX124"/>
  <c r="EV124"/>
  <c r="ET124"/>
  <c r="ER124"/>
  <c r="EP124"/>
  <c r="EN124"/>
  <c r="EL124"/>
  <c r="EJ124"/>
  <c r="GD123"/>
  <c r="GB123"/>
  <c r="FZ123"/>
  <c r="FX123"/>
  <c r="FV123"/>
  <c r="FT123"/>
  <c r="FR123"/>
  <c r="FP123"/>
  <c r="FN123"/>
  <c r="FL123"/>
  <c r="FJ123"/>
  <c r="FH123"/>
  <c r="FF123"/>
  <c r="FD123"/>
  <c r="FB123"/>
  <c r="EZ123"/>
  <c r="EX123"/>
  <c r="EV123"/>
  <c r="ET123"/>
  <c r="ER123"/>
  <c r="EP123"/>
  <c r="EN123"/>
  <c r="EL123"/>
  <c r="EJ123"/>
  <c r="GD122"/>
  <c r="GB122"/>
  <c r="FZ122"/>
  <c r="FX122"/>
  <c r="FV122"/>
  <c r="FT122"/>
  <c r="FR122"/>
  <c r="FP122"/>
  <c r="FN122"/>
  <c r="FL122"/>
  <c r="FJ122"/>
  <c r="FH122"/>
  <c r="FF122"/>
  <c r="FD122"/>
  <c r="FB122"/>
  <c r="EZ122"/>
  <c r="EX122"/>
  <c r="EV122"/>
  <c r="ET122"/>
  <c r="ER122"/>
  <c r="EP122"/>
  <c r="EN122"/>
  <c r="EL122"/>
  <c r="EJ122"/>
  <c r="GD121"/>
  <c r="GB121"/>
  <c r="FZ121"/>
  <c r="FX121"/>
  <c r="FV121"/>
  <c r="FT121"/>
  <c r="FR121"/>
  <c r="FP121"/>
  <c r="FN121"/>
  <c r="FL121"/>
  <c r="FJ121"/>
  <c r="FH121"/>
  <c r="FF121"/>
  <c r="FD121"/>
  <c r="FB121"/>
  <c r="EZ121"/>
  <c r="EX121"/>
  <c r="EV121"/>
  <c r="ET121"/>
  <c r="ER121"/>
  <c r="EP121"/>
  <c r="EN121"/>
  <c r="EL121"/>
  <c r="EJ121"/>
  <c r="GD120"/>
  <c r="GB120"/>
  <c r="FZ120"/>
  <c r="FX120"/>
  <c r="FV120"/>
  <c r="FT120"/>
  <c r="FR120"/>
  <c r="FP120"/>
  <c r="FN120"/>
  <c r="FL120"/>
  <c r="FJ120"/>
  <c r="FH120"/>
  <c r="FF120"/>
  <c r="FD120"/>
  <c r="FB120"/>
  <c r="EZ120"/>
  <c r="EX120"/>
  <c r="EV120"/>
  <c r="ET120"/>
  <c r="ER120"/>
  <c r="EP120"/>
  <c r="EN120"/>
  <c r="EL120"/>
  <c r="EJ120"/>
  <c r="GD119"/>
  <c r="GB119"/>
  <c r="FZ119"/>
  <c r="FX119"/>
  <c r="FV119"/>
  <c r="FT119"/>
  <c r="FR119"/>
  <c r="FP119"/>
  <c r="FN119"/>
  <c r="FL119"/>
  <c r="FJ119"/>
  <c r="FH119"/>
  <c r="FF119"/>
  <c r="FD119"/>
  <c r="FB119"/>
  <c r="EZ119"/>
  <c r="EX119"/>
  <c r="EV119"/>
  <c r="ET119"/>
  <c r="ER119"/>
  <c r="EP119"/>
  <c r="EN119"/>
  <c r="EL119"/>
  <c r="EJ119"/>
  <c r="D62" i="11"/>
  <c r="D61"/>
  <c r="D60"/>
  <c r="D59"/>
  <c r="D58"/>
  <c r="D57"/>
  <c r="D56"/>
  <c r="D55"/>
  <c r="D54"/>
  <c r="D53"/>
  <c r="D52"/>
  <c r="D51"/>
  <c r="D50"/>
  <c r="D49"/>
  <c r="D48"/>
  <c r="D47"/>
  <c r="D46"/>
  <c r="D45"/>
  <c r="GD118" i="10"/>
  <c r="GB118"/>
  <c r="FZ118"/>
  <c r="FX118"/>
  <c r="FV118"/>
  <c r="FT118"/>
  <c r="FR118"/>
  <c r="FP118"/>
  <c r="FN118"/>
  <c r="FL118"/>
  <c r="FJ118"/>
  <c r="FH118"/>
  <c r="FF118"/>
  <c r="FD118"/>
  <c r="FB118"/>
  <c r="EZ118"/>
  <c r="EX118"/>
  <c r="EV118"/>
  <c r="ET118"/>
  <c r="ER118"/>
  <c r="EP118"/>
  <c r="EN118"/>
  <c r="EL118"/>
  <c r="EJ118"/>
  <c r="GD117"/>
  <c r="GB117"/>
  <c r="FZ117"/>
  <c r="FX117"/>
  <c r="FV117"/>
  <c r="FT117"/>
  <c r="FR117"/>
  <c r="FP117"/>
  <c r="FN117"/>
  <c r="FL117"/>
  <c r="FJ117"/>
  <c r="FH117"/>
  <c r="FF117"/>
  <c r="FD117"/>
  <c r="FB117"/>
  <c r="EZ117"/>
  <c r="EX117"/>
  <c r="EV117"/>
  <c r="ET117"/>
  <c r="ER117"/>
  <c r="EP117"/>
  <c r="EN117"/>
  <c r="EL117"/>
  <c r="EJ117"/>
  <c r="GD116"/>
  <c r="GB116"/>
  <c r="FZ116"/>
  <c r="FX116"/>
  <c r="FV116"/>
  <c r="FT116"/>
  <c r="FR116"/>
  <c r="FP116"/>
  <c r="FN116"/>
  <c r="FL116"/>
  <c r="FJ116"/>
  <c r="FH116"/>
  <c r="FF116"/>
  <c r="FD116"/>
  <c r="FB116"/>
  <c r="EZ116"/>
  <c r="EX116"/>
  <c r="EV116"/>
  <c r="ET116"/>
  <c r="ER116"/>
  <c r="EP116"/>
  <c r="EN116"/>
  <c r="EL116"/>
  <c r="EJ116"/>
  <c r="GD115"/>
  <c r="GB115"/>
  <c r="FZ115"/>
  <c r="FX115"/>
  <c r="FV115"/>
  <c r="FT115"/>
  <c r="FR115"/>
  <c r="FP115"/>
  <c r="FN115"/>
  <c r="FL115"/>
  <c r="FJ115"/>
  <c r="FH115"/>
  <c r="FF115"/>
  <c r="FD115"/>
  <c r="FB115"/>
  <c r="EZ115"/>
  <c r="EX115"/>
  <c r="EV115"/>
  <c r="ET115"/>
  <c r="ER115"/>
  <c r="EP115"/>
  <c r="EN115"/>
  <c r="EL115"/>
  <c r="EJ115"/>
  <c r="GD114"/>
  <c r="GB114"/>
  <c r="FZ114"/>
  <c r="FX114"/>
  <c r="FV114"/>
  <c r="FT114"/>
  <c r="FR114"/>
  <c r="FP114"/>
  <c r="FN114"/>
  <c r="FL114"/>
  <c r="FJ114"/>
  <c r="FH114"/>
  <c r="FF114"/>
  <c r="FD114"/>
  <c r="FB114"/>
  <c r="EZ114"/>
  <c r="EX114"/>
  <c r="EV114"/>
  <c r="ET114"/>
  <c r="ER114"/>
  <c r="EP114"/>
  <c r="EN114"/>
  <c r="EL114"/>
  <c r="EJ114"/>
  <c r="GD113"/>
  <c r="GB113"/>
  <c r="FZ113"/>
  <c r="FX113"/>
  <c r="FV113"/>
  <c r="FT113"/>
  <c r="FR113"/>
  <c r="FP113"/>
  <c r="FN113"/>
  <c r="FL113"/>
  <c r="FJ113"/>
  <c r="FH113"/>
  <c r="FF113"/>
  <c r="FD113"/>
  <c r="FB113"/>
  <c r="EZ113"/>
  <c r="EX113"/>
  <c r="EV113"/>
  <c r="ET113"/>
  <c r="ER113"/>
  <c r="EP113"/>
  <c r="EN113"/>
  <c r="EL113"/>
  <c r="EJ113"/>
  <c r="GD112"/>
  <c r="GB112"/>
  <c r="FZ112"/>
  <c r="FX112"/>
  <c r="FV112"/>
  <c r="FT112"/>
  <c r="FR112"/>
  <c r="FP112"/>
  <c r="FN112"/>
  <c r="FL112"/>
  <c r="FJ112"/>
  <c r="FH112"/>
  <c r="FF112"/>
  <c r="FD112"/>
  <c r="FB112"/>
  <c r="EZ112"/>
  <c r="EX112"/>
  <c r="EV112"/>
  <c r="ET112"/>
  <c r="ER112"/>
  <c r="EP112"/>
  <c r="EN112"/>
  <c r="EL112"/>
  <c r="EJ112"/>
  <c r="GD111"/>
  <c r="GB111"/>
  <c r="FZ111"/>
  <c r="FX111"/>
  <c r="FV111"/>
  <c r="FT111"/>
  <c r="FR111"/>
  <c r="FP111"/>
  <c r="FN111"/>
  <c r="FL111"/>
  <c r="FJ111"/>
  <c r="FH111"/>
  <c r="FF111"/>
  <c r="FD111"/>
  <c r="FB111"/>
  <c r="EZ111"/>
  <c r="EX111"/>
  <c r="EV111"/>
  <c r="ET111"/>
  <c r="ER111"/>
  <c r="EP111"/>
  <c r="EN111"/>
  <c r="EL111"/>
  <c r="EJ111"/>
  <c r="GD110"/>
  <c r="GB110"/>
  <c r="FZ110"/>
  <c r="FX110"/>
  <c r="FV110"/>
  <c r="FT110"/>
  <c r="FR110"/>
  <c r="FP110"/>
  <c r="FN110"/>
  <c r="FL110"/>
  <c r="FJ110"/>
  <c r="FH110"/>
  <c r="FF110"/>
  <c r="FD110"/>
  <c r="FB110"/>
  <c r="EZ110"/>
  <c r="EX110"/>
  <c r="EV110"/>
  <c r="ET110"/>
  <c r="ER110"/>
  <c r="EP110"/>
  <c r="EN110"/>
  <c r="EL110"/>
  <c r="EJ110"/>
  <c r="GD109"/>
  <c r="GB109"/>
  <c r="FZ109"/>
  <c r="FX109"/>
  <c r="FV109"/>
  <c r="FT109"/>
  <c r="FR109"/>
  <c r="FP109"/>
  <c r="FN109"/>
  <c r="FL109"/>
  <c r="FJ109"/>
  <c r="FH109"/>
  <c r="FF109"/>
  <c r="FD109"/>
  <c r="FB109"/>
  <c r="EZ109"/>
  <c r="EX109"/>
  <c r="EV109"/>
  <c r="ET109"/>
  <c r="ER109"/>
  <c r="EP109"/>
  <c r="EN109"/>
  <c r="EL109"/>
  <c r="EJ109"/>
  <c r="GD108"/>
  <c r="GB108"/>
  <c r="FZ108"/>
  <c r="FX108"/>
  <c r="FV108"/>
  <c r="FT108"/>
  <c r="FR108"/>
  <c r="FP108"/>
  <c r="FN108"/>
  <c r="FL108"/>
  <c r="FJ108"/>
  <c r="FH108"/>
  <c r="FF108"/>
  <c r="FD108"/>
  <c r="FB108"/>
  <c r="EZ108"/>
  <c r="EX108"/>
  <c r="EV108"/>
  <c r="ET108"/>
  <c r="ER108"/>
  <c r="EP108"/>
  <c r="EN108"/>
  <c r="EL108"/>
  <c r="EJ108"/>
  <c r="GD107"/>
  <c r="GB107"/>
  <c r="FZ107"/>
  <c r="FX107"/>
  <c r="FV107"/>
  <c r="FT107"/>
  <c r="FR107"/>
  <c r="FP107"/>
  <c r="FN107"/>
  <c r="FL107"/>
  <c r="FJ107"/>
  <c r="FH107"/>
  <c r="FF107"/>
  <c r="FD107"/>
  <c r="FB107"/>
  <c r="EZ107"/>
  <c r="EX107"/>
  <c r="EV107"/>
  <c r="ET107"/>
  <c r="ER107"/>
  <c r="EP107"/>
  <c r="EN107"/>
  <c r="EL107"/>
  <c r="EJ107"/>
  <c r="GD106"/>
  <c r="GB106"/>
  <c r="FZ106"/>
  <c r="FX106"/>
  <c r="FV106"/>
  <c r="FT106"/>
  <c r="FR106"/>
  <c r="FP106"/>
  <c r="FN106"/>
  <c r="FL106"/>
  <c r="FJ106"/>
  <c r="FH106"/>
  <c r="FF106"/>
  <c r="FD106"/>
  <c r="FB106"/>
  <c r="EZ106"/>
  <c r="EX106"/>
  <c r="EV106"/>
  <c r="ET106"/>
  <c r="ER106"/>
  <c r="EP106"/>
  <c r="EN106"/>
  <c r="EL106"/>
  <c r="EJ106"/>
  <c r="GD105"/>
  <c r="GB105"/>
  <c r="FZ105"/>
  <c r="FX105"/>
  <c r="FV105"/>
  <c r="FT105"/>
  <c r="FR105"/>
  <c r="FP105"/>
  <c r="FN105"/>
  <c r="FL105"/>
  <c r="FJ105"/>
  <c r="FH105"/>
  <c r="FF105"/>
  <c r="FD105"/>
  <c r="FB105"/>
  <c r="EZ105"/>
  <c r="EX105"/>
  <c r="EV105"/>
  <c r="ET105"/>
  <c r="ER105"/>
  <c r="EP105"/>
  <c r="EN105"/>
  <c r="EL105"/>
  <c r="EJ105"/>
  <c r="GD104"/>
  <c r="GB104"/>
  <c r="FZ104"/>
  <c r="FX104"/>
  <c r="FV104"/>
  <c r="FT104"/>
  <c r="FR104"/>
  <c r="FP104"/>
  <c r="FN104"/>
  <c r="FL104"/>
  <c r="FJ104"/>
  <c r="FH104"/>
  <c r="FF104"/>
  <c r="FD104"/>
  <c r="FB104"/>
  <c r="EZ104"/>
  <c r="EX104"/>
  <c r="EV104"/>
  <c r="ET104"/>
  <c r="ER104"/>
  <c r="EP104"/>
  <c r="EN104"/>
  <c r="EL104"/>
  <c r="EJ104"/>
  <c r="GD103"/>
  <c r="GB103"/>
  <c r="FZ103"/>
  <c r="FX103"/>
  <c r="FV103"/>
  <c r="FT103"/>
  <c r="FR103"/>
  <c r="FP103"/>
  <c r="FN103"/>
  <c r="FL103"/>
  <c r="FJ103"/>
  <c r="FH103"/>
  <c r="FF103"/>
  <c r="FD103"/>
  <c r="FB103"/>
  <c r="EZ103"/>
  <c r="EX103"/>
  <c r="EV103"/>
  <c r="ET103"/>
  <c r="ER103"/>
  <c r="EP103"/>
  <c r="EN103"/>
  <c r="EL103"/>
  <c r="EJ103"/>
  <c r="GD102"/>
  <c r="GB102"/>
  <c r="FZ102"/>
  <c r="FX102"/>
  <c r="FV102"/>
  <c r="FT102"/>
  <c r="FR102"/>
  <c r="FP102"/>
  <c r="FN102"/>
  <c r="FL102"/>
  <c r="FJ102"/>
  <c r="FH102"/>
  <c r="FF102"/>
  <c r="FD102"/>
  <c r="FB102"/>
  <c r="EZ102"/>
  <c r="EX102"/>
  <c r="EV102"/>
  <c r="ET102"/>
  <c r="ER102"/>
  <c r="EP102"/>
  <c r="EN102"/>
  <c r="EL102"/>
  <c r="EJ102"/>
  <c r="GD101"/>
  <c r="GB101"/>
  <c r="FZ101"/>
  <c r="FX101"/>
  <c r="FV101"/>
  <c r="FT101"/>
  <c r="FR101"/>
  <c r="FP101"/>
  <c r="FN101"/>
  <c r="FL101"/>
  <c r="FJ101"/>
  <c r="FH101"/>
  <c r="FF101"/>
  <c r="FD101"/>
  <c r="FB101"/>
  <c r="EZ101"/>
  <c r="EX101"/>
  <c r="EV101"/>
  <c r="ET101"/>
  <c r="ER101"/>
  <c r="EP101"/>
  <c r="EN101"/>
  <c r="EL101"/>
  <c r="EJ101"/>
  <c r="GD100"/>
  <c r="GB100"/>
  <c r="FZ100"/>
  <c r="FX100"/>
  <c r="FV100"/>
  <c r="FT100"/>
  <c r="FR100"/>
  <c r="FP100"/>
  <c r="FN100"/>
  <c r="FL100"/>
  <c r="FJ100"/>
  <c r="FH100"/>
  <c r="FF100"/>
  <c r="FD100"/>
  <c r="FB100"/>
  <c r="EZ100"/>
  <c r="EX100"/>
  <c r="EV100"/>
  <c r="ET100"/>
  <c r="ER100"/>
  <c r="EP100"/>
  <c r="EN100"/>
  <c r="EL100"/>
  <c r="EJ100"/>
  <c r="GD99"/>
  <c r="GB99"/>
  <c r="FZ99"/>
  <c r="FX99"/>
  <c r="FV99"/>
  <c r="FT99"/>
  <c r="FR99"/>
  <c r="FP99"/>
  <c r="FN99"/>
  <c r="FL99"/>
  <c r="FJ99"/>
  <c r="FH99"/>
  <c r="FF99"/>
  <c r="FD99"/>
  <c r="FB99"/>
  <c r="EZ99"/>
  <c r="EX99"/>
  <c r="EV99"/>
  <c r="ET99"/>
  <c r="ER99"/>
  <c r="EP99"/>
  <c r="EN99"/>
  <c r="EL99"/>
  <c r="EJ99"/>
  <c r="GD98"/>
  <c r="GB98"/>
  <c r="FZ98"/>
  <c r="FX98"/>
  <c r="FV98"/>
  <c r="FT98"/>
  <c r="FR98"/>
  <c r="FP98"/>
  <c r="FN98"/>
  <c r="FL98"/>
  <c r="FJ98"/>
  <c r="FH98"/>
  <c r="FF98"/>
  <c r="FD98"/>
  <c r="FB98"/>
  <c r="EZ98"/>
  <c r="EX98"/>
  <c r="EV98"/>
  <c r="ET98"/>
  <c r="ER98"/>
  <c r="EP98"/>
  <c r="EN98"/>
  <c r="EL98"/>
  <c r="EJ98"/>
  <c r="GD97"/>
  <c r="GB97"/>
  <c r="FZ97"/>
  <c r="FX97"/>
  <c r="FV97"/>
  <c r="FT97"/>
  <c r="FR97"/>
  <c r="FP97"/>
  <c r="FN97"/>
  <c r="FL97"/>
  <c r="FJ97"/>
  <c r="FH97"/>
  <c r="FF97"/>
  <c r="FD97"/>
  <c r="FB97"/>
  <c r="EZ97"/>
  <c r="EX97"/>
  <c r="EV97"/>
  <c r="ET97"/>
  <c r="ER97"/>
  <c r="EP97"/>
  <c r="EN97"/>
  <c r="EL97"/>
  <c r="EJ97"/>
  <c r="GD96"/>
  <c r="GB96"/>
  <c r="FZ96"/>
  <c r="FX96"/>
  <c r="FV96"/>
  <c r="FT96"/>
  <c r="FR96"/>
  <c r="FP96"/>
  <c r="FN96"/>
  <c r="FL96"/>
  <c r="FJ96"/>
  <c r="FH96"/>
  <c r="FF96"/>
  <c r="FD96"/>
  <c r="FB96"/>
  <c r="EZ96"/>
  <c r="EX96"/>
  <c r="EV96"/>
  <c r="ET96"/>
  <c r="ER96"/>
  <c r="EP96"/>
  <c r="EN96"/>
  <c r="EL96"/>
  <c r="EJ96"/>
  <c r="GD95"/>
  <c r="GB95"/>
  <c r="FZ95"/>
  <c r="FX95"/>
  <c r="FV95"/>
  <c r="FT95"/>
  <c r="FR95"/>
  <c r="FP95"/>
  <c r="FN95"/>
  <c r="FL95"/>
  <c r="FJ95"/>
  <c r="FH95"/>
  <c r="FF95"/>
  <c r="FD95"/>
  <c r="FB95"/>
  <c r="EZ95"/>
  <c r="EX95"/>
  <c r="EV95"/>
  <c r="ET95"/>
  <c r="ER95"/>
  <c r="EP95"/>
  <c r="EN95"/>
  <c r="EL95"/>
  <c r="EJ95"/>
  <c r="GD94"/>
  <c r="GB94"/>
  <c r="FZ94"/>
  <c r="FX94"/>
  <c r="FV94"/>
  <c r="FT94"/>
  <c r="FR94"/>
  <c r="FP94"/>
  <c r="FN94"/>
  <c r="FL94"/>
  <c r="FJ94"/>
  <c r="FH94"/>
  <c r="FF94"/>
  <c r="FD94"/>
  <c r="FB94"/>
  <c r="EZ94"/>
  <c r="EX94"/>
  <c r="EV94"/>
  <c r="ET94"/>
  <c r="ER94"/>
  <c r="EP94"/>
  <c r="EN94"/>
  <c r="EL94"/>
  <c r="EJ94"/>
  <c r="GD93"/>
  <c r="GB93"/>
  <c r="FZ93"/>
  <c r="FX93"/>
  <c r="FV93"/>
  <c r="FT93"/>
  <c r="FR93"/>
  <c r="FP93"/>
  <c r="FN93"/>
  <c r="FL93"/>
  <c r="FJ93"/>
  <c r="FH93"/>
  <c r="FF93"/>
  <c r="FD93"/>
  <c r="FB93"/>
  <c r="EZ93"/>
  <c r="EX93"/>
  <c r="EV93"/>
  <c r="ET93"/>
  <c r="ER93"/>
  <c r="EP93"/>
  <c r="EN93"/>
  <c r="EL93"/>
  <c r="EJ93"/>
  <c r="GD92"/>
  <c r="GB92"/>
  <c r="FZ92"/>
  <c r="FX92"/>
  <c r="FV92"/>
  <c r="FT92"/>
  <c r="FR92"/>
  <c r="FP92"/>
  <c r="FN92"/>
  <c r="FL92"/>
  <c r="FJ92"/>
  <c r="FH92"/>
  <c r="FF92"/>
  <c r="FD92"/>
  <c r="FB92"/>
  <c r="EZ92"/>
  <c r="EX92"/>
  <c r="EV92"/>
  <c r="ET92"/>
  <c r="ER92"/>
  <c r="EP92"/>
  <c r="EN92"/>
  <c r="EL92"/>
  <c r="EJ92"/>
  <c r="GD91"/>
  <c r="GB91"/>
  <c r="FZ91"/>
  <c r="FX91"/>
  <c r="FV91"/>
  <c r="FT91"/>
  <c r="FR91"/>
  <c r="FP91"/>
  <c r="FN91"/>
  <c r="FL91"/>
  <c r="FJ91"/>
  <c r="FH91"/>
  <c r="FF91"/>
  <c r="FD91"/>
  <c r="FB91"/>
  <c r="EZ91"/>
  <c r="EX91"/>
  <c r="EV91"/>
  <c r="ET91"/>
  <c r="ER91"/>
  <c r="EP91"/>
  <c r="EN91"/>
  <c r="EL91"/>
  <c r="EJ91"/>
  <c r="GD90"/>
  <c r="GB90"/>
  <c r="FZ90"/>
  <c r="FX90"/>
  <c r="FV90"/>
  <c r="FT90"/>
  <c r="FR90"/>
  <c r="FP90"/>
  <c r="FN90"/>
  <c r="FL90"/>
  <c r="FJ90"/>
  <c r="FH90"/>
  <c r="FF90"/>
  <c r="FD90"/>
  <c r="FB90"/>
  <c r="EZ90"/>
  <c r="EX90"/>
  <c r="EV90"/>
  <c r="ET90"/>
  <c r="ER90"/>
  <c r="EP90"/>
  <c r="EN90"/>
  <c r="EL90"/>
  <c r="EJ90"/>
  <c r="GD89"/>
  <c r="GB89"/>
  <c r="FZ89"/>
  <c r="FX89"/>
  <c r="FV89"/>
  <c r="FT89"/>
  <c r="FR89"/>
  <c r="FP89"/>
  <c r="FN89"/>
  <c r="FL89"/>
  <c r="FJ89"/>
  <c r="FH89"/>
  <c r="FF89"/>
  <c r="FD89"/>
  <c r="FB89"/>
  <c r="EZ89"/>
  <c r="EX89"/>
  <c r="EV89"/>
  <c r="ET89"/>
  <c r="ER89"/>
  <c r="EP89"/>
  <c r="EN89"/>
  <c r="EL89"/>
  <c r="EJ89"/>
  <c r="GD88"/>
  <c r="GB88"/>
  <c r="FZ88"/>
  <c r="FX88"/>
  <c r="FV88"/>
  <c r="FT88"/>
  <c r="FR88"/>
  <c r="FP88"/>
  <c r="FN88"/>
  <c r="FL88"/>
  <c r="FJ88"/>
  <c r="FH88"/>
  <c r="FF88"/>
  <c r="FD88"/>
  <c r="FB88"/>
  <c r="EZ88"/>
  <c r="EX88"/>
  <c r="EV88"/>
  <c r="ET88"/>
  <c r="ER88"/>
  <c r="EP88"/>
  <c r="EN88"/>
  <c r="EL88"/>
  <c r="EJ88"/>
  <c r="GD87"/>
  <c r="GB87"/>
  <c r="FZ87"/>
  <c r="FX87"/>
  <c r="FV87"/>
  <c r="FT87"/>
  <c r="FR87"/>
  <c r="FP87"/>
  <c r="FN87"/>
  <c r="FL87"/>
  <c r="FJ87"/>
  <c r="FH87"/>
  <c r="FF87"/>
  <c r="FD87"/>
  <c r="FB87"/>
  <c r="EZ87"/>
  <c r="EX87"/>
  <c r="EV87"/>
  <c r="ET87"/>
  <c r="ER87"/>
  <c r="EP87"/>
  <c r="EN87"/>
  <c r="EL87"/>
  <c r="EJ87"/>
  <c r="GD86"/>
  <c r="GB86"/>
  <c r="FZ86"/>
  <c r="FX86"/>
  <c r="FV86"/>
  <c r="FT86"/>
  <c r="FR86"/>
  <c r="FP86"/>
  <c r="FN86"/>
  <c r="FL86"/>
  <c r="FJ86"/>
  <c r="FH86"/>
  <c r="FF86"/>
  <c r="FD86"/>
  <c r="FB86"/>
  <c r="EZ86"/>
  <c r="EX86"/>
  <c r="EV86"/>
  <c r="ET86"/>
  <c r="ER86"/>
  <c r="EP86"/>
  <c r="EN86"/>
  <c r="EL86"/>
  <c r="EJ86"/>
  <c r="GD85"/>
  <c r="GB85"/>
  <c r="FZ85"/>
  <c r="FX85"/>
  <c r="FV85"/>
  <c r="FT85"/>
  <c r="FR85"/>
  <c r="FP85"/>
  <c r="FN85"/>
  <c r="FL85"/>
  <c r="FJ85"/>
  <c r="FH85"/>
  <c r="FF85"/>
  <c r="FD85"/>
  <c r="FB85"/>
  <c r="EZ85"/>
  <c r="EX85"/>
  <c r="EV85"/>
  <c r="ET85"/>
  <c r="ER85"/>
  <c r="EP85"/>
  <c r="EN85"/>
  <c r="EL85"/>
  <c r="EJ85"/>
  <c r="GD84"/>
  <c r="GB84"/>
  <c r="FZ84"/>
  <c r="FX84"/>
  <c r="FV84"/>
  <c r="FT84"/>
  <c r="FR84"/>
  <c r="FP84"/>
  <c r="FN84"/>
  <c r="FL84"/>
  <c r="FJ84"/>
  <c r="FH84"/>
  <c r="FF84"/>
  <c r="FD84"/>
  <c r="FB84"/>
  <c r="EZ84"/>
  <c r="EX84"/>
  <c r="EV84"/>
  <c r="ET84"/>
  <c r="ER84"/>
  <c r="EP84"/>
  <c r="EN84"/>
  <c r="EL84"/>
  <c r="EJ84"/>
  <c r="GD83"/>
  <c r="GB83"/>
  <c r="FZ83"/>
  <c r="FX83"/>
  <c r="FV83"/>
  <c r="FT83"/>
  <c r="FR83"/>
  <c r="FP83"/>
  <c r="FN83"/>
  <c r="FL83"/>
  <c r="FJ83"/>
  <c r="FH83"/>
  <c r="FF83"/>
  <c r="FD83"/>
  <c r="FB83"/>
  <c r="EZ83"/>
  <c r="EX83"/>
  <c r="EV83"/>
  <c r="ET83"/>
  <c r="ER83"/>
  <c r="EP83"/>
  <c r="EN83"/>
  <c r="EL83"/>
  <c r="EJ83"/>
  <c r="GD82"/>
  <c r="GB82"/>
  <c r="FZ82"/>
  <c r="FX82"/>
  <c r="FV82"/>
  <c r="FT82"/>
  <c r="FR82"/>
  <c r="FP82"/>
  <c r="FN82"/>
  <c r="FL82"/>
  <c r="FJ82"/>
  <c r="FH82"/>
  <c r="FF82"/>
  <c r="FD82"/>
  <c r="FB82"/>
  <c r="EZ82"/>
  <c r="EX82"/>
  <c r="EV82"/>
  <c r="ET82"/>
  <c r="ER82"/>
  <c r="EP82"/>
  <c r="EN82"/>
  <c r="EL82"/>
  <c r="EJ82"/>
  <c r="GD81"/>
  <c r="GB81"/>
  <c r="FZ81"/>
  <c r="FX81"/>
  <c r="FV81"/>
  <c r="FT81"/>
  <c r="FR81"/>
  <c r="FP81"/>
  <c r="FN81"/>
  <c r="FL81"/>
  <c r="FJ81"/>
  <c r="FH81"/>
  <c r="FF81"/>
  <c r="FD81"/>
  <c r="FB81"/>
  <c r="EZ81"/>
  <c r="EX81"/>
  <c r="EV81"/>
  <c r="ET81"/>
  <c r="ER81"/>
  <c r="EP81"/>
  <c r="EN81"/>
  <c r="EL81"/>
  <c r="EJ81"/>
  <c r="GD80"/>
  <c r="GB80"/>
  <c r="FZ80"/>
  <c r="FX80"/>
  <c r="FV80"/>
  <c r="FT80"/>
  <c r="FR80"/>
  <c r="FP80"/>
  <c r="FN80"/>
  <c r="FL80"/>
  <c r="FJ80"/>
  <c r="FH80"/>
  <c r="FF80"/>
  <c r="FD80"/>
  <c r="FB80"/>
  <c r="EZ80"/>
  <c r="EX80"/>
  <c r="EV80"/>
  <c r="ET80"/>
  <c r="ER80"/>
  <c r="EP80"/>
  <c r="EN80"/>
  <c r="EL80"/>
  <c r="EJ80"/>
  <c r="GD79"/>
  <c r="GB79"/>
  <c r="FZ79"/>
  <c r="FX79"/>
  <c r="FV79"/>
  <c r="FT79"/>
  <c r="FR79"/>
  <c r="FP79"/>
  <c r="FN79"/>
  <c r="FL79"/>
  <c r="FJ79"/>
  <c r="FH79"/>
  <c r="FF79"/>
  <c r="FD79"/>
  <c r="FB79"/>
  <c r="EZ79"/>
  <c r="EX79"/>
  <c r="EV79"/>
  <c r="ET79"/>
  <c r="ER79"/>
  <c r="EP79"/>
  <c r="EN79"/>
  <c r="EL79"/>
  <c r="EJ79"/>
  <c r="GD78"/>
  <c r="GB78"/>
  <c r="FZ78"/>
  <c r="FX78"/>
  <c r="FV78"/>
  <c r="FT78"/>
  <c r="FR78"/>
  <c r="FP78"/>
  <c r="FN78"/>
  <c r="FL78"/>
  <c r="FJ78"/>
  <c r="FH78"/>
  <c r="FF78"/>
  <c r="FD78"/>
  <c r="FB78"/>
  <c r="EZ78"/>
  <c r="EX78"/>
  <c r="EV78"/>
  <c r="ET78"/>
  <c r="ER78"/>
  <c r="EP78"/>
  <c r="EN78"/>
  <c r="EL78"/>
  <c r="EJ78"/>
  <c r="GD77"/>
  <c r="GB77"/>
  <c r="FZ77"/>
  <c r="FX77"/>
  <c r="FV77"/>
  <c r="FT77"/>
  <c r="FR77"/>
  <c r="FP77"/>
  <c r="FN77"/>
  <c r="FL77"/>
  <c r="FJ77"/>
  <c r="FH77"/>
  <c r="FF77"/>
  <c r="FD77"/>
  <c r="FB77"/>
  <c r="EZ77"/>
  <c r="EX77"/>
  <c r="EV77"/>
  <c r="ET77"/>
  <c r="ER77"/>
  <c r="EP77"/>
  <c r="EN77"/>
  <c r="EL77"/>
  <c r="EJ77"/>
  <c r="GD76"/>
  <c r="GB76"/>
  <c r="FZ76"/>
  <c r="FX76"/>
  <c r="FV76"/>
  <c r="FT76"/>
  <c r="FR76"/>
  <c r="FP76"/>
  <c r="FN76"/>
  <c r="FL76"/>
  <c r="FJ76"/>
  <c r="FH76"/>
  <c r="FF76"/>
  <c r="FD76"/>
  <c r="FB76"/>
  <c r="EZ76"/>
  <c r="EX76"/>
  <c r="EV76"/>
  <c r="ET76"/>
  <c r="ER76"/>
  <c r="EP76"/>
  <c r="EN76"/>
  <c r="EL76"/>
  <c r="EJ76"/>
  <c r="GD75"/>
  <c r="GB75"/>
  <c r="FZ75"/>
  <c r="FX75"/>
  <c r="FV75"/>
  <c r="FT75"/>
  <c r="FR75"/>
  <c r="FP75"/>
  <c r="FN75"/>
  <c r="FL75"/>
  <c r="FJ75"/>
  <c r="FH75"/>
  <c r="FF75"/>
  <c r="FD75"/>
  <c r="FB75"/>
  <c r="EZ75"/>
  <c r="EX75"/>
  <c r="EV75"/>
  <c r="ET75"/>
  <c r="ER75"/>
  <c r="EP75"/>
  <c r="EN75"/>
  <c r="EL75"/>
  <c r="EJ75"/>
  <c r="GD74"/>
  <c r="GB74"/>
  <c r="FZ74"/>
  <c r="FX74"/>
  <c r="FV74"/>
  <c r="FT74"/>
  <c r="FR74"/>
  <c r="FP74"/>
  <c r="FN74"/>
  <c r="FL74"/>
  <c r="FJ74"/>
  <c r="FH74"/>
  <c r="FF74"/>
  <c r="FD74"/>
  <c r="FB74"/>
  <c r="EZ74"/>
  <c r="EX74"/>
  <c r="EV74"/>
  <c r="ET74"/>
  <c r="ER74"/>
  <c r="EP74"/>
  <c r="EN74"/>
  <c r="EL74"/>
  <c r="EJ74"/>
  <c r="GD73"/>
  <c r="GB73"/>
  <c r="FZ73"/>
  <c r="FX73"/>
  <c r="FV73"/>
  <c r="FT73"/>
  <c r="FR73"/>
  <c r="FP73"/>
  <c r="FN73"/>
  <c r="FL73"/>
  <c r="FJ73"/>
  <c r="FH73"/>
  <c r="FF73"/>
  <c r="FD73"/>
  <c r="FB73"/>
  <c r="EZ73"/>
  <c r="EX73"/>
  <c r="EV73"/>
  <c r="ET73"/>
  <c r="ER73"/>
  <c r="EP73"/>
  <c r="EN73"/>
  <c r="EL73"/>
  <c r="EJ73"/>
  <c r="GD72"/>
  <c r="GB72"/>
  <c r="FZ72"/>
  <c r="FX72"/>
  <c r="FV72"/>
  <c r="FT72"/>
  <c r="FR72"/>
  <c r="FP72"/>
  <c r="FN72"/>
  <c r="FL72"/>
  <c r="FJ72"/>
  <c r="FH72"/>
  <c r="FF72"/>
  <c r="FD72"/>
  <c r="FB72"/>
  <c r="EZ72"/>
  <c r="EX72"/>
  <c r="EV72"/>
  <c r="ET72"/>
  <c r="ER72"/>
  <c r="EP72"/>
  <c r="EN72"/>
  <c r="EL72"/>
  <c r="EJ72"/>
  <c r="GD71"/>
  <c r="GB71"/>
  <c r="FZ71"/>
  <c r="FX71"/>
  <c r="FV71"/>
  <c r="FT71"/>
  <c r="FR71"/>
  <c r="FP71"/>
  <c r="FN71"/>
  <c r="FL71"/>
  <c r="FJ71"/>
  <c r="FH71"/>
  <c r="FF71"/>
  <c r="FD71"/>
  <c r="FB71"/>
  <c r="EZ71"/>
  <c r="EX71"/>
  <c r="EV71"/>
  <c r="ET71"/>
  <c r="ER71"/>
  <c r="EP71"/>
  <c r="EN71"/>
  <c r="EL71"/>
  <c r="EJ71"/>
  <c r="GD70"/>
  <c r="GB70"/>
  <c r="FZ70"/>
  <c r="FX70"/>
  <c r="FV70"/>
  <c r="FT70"/>
  <c r="FR70"/>
  <c r="FP70"/>
  <c r="FN70"/>
  <c r="FL70"/>
  <c r="FJ70"/>
  <c r="FH70"/>
  <c r="FF70"/>
  <c r="FD70"/>
  <c r="FB70"/>
  <c r="EZ70"/>
  <c r="EX70"/>
  <c r="EV70"/>
  <c r="ET70"/>
  <c r="ER70"/>
  <c r="EP70"/>
  <c r="EN70"/>
  <c r="EL70"/>
  <c r="EJ70"/>
  <c r="GD69"/>
  <c r="GB69"/>
  <c r="FZ69"/>
  <c r="FX69"/>
  <c r="FV69"/>
  <c r="FT69"/>
  <c r="FR69"/>
  <c r="FP69"/>
  <c r="FN69"/>
  <c r="FL69"/>
  <c r="FJ69"/>
  <c r="FH69"/>
  <c r="FF69"/>
  <c r="FD69"/>
  <c r="FB69"/>
  <c r="EZ69"/>
  <c r="EX69"/>
  <c r="EV69"/>
  <c r="ET69"/>
  <c r="ER69"/>
  <c r="EP69"/>
  <c r="EN69"/>
  <c r="EL69"/>
  <c r="EJ69"/>
  <c r="GD68"/>
  <c r="GB68"/>
  <c r="FZ68"/>
  <c r="FX68"/>
  <c r="FV68"/>
  <c r="FT68"/>
  <c r="FR68"/>
  <c r="FP68"/>
  <c r="FN68"/>
  <c r="FL68"/>
  <c r="FJ68"/>
  <c r="FH68"/>
  <c r="FF68"/>
  <c r="FD68"/>
  <c r="FB68"/>
  <c r="EZ68"/>
  <c r="EX68"/>
  <c r="EV68"/>
  <c r="ET68"/>
  <c r="ER68"/>
  <c r="EP68"/>
  <c r="EN68"/>
  <c r="EL68"/>
  <c r="EJ68"/>
  <c r="GD67"/>
  <c r="GB67"/>
  <c r="FZ67"/>
  <c r="FX67"/>
  <c r="FV67"/>
  <c r="FT67"/>
  <c r="FR67"/>
  <c r="FP67"/>
  <c r="FN67"/>
  <c r="FL67"/>
  <c r="FJ67"/>
  <c r="FH67"/>
  <c r="FF67"/>
  <c r="FD67"/>
  <c r="FB67"/>
  <c r="EZ67"/>
  <c r="EX67"/>
  <c r="EV67"/>
  <c r="ET67"/>
  <c r="ER67"/>
  <c r="EP67"/>
  <c r="EN67"/>
  <c r="EL67"/>
  <c r="EJ67"/>
  <c r="GD66"/>
  <c r="GB66"/>
  <c r="FZ66"/>
  <c r="FX66"/>
  <c r="FV66"/>
  <c r="FT66"/>
  <c r="FR66"/>
  <c r="FP66"/>
  <c r="FN66"/>
  <c r="FL66"/>
  <c r="FJ66"/>
  <c r="FH66"/>
  <c r="FF66"/>
  <c r="FD66"/>
  <c r="FB66"/>
  <c r="EZ66"/>
  <c r="EX66"/>
  <c r="EV66"/>
  <c r="ET66"/>
  <c r="ER66"/>
  <c r="EP66"/>
  <c r="EN66"/>
  <c r="EL66"/>
  <c r="EJ66"/>
  <c r="GD65"/>
  <c r="GB65"/>
  <c r="FZ65"/>
  <c r="FX65"/>
  <c r="FV65"/>
  <c r="FT65"/>
  <c r="FR65"/>
  <c r="FP65"/>
  <c r="FN65"/>
  <c r="FL65"/>
  <c r="FJ65"/>
  <c r="FH65"/>
  <c r="FF65"/>
  <c r="FD65"/>
  <c r="FB65"/>
  <c r="EZ65"/>
  <c r="EX65"/>
  <c r="EV65"/>
  <c r="ET65"/>
  <c r="ER65"/>
  <c r="EP65"/>
  <c r="EN65"/>
  <c r="EL65"/>
  <c r="EJ65"/>
  <c r="GD64"/>
  <c r="GB64"/>
  <c r="FZ64"/>
  <c r="FX64"/>
  <c r="FV64"/>
  <c r="FT64"/>
  <c r="FR64"/>
  <c r="FP64"/>
  <c r="FN64"/>
  <c r="FL64"/>
  <c r="FJ64"/>
  <c r="FH64"/>
  <c r="FF64"/>
  <c r="FD64"/>
  <c r="FB64"/>
  <c r="EZ64"/>
  <c r="EX64"/>
  <c r="EV64"/>
  <c r="ET64"/>
  <c r="ER64"/>
  <c r="EP64"/>
  <c r="EN64"/>
  <c r="EL64"/>
  <c r="EJ64"/>
  <c r="GD63"/>
  <c r="GB63"/>
  <c r="FZ63"/>
  <c r="FX63"/>
  <c r="FV63"/>
  <c r="FT63"/>
  <c r="FR63"/>
  <c r="FP63"/>
  <c r="FN63"/>
  <c r="FL63"/>
  <c r="FJ63"/>
  <c r="FH63"/>
  <c r="FF63"/>
  <c r="FD63"/>
  <c r="FB63"/>
  <c r="EZ63"/>
  <c r="EX63"/>
  <c r="EV63"/>
  <c r="ET63"/>
  <c r="ER63"/>
  <c r="EP63"/>
  <c r="EN63"/>
  <c r="EL63"/>
  <c r="EJ63"/>
  <c r="GD62"/>
  <c r="GB62"/>
  <c r="FZ62"/>
  <c r="FX62"/>
  <c r="FV62"/>
  <c r="FT62"/>
  <c r="FR62"/>
  <c r="FP62"/>
  <c r="FN62"/>
  <c r="FL62"/>
  <c r="FJ62"/>
  <c r="FH62"/>
  <c r="FF62"/>
  <c r="FD62"/>
  <c r="FB62"/>
  <c r="EZ62"/>
  <c r="EX62"/>
  <c r="EV62"/>
  <c r="ET62"/>
  <c r="ER62"/>
  <c r="EP62"/>
  <c r="EN62"/>
  <c r="EL62"/>
  <c r="EJ62"/>
  <c r="GD61"/>
  <c r="GB61"/>
  <c r="FZ61"/>
  <c r="FX61"/>
  <c r="FV61"/>
  <c r="FT61"/>
  <c r="FR61"/>
  <c r="FP61"/>
  <c r="FN61"/>
  <c r="FL61"/>
  <c r="FJ61"/>
  <c r="FH61"/>
  <c r="FF61"/>
  <c r="FD61"/>
  <c r="FB61"/>
  <c r="EZ61"/>
  <c r="EX61"/>
  <c r="EV61"/>
  <c r="ET61"/>
  <c r="ER61"/>
  <c r="EP61"/>
  <c r="EN61"/>
  <c r="EL61"/>
  <c r="EJ61"/>
  <c r="GD60"/>
  <c r="GB60"/>
  <c r="FZ60"/>
  <c r="FX60"/>
  <c r="FV60"/>
  <c r="FT60"/>
  <c r="FR60"/>
  <c r="FP60"/>
  <c r="FN60"/>
  <c r="FL60"/>
  <c r="FJ60"/>
  <c r="FH60"/>
  <c r="FF60"/>
  <c r="FD60"/>
  <c r="FB60"/>
  <c r="EZ60"/>
  <c r="EX60"/>
  <c r="EV60"/>
  <c r="ET60"/>
  <c r="ER60"/>
  <c r="EP60"/>
  <c r="EN60"/>
  <c r="EL60"/>
  <c r="EJ60"/>
  <c r="GD59"/>
  <c r="GB59"/>
  <c r="FZ59"/>
  <c r="FX59"/>
  <c r="FV59"/>
  <c r="FT59"/>
  <c r="FR59"/>
  <c r="FP59"/>
  <c r="FN59"/>
  <c r="FL59"/>
  <c r="FJ59"/>
  <c r="FH59"/>
  <c r="FF59"/>
  <c r="FD59"/>
  <c r="FB59"/>
  <c r="EZ59"/>
  <c r="EX59"/>
  <c r="EV59"/>
  <c r="ET59"/>
  <c r="ER59"/>
  <c r="EP59"/>
  <c r="EN59"/>
  <c r="EL59"/>
  <c r="EJ59"/>
  <c r="GD58"/>
  <c r="GB58"/>
  <c r="FZ58"/>
  <c r="FX58"/>
  <c r="FV58"/>
  <c r="FT58"/>
  <c r="FR58"/>
  <c r="FP58"/>
  <c r="FN58"/>
  <c r="FL58"/>
  <c r="FJ58"/>
  <c r="FH58"/>
  <c r="FF58"/>
  <c r="FD58"/>
  <c r="FB58"/>
  <c r="EZ58"/>
  <c r="EX58"/>
  <c r="EV58"/>
  <c r="ET58"/>
  <c r="ER58"/>
  <c r="EP58"/>
  <c r="EN58"/>
  <c r="EL58"/>
  <c r="EJ58"/>
  <c r="GD57"/>
  <c r="GB57"/>
  <c r="FZ57"/>
  <c r="FX57"/>
  <c r="FV57"/>
  <c r="FT57"/>
  <c r="FR57"/>
  <c r="FP57"/>
  <c r="FN57"/>
  <c r="FL57"/>
  <c r="FJ57"/>
  <c r="FH57"/>
  <c r="FF57"/>
  <c r="FD57"/>
  <c r="FB57"/>
  <c r="EZ57"/>
  <c r="EX57"/>
  <c r="EV57"/>
  <c r="ET57"/>
  <c r="ER57"/>
  <c r="EP57"/>
  <c r="EN57"/>
  <c r="EL57"/>
  <c r="EJ57"/>
  <c r="GD56"/>
  <c r="GB56"/>
  <c r="FZ56"/>
  <c r="FX56"/>
  <c r="FV56"/>
  <c r="FT56"/>
  <c r="FR56"/>
  <c r="FP56"/>
  <c r="FN56"/>
  <c r="FL56"/>
  <c r="FJ56"/>
  <c r="FH56"/>
  <c r="FF56"/>
  <c r="FD56"/>
  <c r="FB56"/>
  <c r="EZ56"/>
  <c r="EX56"/>
  <c r="EV56"/>
  <c r="ET56"/>
  <c r="ER56"/>
  <c r="EP56"/>
  <c r="EN56"/>
  <c r="EL56"/>
  <c r="EJ56"/>
  <c r="GD55"/>
  <c r="GB55"/>
  <c r="FZ55"/>
  <c r="FX55"/>
  <c r="FV55"/>
  <c r="FT55"/>
  <c r="FR55"/>
  <c r="FP55"/>
  <c r="FN55"/>
  <c r="FL55"/>
  <c r="FJ55"/>
  <c r="FH55"/>
  <c r="FF55"/>
  <c r="FD55"/>
  <c r="FB55"/>
  <c r="EZ55"/>
  <c r="EX55"/>
  <c r="EV55"/>
  <c r="ET55"/>
  <c r="ER55"/>
  <c r="EP55"/>
  <c r="EN55"/>
  <c r="EL55"/>
  <c r="EJ55"/>
  <c r="GD54"/>
  <c r="GB54"/>
  <c r="FZ54"/>
  <c r="FX54"/>
  <c r="FV54"/>
  <c r="FT54"/>
  <c r="FR54"/>
  <c r="FP54"/>
  <c r="FN54"/>
  <c r="FL54"/>
  <c r="FJ54"/>
  <c r="FH54"/>
  <c r="FF54"/>
  <c r="FD54"/>
  <c r="FB54"/>
  <c r="EZ54"/>
  <c r="EX54"/>
  <c r="EV54"/>
  <c r="ET54"/>
  <c r="ER54"/>
  <c r="EP54"/>
  <c r="EN54"/>
  <c r="EL54"/>
  <c r="EJ54"/>
  <c r="GD53"/>
  <c r="GB53"/>
  <c r="FZ53"/>
  <c r="FX53"/>
  <c r="FV53"/>
  <c r="FT53"/>
  <c r="FR53"/>
  <c r="FP53"/>
  <c r="FN53"/>
  <c r="FL53"/>
  <c r="FJ53"/>
  <c r="FH53"/>
  <c r="FF53"/>
  <c r="FD53"/>
  <c r="FB53"/>
  <c r="EZ53"/>
  <c r="EX53"/>
  <c r="EV53"/>
  <c r="ET53"/>
  <c r="ER53"/>
  <c r="EP53"/>
  <c r="EN53"/>
  <c r="EL53"/>
  <c r="EJ53"/>
  <c r="GD52"/>
  <c r="GB52"/>
  <c r="FZ52"/>
  <c r="FX52"/>
  <c r="FV52"/>
  <c r="FT52"/>
  <c r="FR52"/>
  <c r="FP52"/>
  <c r="FN52"/>
  <c r="FL52"/>
  <c r="FJ52"/>
  <c r="FH52"/>
  <c r="FF52"/>
  <c r="FD52"/>
  <c r="FB52"/>
  <c r="EZ52"/>
  <c r="EX52"/>
  <c r="EV52"/>
  <c r="ET52"/>
  <c r="ER52"/>
  <c r="EP52"/>
  <c r="EN52"/>
  <c r="EL52"/>
  <c r="EJ52"/>
  <c r="GD51"/>
  <c r="GB51"/>
  <c r="FZ51"/>
  <c r="FX51"/>
  <c r="FV51"/>
  <c r="FT51"/>
  <c r="FR51"/>
  <c r="FP51"/>
  <c r="FN51"/>
  <c r="FL51"/>
  <c r="FJ51"/>
  <c r="FH51"/>
  <c r="FF51"/>
  <c r="FD51"/>
  <c r="FB51"/>
  <c r="EZ51"/>
  <c r="EX51"/>
  <c r="EV51"/>
  <c r="ET51"/>
  <c r="ER51"/>
  <c r="EP51"/>
  <c r="EN51"/>
  <c r="EL51"/>
  <c r="EJ51"/>
  <c r="GD50"/>
  <c r="GB50"/>
  <c r="FZ50"/>
  <c r="FX50"/>
  <c r="FV50"/>
  <c r="FT50"/>
  <c r="FR50"/>
  <c r="FP50"/>
  <c r="FN50"/>
  <c r="FL50"/>
  <c r="FJ50"/>
  <c r="FH50"/>
  <c r="FF50"/>
  <c r="FD50"/>
  <c r="FB50"/>
  <c r="EZ50"/>
  <c r="EX50"/>
  <c r="EV50"/>
  <c r="ET50"/>
  <c r="ER50"/>
  <c r="EP50"/>
  <c r="EN50"/>
  <c r="EL50"/>
  <c r="EJ50"/>
  <c r="GD49"/>
  <c r="GB49"/>
  <c r="FZ49"/>
  <c r="FX49"/>
  <c r="FV49"/>
  <c r="FT49"/>
  <c r="FR49"/>
  <c r="FP49"/>
  <c r="FN49"/>
  <c r="FL49"/>
  <c r="FJ49"/>
  <c r="FH49"/>
  <c r="FF49"/>
  <c r="FD49"/>
  <c r="FB49"/>
  <c r="EZ49"/>
  <c r="EX49"/>
  <c r="EV49"/>
  <c r="ET49"/>
  <c r="ER49"/>
  <c r="EP49"/>
  <c r="EN49"/>
  <c r="EL49"/>
  <c r="EJ49"/>
  <c r="GD48"/>
  <c r="GB48"/>
  <c r="FZ48"/>
  <c r="FX48"/>
  <c r="FV48"/>
  <c r="FT48"/>
  <c r="FR48"/>
  <c r="FP48"/>
  <c r="FN48"/>
  <c r="FL48"/>
  <c r="FJ48"/>
  <c r="FH48"/>
  <c r="FF48"/>
  <c r="FD48"/>
  <c r="FB48"/>
  <c r="EZ48"/>
  <c r="EX48"/>
  <c r="EV48"/>
  <c r="ET48"/>
  <c r="ER48"/>
  <c r="EP48"/>
  <c r="EN48"/>
  <c r="EL48"/>
  <c r="EJ48"/>
  <c r="GD47"/>
  <c r="GB47"/>
  <c r="FZ47"/>
  <c r="FX47"/>
  <c r="FV47"/>
  <c r="FT47"/>
  <c r="FR47"/>
  <c r="FP47"/>
  <c r="FN47"/>
  <c r="FL47"/>
  <c r="FJ47"/>
  <c r="FH47"/>
  <c r="FF47"/>
  <c r="FD47"/>
  <c r="FB47"/>
  <c r="EZ47"/>
  <c r="EX47"/>
  <c r="EV47"/>
  <c r="ET47"/>
  <c r="ER47"/>
  <c r="EP47"/>
  <c r="EN47"/>
  <c r="EL47"/>
  <c r="EJ47"/>
  <c r="GD46"/>
  <c r="GB46"/>
  <c r="FZ46"/>
  <c r="FX46"/>
  <c r="FV46"/>
  <c r="FT46"/>
  <c r="FR46"/>
  <c r="FP46"/>
  <c r="FN46"/>
  <c r="FL46"/>
  <c r="FJ46"/>
  <c r="FH46"/>
  <c r="FF46"/>
  <c r="FD46"/>
  <c r="FB46"/>
  <c r="EZ46"/>
  <c r="EX46"/>
  <c r="EV46"/>
  <c r="ET46"/>
  <c r="ER46"/>
  <c r="EP46"/>
  <c r="EN46"/>
  <c r="EL46"/>
  <c r="EJ46"/>
  <c r="GD45"/>
  <c r="GB45"/>
  <c r="FZ45"/>
  <c r="FX45"/>
  <c r="FV45"/>
  <c r="FT45"/>
  <c r="FR45"/>
  <c r="FP45"/>
  <c r="FN45"/>
  <c r="FL45"/>
  <c r="FJ45"/>
  <c r="FH45"/>
  <c r="FF45"/>
  <c r="FD45"/>
  <c r="FB45"/>
  <c r="EZ45"/>
  <c r="EX45"/>
  <c r="EV45"/>
  <c r="ET45"/>
  <c r="ER45"/>
  <c r="EP45"/>
  <c r="EN45"/>
  <c r="EL45"/>
  <c r="EJ45"/>
  <c r="GD44"/>
  <c r="GB44"/>
  <c r="FZ44"/>
  <c r="FX44"/>
  <c r="FV44"/>
  <c r="FT44"/>
  <c r="FR44"/>
  <c r="FP44"/>
  <c r="FN44"/>
  <c r="FL44"/>
  <c r="FJ44"/>
  <c r="FH44"/>
  <c r="FF44"/>
  <c r="FD44"/>
  <c r="FB44"/>
  <c r="EZ44"/>
  <c r="EX44"/>
  <c r="EV44"/>
  <c r="ET44"/>
  <c r="ER44"/>
  <c r="EP44"/>
  <c r="EN44"/>
  <c r="EL44"/>
  <c r="EJ44"/>
  <c r="GD43"/>
  <c r="GB43"/>
  <c r="FZ43"/>
  <c r="FX43"/>
  <c r="FV43"/>
  <c r="FT43"/>
  <c r="FR43"/>
  <c r="FP43"/>
  <c r="FN43"/>
  <c r="FL43"/>
  <c r="FJ43"/>
  <c r="FH43"/>
  <c r="FF43"/>
  <c r="FD43"/>
  <c r="FB43"/>
  <c r="EZ43"/>
  <c r="EX43"/>
  <c r="EV43"/>
  <c r="ET43"/>
  <c r="ER43"/>
  <c r="EP43"/>
  <c r="EN43"/>
  <c r="EL43"/>
  <c r="EJ43"/>
  <c r="GD42"/>
  <c r="GB42"/>
  <c r="FZ42"/>
  <c r="FX42"/>
  <c r="FV42"/>
  <c r="FT42"/>
  <c r="FR42"/>
  <c r="FP42"/>
  <c r="FN42"/>
  <c r="FL42"/>
  <c r="FJ42"/>
  <c r="FH42"/>
  <c r="FF42"/>
  <c r="FD42"/>
  <c r="FB42"/>
  <c r="EZ42"/>
  <c r="EX42"/>
  <c r="EV42"/>
  <c r="ET42"/>
  <c r="ER42"/>
  <c r="EP42"/>
  <c r="EN42"/>
  <c r="EL42"/>
  <c r="EJ42"/>
  <c r="GD41"/>
  <c r="GB41"/>
  <c r="FZ41"/>
  <c r="FX41"/>
  <c r="FV41"/>
  <c r="FT41"/>
  <c r="FR41"/>
  <c r="FP41"/>
  <c r="FN41"/>
  <c r="FL41"/>
  <c r="FJ41"/>
  <c r="FH41"/>
  <c r="FF41"/>
  <c r="FD41"/>
  <c r="FB41"/>
  <c r="EZ41"/>
  <c r="EX41"/>
  <c r="EV41"/>
  <c r="ET41"/>
  <c r="ER41"/>
  <c r="EP41"/>
  <c r="EN41"/>
  <c r="EL41"/>
  <c r="EJ41"/>
  <c r="GD40"/>
  <c r="GB40"/>
  <c r="FZ40"/>
  <c r="FX40"/>
  <c r="FV40"/>
  <c r="FT40"/>
  <c r="FR40"/>
  <c r="FP40"/>
  <c r="FN40"/>
  <c r="FL40"/>
  <c r="FJ40"/>
  <c r="FH40"/>
  <c r="FF40"/>
  <c r="FD40"/>
  <c r="FB40"/>
  <c r="EZ40"/>
  <c r="EX40"/>
  <c r="EV40"/>
  <c r="ET40"/>
  <c r="ER40"/>
  <c r="EP40"/>
  <c r="EN40"/>
  <c r="EL40"/>
  <c r="EJ40"/>
  <c r="GD39"/>
  <c r="GB39"/>
  <c r="FZ39"/>
  <c r="FX39"/>
  <c r="FV39"/>
  <c r="FT39"/>
  <c r="FR39"/>
  <c r="FP39"/>
  <c r="FN39"/>
  <c r="FL39"/>
  <c r="FJ39"/>
  <c r="FH39"/>
  <c r="FF39"/>
  <c r="FD39"/>
  <c r="FB39"/>
  <c r="EZ39"/>
  <c r="EX39"/>
  <c r="EV39"/>
  <c r="ET39"/>
  <c r="ER39"/>
  <c r="EP39"/>
  <c r="EN39"/>
  <c r="EL39"/>
  <c r="EJ39"/>
  <c r="GD38"/>
  <c r="GB38"/>
  <c r="FZ38"/>
  <c r="FX38"/>
  <c r="FV38"/>
  <c r="FT38"/>
  <c r="FR38"/>
  <c r="FP38"/>
  <c r="FN38"/>
  <c r="FL38"/>
  <c r="FJ38"/>
  <c r="FH38"/>
  <c r="FF38"/>
  <c r="FD38"/>
  <c r="FB38"/>
  <c r="EZ38"/>
  <c r="EX38"/>
  <c r="EV38"/>
  <c r="ET38"/>
  <c r="ER38"/>
  <c r="EP38"/>
  <c r="EN38"/>
  <c r="EL38"/>
  <c r="EJ38"/>
  <c r="GD37"/>
  <c r="GB37"/>
  <c r="FZ37"/>
  <c r="FX37"/>
  <c r="FV37"/>
  <c r="FT37"/>
  <c r="FR37"/>
  <c r="FP37"/>
  <c r="FN37"/>
  <c r="FL37"/>
  <c r="FJ37"/>
  <c r="FH37"/>
  <c r="FF37"/>
  <c r="FD37"/>
  <c r="FB37"/>
  <c r="EZ37"/>
  <c r="EX37"/>
  <c r="EV37"/>
  <c r="ET37"/>
  <c r="ER37"/>
  <c r="EP37"/>
  <c r="EN37"/>
  <c r="EL37"/>
  <c r="EJ37"/>
  <c r="GD36"/>
  <c r="GB36"/>
  <c r="FZ36"/>
  <c r="FX36"/>
  <c r="FV36"/>
  <c r="FT36"/>
  <c r="FR36"/>
  <c r="FP36"/>
  <c r="FN36"/>
  <c r="FL36"/>
  <c r="FJ36"/>
  <c r="FH36"/>
  <c r="FF36"/>
  <c r="FD36"/>
  <c r="FB36"/>
  <c r="EZ36"/>
  <c r="EX36"/>
  <c r="EV36"/>
  <c r="ET36"/>
  <c r="ER36"/>
  <c r="EP36"/>
  <c r="EN36"/>
  <c r="EL36"/>
  <c r="EJ36"/>
  <c r="GD35"/>
  <c r="GB35"/>
  <c r="FZ35"/>
  <c r="FX35"/>
  <c r="FV35"/>
  <c r="FT35"/>
  <c r="FR35"/>
  <c r="FP35"/>
  <c r="FN35"/>
  <c r="FL35"/>
  <c r="FJ35"/>
  <c r="FH35"/>
  <c r="FF35"/>
  <c r="FD35"/>
  <c r="FB35"/>
  <c r="EZ35"/>
  <c r="EX35"/>
  <c r="EV35"/>
  <c r="ET35"/>
  <c r="ER35"/>
  <c r="EP35"/>
  <c r="EN35"/>
  <c r="EL35"/>
  <c r="EJ35"/>
  <c r="GD34"/>
  <c r="GB34"/>
  <c r="FZ34"/>
  <c r="FX34"/>
  <c r="FV34"/>
  <c r="FT34"/>
  <c r="FR34"/>
  <c r="FP34"/>
  <c r="FN34"/>
  <c r="FL34"/>
  <c r="FJ34"/>
  <c r="FH34"/>
  <c r="FF34"/>
  <c r="FD34"/>
  <c r="FB34"/>
  <c r="EZ34"/>
  <c r="EX34"/>
  <c r="EV34"/>
  <c r="ET34"/>
  <c r="ER34"/>
  <c r="EP34"/>
  <c r="EN34"/>
  <c r="EL34"/>
  <c r="EJ34"/>
  <c r="GD33"/>
  <c r="GB33"/>
  <c r="FZ33"/>
  <c r="FX33"/>
  <c r="FV33"/>
  <c r="FT33"/>
  <c r="FR33"/>
  <c r="FP33"/>
  <c r="FN33"/>
  <c r="FL33"/>
  <c r="FJ33"/>
  <c r="FH33"/>
  <c r="FF33"/>
  <c r="FD33"/>
  <c r="FB33"/>
  <c r="EZ33"/>
  <c r="EX33"/>
  <c r="EV33"/>
  <c r="ET33"/>
  <c r="ER33"/>
  <c r="EP33"/>
  <c r="EN33"/>
  <c r="EL33"/>
  <c r="EJ33"/>
  <c r="GD32"/>
  <c r="GB32"/>
  <c r="FZ32"/>
  <c r="FX32"/>
  <c r="FV32"/>
  <c r="FT32"/>
  <c r="FR32"/>
  <c r="FP32"/>
  <c r="FN32"/>
  <c r="FL32"/>
  <c r="FJ32"/>
  <c r="FH32"/>
  <c r="FF32"/>
  <c r="FD32"/>
  <c r="FB32"/>
  <c r="EZ32"/>
  <c r="EX32"/>
  <c r="EV32"/>
  <c r="ET32"/>
  <c r="ER32"/>
  <c r="EP32"/>
  <c r="EN32"/>
  <c r="EL32"/>
  <c r="EJ32"/>
  <c r="GD31"/>
  <c r="GB31"/>
  <c r="FZ31"/>
  <c r="FX31"/>
  <c r="FV31"/>
  <c r="FT31"/>
  <c r="FR31"/>
  <c r="FP31"/>
  <c r="FN31"/>
  <c r="FL31"/>
  <c r="FJ31"/>
  <c r="FH31"/>
  <c r="FF31"/>
  <c r="FD31"/>
  <c r="FB31"/>
  <c r="EZ31"/>
  <c r="EX31"/>
  <c r="EV31"/>
  <c r="ET31"/>
  <c r="ER31"/>
  <c r="EP31"/>
  <c r="EN31"/>
  <c r="EL31"/>
  <c r="EJ31"/>
  <c r="GD30"/>
  <c r="GB30"/>
  <c r="FZ30"/>
  <c r="FX30"/>
  <c r="FV30"/>
  <c r="FT30"/>
  <c r="FR30"/>
  <c r="AA23" i="9"/>
  <c r="T23"/>
  <c r="AD21"/>
  <c r="AA21"/>
  <c r="W21"/>
  <c r="T21"/>
  <c r="A15"/>
  <c r="AD9"/>
  <c r="AA9"/>
  <c r="T9"/>
  <c r="Q9"/>
  <c r="K9"/>
  <c r="A9"/>
  <c r="AD7"/>
  <c r="AA7"/>
  <c r="W7"/>
  <c r="T7"/>
  <c r="Q7"/>
  <c r="N7"/>
  <c r="K7"/>
  <c r="H7"/>
  <c r="D7"/>
  <c r="A7"/>
  <c r="J1"/>
  <c r="I1"/>
  <c r="A1"/>
  <c r="Q23" i="8"/>
  <c r="K23"/>
  <c r="A23"/>
  <c r="Q21"/>
  <c r="N21"/>
  <c r="K21"/>
  <c r="H21"/>
  <c r="D21"/>
  <c r="A21"/>
  <c r="A15"/>
  <c r="AD9"/>
  <c r="AA9"/>
  <c r="T9"/>
  <c r="Q9"/>
  <c r="K9"/>
  <c r="A9"/>
  <c r="AD7"/>
  <c r="AA7"/>
  <c r="W7"/>
  <c r="T7"/>
  <c r="Q7"/>
  <c r="N7"/>
  <c r="K7"/>
  <c r="H7"/>
  <c r="D7"/>
  <c r="A7"/>
  <c r="J1"/>
  <c r="I1"/>
  <c r="A1"/>
  <c r="F32" i="7"/>
  <c r="F68" i="6"/>
  <c r="E68"/>
  <c r="D68"/>
  <c r="F32"/>
  <c r="F32" i="5"/>
  <c r="F32" i="3"/>
  <c r="FP30" i="10"/>
  <c r="FN30"/>
  <c r="FL30"/>
  <c r="FJ30"/>
  <c r="FH30"/>
  <c r="FF30"/>
  <c r="FD30"/>
  <c r="FB30"/>
  <c r="EZ30"/>
  <c r="EX30"/>
  <c r="EV30"/>
  <c r="ET30"/>
  <c r="ER30"/>
  <c r="EP30"/>
  <c r="EN30"/>
  <c r="EL30"/>
  <c r="EJ30"/>
  <c r="GD29"/>
  <c r="GB29"/>
  <c r="FZ29"/>
  <c r="FX29"/>
  <c r="FV29"/>
  <c r="FT29"/>
  <c r="FR29"/>
  <c r="FP29"/>
  <c r="FN29"/>
  <c r="FL29"/>
  <c r="FJ29"/>
  <c r="FH29"/>
  <c r="FF29"/>
  <c r="FD29"/>
  <c r="FB29"/>
  <c r="EZ29"/>
  <c r="EX29"/>
  <c r="EV29"/>
  <c r="ET29"/>
  <c r="ER29"/>
  <c r="EP29"/>
  <c r="EN29"/>
  <c r="EL29"/>
  <c r="EJ29"/>
  <c r="GD28"/>
  <c r="GB28"/>
  <c r="FZ28"/>
  <c r="FX28"/>
  <c r="FV28"/>
  <c r="FT28"/>
  <c r="FR28"/>
  <c r="FP28"/>
  <c r="FN28"/>
  <c r="FL28"/>
  <c r="FJ28"/>
  <c r="FH28"/>
  <c r="FF28"/>
  <c r="FD28"/>
  <c r="FB28"/>
  <c r="EZ28"/>
  <c r="EX28"/>
  <c r="EV28"/>
  <c r="ET28"/>
  <c r="ER28"/>
  <c r="EP28"/>
  <c r="EN28"/>
  <c r="EL28"/>
  <c r="EJ28"/>
  <c r="GD27"/>
  <c r="GB27"/>
  <c r="FZ27"/>
  <c r="FX27"/>
  <c r="FV27"/>
  <c r="FT27"/>
  <c r="FR27"/>
  <c r="FP27"/>
  <c r="FN27"/>
  <c r="FL27"/>
  <c r="FJ27"/>
  <c r="FH27"/>
  <c r="FF27"/>
  <c r="FD27"/>
  <c r="FB27"/>
  <c r="EZ27"/>
  <c r="EX27"/>
  <c r="EV27"/>
  <c r="ET27"/>
  <c r="ER27"/>
  <c r="EP27"/>
  <c r="EN27"/>
  <c r="EL27"/>
  <c r="EJ27"/>
  <c r="GD26"/>
  <c r="GB26"/>
  <c r="FZ26"/>
  <c r="FX26"/>
  <c r="FV26"/>
  <c r="FT26"/>
  <c r="FR26"/>
  <c r="FP26"/>
  <c r="FN26"/>
  <c r="FL26"/>
  <c r="FJ26"/>
  <c r="FH26"/>
  <c r="FF26"/>
  <c r="FD26"/>
  <c r="FB26"/>
  <c r="EZ26"/>
  <c r="EX26"/>
  <c r="EV26"/>
  <c r="ET26"/>
  <c r="ER26"/>
  <c r="EP26"/>
  <c r="EN26"/>
  <c r="EL26"/>
  <c r="EJ26"/>
  <c r="GD25"/>
  <c r="GB25"/>
  <c r="FZ25"/>
  <c r="FX25"/>
  <c r="FV25"/>
  <c r="FT25"/>
  <c r="FR25"/>
  <c r="FP25"/>
  <c r="FN25"/>
  <c r="FL25"/>
  <c r="FJ25"/>
  <c r="FH25"/>
  <c r="FF25"/>
  <c r="FD25"/>
  <c r="FB25"/>
  <c r="EZ25"/>
  <c r="EX25"/>
  <c r="EV25"/>
  <c r="ET25"/>
  <c r="ER25"/>
  <c r="EP25"/>
  <c r="EN25"/>
  <c r="EL25"/>
  <c r="EJ25"/>
  <c r="GD24"/>
  <c r="GB24"/>
  <c r="FZ24"/>
  <c r="FX24"/>
  <c r="FV24"/>
  <c r="FT24"/>
  <c r="FR24"/>
  <c r="FP24"/>
  <c r="FN24"/>
  <c r="FL24"/>
  <c r="FJ24"/>
  <c r="FH24"/>
  <c r="FF24"/>
  <c r="FD24"/>
  <c r="FB24"/>
  <c r="EZ24"/>
  <c r="EX24"/>
  <c r="EV24"/>
  <c r="ET24"/>
  <c r="ER24"/>
  <c r="EP24"/>
  <c r="EN24"/>
  <c r="EL24"/>
  <c r="EJ24"/>
  <c r="GD23"/>
  <c r="GB23"/>
  <c r="FZ23"/>
  <c r="FX23"/>
  <c r="FV23"/>
  <c r="FT23"/>
  <c r="FR23"/>
  <c r="FP23"/>
  <c r="FN23"/>
  <c r="FL23"/>
  <c r="FJ23"/>
  <c r="FH23"/>
  <c r="FF23"/>
  <c r="FD23"/>
  <c r="FB23"/>
  <c r="EZ23"/>
  <c r="EX23"/>
  <c r="EV23"/>
  <c r="ET23"/>
  <c r="ER23"/>
  <c r="EP23"/>
  <c r="EN23"/>
  <c r="EL23"/>
  <c r="EJ23"/>
  <c r="GD22"/>
  <c r="GB22"/>
  <c r="FZ22"/>
  <c r="FX22"/>
  <c r="FV22"/>
  <c r="FT22"/>
  <c r="FR22"/>
  <c r="FP22"/>
  <c r="FN22"/>
  <c r="FL22"/>
  <c r="FJ22"/>
  <c r="FH22"/>
  <c r="FF22"/>
  <c r="FD22"/>
  <c r="FB22"/>
  <c r="EZ22"/>
  <c r="EX22"/>
  <c r="EV22"/>
  <c r="ET22"/>
  <c r="ER22"/>
  <c r="EP22"/>
  <c r="EN22"/>
  <c r="EL22"/>
  <c r="EJ22"/>
  <c r="GD21"/>
  <c r="GB21"/>
  <c r="FZ21"/>
  <c r="FX21"/>
  <c r="FV21"/>
  <c r="FT21"/>
  <c r="FR21"/>
  <c r="FP21"/>
  <c r="FN21"/>
  <c r="FL21"/>
  <c r="FJ21"/>
  <c r="FH21"/>
  <c r="FF21"/>
  <c r="FD21"/>
  <c r="FB21"/>
  <c r="EZ21"/>
  <c r="EX21"/>
  <c r="EV21"/>
  <c r="ET21"/>
  <c r="ER21"/>
  <c r="EP21"/>
  <c r="EN21"/>
  <c r="EL21"/>
  <c r="EJ21"/>
  <c r="GD20"/>
  <c r="GB20"/>
  <c r="FZ20"/>
  <c r="FX20"/>
  <c r="FV20"/>
  <c r="FT20"/>
  <c r="FR20"/>
  <c r="FP20"/>
  <c r="FN20"/>
  <c r="FL20"/>
  <c r="FJ20"/>
  <c r="FH20"/>
  <c r="FF20"/>
  <c r="FD20"/>
  <c r="FB20"/>
  <c r="EZ20"/>
  <c r="EX20"/>
  <c r="EV20"/>
  <c r="ET20"/>
  <c r="ER20"/>
  <c r="EP20"/>
  <c r="EN20"/>
  <c r="EL20"/>
  <c r="EJ20"/>
  <c r="GD19"/>
  <c r="GB19"/>
  <c r="FZ19"/>
  <c r="FX19"/>
  <c r="FV19"/>
  <c r="FT19"/>
  <c r="FR19"/>
  <c r="FP19"/>
  <c r="FN19"/>
  <c r="FL19"/>
  <c r="FJ19"/>
  <c r="FH19"/>
  <c r="FF19"/>
  <c r="FD19"/>
  <c r="FB19"/>
  <c r="EZ19"/>
  <c r="EX19"/>
  <c r="EV19"/>
  <c r="ET19"/>
  <c r="ER19"/>
  <c r="EP19"/>
  <c r="EN19"/>
  <c r="EL19"/>
  <c r="EJ19"/>
  <c r="GD18"/>
  <c r="GB18"/>
  <c r="FZ18"/>
  <c r="FX18"/>
  <c r="FV18"/>
  <c r="FT18"/>
  <c r="FR18"/>
  <c r="FP18"/>
  <c r="FN18"/>
  <c r="FL18"/>
  <c r="FJ18"/>
  <c r="FH18"/>
  <c r="FF18"/>
  <c r="FD18"/>
  <c r="FB18"/>
  <c r="EZ18"/>
  <c r="EX18"/>
  <c r="EV18"/>
  <c r="ET18"/>
  <c r="ER18"/>
  <c r="EP18"/>
  <c r="EN18"/>
  <c r="EL18"/>
  <c r="EJ18"/>
  <c r="GD17"/>
  <c r="GB17"/>
  <c r="FZ17"/>
  <c r="FX17"/>
  <c r="FV17"/>
  <c r="FT17"/>
  <c r="FR17"/>
  <c r="FP17"/>
  <c r="FN17"/>
  <c r="FL17"/>
  <c r="FJ17"/>
  <c r="FH17"/>
  <c r="FF17"/>
  <c r="FD17"/>
  <c r="FB17"/>
  <c r="EZ17"/>
  <c r="EX17"/>
  <c r="EV17"/>
  <c r="ET17"/>
  <c r="ER17"/>
  <c r="EP17"/>
  <c r="EN17"/>
  <c r="EL17"/>
  <c r="EJ17"/>
  <c r="GD16"/>
  <c r="GB16"/>
  <c r="FZ16"/>
  <c r="FX16"/>
  <c r="FV16"/>
  <c r="FT16"/>
  <c r="FR16"/>
  <c r="FP16"/>
  <c r="FN16"/>
  <c r="FL16"/>
  <c r="FJ16"/>
  <c r="FH16"/>
  <c r="FF16"/>
  <c r="FD16"/>
  <c r="FB16"/>
  <c r="EZ16"/>
  <c r="EX16"/>
  <c r="EV16"/>
  <c r="ET16"/>
  <c r="ER16"/>
  <c r="EP16"/>
  <c r="EN16"/>
  <c r="EL16"/>
  <c r="EJ16"/>
  <c r="GD15"/>
  <c r="GB15"/>
  <c r="FZ15"/>
  <c r="FX15"/>
  <c r="FV15"/>
  <c r="FT15"/>
  <c r="FR15"/>
  <c r="FP15"/>
  <c r="FN15"/>
  <c r="FL15"/>
  <c r="FJ15"/>
  <c r="FH15"/>
  <c r="FF15"/>
  <c r="FD15"/>
  <c r="FB15"/>
  <c r="EZ15"/>
  <c r="EX15"/>
  <c r="EV15"/>
  <c r="ET15"/>
  <c r="ER15"/>
  <c r="EP15"/>
  <c r="EN15"/>
  <c r="EL15"/>
  <c r="EJ15"/>
  <c r="GD14"/>
  <c r="GB14"/>
  <c r="FZ14"/>
  <c r="FX14"/>
  <c r="FV14"/>
  <c r="FT14"/>
  <c r="FR14"/>
  <c r="FP14"/>
  <c r="FN14"/>
  <c r="FL14"/>
  <c r="FJ14"/>
  <c r="FH14"/>
  <c r="FF14"/>
  <c r="FD14"/>
  <c r="FB14"/>
  <c r="EZ14"/>
  <c r="EX14"/>
  <c r="EV14"/>
  <c r="ET14"/>
  <c r="ER14"/>
  <c r="EP14"/>
  <c r="EN14"/>
  <c r="EL14"/>
  <c r="EJ14"/>
  <c r="GD13"/>
  <c r="GB13"/>
  <c r="FZ13"/>
  <c r="FX13"/>
  <c r="FV13"/>
  <c r="FT13"/>
  <c r="FR13"/>
  <c r="FP13"/>
  <c r="FN13"/>
  <c r="FL13"/>
  <c r="FJ13"/>
  <c r="FH13"/>
  <c r="FF13"/>
  <c r="FD13"/>
  <c r="FB13"/>
  <c r="EZ13"/>
  <c r="EX13"/>
  <c r="EV13"/>
  <c r="ET13"/>
  <c r="ER13"/>
  <c r="EP13"/>
  <c r="EN13"/>
  <c r="EL13"/>
  <c r="EJ13"/>
  <c r="GD12"/>
  <c r="GB12"/>
  <c r="FZ12"/>
  <c r="FX12"/>
  <c r="FV12"/>
  <c r="FT12"/>
  <c r="FR12"/>
  <c r="FP12"/>
  <c r="FN12"/>
  <c r="FL12"/>
  <c r="FJ12"/>
  <c r="FH12"/>
  <c r="FF12"/>
  <c r="FD12"/>
  <c r="FB12"/>
  <c r="EZ12"/>
  <c r="EX12"/>
  <c r="EV12"/>
  <c r="ET12"/>
  <c r="ER12"/>
  <c r="EP12"/>
  <c r="EN12"/>
  <c r="EL12"/>
  <c r="EJ12"/>
  <c r="GD11"/>
  <c r="GB11"/>
  <c r="FZ11"/>
  <c r="FX11"/>
  <c r="FV11"/>
  <c r="FT11"/>
  <c r="FR11"/>
  <c r="FP11"/>
  <c r="FN11"/>
  <c r="FL11"/>
  <c r="FJ11"/>
  <c r="FH11"/>
  <c r="FF11"/>
  <c r="FD11"/>
  <c r="FB11"/>
  <c r="EZ11"/>
  <c r="EX11"/>
  <c r="EV11"/>
  <c r="ET11"/>
  <c r="ER11"/>
  <c r="EP11"/>
  <c r="EN11"/>
  <c r="EL11"/>
  <c r="EJ11"/>
  <c r="GD10"/>
  <c r="GB10"/>
  <c r="FZ10"/>
  <c r="FX10"/>
  <c r="FV10"/>
  <c r="FT10"/>
  <c r="FR10"/>
  <c r="FP10"/>
  <c r="FN10"/>
  <c r="FL10"/>
  <c r="FJ10"/>
  <c r="FH10"/>
  <c r="FF10"/>
  <c r="FD10"/>
  <c r="FB10"/>
  <c r="EZ10"/>
  <c r="EX10"/>
  <c r="EV10"/>
  <c r="ET10"/>
  <c r="ER10"/>
  <c r="EP10"/>
  <c r="EN10"/>
  <c r="EL10"/>
  <c r="EJ10"/>
  <c r="GD9"/>
  <c r="GB9"/>
  <c r="FZ9"/>
  <c r="FX9"/>
  <c r="FV9"/>
  <c r="FT9"/>
  <c r="FR9"/>
  <c r="FP9"/>
  <c r="FN9"/>
  <c r="FL9"/>
  <c r="FJ9"/>
  <c r="FH9"/>
  <c r="FF9"/>
  <c r="FD9"/>
  <c r="FB9"/>
  <c r="EZ9"/>
  <c r="EX9"/>
  <c r="EV9"/>
  <c r="ET9"/>
  <c r="ER9"/>
  <c r="EP9"/>
  <c r="EN9"/>
  <c r="EL9"/>
  <c r="EJ9"/>
  <c r="GD8"/>
  <c r="GB8"/>
  <c r="FZ8"/>
  <c r="FX8"/>
  <c r="FV8"/>
  <c r="FT8"/>
  <c r="FR8"/>
  <c r="FP8"/>
  <c r="FN8"/>
  <c r="FL8"/>
  <c r="FJ8"/>
  <c r="FH8"/>
  <c r="FF8"/>
  <c r="FD8"/>
  <c r="FB8"/>
  <c r="EZ8"/>
  <c r="EX8"/>
  <c r="EV8"/>
  <c r="ET8"/>
  <c r="ER8"/>
  <c r="EP8"/>
  <c r="EN8"/>
  <c r="EL8"/>
  <c r="EJ8"/>
  <c r="GD7"/>
  <c r="GB7"/>
  <c r="FZ7"/>
  <c r="FX7"/>
  <c r="FV7"/>
  <c r="FT7"/>
  <c r="FR7"/>
  <c r="FP7"/>
  <c r="FN7"/>
  <c r="FL7"/>
  <c r="FJ7"/>
  <c r="FH7"/>
  <c r="FF7"/>
  <c r="FD7"/>
  <c r="FB7"/>
  <c r="EZ7"/>
  <c r="EX7"/>
  <c r="EV7"/>
  <c r="ET7"/>
  <c r="ER7"/>
  <c r="EP7"/>
  <c r="EN7"/>
  <c r="EL7"/>
  <c r="EJ7"/>
  <c r="GD6"/>
  <c r="GB6"/>
  <c r="FZ6"/>
  <c r="FX6"/>
  <c r="FV6"/>
  <c r="FT6"/>
  <c r="FR6"/>
  <c r="FP6"/>
  <c r="FN6"/>
  <c r="FL6"/>
  <c r="FJ6"/>
  <c r="FH6"/>
  <c r="FF6"/>
  <c r="FD6"/>
  <c r="FB6"/>
  <c r="EZ6"/>
  <c r="EX6"/>
  <c r="EV6"/>
  <c r="ET6"/>
  <c r="ER6"/>
  <c r="EP6"/>
  <c r="EN6"/>
  <c r="EL6"/>
  <c r="EJ6"/>
  <c r="GD5"/>
  <c r="GB5"/>
  <c r="FZ5"/>
  <c r="FX5"/>
  <c r="FV5"/>
  <c r="FT5"/>
  <c r="FR5"/>
  <c r="FP5"/>
  <c r="FN5"/>
  <c r="FL5"/>
  <c r="FJ5"/>
  <c r="FH5"/>
  <c r="FF5"/>
  <c r="FD5"/>
  <c r="FB5"/>
  <c r="EZ5"/>
  <c r="EX5"/>
  <c r="EV5"/>
  <c r="ET5"/>
  <c r="ER5"/>
  <c r="EP5"/>
  <c r="EN5"/>
  <c r="EL5"/>
  <c r="EJ5"/>
  <c r="GD4"/>
  <c r="GB4"/>
  <c r="FZ4"/>
  <c r="FX4"/>
  <c r="FV4"/>
  <c r="FT4"/>
  <c r="FR4"/>
  <c r="FP4"/>
  <c r="FN4"/>
  <c r="FL4"/>
  <c r="FJ4"/>
  <c r="FH4"/>
  <c r="FF4"/>
  <c r="FD4"/>
  <c r="FB4"/>
  <c r="EZ4"/>
  <c r="EX4"/>
  <c r="EV4"/>
  <c r="ET4"/>
  <c r="ER4"/>
  <c r="EP4"/>
  <c r="EN4"/>
  <c r="EL4"/>
  <c r="EJ4"/>
  <c r="GD3"/>
  <c r="GB3"/>
  <c r="FZ3"/>
  <c r="FX3"/>
  <c r="FV3"/>
  <c r="FT3"/>
  <c r="FR3"/>
  <c r="FP3"/>
  <c r="FN3"/>
  <c r="FL3"/>
  <c r="FJ3"/>
  <c r="FH3"/>
  <c r="FF3"/>
  <c r="FD3"/>
  <c r="FB3"/>
  <c r="EZ3"/>
  <c r="EX3"/>
  <c r="EV3"/>
  <c r="ET3"/>
  <c r="ER3"/>
  <c r="EP3"/>
  <c r="EN3"/>
  <c r="EL3"/>
  <c r="EJ3"/>
  <c r="GD2"/>
  <c r="IC2" s="1"/>
  <c r="GB2"/>
  <c r="FZ2"/>
  <c r="HY2" s="1"/>
  <c r="FX2"/>
  <c r="FV2"/>
  <c r="FT2"/>
  <c r="FR2"/>
  <c r="FP2"/>
  <c r="FN2"/>
  <c r="FL2"/>
  <c r="FJ2"/>
  <c r="FH2"/>
  <c r="FF2"/>
  <c r="FD2"/>
  <c r="FB2"/>
  <c r="EZ2"/>
  <c r="EX2"/>
  <c r="EV2"/>
  <c r="ET2"/>
  <c r="ER2"/>
  <c r="EP2"/>
  <c r="EN2"/>
  <c r="EL2"/>
  <c r="EJ2"/>
  <c r="GE279"/>
  <c r="GC279"/>
  <c r="GA279"/>
  <c r="FY279"/>
  <c r="FW279"/>
  <c r="FU279"/>
  <c r="FS279"/>
  <c r="FQ279"/>
  <c r="FO279"/>
  <c r="FM279"/>
  <c r="FK279"/>
  <c r="FG279"/>
  <c r="FE279"/>
  <c r="FC279"/>
  <c r="FA279"/>
  <c r="EY279"/>
  <c r="EW279"/>
  <c r="EU279"/>
  <c r="ES279"/>
  <c r="EQ279"/>
  <c r="EO279"/>
  <c r="EM279"/>
  <c r="EK279"/>
  <c r="EI279"/>
  <c r="D279"/>
  <c r="GE278"/>
  <c r="GC278"/>
  <c r="GA278"/>
  <c r="FY278"/>
  <c r="FW278"/>
  <c r="FU278"/>
  <c r="FS278"/>
  <c r="FO278"/>
  <c r="FM278"/>
  <c r="FK278"/>
  <c r="FI278"/>
  <c r="FG278"/>
  <c r="FE278"/>
  <c r="FC278"/>
  <c r="FA278"/>
  <c r="EY278"/>
  <c r="EW278"/>
  <c r="EU278"/>
  <c r="ES278"/>
  <c r="EQ278"/>
  <c r="EO278"/>
  <c r="EM278"/>
  <c r="EK278"/>
  <c r="EI278"/>
  <c r="D278"/>
  <c r="GE277"/>
  <c r="GC277"/>
  <c r="GA277"/>
  <c r="FY277"/>
  <c r="FW277"/>
  <c r="FU277"/>
  <c r="FS277"/>
  <c r="FO277"/>
  <c r="FM277"/>
  <c r="FK277"/>
  <c r="FI277"/>
  <c r="FG277"/>
  <c r="FE277"/>
  <c r="FC277"/>
  <c r="FA277"/>
  <c r="EY277"/>
  <c r="EW277"/>
  <c r="EU277"/>
  <c r="ES277"/>
  <c r="EQ277"/>
  <c r="EO277"/>
  <c r="EM277"/>
  <c r="EK277"/>
  <c r="EI277"/>
  <c r="D277"/>
  <c r="GE276"/>
  <c r="GC276"/>
  <c r="FY276"/>
  <c r="FW276"/>
  <c r="FU276"/>
  <c r="FS276"/>
  <c r="FQ276"/>
  <c r="FO276"/>
  <c r="FM276"/>
  <c r="FK276"/>
  <c r="FI276"/>
  <c r="FG276"/>
  <c r="FE276"/>
  <c r="FC276"/>
  <c r="FA276"/>
  <c r="EY276"/>
  <c r="EW276"/>
  <c r="EU276"/>
  <c r="ES276"/>
  <c r="EQ276"/>
  <c r="EO276"/>
  <c r="EM276"/>
  <c r="EK276"/>
  <c r="EI276"/>
  <c r="D276"/>
  <c r="GE275"/>
  <c r="GC275"/>
  <c r="GA275"/>
  <c r="FY275"/>
  <c r="FW275"/>
  <c r="FU275"/>
  <c r="FS275"/>
  <c r="FQ275"/>
  <c r="FO275"/>
  <c r="FM275"/>
  <c r="FK275"/>
  <c r="FI275"/>
  <c r="FG275"/>
  <c r="FE275"/>
  <c r="FC275"/>
  <c r="FA275"/>
  <c r="EY275"/>
  <c r="EW275"/>
  <c r="EU275"/>
  <c r="ES275"/>
  <c r="EQ275"/>
  <c r="EO275"/>
  <c r="EM275"/>
  <c r="EK275"/>
  <c r="EI275"/>
  <c r="D275"/>
  <c r="GE274"/>
  <c r="GC274"/>
  <c r="GA274"/>
  <c r="FY274"/>
  <c r="FW274"/>
  <c r="FU274"/>
  <c r="FS274"/>
  <c r="FQ274"/>
  <c r="FO274"/>
  <c r="FM274"/>
  <c r="FK274"/>
  <c r="FI274"/>
  <c r="FG274"/>
  <c r="FE274"/>
  <c r="FC274"/>
  <c r="FA274"/>
  <c r="EY274"/>
  <c r="EW274"/>
  <c r="EU274"/>
  <c r="ES274"/>
  <c r="EQ274"/>
  <c r="EO274"/>
  <c r="EM274"/>
  <c r="EK274"/>
  <c r="EI274"/>
  <c r="D274"/>
  <c r="GE273"/>
  <c r="GC273"/>
  <c r="GA273"/>
  <c r="FY273"/>
  <c r="FU273"/>
  <c r="FS273"/>
  <c r="FQ273"/>
  <c r="FO273"/>
  <c r="FM273"/>
  <c r="FK273"/>
  <c r="FI273"/>
  <c r="FG273"/>
  <c r="FE273"/>
  <c r="FC273"/>
  <c r="FA273"/>
  <c r="EY273"/>
  <c r="EW273"/>
  <c r="EU273"/>
  <c r="ES273"/>
  <c r="EQ273"/>
  <c r="EO273"/>
  <c r="EM273"/>
  <c r="EK273"/>
  <c r="EI273"/>
  <c r="D273"/>
  <c r="GE272"/>
  <c r="GC272"/>
  <c r="FY272"/>
  <c r="FW272"/>
  <c r="FU272"/>
  <c r="FS272"/>
  <c r="FQ272"/>
  <c r="FO272"/>
  <c r="FM272"/>
  <c r="FK272"/>
  <c r="FI272"/>
  <c r="FG272"/>
  <c r="FE272"/>
  <c r="FC272"/>
  <c r="FA272"/>
  <c r="EY272"/>
  <c r="EW272"/>
  <c r="EU272"/>
  <c r="ES272"/>
  <c r="EQ272"/>
  <c r="EO272"/>
  <c r="EM272"/>
  <c r="EK272"/>
  <c r="EI272"/>
  <c r="D272"/>
  <c r="GE271"/>
  <c r="GC271"/>
  <c r="GA271"/>
  <c r="FY271"/>
  <c r="FW271"/>
  <c r="FU271"/>
  <c r="FS271"/>
  <c r="FQ271"/>
  <c r="FO271"/>
  <c r="FM271"/>
  <c r="FK271"/>
  <c r="FI271"/>
  <c r="FG271"/>
  <c r="FE271"/>
  <c r="FC271"/>
  <c r="FA271"/>
  <c r="EY271"/>
  <c r="EW271"/>
  <c r="EU271"/>
  <c r="ES271"/>
  <c r="EQ271"/>
  <c r="EO271"/>
  <c r="EM271"/>
  <c r="EK271"/>
  <c r="EI271"/>
  <c r="D271"/>
  <c r="GE270"/>
  <c r="GC270"/>
  <c r="GA270"/>
  <c r="FY270"/>
  <c r="FW270"/>
  <c r="FU270"/>
  <c r="FS270"/>
  <c r="FQ270"/>
  <c r="FO270"/>
  <c r="FM270"/>
  <c r="FK270"/>
  <c r="FI270"/>
  <c r="FG270"/>
  <c r="FE270"/>
  <c r="FC270"/>
  <c r="FA270"/>
  <c r="EY270"/>
  <c r="EW270"/>
  <c r="EU270"/>
  <c r="ES270"/>
  <c r="EQ270"/>
  <c r="EO270"/>
  <c r="EM270"/>
  <c r="EK270"/>
  <c r="EI270"/>
  <c r="D270"/>
  <c r="GE269"/>
  <c r="GC269"/>
  <c r="GA269"/>
  <c r="FY269"/>
  <c r="FW269"/>
  <c r="FU269"/>
  <c r="FS269"/>
  <c r="FQ269"/>
  <c r="FO269"/>
  <c r="FM269"/>
  <c r="FK269"/>
  <c r="FI269"/>
  <c r="FG269"/>
  <c r="FE269"/>
  <c r="FC269"/>
  <c r="FA269"/>
  <c r="EY269"/>
  <c r="EW269"/>
  <c r="EU269"/>
  <c r="ES269"/>
  <c r="EQ269"/>
  <c r="EO269"/>
  <c r="EM269"/>
  <c r="EK269"/>
  <c r="EI269"/>
  <c r="D269"/>
  <c r="GE268"/>
  <c r="GC268"/>
  <c r="GA268"/>
  <c r="FY268"/>
  <c r="FW268"/>
  <c r="FU268"/>
  <c r="FS268"/>
  <c r="FQ268"/>
  <c r="FO268"/>
  <c r="FM268"/>
  <c r="FK268"/>
  <c r="FI268"/>
  <c r="FG268"/>
  <c r="FE268"/>
  <c r="FC268"/>
  <c r="FA268"/>
  <c r="EY268"/>
  <c r="EW268"/>
  <c r="EU268"/>
  <c r="ES268"/>
  <c r="EQ268"/>
  <c r="EO268"/>
  <c r="EM268"/>
  <c r="EK268"/>
  <c r="EI268"/>
  <c r="D268"/>
  <c r="GE267"/>
  <c r="GC267"/>
  <c r="GA267"/>
  <c r="FY267"/>
  <c r="FW267"/>
  <c r="FU267"/>
  <c r="FS267"/>
  <c r="FQ267"/>
  <c r="FO267"/>
  <c r="FM267"/>
  <c r="FK267"/>
  <c r="FI267"/>
  <c r="FG267"/>
  <c r="FE267"/>
  <c r="FC267"/>
  <c r="FA267"/>
  <c r="EY267"/>
  <c r="EW267"/>
  <c r="EU267"/>
  <c r="ES267"/>
  <c r="EQ267"/>
  <c r="EO267"/>
  <c r="EM267"/>
  <c r="EK267"/>
  <c r="EI267"/>
  <c r="D267"/>
  <c r="GE266"/>
  <c r="GC266"/>
  <c r="GA266"/>
  <c r="FY266"/>
  <c r="FW266"/>
  <c r="FU266"/>
  <c r="FS266"/>
  <c r="FQ266"/>
  <c r="FO266"/>
  <c r="FM266"/>
  <c r="FK266"/>
  <c r="FI266"/>
  <c r="FG266"/>
  <c r="FE266"/>
  <c r="FC266"/>
  <c r="FA266"/>
  <c r="EY266"/>
  <c r="EW266"/>
  <c r="EU266"/>
  <c r="ES266"/>
  <c r="EQ266"/>
  <c r="EO266"/>
  <c r="EM266"/>
  <c r="EK266"/>
  <c r="EI266"/>
  <c r="D266"/>
  <c r="GE265"/>
  <c r="GC265"/>
  <c r="GA265"/>
  <c r="FY265"/>
  <c r="FW265"/>
  <c r="FU265"/>
  <c r="FS265"/>
  <c r="FQ265"/>
  <c r="FO265"/>
  <c r="FM265"/>
  <c r="FK265"/>
  <c r="FI265"/>
  <c r="FG265"/>
  <c r="FE265"/>
  <c r="FC265"/>
  <c r="FA265"/>
  <c r="EY265"/>
  <c r="EW265"/>
  <c r="EU265"/>
  <c r="ES265"/>
  <c r="EQ265"/>
  <c r="EO265"/>
  <c r="EM265"/>
  <c r="EK265"/>
  <c r="EI265"/>
  <c r="D265"/>
  <c r="GE264"/>
  <c r="GC264"/>
  <c r="GA264"/>
  <c r="FY264"/>
  <c r="FW264"/>
  <c r="FU264"/>
  <c r="FS264"/>
  <c r="FQ264"/>
  <c r="FO264"/>
  <c r="FM264"/>
  <c r="FK264"/>
  <c r="FI264"/>
  <c r="FG264"/>
  <c r="FE264"/>
  <c r="FC264"/>
  <c r="FA264"/>
  <c r="EY264"/>
  <c r="EW264"/>
  <c r="EU264"/>
  <c r="ES264"/>
  <c r="EO264"/>
  <c r="EM264"/>
  <c r="EK264"/>
  <c r="EI264"/>
  <c r="D264"/>
  <c r="GE263"/>
  <c r="GC263"/>
  <c r="GA263"/>
  <c r="FY263"/>
  <c r="FW263"/>
  <c r="FU263"/>
  <c r="FS263"/>
  <c r="FQ263"/>
  <c r="FO263"/>
  <c r="FM263"/>
  <c r="FI263"/>
  <c r="FG263"/>
  <c r="FE263"/>
  <c r="FC263"/>
  <c r="FA263"/>
  <c r="EY263"/>
  <c r="EW263"/>
  <c r="EU263"/>
  <c r="ES263"/>
  <c r="EQ263"/>
  <c r="EO263"/>
  <c r="EM263"/>
  <c r="EK263"/>
  <c r="EI263"/>
  <c r="D263"/>
  <c r="GE262"/>
  <c r="GC262"/>
  <c r="GA262"/>
  <c r="FY262"/>
  <c r="FW262"/>
  <c r="FU262"/>
  <c r="FS262"/>
  <c r="FQ262"/>
  <c r="FO262"/>
  <c r="FM262"/>
  <c r="FK262"/>
  <c r="FI262"/>
  <c r="FG262"/>
  <c r="FE262"/>
  <c r="FC262"/>
  <c r="FA262"/>
  <c r="EY262"/>
  <c r="EW262"/>
  <c r="EU262"/>
  <c r="ES262"/>
  <c r="EQ262"/>
  <c r="EO262"/>
  <c r="EM262"/>
  <c r="EK262"/>
  <c r="EI262"/>
  <c r="D262"/>
  <c r="GE261"/>
  <c r="GC261"/>
  <c r="GA261"/>
  <c r="FY261"/>
  <c r="FW261"/>
  <c r="FU261"/>
  <c r="FS261"/>
  <c r="FQ261"/>
  <c r="FO261"/>
  <c r="FM261"/>
  <c r="FK261"/>
  <c r="FI261"/>
  <c r="FG261"/>
  <c r="FE261"/>
  <c r="FC261"/>
  <c r="FA261"/>
  <c r="EY261"/>
  <c r="EW261"/>
  <c r="EU261"/>
  <c r="ES261"/>
  <c r="EQ261"/>
  <c r="EO261"/>
  <c r="EM261"/>
  <c r="EK261"/>
  <c r="EI261"/>
  <c r="D261"/>
  <c r="GE260"/>
  <c r="GC260"/>
  <c r="GA260"/>
  <c r="FY260"/>
  <c r="FW260"/>
  <c r="FU260"/>
  <c r="FS260"/>
  <c r="FQ260"/>
  <c r="FO260"/>
  <c r="FM260"/>
  <c r="FK260"/>
  <c r="FI260"/>
  <c r="FG260"/>
  <c r="FE260"/>
  <c r="FC260"/>
  <c r="FA260"/>
  <c r="EY260"/>
  <c r="EW260"/>
  <c r="EU260"/>
  <c r="ES260"/>
  <c r="EQ260"/>
  <c r="EO260"/>
  <c r="EM260"/>
  <c r="EK260"/>
  <c r="EI260"/>
  <c r="D260"/>
  <c r="GE259"/>
  <c r="GC259"/>
  <c r="GA259"/>
  <c r="FY259"/>
  <c r="FW259"/>
  <c r="FU259"/>
  <c r="FS259"/>
  <c r="FQ259"/>
  <c r="FO259"/>
  <c r="FM259"/>
  <c r="FK259"/>
  <c r="FI259"/>
  <c r="FG259"/>
  <c r="FC259"/>
  <c r="FA259"/>
  <c r="EY259"/>
  <c r="EU259"/>
  <c r="ES259"/>
  <c r="EQ259"/>
  <c r="EM259"/>
  <c r="EK259"/>
  <c r="EI259"/>
  <c r="D259"/>
  <c r="GE258"/>
  <c r="GA258"/>
  <c r="FY258"/>
  <c r="FW258"/>
  <c r="FU258"/>
  <c r="FS258"/>
  <c r="FQ258"/>
  <c r="FO258"/>
  <c r="FM258"/>
  <c r="FK258"/>
  <c r="FI258"/>
  <c r="FG258"/>
  <c r="FE258"/>
  <c r="FC258"/>
  <c r="FA258"/>
  <c r="EY258"/>
  <c r="EW258"/>
  <c r="EU258"/>
  <c r="ES258"/>
  <c r="EQ258"/>
  <c r="EO258"/>
  <c r="EM258"/>
  <c r="EK258"/>
  <c r="EI258"/>
  <c r="D258"/>
  <c r="GE257"/>
  <c r="GC257"/>
  <c r="GA257"/>
  <c r="FY257"/>
  <c r="FW257"/>
  <c r="FU257"/>
  <c r="FS257"/>
  <c r="FQ257"/>
  <c r="FO257"/>
  <c r="FM257"/>
  <c r="FI257"/>
  <c r="FG257"/>
  <c r="FC257"/>
  <c r="FA257"/>
  <c r="EY257"/>
  <c r="EU257"/>
  <c r="ES257"/>
  <c r="EQ257"/>
  <c r="EM257"/>
  <c r="EK257"/>
  <c r="EI257"/>
  <c r="D257"/>
  <c r="GE256"/>
  <c r="GA256"/>
  <c r="FY256"/>
  <c r="FW256"/>
  <c r="FS256"/>
  <c r="FQ256"/>
  <c r="FO256"/>
  <c r="FK256"/>
  <c r="FI256"/>
  <c r="FG256"/>
  <c r="FC256"/>
  <c r="FA256"/>
  <c r="EY256"/>
  <c r="EU256"/>
  <c r="EQ256"/>
  <c r="EO256"/>
  <c r="EM256"/>
  <c r="EK256"/>
  <c r="EI256"/>
  <c r="D256"/>
  <c r="GE255"/>
  <c r="GC255"/>
  <c r="GA255"/>
  <c r="FY255"/>
  <c r="FW255"/>
  <c r="FU255"/>
  <c r="FS255"/>
  <c r="FQ255"/>
  <c r="FO255"/>
  <c r="FM255"/>
  <c r="FK255"/>
  <c r="FI255"/>
  <c r="FG255"/>
  <c r="FE255"/>
  <c r="FC255"/>
  <c r="FA255"/>
  <c r="EY255"/>
  <c r="EW255"/>
  <c r="EU255"/>
  <c r="ES255"/>
  <c r="EQ255"/>
  <c r="EO255"/>
  <c r="EM255"/>
  <c r="EK255"/>
  <c r="EI255"/>
  <c r="D255"/>
  <c r="GE254"/>
  <c r="GC254"/>
  <c r="GA254"/>
  <c r="FY254"/>
  <c r="FW254"/>
  <c r="FU254"/>
  <c r="FS254"/>
  <c r="FQ254"/>
  <c r="FO254"/>
  <c r="FM254"/>
  <c r="FK254"/>
  <c r="FI254"/>
  <c r="FG254"/>
  <c r="FE254"/>
  <c r="FC254"/>
  <c r="FA254"/>
  <c r="EU254"/>
  <c r="ES254"/>
  <c r="EQ254"/>
  <c r="EM254"/>
  <c r="EK254"/>
  <c r="EI254"/>
  <c r="D254"/>
  <c r="GE253"/>
  <c r="GA253"/>
  <c r="FY253"/>
  <c r="FW253"/>
  <c r="FS253"/>
  <c r="FQ253"/>
  <c r="FO253"/>
  <c r="FK253"/>
  <c r="FI253"/>
  <c r="FG253"/>
  <c r="FC253"/>
  <c r="FA253"/>
  <c r="EY253"/>
  <c r="EU253"/>
  <c r="ES253"/>
  <c r="EQ253"/>
  <c r="EM253"/>
  <c r="EK253"/>
  <c r="EI253"/>
  <c r="D253"/>
  <c r="GE252"/>
  <c r="GA252"/>
  <c r="FY252"/>
  <c r="FW252"/>
  <c r="FS252"/>
  <c r="FQ252"/>
  <c r="FO252"/>
  <c r="FK252"/>
  <c r="FI252"/>
  <c r="FG252"/>
  <c r="FC252"/>
  <c r="FA252"/>
  <c r="EY252"/>
  <c r="EU252"/>
  <c r="ES252"/>
  <c r="EQ252"/>
  <c r="EK252"/>
  <c r="EI252"/>
  <c r="D252"/>
  <c r="GE251"/>
  <c r="GC251"/>
  <c r="GA251"/>
  <c r="FY251"/>
  <c r="FW251"/>
  <c r="FU251"/>
  <c r="FS251"/>
  <c r="FQ251"/>
  <c r="FO251"/>
  <c r="FM251"/>
  <c r="FK251"/>
  <c r="FI251"/>
  <c r="FG251"/>
  <c r="FE251"/>
  <c r="FC251"/>
  <c r="FA251"/>
  <c r="EY251"/>
  <c r="EW251"/>
  <c r="EU251"/>
  <c r="ES251"/>
  <c r="EQ251"/>
  <c r="EO251"/>
  <c r="EM251"/>
  <c r="EK251"/>
  <c r="EI251"/>
  <c r="D251"/>
  <c r="GE250"/>
  <c r="GC250"/>
  <c r="GA250"/>
  <c r="FY250"/>
  <c r="FW250"/>
  <c r="FU250"/>
  <c r="FS250"/>
  <c r="FQ250"/>
  <c r="FO250"/>
  <c r="FM250"/>
  <c r="FK250"/>
  <c r="FI250"/>
  <c r="FG250"/>
  <c r="FE250"/>
  <c r="FC250"/>
  <c r="FA250"/>
  <c r="EY250"/>
  <c r="EW250"/>
  <c r="EU250"/>
  <c r="ES250"/>
  <c r="EQ250"/>
  <c r="EO250"/>
  <c r="EM250"/>
  <c r="EK250"/>
  <c r="EI250"/>
  <c r="D250"/>
  <c r="GE249"/>
  <c r="GC249"/>
  <c r="GA249"/>
  <c r="FY249"/>
  <c r="FW249"/>
  <c r="FU249"/>
  <c r="FS249"/>
  <c r="FQ249"/>
  <c r="FO249"/>
  <c r="FM249"/>
  <c r="FK249"/>
  <c r="FI249"/>
  <c r="FG249"/>
  <c r="FE249"/>
  <c r="FC249"/>
  <c r="FA249"/>
  <c r="EY249"/>
  <c r="EW249"/>
  <c r="EU249"/>
  <c r="ES249"/>
  <c r="EQ249"/>
  <c r="EO249"/>
  <c r="EM249"/>
  <c r="EK249"/>
  <c r="EI249"/>
  <c r="D249"/>
  <c r="GE248"/>
  <c r="GC248"/>
  <c r="GA248"/>
  <c r="FY248"/>
  <c r="FW248"/>
  <c r="FU248"/>
  <c r="FS248"/>
  <c r="FQ248"/>
  <c r="FO248"/>
  <c r="FM248"/>
  <c r="FK248"/>
  <c r="FI248"/>
  <c r="FG248"/>
  <c r="FE248"/>
  <c r="FC248"/>
  <c r="FA248"/>
  <c r="EY248"/>
  <c r="EW248"/>
  <c r="EU248"/>
  <c r="ES248"/>
  <c r="EQ248"/>
  <c r="EO248"/>
  <c r="EM248"/>
  <c r="EK248"/>
  <c r="EI248"/>
  <c r="D248"/>
  <c r="GE247"/>
  <c r="GC247"/>
  <c r="GA247"/>
  <c r="FY247"/>
  <c r="FW247"/>
  <c r="FU247"/>
  <c r="FS247"/>
  <c r="FQ247"/>
  <c r="FO247"/>
  <c r="FM247"/>
  <c r="FK247"/>
  <c r="FI247"/>
  <c r="FG247"/>
  <c r="FE247"/>
  <c r="FC247"/>
  <c r="FA247"/>
  <c r="EY247"/>
  <c r="EW247"/>
  <c r="EU247"/>
  <c r="ES247"/>
  <c r="EQ247"/>
  <c r="EO247"/>
  <c r="EM247"/>
  <c r="EK247"/>
  <c r="EI247"/>
  <c r="D247"/>
  <c r="GE246"/>
  <c r="GC246"/>
  <c r="GA246"/>
  <c r="FY246"/>
  <c r="FW246"/>
  <c r="FU246"/>
  <c r="FS246"/>
  <c r="FQ246"/>
  <c r="FO246"/>
  <c r="FM246"/>
  <c r="FK246"/>
  <c r="FI246"/>
  <c r="FG246"/>
  <c r="FE246"/>
  <c r="FC246"/>
  <c r="FA246"/>
  <c r="EY246"/>
  <c r="EW246"/>
  <c r="EU246"/>
  <c r="ES246"/>
  <c r="EQ246"/>
  <c r="EO246"/>
  <c r="EM246"/>
  <c r="EK246"/>
  <c r="EI246"/>
  <c r="D246"/>
  <c r="GE245"/>
  <c r="GC245"/>
  <c r="GA245"/>
  <c r="FY245"/>
  <c r="FW245"/>
  <c r="FU245"/>
  <c r="FS245"/>
  <c r="FQ245"/>
  <c r="FO245"/>
  <c r="FM245"/>
  <c r="FK245"/>
  <c r="FI245"/>
  <c r="FG245"/>
  <c r="FE245"/>
  <c r="FC245"/>
  <c r="FA245"/>
  <c r="EY245"/>
  <c r="EW245"/>
  <c r="EU245"/>
  <c r="ES245"/>
  <c r="EQ245"/>
  <c r="EO245"/>
  <c r="EM245"/>
  <c r="EK245"/>
  <c r="EI245"/>
  <c r="D245"/>
  <c r="GE244"/>
  <c r="GC244"/>
  <c r="GA244"/>
  <c r="FY244"/>
  <c r="FW244"/>
  <c r="FU244"/>
  <c r="FS244"/>
  <c r="FQ244"/>
  <c r="FO244"/>
  <c r="FM244"/>
  <c r="FK244"/>
  <c r="FI244"/>
  <c r="FG244"/>
  <c r="FE244"/>
  <c r="FC244"/>
  <c r="FA244"/>
  <c r="EY244"/>
  <c r="EW244"/>
  <c r="EU244"/>
  <c r="ES244"/>
  <c r="EQ244"/>
  <c r="EO244"/>
  <c r="EM244"/>
  <c r="EK244"/>
  <c r="EI244"/>
  <c r="GE243"/>
  <c r="GA243"/>
  <c r="FY243"/>
  <c r="FW243"/>
  <c r="FS243"/>
  <c r="FQ243"/>
  <c r="FO243"/>
  <c r="FK243"/>
  <c r="FG243"/>
  <c r="FE243"/>
  <c r="FC243"/>
  <c r="FA243"/>
  <c r="EY243"/>
  <c r="EW243"/>
  <c r="EU243"/>
  <c r="ES243"/>
  <c r="EQ243"/>
  <c r="EO243"/>
  <c r="EM243"/>
  <c r="EK243"/>
  <c r="EI243"/>
  <c r="D243"/>
  <c r="GA242"/>
  <c r="FY242"/>
  <c r="FW242"/>
  <c r="FS242"/>
  <c r="FQ242"/>
  <c r="FO242"/>
  <c r="FK242"/>
  <c r="FI242"/>
  <c r="FG242"/>
  <c r="FC242"/>
  <c r="FA242"/>
  <c r="EY242"/>
  <c r="EU242"/>
  <c r="ES242"/>
  <c r="EQ242"/>
  <c r="EM242"/>
  <c r="EK242"/>
  <c r="EI242"/>
  <c r="D242"/>
  <c r="GE241"/>
  <c r="GA241"/>
  <c r="FY241"/>
  <c r="FW241"/>
  <c r="FS241"/>
  <c r="FQ241"/>
  <c r="FO241"/>
  <c r="FK241"/>
  <c r="FI241"/>
  <c r="FG241"/>
  <c r="FC241"/>
  <c r="FA241"/>
  <c r="EY241"/>
  <c r="EU241"/>
  <c r="ES241"/>
  <c r="EQ241"/>
  <c r="EM241"/>
  <c r="EK241"/>
  <c r="EI241"/>
  <c r="GE240"/>
  <c r="GA240"/>
  <c r="FY240"/>
  <c r="FW240"/>
  <c r="FS240"/>
  <c r="FQ240"/>
  <c r="FO240"/>
  <c r="FK240"/>
  <c r="FI240"/>
  <c r="FG240"/>
  <c r="FC240"/>
  <c r="FA240"/>
  <c r="EY240"/>
  <c r="EU240"/>
  <c r="ES240"/>
  <c r="EQ240"/>
  <c r="EM240"/>
  <c r="EK240"/>
  <c r="EI240"/>
  <c r="D240"/>
  <c r="GE239"/>
  <c r="GA239"/>
  <c r="FY239"/>
  <c r="FW239"/>
  <c r="FU239"/>
  <c r="FS239"/>
  <c r="FQ239"/>
  <c r="FO239"/>
  <c r="FM239"/>
  <c r="FK239"/>
  <c r="FI239"/>
  <c r="FG239"/>
  <c r="FE239"/>
  <c r="FC239"/>
  <c r="FA239"/>
  <c r="EY239"/>
  <c r="EW239"/>
  <c r="EU239"/>
  <c r="ES239"/>
  <c r="EQ239"/>
  <c r="EO239"/>
  <c r="EM239"/>
  <c r="EK239"/>
  <c r="EI239"/>
  <c r="D239"/>
  <c r="GE238"/>
  <c r="GC238"/>
  <c r="GA238"/>
  <c r="FY238"/>
  <c r="FW238"/>
  <c r="FU238"/>
  <c r="FS238"/>
  <c r="FQ238"/>
  <c r="FO238"/>
  <c r="FK238"/>
  <c r="FI238"/>
  <c r="FG238"/>
  <c r="FC238"/>
  <c r="FA238"/>
  <c r="EY238"/>
  <c r="EU238"/>
  <c r="ES238"/>
  <c r="EQ238"/>
  <c r="EM238"/>
  <c r="EK238"/>
  <c r="EI238"/>
  <c r="D238"/>
  <c r="GE237"/>
  <c r="GA237"/>
  <c r="FY237"/>
  <c r="FW237"/>
  <c r="FS237"/>
  <c r="FQ237"/>
  <c r="FO237"/>
  <c r="FK237"/>
  <c r="FI237"/>
  <c r="FG237"/>
  <c r="FC237"/>
  <c r="FA237"/>
  <c r="EY237"/>
  <c r="EU237"/>
  <c r="ES237"/>
  <c r="EQ237"/>
  <c r="EM237"/>
  <c r="EK237"/>
  <c r="EI237"/>
  <c r="GE236"/>
  <c r="GA236"/>
  <c r="FY236"/>
  <c r="FW236"/>
  <c r="FS236"/>
  <c r="FQ236"/>
  <c r="FO236"/>
  <c r="FK236"/>
  <c r="FI236"/>
  <c r="FG236"/>
  <c r="FC236"/>
  <c r="FA236"/>
  <c r="EY236"/>
  <c r="EU236"/>
  <c r="ES236"/>
  <c r="EQ236"/>
  <c r="EM236"/>
  <c r="EK236"/>
  <c r="EI236"/>
  <c r="D236"/>
  <c r="GE235"/>
  <c r="GA235"/>
  <c r="FY235"/>
  <c r="FW235"/>
  <c r="FS235"/>
  <c r="FQ235"/>
  <c r="FO235"/>
  <c r="FK235"/>
  <c r="FI235"/>
  <c r="FG235"/>
  <c r="FA235"/>
  <c r="EY235"/>
  <c r="EW235"/>
  <c r="EU235"/>
  <c r="ES235"/>
  <c r="EQ235"/>
  <c r="EO235"/>
  <c r="EM235"/>
  <c r="EK235"/>
  <c r="EI235"/>
  <c r="D235"/>
  <c r="GE234"/>
  <c r="GC234"/>
  <c r="GA234"/>
  <c r="FW234"/>
  <c r="FS234"/>
  <c r="FQ234"/>
  <c r="FO234"/>
  <c r="FK234"/>
  <c r="FI234"/>
  <c r="FG234"/>
  <c r="FC234"/>
  <c r="FA234"/>
  <c r="EY234"/>
  <c r="EU234"/>
  <c r="ES234"/>
  <c r="EQ234"/>
  <c r="EM234"/>
  <c r="EK234"/>
  <c r="EI234"/>
  <c r="D234"/>
  <c r="GE233"/>
  <c r="GA233"/>
  <c r="FY233"/>
  <c r="FW233"/>
  <c r="FS233"/>
  <c r="FQ233"/>
  <c r="FO233"/>
  <c r="FK233"/>
  <c r="FI233"/>
  <c r="FG233"/>
  <c r="FC233"/>
  <c r="FA233"/>
  <c r="EY233"/>
  <c r="EU233"/>
  <c r="ES233"/>
  <c r="EQ233"/>
  <c r="EM233"/>
  <c r="EK233"/>
  <c r="EI233"/>
  <c r="D233"/>
  <c r="GE232"/>
  <c r="GA232"/>
  <c r="FY232"/>
  <c r="FW232"/>
  <c r="FS232"/>
  <c r="FQ232"/>
  <c r="FO232"/>
  <c r="FK232"/>
  <c r="FI232"/>
  <c r="FG232"/>
  <c r="FC232"/>
  <c r="FA232"/>
  <c r="EY232"/>
  <c r="EU232"/>
  <c r="ES232"/>
  <c r="EQ232"/>
  <c r="EM232"/>
  <c r="EK232"/>
  <c r="EI232"/>
  <c r="D232"/>
  <c r="GE231"/>
  <c r="GA231"/>
  <c r="FY231"/>
  <c r="FW231"/>
  <c r="FS231"/>
  <c r="FQ231"/>
  <c r="FO231"/>
  <c r="FK231"/>
  <c r="FI231"/>
  <c r="FG231"/>
  <c r="FC231"/>
  <c r="FA231"/>
  <c r="EY231"/>
  <c r="EU231"/>
  <c r="ES231"/>
  <c r="EQ231"/>
  <c r="EM231"/>
  <c r="EK231"/>
  <c r="EI231"/>
  <c r="D231"/>
  <c r="GE230"/>
  <c r="GA230"/>
  <c r="FY230"/>
  <c r="FW230"/>
  <c r="FS230"/>
  <c r="FQ230"/>
  <c r="FO230"/>
  <c r="FK230"/>
  <c r="FI230"/>
  <c r="FG230"/>
  <c r="FC230"/>
  <c r="FA230"/>
  <c r="EY230"/>
  <c r="EU230"/>
  <c r="ES230"/>
  <c r="EQ230"/>
  <c r="EM230"/>
  <c r="EK230"/>
  <c r="EI230"/>
  <c r="D230"/>
  <c r="GE229"/>
  <c r="GA229"/>
  <c r="FY229"/>
  <c r="FW229"/>
  <c r="FS229"/>
  <c r="FQ229"/>
  <c r="FO229"/>
  <c r="FK229"/>
  <c r="FI229"/>
  <c r="FG229"/>
  <c r="FC229"/>
  <c r="FA229"/>
  <c r="EY229"/>
  <c r="EU229"/>
  <c r="ES229"/>
  <c r="EQ229"/>
  <c r="EM229"/>
  <c r="EK229"/>
  <c r="EI229"/>
  <c r="D229"/>
  <c r="GE228"/>
  <c r="GA228"/>
  <c r="FY228"/>
  <c r="FW228"/>
  <c r="FQ228"/>
  <c r="FO228"/>
  <c r="FM228"/>
  <c r="FK228"/>
  <c r="FI228"/>
  <c r="FG228"/>
  <c r="FE228"/>
  <c r="FC228"/>
  <c r="FA228"/>
  <c r="EY228"/>
  <c r="EW228"/>
  <c r="EU228"/>
  <c r="ES228"/>
  <c r="EQ228"/>
  <c r="EO228"/>
  <c r="EM228"/>
  <c r="EK228"/>
  <c r="EI228"/>
  <c r="D228"/>
  <c r="GE227"/>
  <c r="GC227"/>
  <c r="GA227"/>
  <c r="FY227"/>
  <c r="FW227"/>
  <c r="FU227"/>
  <c r="FS227"/>
  <c r="FQ227"/>
  <c r="FO227"/>
  <c r="FM227"/>
  <c r="FK227"/>
  <c r="FI227"/>
  <c r="FG227"/>
  <c r="FE227"/>
  <c r="FC227"/>
  <c r="FA227"/>
  <c r="EY227"/>
  <c r="EW227"/>
  <c r="EU227"/>
  <c r="EQ227"/>
  <c r="EM227"/>
  <c r="EK227"/>
  <c r="EI227"/>
  <c r="D227"/>
  <c r="GE226"/>
  <c r="GA226"/>
  <c r="FY226"/>
  <c r="FW226"/>
  <c r="FS226"/>
  <c r="FQ226"/>
  <c r="FO226"/>
  <c r="FK226"/>
  <c r="FI226"/>
  <c r="FG226"/>
  <c r="FC226"/>
  <c r="EY226"/>
  <c r="EW226"/>
  <c r="EU226"/>
  <c r="ES226"/>
  <c r="EQ226"/>
  <c r="EO226"/>
  <c r="EM226"/>
  <c r="EK226"/>
  <c r="EI226"/>
  <c r="D226"/>
  <c r="GE225"/>
  <c r="GC225"/>
  <c r="GA225"/>
  <c r="FY225"/>
  <c r="FW225"/>
  <c r="FU225"/>
  <c r="FS225"/>
  <c r="FQ225"/>
  <c r="FO225"/>
  <c r="FM225"/>
  <c r="FK225"/>
  <c r="FI225"/>
  <c r="FG225"/>
  <c r="FE225"/>
  <c r="FC225"/>
  <c r="EY225"/>
  <c r="EU225"/>
  <c r="ES225"/>
  <c r="EQ225"/>
  <c r="EM225"/>
  <c r="EK225"/>
  <c r="EI225"/>
  <c r="D225"/>
  <c r="GE224"/>
  <c r="GA224"/>
  <c r="FY224"/>
  <c r="FW224"/>
  <c r="FS224"/>
  <c r="FQ224"/>
  <c r="FO224"/>
  <c r="FK224"/>
  <c r="FI224"/>
  <c r="FG224"/>
  <c r="FC224"/>
  <c r="FA224"/>
  <c r="EY224"/>
  <c r="EU224"/>
  <c r="ES224"/>
  <c r="EQ224"/>
  <c r="EM224"/>
  <c r="EK224"/>
  <c r="EI224"/>
  <c r="D224"/>
  <c r="GE223"/>
  <c r="GA223"/>
  <c r="FY223"/>
  <c r="FW223"/>
  <c r="FS223"/>
  <c r="FQ223"/>
  <c r="FO223"/>
  <c r="FK223"/>
  <c r="FI223"/>
  <c r="FG223"/>
  <c r="FC223"/>
  <c r="FA223"/>
  <c r="EY223"/>
  <c r="EU223"/>
  <c r="ES223"/>
  <c r="EQ223"/>
  <c r="EM223"/>
  <c r="EK223"/>
  <c r="EI223"/>
  <c r="D223"/>
  <c r="GE222"/>
  <c r="GA222"/>
  <c r="FY222"/>
  <c r="FW222"/>
  <c r="FS222"/>
  <c r="FQ222"/>
  <c r="FO222"/>
  <c r="FK222"/>
  <c r="FI222"/>
  <c r="FG222"/>
  <c r="FC222"/>
  <c r="FA222"/>
  <c r="EY222"/>
  <c r="EU222"/>
  <c r="ES222"/>
  <c r="EQ222"/>
  <c r="EM222"/>
  <c r="EK222"/>
  <c r="EI222"/>
  <c r="D222"/>
  <c r="GE221"/>
  <c r="GA221"/>
  <c r="FY221"/>
  <c r="FW221"/>
  <c r="FS221"/>
  <c r="FQ221"/>
  <c r="FO221"/>
  <c r="FK221"/>
  <c r="FI221"/>
  <c r="FG221"/>
  <c r="FC221"/>
  <c r="FA221"/>
  <c r="EY221"/>
  <c r="EU221"/>
  <c r="ES221"/>
  <c r="EQ221"/>
  <c r="EM221"/>
  <c r="EK221"/>
  <c r="EI221"/>
  <c r="D221"/>
  <c r="GE220"/>
  <c r="GA220"/>
  <c r="FY220"/>
  <c r="FW220"/>
  <c r="FS220"/>
  <c r="FQ220"/>
  <c r="FO220"/>
  <c r="FK220"/>
  <c r="FI220"/>
  <c r="FG220"/>
  <c r="FC220"/>
  <c r="FA220"/>
  <c r="EY220"/>
  <c r="EW220"/>
  <c r="EU220"/>
  <c r="ES220"/>
  <c r="EQ220"/>
  <c r="EO220"/>
  <c r="EM220"/>
  <c r="EK220"/>
  <c r="EI220"/>
  <c r="D220"/>
  <c r="GE219"/>
  <c r="GC219"/>
  <c r="GA219"/>
  <c r="FY219"/>
  <c r="FW219"/>
  <c r="FU219"/>
  <c r="FS219"/>
  <c r="FQ219"/>
  <c r="FO219"/>
  <c r="FM219"/>
  <c r="FK219"/>
  <c r="FI219"/>
  <c r="FG219"/>
  <c r="FE219"/>
  <c r="FC219"/>
  <c r="FA219"/>
  <c r="EY219"/>
  <c r="EW219"/>
  <c r="EU219"/>
  <c r="ES219"/>
  <c r="EQ219"/>
  <c r="EO219"/>
  <c r="EM219"/>
  <c r="EK219"/>
  <c r="EI219"/>
  <c r="D219"/>
  <c r="GE218"/>
  <c r="GC218"/>
  <c r="GA218"/>
  <c r="FY218"/>
  <c r="FW218"/>
  <c r="FU218"/>
  <c r="FS218"/>
  <c r="FQ218"/>
  <c r="FO218"/>
  <c r="FM218"/>
  <c r="FK218"/>
  <c r="FI218"/>
  <c r="FG218"/>
  <c r="FE218"/>
  <c r="FC218"/>
  <c r="FA218"/>
  <c r="EY218"/>
  <c r="EW218"/>
  <c r="EU218"/>
  <c r="ES218"/>
  <c r="EQ218"/>
  <c r="EO218"/>
  <c r="EM218"/>
  <c r="EK218"/>
  <c r="EI218"/>
  <c r="D218"/>
  <c r="GE217"/>
  <c r="GC217"/>
  <c r="GA217"/>
  <c r="FY217"/>
  <c r="FW217"/>
  <c r="FU217"/>
  <c r="FS217"/>
  <c r="FQ217"/>
  <c r="FO217"/>
  <c r="FM217"/>
  <c r="FK217"/>
  <c r="FI217"/>
  <c r="FG217"/>
  <c r="FE217"/>
  <c r="FC217"/>
  <c r="FA217"/>
  <c r="EY217"/>
  <c r="EW217"/>
  <c r="EU217"/>
  <c r="ES217"/>
  <c r="EQ217"/>
  <c r="EO217"/>
  <c r="EK217"/>
  <c r="EI217"/>
  <c r="D217"/>
  <c r="GE216"/>
  <c r="GA216"/>
  <c r="FY216"/>
  <c r="FW216"/>
  <c r="FS216"/>
  <c r="FQ216"/>
  <c r="FO216"/>
  <c r="FK216"/>
  <c r="FI216"/>
  <c r="FG216"/>
  <c r="FC216"/>
  <c r="FA216"/>
  <c r="EW216"/>
  <c r="EU216"/>
  <c r="ES216"/>
  <c r="EQ216"/>
  <c r="EO216"/>
  <c r="EM216"/>
  <c r="EK216"/>
  <c r="EI216"/>
  <c r="D216"/>
  <c r="GE215"/>
  <c r="GC215"/>
  <c r="GA215"/>
  <c r="FY215"/>
  <c r="FW215"/>
  <c r="FU215"/>
  <c r="FS215"/>
  <c r="FQ215"/>
  <c r="FO215"/>
  <c r="FM215"/>
  <c r="FI215"/>
  <c r="FG215"/>
  <c r="FC215"/>
  <c r="FA215"/>
  <c r="EY215"/>
  <c r="EU215"/>
  <c r="ES215"/>
  <c r="EQ215"/>
  <c r="EM215"/>
  <c r="EK215"/>
  <c r="EI215"/>
  <c r="D215"/>
  <c r="GE214"/>
  <c r="GA214"/>
  <c r="FY214"/>
  <c r="FW214"/>
  <c r="FS214"/>
  <c r="FQ214"/>
  <c r="FO214"/>
  <c r="FK214"/>
  <c r="FI214"/>
  <c r="FG214"/>
  <c r="FC214"/>
  <c r="FA214"/>
  <c r="EY214"/>
  <c r="EU214"/>
  <c r="ES214"/>
  <c r="EQ214"/>
  <c r="EM214"/>
  <c r="EK214"/>
  <c r="EI214"/>
  <c r="D214"/>
  <c r="GE213"/>
  <c r="GA213"/>
  <c r="FY213"/>
  <c r="FW213"/>
  <c r="FS213"/>
  <c r="FQ213"/>
  <c r="FO213"/>
  <c r="FM213"/>
  <c r="FK213"/>
  <c r="FI213"/>
  <c r="FG213"/>
  <c r="FE213"/>
  <c r="FC213"/>
  <c r="FA213"/>
  <c r="EY213"/>
  <c r="EW213"/>
  <c r="EU213"/>
  <c r="ES213"/>
  <c r="EQ213"/>
  <c r="EO213"/>
  <c r="EM213"/>
  <c r="EK213"/>
  <c r="EI213"/>
  <c r="D213"/>
  <c r="GE212"/>
  <c r="GC212"/>
  <c r="GA212"/>
  <c r="FY212"/>
  <c r="FW212"/>
  <c r="FU212"/>
  <c r="FS212"/>
  <c r="FQ212"/>
  <c r="FO212"/>
  <c r="FM212"/>
  <c r="FI212"/>
  <c r="FG212"/>
  <c r="FC212"/>
  <c r="FA212"/>
  <c r="EY212"/>
  <c r="EU212"/>
  <c r="ES212"/>
  <c r="EQ212"/>
  <c r="EM212"/>
  <c r="EK212"/>
  <c r="EI212"/>
  <c r="D212"/>
  <c r="GE211"/>
  <c r="GA211"/>
  <c r="FY211"/>
  <c r="FW211"/>
  <c r="FS211"/>
  <c r="FQ211"/>
  <c r="FO211"/>
  <c r="FK211"/>
  <c r="FI211"/>
  <c r="FG211"/>
  <c r="FC211"/>
  <c r="FA211"/>
  <c r="EY211"/>
  <c r="EU211"/>
  <c r="ES211"/>
  <c r="EQ211"/>
  <c r="EM211"/>
  <c r="EK211"/>
  <c r="EI211"/>
  <c r="D211"/>
  <c r="GE210"/>
  <c r="GA210"/>
  <c r="FY210"/>
  <c r="FW210"/>
  <c r="FS210"/>
  <c r="FQ210"/>
  <c r="FO210"/>
  <c r="FK210"/>
  <c r="FI210"/>
  <c r="FG210"/>
  <c r="FC210"/>
  <c r="FA210"/>
  <c r="EY210"/>
  <c r="EU210"/>
  <c r="ES210"/>
  <c r="EQ210"/>
  <c r="EM210"/>
  <c r="EK210"/>
  <c r="EI210"/>
  <c r="D210"/>
  <c r="GE209"/>
  <c r="GA209"/>
  <c r="FY209"/>
  <c r="FW209"/>
  <c r="FS209"/>
  <c r="FQ209"/>
  <c r="FO209"/>
  <c r="FK209"/>
  <c r="FI209"/>
  <c r="FG209"/>
  <c r="FC209"/>
  <c r="FA209"/>
  <c r="EY209"/>
  <c r="EU209"/>
  <c r="ES209"/>
  <c r="EQ209"/>
  <c r="EM209"/>
  <c r="EK209"/>
  <c r="EI209"/>
  <c r="D209"/>
  <c r="GE208"/>
  <c r="GA208"/>
  <c r="FY208"/>
  <c r="FW208"/>
  <c r="FS208"/>
  <c r="FQ208"/>
  <c r="FO208"/>
  <c r="FK208"/>
  <c r="FI208"/>
  <c r="FG208"/>
  <c r="FC208"/>
  <c r="FA208"/>
  <c r="EY208"/>
  <c r="EU208"/>
  <c r="ES208"/>
  <c r="EQ208"/>
  <c r="EM208"/>
  <c r="EK208"/>
  <c r="EI208"/>
  <c r="D208"/>
  <c r="GE207"/>
  <c r="GA207"/>
  <c r="FY207"/>
  <c r="FW207"/>
  <c r="FS207"/>
  <c r="FQ207"/>
  <c r="FO207"/>
  <c r="FK207"/>
  <c r="FI207"/>
  <c r="FG207"/>
  <c r="FC207"/>
  <c r="FA207"/>
  <c r="EY207"/>
  <c r="EU207"/>
  <c r="ES207"/>
  <c r="EQ207"/>
  <c r="EM207"/>
  <c r="EK207"/>
  <c r="EI207"/>
  <c r="D207"/>
  <c r="GE206"/>
  <c r="GA206"/>
  <c r="FY206"/>
  <c r="FW206"/>
  <c r="FQ206"/>
  <c r="FO206"/>
  <c r="FM206"/>
  <c r="FK206"/>
  <c r="FI206"/>
  <c r="FG206"/>
  <c r="FE206"/>
  <c r="FC206"/>
  <c r="FA206"/>
  <c r="EY206"/>
  <c r="EW206"/>
  <c r="EU206"/>
  <c r="ES206"/>
  <c r="EQ206"/>
  <c r="EO206"/>
  <c r="EM206"/>
  <c r="EK206"/>
  <c r="EI206"/>
  <c r="D206"/>
  <c r="GE205"/>
  <c r="GC205"/>
  <c r="GA205"/>
  <c r="FY205"/>
  <c r="FW205"/>
  <c r="FU205"/>
  <c r="FS205"/>
  <c r="FQ205"/>
  <c r="FO205"/>
  <c r="FM205"/>
  <c r="FK205"/>
  <c r="FI205"/>
  <c r="FG205"/>
  <c r="FE205"/>
  <c r="FC205"/>
  <c r="FA205"/>
  <c r="EY205"/>
  <c r="EW205"/>
  <c r="EU205"/>
  <c r="ES205"/>
  <c r="EQ205"/>
  <c r="EO205"/>
  <c r="EM205"/>
  <c r="EK205"/>
  <c r="EI205"/>
  <c r="D205"/>
  <c r="GE204"/>
  <c r="GC204"/>
  <c r="GA204"/>
  <c r="FY204"/>
  <c r="FW204"/>
  <c r="FU204"/>
  <c r="FS204"/>
  <c r="FQ204"/>
  <c r="FO204"/>
  <c r="FM204"/>
  <c r="FK204"/>
  <c r="FI204"/>
  <c r="FG204"/>
  <c r="FE204"/>
  <c r="FC204"/>
  <c r="FA204"/>
  <c r="EU204"/>
  <c r="ES204"/>
  <c r="EQ204"/>
  <c r="EM204"/>
  <c r="EK204"/>
  <c r="EI204"/>
  <c r="D204"/>
  <c r="GE203"/>
  <c r="GA203"/>
  <c r="FY203"/>
  <c r="FW203"/>
  <c r="FS203"/>
  <c r="FQ203"/>
  <c r="FO203"/>
  <c r="FK203"/>
  <c r="FI203"/>
  <c r="FG203"/>
  <c r="FC203"/>
  <c r="FA203"/>
  <c r="EY203"/>
  <c r="EU203"/>
  <c r="ES203"/>
  <c r="EQ203"/>
  <c r="EM203"/>
  <c r="EK203"/>
  <c r="EI203"/>
  <c r="D203"/>
  <c r="GE202"/>
  <c r="GA202"/>
  <c r="FY202"/>
  <c r="FW202"/>
  <c r="FS202"/>
  <c r="FQ202"/>
  <c r="FO202"/>
  <c r="FK202"/>
  <c r="FI202"/>
  <c r="FG202"/>
  <c r="FC202"/>
  <c r="FA202"/>
  <c r="EY202"/>
  <c r="EU202"/>
  <c r="ES202"/>
  <c r="EQ202"/>
  <c r="EM202"/>
  <c r="EK202"/>
  <c r="EI202"/>
  <c r="D202"/>
  <c r="GE201"/>
  <c r="GA201"/>
  <c r="FY201"/>
  <c r="FW201"/>
  <c r="FS201"/>
  <c r="FQ201"/>
  <c r="FO201"/>
  <c r="FK201"/>
  <c r="FI201"/>
  <c r="FG201"/>
  <c r="FC201"/>
  <c r="FA201"/>
  <c r="EY201"/>
  <c r="EU201"/>
  <c r="ES201"/>
  <c r="EQ201"/>
  <c r="EM201"/>
  <c r="EK201"/>
  <c r="EI201"/>
  <c r="D201"/>
  <c r="GE200"/>
  <c r="GA200"/>
  <c r="FY200"/>
  <c r="FW200"/>
  <c r="FS200"/>
  <c r="FQ200"/>
  <c r="FO200"/>
  <c r="FK200"/>
  <c r="FI200"/>
  <c r="FG200"/>
  <c r="FC200"/>
  <c r="FA200"/>
  <c r="EY200"/>
  <c r="EU200"/>
  <c r="ES200"/>
  <c r="EQ200"/>
  <c r="EM200"/>
  <c r="EK200"/>
  <c r="EI200"/>
  <c r="D200"/>
  <c r="GE199"/>
  <c r="GA199"/>
  <c r="FY199"/>
  <c r="FW199"/>
  <c r="FS199"/>
  <c r="FQ199"/>
  <c r="FO199"/>
  <c r="FK199"/>
  <c r="FI199"/>
  <c r="FG199"/>
  <c r="FC199"/>
  <c r="FA199"/>
  <c r="EY199"/>
  <c r="EU199"/>
  <c r="ES199"/>
  <c r="EQ199"/>
  <c r="EM199"/>
  <c r="EK199"/>
  <c r="EI199"/>
  <c r="D199"/>
  <c r="GE198"/>
  <c r="GA198"/>
  <c r="FY198"/>
  <c r="FW198"/>
  <c r="FS198"/>
  <c r="FQ198"/>
  <c r="FO198"/>
  <c r="FK198"/>
  <c r="FI198"/>
  <c r="FG198"/>
  <c r="FC198"/>
  <c r="FA198"/>
  <c r="EY198"/>
  <c r="EU198"/>
  <c r="ES198"/>
  <c r="EO198"/>
  <c r="EM198"/>
  <c r="EK198"/>
  <c r="EI198"/>
  <c r="D198"/>
  <c r="GE197"/>
  <c r="GC197"/>
  <c r="GA197"/>
  <c r="FY197"/>
  <c r="FW197"/>
  <c r="FU197"/>
  <c r="FS197"/>
  <c r="FQ197"/>
  <c r="FO197"/>
  <c r="FM197"/>
  <c r="FK197"/>
  <c r="FI197"/>
  <c r="FG197"/>
  <c r="FE197"/>
  <c r="FC197"/>
  <c r="FA197"/>
  <c r="EY197"/>
  <c r="EW197"/>
  <c r="EU197"/>
  <c r="ES197"/>
  <c r="EQ197"/>
  <c r="EO197"/>
  <c r="EM197"/>
  <c r="EK197"/>
  <c r="D197"/>
  <c r="GC196"/>
  <c r="GA196"/>
  <c r="FY196"/>
  <c r="FW196"/>
  <c r="FU196"/>
  <c r="FS196"/>
  <c r="FQ196"/>
  <c r="FO196"/>
  <c r="FM196"/>
  <c r="FK196"/>
  <c r="FI196"/>
  <c r="FG196"/>
  <c r="FE196"/>
  <c r="FC196"/>
  <c r="FA196"/>
  <c r="EY196"/>
  <c r="EW196"/>
  <c r="EU196"/>
  <c r="ES196"/>
  <c r="EQ196"/>
  <c r="EO196"/>
  <c r="EM196"/>
  <c r="EK196"/>
  <c r="EI196"/>
  <c r="D196"/>
  <c r="GE195"/>
  <c r="GC195"/>
  <c r="GA195"/>
  <c r="FY195"/>
  <c r="FW195"/>
  <c r="FU195"/>
  <c r="FS195"/>
  <c r="FQ195"/>
  <c r="FO195"/>
  <c r="FM195"/>
  <c r="FK195"/>
  <c r="FI195"/>
  <c r="FG195"/>
  <c r="FE195"/>
  <c r="FC195"/>
  <c r="FA195"/>
  <c r="EY195"/>
  <c r="EW195"/>
  <c r="EU195"/>
  <c r="ES195"/>
  <c r="EQ195"/>
  <c r="EO195"/>
  <c r="EM195"/>
  <c r="EK195"/>
  <c r="EI195"/>
  <c r="D195"/>
  <c r="GE194"/>
  <c r="GA194"/>
  <c r="FY194"/>
  <c r="FW194"/>
  <c r="FS194"/>
  <c r="FQ194"/>
  <c r="FO194"/>
  <c r="FK194"/>
  <c r="FI194"/>
  <c r="FG194"/>
  <c r="FC194"/>
  <c r="FA194"/>
  <c r="EY194"/>
  <c r="EU194"/>
  <c r="EQ194"/>
  <c r="EM194"/>
  <c r="EK194"/>
  <c r="EI194"/>
  <c r="D194"/>
  <c r="GE193"/>
  <c r="GA193"/>
  <c r="FY193"/>
  <c r="FW193"/>
  <c r="FS193"/>
  <c r="FQ193"/>
  <c r="FO193"/>
  <c r="FK193"/>
  <c r="FI193"/>
  <c r="FG193"/>
  <c r="FC193"/>
  <c r="FA193"/>
  <c r="EY193"/>
  <c r="EU193"/>
  <c r="ES193"/>
  <c r="EQ193"/>
  <c r="EM193"/>
  <c r="EK193"/>
  <c r="EI193"/>
  <c r="GE192"/>
  <c r="GA192"/>
  <c r="FY192"/>
  <c r="FW192"/>
  <c r="FS192"/>
  <c r="FQ192"/>
  <c r="FO192"/>
  <c r="FK192"/>
  <c r="FI192"/>
  <c r="FG192"/>
  <c r="FC192"/>
  <c r="FA192"/>
  <c r="EY192"/>
  <c r="EU192"/>
  <c r="ES192"/>
  <c r="EQ192"/>
  <c r="EM192"/>
  <c r="EK192"/>
  <c r="EI192"/>
  <c r="D192"/>
  <c r="GE191"/>
  <c r="GA191"/>
  <c r="FY191"/>
  <c r="FW191"/>
  <c r="FS191"/>
  <c r="FQ191"/>
  <c r="FO191"/>
  <c r="FK191"/>
  <c r="FI191"/>
  <c r="FG191"/>
  <c r="FC191"/>
  <c r="FA191"/>
  <c r="EY191"/>
  <c r="EU191"/>
  <c r="ES191"/>
  <c r="EQ191"/>
  <c r="EM191"/>
  <c r="EK191"/>
  <c r="EI191"/>
  <c r="D191"/>
  <c r="GE190"/>
  <c r="GA190"/>
  <c r="FY190"/>
  <c r="FW190"/>
  <c r="FS190"/>
  <c r="FQ190"/>
  <c r="FO190"/>
  <c r="FK190"/>
  <c r="FI190"/>
  <c r="FG190"/>
  <c r="FC190"/>
  <c r="FA190"/>
  <c r="EY190"/>
  <c r="EU190"/>
  <c r="ES190"/>
  <c r="EQ190"/>
  <c r="EM190"/>
  <c r="EK190"/>
  <c r="EI190"/>
  <c r="D190"/>
  <c r="GE189"/>
  <c r="GA189"/>
  <c r="FY189"/>
  <c r="FW189"/>
  <c r="FS189"/>
  <c r="FQ189"/>
  <c r="FO189"/>
  <c r="FK189"/>
  <c r="FI189"/>
  <c r="FG189"/>
  <c r="FC189"/>
  <c r="FA189"/>
  <c r="EY189"/>
  <c r="EU189"/>
  <c r="ES189"/>
  <c r="EQ189"/>
  <c r="EM189"/>
  <c r="EK189"/>
  <c r="EI189"/>
  <c r="D189"/>
  <c r="GE188"/>
  <c r="GA188"/>
  <c r="FY188"/>
  <c r="FW188"/>
  <c r="FS188"/>
  <c r="FQ188"/>
  <c r="FO188"/>
  <c r="FK188"/>
  <c r="FI188"/>
  <c r="FG188"/>
  <c r="FC188"/>
  <c r="FA188"/>
  <c r="EY188"/>
  <c r="EU188"/>
  <c r="ES188"/>
  <c r="EQ188"/>
  <c r="EM188"/>
  <c r="EK188"/>
  <c r="EI188"/>
  <c r="D188"/>
  <c r="GE187"/>
  <c r="GA187"/>
  <c r="FY187"/>
  <c r="FW187"/>
  <c r="FS187"/>
  <c r="FQ187"/>
  <c r="FO187"/>
  <c r="FK187"/>
  <c r="FI187"/>
  <c r="FG187"/>
  <c r="FC187"/>
  <c r="FA187"/>
  <c r="EY187"/>
  <c r="EU187"/>
  <c r="ES187"/>
  <c r="EQ187"/>
  <c r="EM187"/>
  <c r="EK187"/>
  <c r="EI187"/>
  <c r="D187"/>
  <c r="GE186"/>
  <c r="GA186"/>
  <c r="FY186"/>
  <c r="FW186"/>
  <c r="FS186"/>
  <c r="FQ186"/>
  <c r="FO186"/>
  <c r="FK186"/>
  <c r="FI186"/>
  <c r="FG186"/>
  <c r="FC186"/>
  <c r="FA186"/>
  <c r="EY186"/>
  <c r="EU186"/>
  <c r="ES186"/>
  <c r="EQ186"/>
  <c r="EM186"/>
  <c r="EK186"/>
  <c r="EI186"/>
  <c r="D186"/>
  <c r="GE185"/>
  <c r="GA185"/>
  <c r="FY185"/>
  <c r="FW185"/>
  <c r="FS185"/>
  <c r="FQ185"/>
  <c r="FO185"/>
  <c r="FK185"/>
  <c r="FI185"/>
  <c r="FG185"/>
  <c r="FC185"/>
  <c r="FA185"/>
  <c r="EY185"/>
  <c r="EU185"/>
  <c r="ES185"/>
  <c r="EQ185"/>
  <c r="EM185"/>
  <c r="EK185"/>
  <c r="EI185"/>
  <c r="D185"/>
  <c r="GE184"/>
  <c r="GA184"/>
  <c r="FY184"/>
  <c r="FW184"/>
  <c r="FS184"/>
  <c r="FQ184"/>
  <c r="FO184"/>
  <c r="FK184"/>
  <c r="FI184"/>
  <c r="FG184"/>
  <c r="FC184"/>
  <c r="FA184"/>
  <c r="EY184"/>
  <c r="EU184"/>
  <c r="ES184"/>
  <c r="EQ184"/>
  <c r="EM184"/>
  <c r="EK184"/>
  <c r="EI184"/>
  <c r="D184"/>
  <c r="GE183"/>
  <c r="GA183"/>
  <c r="FY183"/>
  <c r="FW183"/>
  <c r="FS183"/>
  <c r="FQ183"/>
  <c r="FO183"/>
  <c r="FK183"/>
  <c r="FI183"/>
  <c r="FG183"/>
  <c r="FC183"/>
  <c r="FA183"/>
  <c r="EY183"/>
  <c r="EU183"/>
  <c r="ES183"/>
  <c r="EQ183"/>
  <c r="EM183"/>
  <c r="EK183"/>
  <c r="EI183"/>
  <c r="D183"/>
  <c r="GE182"/>
  <c r="GA182"/>
  <c r="FY182"/>
  <c r="FW182"/>
  <c r="FS182"/>
  <c r="FQ182"/>
  <c r="FO182"/>
  <c r="FM182"/>
  <c r="FK182"/>
  <c r="FI182"/>
  <c r="FG182"/>
  <c r="FE182"/>
  <c r="FC182"/>
  <c r="FA182"/>
  <c r="EY182"/>
  <c r="EW182"/>
  <c r="EU182"/>
  <c r="ES182"/>
  <c r="EQ182"/>
  <c r="EO182"/>
  <c r="EM182"/>
  <c r="EK182"/>
  <c r="EI182"/>
  <c r="D182"/>
  <c r="GE181"/>
  <c r="GA181"/>
  <c r="FY181"/>
  <c r="FW181"/>
  <c r="FS181"/>
  <c r="FQ181"/>
  <c r="FO181"/>
  <c r="FK181"/>
  <c r="FI181"/>
  <c r="FG181"/>
  <c r="FC181"/>
  <c r="FA181"/>
  <c r="EY181"/>
  <c r="EU181"/>
  <c r="ES181"/>
  <c r="EQ181"/>
  <c r="EM181"/>
  <c r="EK181"/>
  <c r="EI181"/>
  <c r="D181"/>
  <c r="GE180"/>
  <c r="GA180"/>
  <c r="FY180"/>
  <c r="FW180"/>
  <c r="FS180"/>
  <c r="FQ180"/>
  <c r="FO180"/>
  <c r="FK180"/>
  <c r="FI180"/>
  <c r="FG180"/>
  <c r="FC180"/>
  <c r="FA180"/>
  <c r="EY180"/>
  <c r="EU180"/>
  <c r="ES180"/>
  <c r="EQ180"/>
  <c r="EM180"/>
  <c r="EK180"/>
  <c r="EI180"/>
  <c r="D180"/>
  <c r="GE179"/>
  <c r="GA179"/>
  <c r="FY179"/>
  <c r="FW179"/>
  <c r="FS179"/>
  <c r="FQ179"/>
  <c r="FO179"/>
  <c r="FK179"/>
  <c r="FI179"/>
  <c r="FG179"/>
  <c r="FC179"/>
  <c r="FA179"/>
  <c r="EY179"/>
  <c r="EU179"/>
  <c r="ES179"/>
  <c r="EO179"/>
  <c r="EM179"/>
  <c r="EK179"/>
  <c r="EI179"/>
  <c r="D179"/>
  <c r="GE178"/>
  <c r="GA178"/>
  <c r="FY178"/>
  <c r="FW178"/>
  <c r="FS178"/>
  <c r="FQ178"/>
  <c r="FO178"/>
  <c r="FK178"/>
  <c r="FI178"/>
  <c r="FG178"/>
  <c r="FC178"/>
  <c r="FA178"/>
  <c r="EY178"/>
  <c r="EU178"/>
  <c r="ES178"/>
  <c r="EQ178"/>
  <c r="EM178"/>
  <c r="EK178"/>
  <c r="EI178"/>
  <c r="D178"/>
  <c r="GE177"/>
  <c r="GC177"/>
  <c r="GA177"/>
  <c r="FY177"/>
  <c r="FW177"/>
  <c r="FU177"/>
  <c r="FS177"/>
  <c r="FQ177"/>
  <c r="FO177"/>
  <c r="FM177"/>
  <c r="FK177"/>
  <c r="FI177"/>
  <c r="FG177"/>
  <c r="FE177"/>
  <c r="FC177"/>
  <c r="FA177"/>
  <c r="EY177"/>
  <c r="EW177"/>
  <c r="EU177"/>
  <c r="ES177"/>
  <c r="EQ177"/>
  <c r="EO177"/>
  <c r="EM177"/>
  <c r="EK177"/>
  <c r="EI177"/>
  <c r="D177"/>
  <c r="GE176"/>
  <c r="GA176"/>
  <c r="FY176"/>
  <c r="FW176"/>
  <c r="FS176"/>
  <c r="FQ176"/>
  <c r="FO176"/>
  <c r="FK176"/>
  <c r="FI176"/>
  <c r="FG176"/>
  <c r="FC176"/>
  <c r="FA176"/>
  <c r="EY176"/>
  <c r="EU176"/>
  <c r="ES176"/>
  <c r="EQ176"/>
  <c r="EM176"/>
  <c r="EK176"/>
  <c r="EI176"/>
  <c r="D176"/>
  <c r="GE175"/>
  <c r="GC175"/>
  <c r="GA175"/>
  <c r="FY175"/>
  <c r="FW175"/>
  <c r="FU175"/>
  <c r="FS175"/>
  <c r="FQ175"/>
  <c r="FO175"/>
  <c r="FM175"/>
  <c r="FK175"/>
  <c r="FI175"/>
  <c r="FG175"/>
  <c r="FE175"/>
  <c r="FC175"/>
  <c r="FA175"/>
  <c r="EY175"/>
  <c r="EW175"/>
  <c r="EU175"/>
  <c r="ES175"/>
  <c r="EQ175"/>
  <c r="EO175"/>
  <c r="EM175"/>
  <c r="EK175"/>
  <c r="EI175"/>
  <c r="D175"/>
  <c r="GE174"/>
  <c r="GA174"/>
  <c r="FY174"/>
  <c r="FW174"/>
  <c r="FS174"/>
  <c r="FQ174"/>
  <c r="FO174"/>
  <c r="FK174"/>
  <c r="FI174"/>
  <c r="FG174"/>
  <c r="FC174"/>
  <c r="FA174"/>
  <c r="EY174"/>
  <c r="EU174"/>
  <c r="ES174"/>
  <c r="EQ174"/>
  <c r="EM174"/>
  <c r="EK174"/>
  <c r="EI174"/>
  <c r="D174"/>
  <c r="GE173"/>
  <c r="GC173"/>
  <c r="GA173"/>
  <c r="FY173"/>
  <c r="FW173"/>
  <c r="FU173"/>
  <c r="FS173"/>
  <c r="FQ173"/>
  <c r="FO173"/>
  <c r="FM173"/>
  <c r="FK173"/>
  <c r="FI173"/>
  <c r="FG173"/>
  <c r="FE173"/>
  <c r="FC173"/>
  <c r="FA173"/>
  <c r="EY173"/>
  <c r="EW173"/>
  <c r="EU173"/>
  <c r="ES173"/>
  <c r="EQ173"/>
  <c r="EO173"/>
  <c r="EM173"/>
  <c r="EK173"/>
  <c r="EI173"/>
  <c r="GE172"/>
  <c r="GA172"/>
  <c r="FY172"/>
  <c r="FW172"/>
  <c r="FS172"/>
  <c r="FQ172"/>
  <c r="FO172"/>
  <c r="FK172"/>
  <c r="FI172"/>
  <c r="FG172"/>
  <c r="FC172"/>
  <c r="FA172"/>
  <c r="EY172"/>
  <c r="EU172"/>
  <c r="ES172"/>
  <c r="EQ172"/>
  <c r="EM172"/>
  <c r="EK172"/>
  <c r="EI172"/>
  <c r="D172"/>
  <c r="GE171"/>
  <c r="GA171"/>
  <c r="FY171"/>
  <c r="FW171"/>
  <c r="FS171"/>
  <c r="FQ171"/>
  <c r="FO171"/>
  <c r="FK171"/>
  <c r="FI171"/>
  <c r="FG171"/>
  <c r="FC171"/>
  <c r="FA171"/>
  <c r="EY171"/>
  <c r="EU171"/>
  <c r="ES171"/>
  <c r="EQ171"/>
  <c r="EM171"/>
  <c r="EK171"/>
  <c r="EI171"/>
  <c r="D171"/>
  <c r="GE170"/>
  <c r="GA170"/>
  <c r="FY170"/>
  <c r="FW170"/>
  <c r="FS170"/>
  <c r="FQ170"/>
  <c r="FO170"/>
  <c r="FK170"/>
  <c r="FI170"/>
  <c r="FG170"/>
  <c r="FC170"/>
  <c r="FA170"/>
  <c r="EY170"/>
  <c r="EU170"/>
  <c r="ES170"/>
  <c r="EQ170"/>
  <c r="EM170"/>
  <c r="EK170"/>
  <c r="EI170"/>
  <c r="D170"/>
  <c r="GE169"/>
  <c r="GA169"/>
  <c r="FY169"/>
  <c r="FW169"/>
  <c r="FS169"/>
  <c r="FQ169"/>
  <c r="FO169"/>
  <c r="FK169"/>
  <c r="FI169"/>
  <c r="FG169"/>
  <c r="FC169"/>
  <c r="FA169"/>
  <c r="EY169"/>
  <c r="EU169"/>
  <c r="ES169"/>
  <c r="EQ169"/>
  <c r="EM169"/>
  <c r="EK169"/>
  <c r="EI169"/>
  <c r="D169"/>
  <c r="GE168"/>
  <c r="GA168"/>
  <c r="FY168"/>
  <c r="FW168"/>
  <c r="FS168"/>
  <c r="FQ168"/>
  <c r="FO168"/>
  <c r="FK168"/>
  <c r="FI168"/>
  <c r="FG168"/>
  <c r="FC168"/>
  <c r="FA168"/>
  <c r="EY168"/>
  <c r="EU168"/>
  <c r="ES168"/>
  <c r="EQ168"/>
  <c r="EM168"/>
  <c r="EI168"/>
  <c r="D168"/>
  <c r="GE167"/>
  <c r="GA167"/>
  <c r="FY167"/>
  <c r="FW167"/>
  <c r="FS167"/>
  <c r="FQ167"/>
  <c r="FO167"/>
  <c r="FK167"/>
  <c r="FI167"/>
  <c r="FG167"/>
  <c r="FC167"/>
  <c r="FA167"/>
  <c r="EY167"/>
  <c r="EU167"/>
  <c r="ES167"/>
  <c r="EQ167"/>
  <c r="EM167"/>
  <c r="EK167"/>
  <c r="EI167"/>
  <c r="D167"/>
  <c r="GE166"/>
  <c r="GA166"/>
  <c r="FY166"/>
  <c r="FW166"/>
  <c r="FS166"/>
  <c r="FQ166"/>
  <c r="FO166"/>
  <c r="FK166"/>
  <c r="FI166"/>
  <c r="FG166"/>
  <c r="FC166"/>
  <c r="FA166"/>
  <c r="EY166"/>
  <c r="EU166"/>
  <c r="ES166"/>
  <c r="EQ166"/>
  <c r="EM166"/>
  <c r="EK166"/>
  <c r="EI166"/>
  <c r="D166"/>
  <c r="GE165"/>
  <c r="GA165"/>
  <c r="FY165"/>
  <c r="FS165"/>
  <c r="FQ165"/>
  <c r="FO165"/>
  <c r="FK165"/>
  <c r="FI165"/>
  <c r="FG165"/>
  <c r="FC165"/>
  <c r="FA165"/>
  <c r="EY165"/>
  <c r="EU165"/>
  <c r="ES165"/>
  <c r="EQ165"/>
  <c r="EM165"/>
  <c r="EK165"/>
  <c r="EI165"/>
  <c r="D165"/>
  <c r="GE164"/>
  <c r="GA164"/>
  <c r="FY164"/>
  <c r="FW164"/>
  <c r="FS164"/>
  <c r="FQ164"/>
  <c r="FO164"/>
  <c r="FK164"/>
  <c r="FI164"/>
  <c r="FG164"/>
  <c r="FC164"/>
  <c r="FA164"/>
  <c r="EY164"/>
  <c r="EU164"/>
  <c r="ES164"/>
  <c r="EQ164"/>
  <c r="EM164"/>
  <c r="EI164"/>
  <c r="D164"/>
  <c r="GE163"/>
  <c r="GA163"/>
  <c r="FY163"/>
  <c r="FW163"/>
  <c r="FS163"/>
  <c r="FQ163"/>
  <c r="FO163"/>
  <c r="FK163"/>
  <c r="FI163"/>
  <c r="FG163"/>
  <c r="FC163"/>
  <c r="FA163"/>
  <c r="EY163"/>
  <c r="EU163"/>
  <c r="ES163"/>
  <c r="EQ163"/>
  <c r="EM163"/>
  <c r="EK163"/>
  <c r="EI163"/>
  <c r="D163"/>
  <c r="GE162"/>
  <c r="GA162"/>
  <c r="FY162"/>
  <c r="FW162"/>
  <c r="FS162"/>
  <c r="FQ162"/>
  <c r="FO162"/>
  <c r="FK162"/>
  <c r="FI162"/>
  <c r="FG162"/>
  <c r="FC162"/>
  <c r="FA162"/>
  <c r="EY162"/>
  <c r="EU162"/>
  <c r="ES162"/>
  <c r="EQ162"/>
  <c r="EM162"/>
  <c r="EK162"/>
  <c r="EI162"/>
  <c r="D162"/>
  <c r="GE161"/>
  <c r="GA161"/>
  <c r="FY161"/>
  <c r="FW161"/>
  <c r="FS161"/>
  <c r="FQ161"/>
  <c r="FO161"/>
  <c r="FK161"/>
  <c r="FI161"/>
  <c r="FG161"/>
  <c r="FC161"/>
  <c r="FA161"/>
  <c r="EY161"/>
  <c r="EU161"/>
  <c r="ES161"/>
  <c r="EQ161"/>
  <c r="EM161"/>
  <c r="EK161"/>
  <c r="EI161"/>
  <c r="D161"/>
  <c r="GE160"/>
  <c r="GA160"/>
  <c r="FY160"/>
  <c r="FW160"/>
  <c r="FS160"/>
  <c r="FQ160"/>
  <c r="FO160"/>
  <c r="FK160"/>
  <c r="FI160"/>
  <c r="FC160"/>
  <c r="FA160"/>
  <c r="EY160"/>
  <c r="EU160"/>
  <c r="ES160"/>
  <c r="EQ160"/>
  <c r="EM160"/>
  <c r="EK160"/>
  <c r="EI160"/>
  <c r="D160"/>
  <c r="GE159"/>
  <c r="GA159"/>
  <c r="FY159"/>
  <c r="FW159"/>
  <c r="FS159"/>
  <c r="FQ159"/>
  <c r="FO159"/>
  <c r="FK159"/>
  <c r="FI159"/>
  <c r="FG159"/>
  <c r="FC159"/>
  <c r="FA159"/>
  <c r="EY159"/>
  <c r="EU159"/>
  <c r="ES159"/>
  <c r="EQ159"/>
  <c r="EM159"/>
  <c r="EK159"/>
  <c r="EI159"/>
  <c r="D159"/>
  <c r="GE158"/>
  <c r="GA158"/>
  <c r="FY158"/>
  <c r="FW158"/>
  <c r="FS158"/>
  <c r="FQ158"/>
  <c r="FO158"/>
  <c r="FK158"/>
  <c r="FI158"/>
  <c r="FG158"/>
  <c r="FC158"/>
  <c r="FA158"/>
  <c r="EY158"/>
  <c r="EU158"/>
  <c r="ES158"/>
  <c r="EQ158"/>
  <c r="EM158"/>
  <c r="EK158"/>
  <c r="EI158"/>
  <c r="D158"/>
  <c r="GE157"/>
  <c r="GA157"/>
  <c r="FY157"/>
  <c r="FW157"/>
  <c r="FS157"/>
  <c r="FQ157"/>
  <c r="FO157"/>
  <c r="FK157"/>
  <c r="FI157"/>
  <c r="FG157"/>
  <c r="FC157"/>
  <c r="FA157"/>
  <c r="EY157"/>
  <c r="EU157"/>
  <c r="ES157"/>
  <c r="EQ157"/>
  <c r="EM157"/>
  <c r="EK157"/>
  <c r="EI157"/>
  <c r="GE156"/>
  <c r="GA156"/>
  <c r="FY156"/>
  <c r="FW156"/>
  <c r="FS156"/>
  <c r="FQ156"/>
  <c r="FO156"/>
  <c r="FK156"/>
  <c r="FI156"/>
  <c r="FG156"/>
  <c r="FC156"/>
  <c r="FA156"/>
  <c r="EY156"/>
  <c r="EU156"/>
  <c r="ES156"/>
  <c r="EQ156"/>
  <c r="EM156"/>
  <c r="EK156"/>
  <c r="EI156"/>
  <c r="D156"/>
  <c r="GE155"/>
  <c r="GA155"/>
  <c r="FY155"/>
  <c r="FW155"/>
  <c r="FS155"/>
  <c r="FQ155"/>
  <c r="FO155"/>
  <c r="FK155"/>
  <c r="FI155"/>
  <c r="FG155"/>
  <c r="FC155"/>
  <c r="FA155"/>
  <c r="EY155"/>
  <c r="EU155"/>
  <c r="ES155"/>
  <c r="EQ155"/>
  <c r="EM155"/>
  <c r="EK155"/>
  <c r="EI155"/>
  <c r="GE154"/>
  <c r="GA154"/>
  <c r="FY154"/>
  <c r="FW154"/>
  <c r="FS154"/>
  <c r="FQ154"/>
  <c r="FO154"/>
  <c r="FK154"/>
  <c r="FI154"/>
  <c r="FG154"/>
  <c r="FC154"/>
  <c r="FA154"/>
  <c r="EY154"/>
  <c r="EU154"/>
  <c r="ES154"/>
  <c r="EM154"/>
  <c r="EK154"/>
  <c r="EI154"/>
  <c r="D154"/>
  <c r="GE153"/>
  <c r="GA153"/>
  <c r="FY153"/>
  <c r="FW153"/>
  <c r="FS153"/>
  <c r="FQ153"/>
  <c r="FO153"/>
  <c r="FK153"/>
  <c r="FI153"/>
  <c r="FC153"/>
  <c r="FA153"/>
  <c r="EY153"/>
  <c r="EU153"/>
  <c r="ES153"/>
  <c r="EQ153"/>
  <c r="EM153"/>
  <c r="EK153"/>
  <c r="EI153"/>
  <c r="D153"/>
  <c r="GE152"/>
  <c r="GA152"/>
  <c r="FY152"/>
  <c r="FW152"/>
  <c r="FS152"/>
  <c r="FQ152"/>
  <c r="FO152"/>
  <c r="FK152"/>
  <c r="FI152"/>
  <c r="FG152"/>
  <c r="FC152"/>
  <c r="FA152"/>
  <c r="EY152"/>
  <c r="EU152"/>
  <c r="ES152"/>
  <c r="EQ152"/>
  <c r="EM152"/>
  <c r="EK152"/>
  <c r="EI152"/>
  <c r="D152"/>
  <c r="GE151"/>
  <c r="GA151"/>
  <c r="FY151"/>
  <c r="FW151"/>
  <c r="FS151"/>
  <c r="FQ151"/>
  <c r="FO151"/>
  <c r="FK151"/>
  <c r="FI151"/>
  <c r="FG151"/>
  <c r="FA151"/>
  <c r="EY151"/>
  <c r="EU151"/>
  <c r="ES151"/>
  <c r="EQ151"/>
  <c r="EM151"/>
  <c r="EK151"/>
  <c r="EI151"/>
  <c r="D151"/>
  <c r="GE150"/>
  <c r="GA150"/>
  <c r="FY150"/>
  <c r="FW150"/>
  <c r="FS150"/>
  <c r="FQ150"/>
  <c r="FO150"/>
  <c r="FK150"/>
  <c r="FI150"/>
  <c r="FG150"/>
  <c r="FC150"/>
  <c r="FA150"/>
  <c r="EY150"/>
  <c r="EU150"/>
  <c r="ES150"/>
  <c r="EQ150"/>
  <c r="EM150"/>
  <c r="EI150"/>
  <c r="D150"/>
  <c r="GE149"/>
  <c r="GA149"/>
  <c r="FY149"/>
  <c r="FW149"/>
  <c r="FS149"/>
  <c r="FQ149"/>
  <c r="FO149"/>
  <c r="FK149"/>
  <c r="FG149"/>
  <c r="FE149"/>
  <c r="FC149"/>
  <c r="FA149"/>
  <c r="EY149"/>
  <c r="EW149"/>
  <c r="EU149"/>
  <c r="ES149"/>
  <c r="EQ149"/>
  <c r="EO149"/>
  <c r="EM149"/>
  <c r="EK149"/>
  <c r="EI149"/>
  <c r="D149"/>
  <c r="GE148"/>
  <c r="GA148"/>
  <c r="FY148"/>
  <c r="FW148"/>
  <c r="FS148"/>
  <c r="FQ148"/>
  <c r="FO148"/>
  <c r="FK148"/>
  <c r="FI148"/>
  <c r="FG148"/>
  <c r="FC148"/>
  <c r="FA148"/>
  <c r="EY148"/>
  <c r="EU148"/>
  <c r="ES148"/>
  <c r="EQ148"/>
  <c r="EM148"/>
  <c r="EK148"/>
  <c r="EI148"/>
  <c r="D148"/>
  <c r="GE147"/>
  <c r="GC147"/>
  <c r="GA147"/>
  <c r="FY147"/>
  <c r="FW147"/>
  <c r="FU147"/>
  <c r="FS147"/>
  <c r="FQ147"/>
  <c r="FO147"/>
  <c r="FM147"/>
  <c r="FK147"/>
  <c r="FI147"/>
  <c r="FG147"/>
  <c r="FE147"/>
  <c r="FC147"/>
  <c r="FA147"/>
  <c r="EY147"/>
  <c r="EW147"/>
  <c r="EU147"/>
  <c r="ES147"/>
  <c r="EQ147"/>
  <c r="EO147"/>
  <c r="EM147"/>
  <c r="EK147"/>
  <c r="EI147"/>
  <c r="D147"/>
  <c r="GE146"/>
  <c r="GA146"/>
  <c r="FY146"/>
  <c r="FW146"/>
  <c r="FS146"/>
  <c r="FQ146"/>
  <c r="FO146"/>
  <c r="FK146"/>
  <c r="FI146"/>
  <c r="FG146"/>
  <c r="FC146"/>
  <c r="FA146"/>
  <c r="EY146"/>
  <c r="EU146"/>
  <c r="ES146"/>
  <c r="EQ146"/>
  <c r="EM146"/>
  <c r="EK146"/>
  <c r="EI146"/>
  <c r="D146"/>
  <c r="GE145"/>
  <c r="GC145"/>
  <c r="GA145"/>
  <c r="FY145"/>
  <c r="FW145"/>
  <c r="FU145"/>
  <c r="FS145"/>
  <c r="FQ145"/>
  <c r="FO145"/>
  <c r="FM145"/>
  <c r="FK145"/>
  <c r="FI145"/>
  <c r="FG145"/>
  <c r="FE145"/>
  <c r="FC145"/>
  <c r="FA145"/>
  <c r="EY145"/>
  <c r="EW145"/>
  <c r="EU145"/>
  <c r="ES145"/>
  <c r="EQ145"/>
  <c r="EO145"/>
  <c r="EM145"/>
  <c r="EK145"/>
  <c r="EI145"/>
  <c r="D145"/>
  <c r="GE144"/>
  <c r="GA144"/>
  <c r="FY144"/>
  <c r="FW144"/>
  <c r="FS144"/>
  <c r="FQ144"/>
  <c r="FO144"/>
  <c r="FK144"/>
  <c r="FI144"/>
  <c r="FG144"/>
  <c r="FC144"/>
  <c r="FA144"/>
  <c r="EY144"/>
  <c r="EU144"/>
  <c r="ES144"/>
  <c r="EQ144"/>
  <c r="EM144"/>
  <c r="EK144"/>
  <c r="EI144"/>
  <c r="GE143"/>
  <c r="GC143"/>
  <c r="GA143"/>
  <c r="FY143"/>
  <c r="FW143"/>
  <c r="FU143"/>
  <c r="FS143"/>
  <c r="FQ143"/>
  <c r="FO143"/>
  <c r="FM143"/>
  <c r="FK143"/>
  <c r="FI143"/>
  <c r="FG143"/>
  <c r="FE143"/>
  <c r="FC143"/>
  <c r="FA143"/>
  <c r="EY143"/>
  <c r="EW143"/>
  <c r="EU143"/>
  <c r="ES143"/>
  <c r="EQ143"/>
  <c r="EO143"/>
  <c r="EM143"/>
  <c r="EK143"/>
  <c r="EI143"/>
  <c r="D143"/>
  <c r="GE142"/>
  <c r="GA142"/>
  <c r="FY142"/>
  <c r="FW142"/>
  <c r="FS142"/>
  <c r="FQ142"/>
  <c r="FO142"/>
  <c r="FK142"/>
  <c r="FI142"/>
  <c r="FG142"/>
  <c r="FC142"/>
  <c r="FA142"/>
  <c r="EY142"/>
  <c r="EU142"/>
  <c r="ES142"/>
  <c r="EQ142"/>
  <c r="EM142"/>
  <c r="EK142"/>
  <c r="EI142"/>
  <c r="D142"/>
  <c r="GE141"/>
  <c r="GC141"/>
  <c r="GA141"/>
  <c r="FY141"/>
  <c r="FW141"/>
  <c r="FU141"/>
  <c r="FS141"/>
  <c r="FQ141"/>
  <c r="FO141"/>
  <c r="FM141"/>
  <c r="FK141"/>
  <c r="FI141"/>
  <c r="FG141"/>
  <c r="FE141"/>
  <c r="FC141"/>
  <c r="FA141"/>
  <c r="EY141"/>
  <c r="EW141"/>
  <c r="EU141"/>
  <c r="ES141"/>
  <c r="EQ141"/>
  <c r="EO141"/>
  <c r="EM141"/>
  <c r="EK141"/>
  <c r="EI141"/>
  <c r="D141"/>
  <c r="GE140"/>
  <c r="GA140"/>
  <c r="FY140"/>
  <c r="FW140"/>
  <c r="FS140"/>
  <c r="FQ140"/>
  <c r="FO140"/>
  <c r="FK140"/>
  <c r="FI140"/>
  <c r="FG140"/>
  <c r="FC140"/>
  <c r="FA140"/>
  <c r="EY140"/>
  <c r="EU140"/>
  <c r="ES140"/>
  <c r="EQ140"/>
  <c r="EM140"/>
  <c r="EK140"/>
  <c r="EI140"/>
  <c r="D140"/>
  <c r="GE139"/>
  <c r="GA139"/>
  <c r="FY139"/>
  <c r="FW139"/>
  <c r="FS139"/>
  <c r="FQ139"/>
  <c r="FK139"/>
  <c r="FI139"/>
  <c r="FG139"/>
  <c r="FC139"/>
  <c r="FA139"/>
  <c r="EY139"/>
  <c r="EU139"/>
  <c r="ES139"/>
  <c r="EQ139"/>
  <c r="EM139"/>
  <c r="EK139"/>
  <c r="EI139"/>
  <c r="D139"/>
  <c r="GE138"/>
  <c r="GC138"/>
  <c r="GA138"/>
  <c r="FY138"/>
  <c r="FW138"/>
  <c r="FU138"/>
  <c r="FS138"/>
  <c r="FQ138"/>
  <c r="FO138"/>
  <c r="FM138"/>
  <c r="FK138"/>
  <c r="FI138"/>
  <c r="FG138"/>
  <c r="FE138"/>
  <c r="FC138"/>
  <c r="FA138"/>
  <c r="EY138"/>
  <c r="EW138"/>
  <c r="EU138"/>
  <c r="ES138"/>
  <c r="EQ138"/>
  <c r="EO138"/>
  <c r="EM138"/>
  <c r="EK138"/>
  <c r="EI138"/>
  <c r="D138"/>
  <c r="GE137"/>
  <c r="GA137"/>
  <c r="FY137"/>
  <c r="FW137"/>
  <c r="FS137"/>
  <c r="FQ137"/>
  <c r="FO137"/>
  <c r="FK137"/>
  <c r="FI137"/>
  <c r="FG137"/>
  <c r="FC137"/>
  <c r="FA137"/>
  <c r="EY137"/>
  <c r="EU137"/>
  <c r="ES137"/>
  <c r="EQ137"/>
  <c r="EM137"/>
  <c r="EK137"/>
  <c r="EI137"/>
  <c r="D137"/>
  <c r="GE136"/>
  <c r="GC136"/>
  <c r="GA136"/>
  <c r="FY136"/>
  <c r="FW136"/>
  <c r="FU136"/>
  <c r="FS136"/>
  <c r="FQ136"/>
  <c r="FO136"/>
  <c r="FM136"/>
  <c r="FK136"/>
  <c r="FI136"/>
  <c r="FG136"/>
  <c r="FE136"/>
  <c r="FC136"/>
  <c r="FA136"/>
  <c r="EY136"/>
  <c r="EW136"/>
  <c r="EU136"/>
  <c r="ES136"/>
  <c r="EQ136"/>
  <c r="EO136"/>
  <c r="EM136"/>
  <c r="EK136"/>
  <c r="EI136"/>
  <c r="D136"/>
  <c r="GE135"/>
  <c r="GA135"/>
  <c r="FY135"/>
  <c r="FS135"/>
  <c r="FQ135"/>
  <c r="FO135"/>
  <c r="FK135"/>
  <c r="FI135"/>
  <c r="FG135"/>
  <c r="FC135"/>
  <c r="FA135"/>
  <c r="EY135"/>
  <c r="EU135"/>
  <c r="ES135"/>
  <c r="EQ135"/>
  <c r="EM135"/>
  <c r="EK135"/>
  <c r="EI135"/>
  <c r="D135"/>
  <c r="GE134"/>
  <c r="GA134"/>
  <c r="FY134"/>
  <c r="FW134"/>
  <c r="FS134"/>
  <c r="FQ134"/>
  <c r="FO134"/>
  <c r="FK134"/>
  <c r="FI134"/>
  <c r="FG134"/>
  <c r="FC134"/>
  <c r="FA134"/>
  <c r="EY134"/>
  <c r="EU134"/>
  <c r="ES134"/>
  <c r="EQ134"/>
  <c r="EM134"/>
  <c r="EK134"/>
  <c r="EI134"/>
  <c r="D134"/>
  <c r="GE133"/>
  <c r="GA133"/>
  <c r="FY133"/>
  <c r="FW133"/>
  <c r="FS133"/>
  <c r="FQ133"/>
  <c r="FO133"/>
  <c r="FK133"/>
  <c r="FI133"/>
  <c r="FG133"/>
  <c r="FC133"/>
  <c r="FA133"/>
  <c r="EY133"/>
  <c r="EU133"/>
  <c r="ES133"/>
  <c r="EQ133"/>
  <c r="EM133"/>
  <c r="EK133"/>
  <c r="EI133"/>
  <c r="D133"/>
  <c r="GE132"/>
  <c r="GA132"/>
  <c r="FY132"/>
  <c r="FW132"/>
  <c r="FS132"/>
  <c r="FQ132"/>
  <c r="FO132"/>
  <c r="FK132"/>
  <c r="FI132"/>
  <c r="FG132"/>
  <c r="FC132"/>
  <c r="FA132"/>
  <c r="EY132"/>
  <c r="EU132"/>
  <c r="ES132"/>
  <c r="EQ132"/>
  <c r="EM132"/>
  <c r="EK132"/>
  <c r="EI132"/>
  <c r="D132"/>
  <c r="GE131"/>
  <c r="GA131"/>
  <c r="FY131"/>
  <c r="FW131"/>
  <c r="FS131"/>
  <c r="FQ131"/>
  <c r="FO131"/>
  <c r="FK131"/>
  <c r="FI131"/>
  <c r="FG131"/>
  <c r="FC131"/>
  <c r="FA131"/>
  <c r="EY131"/>
  <c r="ES131"/>
  <c r="EQ131"/>
  <c r="EM131"/>
  <c r="EK131"/>
  <c r="EI131"/>
  <c r="D131"/>
  <c r="GE130"/>
  <c r="GA130"/>
  <c r="FY130"/>
  <c r="FW130"/>
  <c r="FS130"/>
  <c r="FQ130"/>
  <c r="FO130"/>
  <c r="FK130"/>
  <c r="FI130"/>
  <c r="FG130"/>
  <c r="FC130"/>
  <c r="FA130"/>
  <c r="EY130"/>
  <c r="EU130"/>
  <c r="ES130"/>
  <c r="EQ130"/>
  <c r="EM130"/>
  <c r="EK130"/>
  <c r="EI130"/>
  <c r="D130"/>
  <c r="GE129"/>
  <c r="GA129"/>
  <c r="FY129"/>
  <c r="FW129"/>
  <c r="FS129"/>
  <c r="FQ129"/>
  <c r="FO129"/>
  <c r="FK129"/>
  <c r="FI129"/>
  <c r="FG129"/>
  <c r="FC129"/>
  <c r="FA129"/>
  <c r="EY129"/>
  <c r="EU129"/>
  <c r="ES129"/>
  <c r="EQ129"/>
  <c r="EM129"/>
  <c r="EK129"/>
  <c r="EI129"/>
  <c r="D129"/>
  <c r="GE128"/>
  <c r="GA128"/>
  <c r="FY128"/>
  <c r="FW128"/>
  <c r="FS128"/>
  <c r="FQ128"/>
  <c r="FO128"/>
  <c r="FK128"/>
  <c r="FI128"/>
  <c r="FG128"/>
  <c r="FC128"/>
  <c r="FA128"/>
  <c r="EY128"/>
  <c r="EU128"/>
  <c r="ES128"/>
  <c r="EQ128"/>
  <c r="EM128"/>
  <c r="EK128"/>
  <c r="EI128"/>
  <c r="D128"/>
  <c r="GE127"/>
  <c r="GA127"/>
  <c r="FY127"/>
  <c r="FW127"/>
  <c r="FS127"/>
  <c r="FQ127"/>
  <c r="FO127"/>
  <c r="FK127"/>
  <c r="FI127"/>
  <c r="FG127"/>
  <c r="FC127"/>
  <c r="FA127"/>
  <c r="EY127"/>
  <c r="EU127"/>
  <c r="ES127"/>
  <c r="EQ127"/>
  <c r="EO127"/>
  <c r="EM127"/>
  <c r="EK127"/>
  <c r="EI127"/>
  <c r="D127"/>
  <c r="GE126"/>
  <c r="GA126"/>
  <c r="FY126"/>
  <c r="FS126"/>
  <c r="FQ126"/>
  <c r="FO126"/>
  <c r="FK126"/>
  <c r="FI126"/>
  <c r="FG126"/>
  <c r="FC126"/>
  <c r="FA126"/>
  <c r="EY126"/>
  <c r="EU126"/>
  <c r="ES126"/>
  <c r="EQ126"/>
  <c r="EM126"/>
  <c r="EK126"/>
  <c r="EI126"/>
  <c r="D126"/>
  <c r="GE125"/>
  <c r="GA125"/>
  <c r="FY125"/>
  <c r="FW125"/>
  <c r="FS125"/>
  <c r="FQ125"/>
  <c r="FO125"/>
  <c r="FK125"/>
  <c r="FI125"/>
  <c r="FG125"/>
  <c r="FC125"/>
  <c r="FA125"/>
  <c r="EY125"/>
  <c r="EU125"/>
  <c r="ES125"/>
  <c r="EQ125"/>
  <c r="EM125"/>
  <c r="EK125"/>
  <c r="EI125"/>
  <c r="GE124"/>
  <c r="GA124"/>
  <c r="FY124"/>
  <c r="FW124"/>
  <c r="FS124"/>
  <c r="FQ124"/>
  <c r="FO124"/>
  <c r="FK124"/>
  <c r="FI124"/>
  <c r="FG124"/>
  <c r="FC124"/>
  <c r="FA124"/>
  <c r="EY124"/>
  <c r="EU124"/>
  <c r="ES124"/>
  <c r="EQ124"/>
  <c r="EM124"/>
  <c r="EK124"/>
  <c r="D124"/>
  <c r="GE123"/>
  <c r="GA123"/>
  <c r="FY123"/>
  <c r="FW123"/>
  <c r="FS123"/>
  <c r="FQ123"/>
  <c r="FO123"/>
  <c r="FK123"/>
  <c r="FI123"/>
  <c r="FG123"/>
  <c r="FC123"/>
  <c r="FA123"/>
  <c r="EY123"/>
  <c r="EU123"/>
  <c r="ES123"/>
  <c r="EQ123"/>
  <c r="EM123"/>
  <c r="EK123"/>
  <c r="EI123"/>
  <c r="D123"/>
  <c r="GE122"/>
  <c r="GA122"/>
  <c r="FY122"/>
  <c r="FW122"/>
  <c r="FS122"/>
  <c r="FQ122"/>
  <c r="FO122"/>
  <c r="FK122"/>
  <c r="FI122"/>
  <c r="FG122"/>
  <c r="FC122"/>
  <c r="FA122"/>
  <c r="EY122"/>
  <c r="EU122"/>
  <c r="ES122"/>
  <c r="EQ122"/>
  <c r="EM122"/>
  <c r="EK122"/>
  <c r="EI122"/>
  <c r="D122"/>
  <c r="GE121"/>
  <c r="GA121"/>
  <c r="FY121"/>
  <c r="FW121"/>
  <c r="FS121"/>
  <c r="FQ121"/>
  <c r="FO121"/>
  <c r="FK121"/>
  <c r="FI121"/>
  <c r="FG121"/>
  <c r="FC121"/>
  <c r="FA121"/>
  <c r="EY121"/>
  <c r="EU121"/>
  <c r="ES121"/>
  <c r="EQ121"/>
  <c r="EM121"/>
  <c r="EK121"/>
  <c r="EI121"/>
  <c r="D121"/>
  <c r="GE120"/>
  <c r="GA120"/>
  <c r="FY120"/>
  <c r="FW120"/>
  <c r="FS120"/>
  <c r="FQ120"/>
  <c r="FO120"/>
  <c r="FK120"/>
  <c r="FI120"/>
  <c r="FG120"/>
  <c r="FC120"/>
  <c r="FA120"/>
  <c r="EY120"/>
  <c r="EU120"/>
  <c r="ES120"/>
  <c r="EQ120"/>
  <c r="EM120"/>
  <c r="EK120"/>
  <c r="EI120"/>
  <c r="GE119"/>
  <c r="GA119"/>
  <c r="FY119"/>
  <c r="FW119"/>
  <c r="FS119"/>
  <c r="FQ119"/>
  <c r="FO119"/>
  <c r="FK119"/>
  <c r="FI119"/>
  <c r="FG119"/>
  <c r="FC119"/>
  <c r="FA119"/>
  <c r="EY119"/>
  <c r="EU119"/>
  <c r="ES119"/>
  <c r="EQ119"/>
  <c r="EM119"/>
  <c r="EK119"/>
  <c r="EI119"/>
  <c r="D119"/>
  <c r="GE118"/>
  <c r="GC118"/>
  <c r="GA118"/>
  <c r="FW118"/>
  <c r="FU118"/>
  <c r="FS118"/>
  <c r="FO118"/>
  <c r="FM118"/>
  <c r="FK118"/>
  <c r="FG118"/>
  <c r="FE118"/>
  <c r="FC118"/>
  <c r="EY118"/>
  <c r="EW118"/>
  <c r="EU118"/>
  <c r="EQ118"/>
  <c r="EO118"/>
  <c r="EM118"/>
  <c r="EI118"/>
  <c r="D118"/>
  <c r="GE117"/>
  <c r="GC117"/>
  <c r="GA117"/>
  <c r="FW117"/>
  <c r="FU117"/>
  <c r="FS117"/>
  <c r="FO117"/>
  <c r="FM117"/>
  <c r="FK117"/>
  <c r="FG117"/>
  <c r="FE117"/>
  <c r="FC117"/>
  <c r="EY117"/>
  <c r="EW117"/>
  <c r="EU117"/>
  <c r="EQ117"/>
  <c r="EO117"/>
  <c r="EM117"/>
  <c r="EI117"/>
  <c r="D117"/>
  <c r="GE116"/>
  <c r="GC116"/>
  <c r="GA116"/>
  <c r="FW116"/>
  <c r="FU116"/>
  <c r="FS116"/>
  <c r="FO116"/>
  <c r="FM116"/>
  <c r="FK116"/>
  <c r="FG116"/>
  <c r="FE116"/>
  <c r="FC116"/>
  <c r="EY116"/>
  <c r="EW116"/>
  <c r="EU116"/>
  <c r="EQ116"/>
  <c r="EO116"/>
  <c r="EM116"/>
  <c r="EI116"/>
  <c r="D116"/>
  <c r="GE115"/>
  <c r="GC115"/>
  <c r="GA115"/>
  <c r="FW115"/>
  <c r="FU115"/>
  <c r="FS115"/>
  <c r="FO115"/>
  <c r="FM115"/>
  <c r="FK115"/>
  <c r="FG115"/>
  <c r="FE115"/>
  <c r="FC115"/>
  <c r="EY115"/>
  <c r="EW115"/>
  <c r="EQ115"/>
  <c r="EO115"/>
  <c r="EM115"/>
  <c r="EI115"/>
  <c r="D115"/>
  <c r="GE114"/>
  <c r="GC114"/>
  <c r="GA114"/>
  <c r="FW114"/>
  <c r="FU114"/>
  <c r="FS114"/>
  <c r="FO114"/>
  <c r="FM114"/>
  <c r="FK114"/>
  <c r="FG114"/>
  <c r="FE114"/>
  <c r="FC114"/>
  <c r="EY114"/>
  <c r="EW114"/>
  <c r="EU114"/>
  <c r="EQ114"/>
  <c r="EO114"/>
  <c r="EM114"/>
  <c r="EI114"/>
  <c r="D114"/>
  <c r="GE113"/>
  <c r="GC113"/>
  <c r="GA113"/>
  <c r="FW113"/>
  <c r="FU113"/>
  <c r="FS113"/>
  <c r="FO113"/>
  <c r="FM113"/>
  <c r="FK113"/>
  <c r="FG113"/>
  <c r="FE113"/>
  <c r="FC113"/>
  <c r="EY113"/>
  <c r="EW113"/>
  <c r="EU113"/>
  <c r="EQ113"/>
  <c r="EO113"/>
  <c r="EM113"/>
  <c r="EI113"/>
  <c r="D113"/>
  <c r="GE112"/>
  <c r="GC112"/>
  <c r="GA112"/>
  <c r="FW112"/>
  <c r="FU112"/>
  <c r="FS112"/>
  <c r="FO112"/>
  <c r="FM112"/>
  <c r="FK112"/>
  <c r="FG112"/>
  <c r="FE112"/>
  <c r="FC112"/>
  <c r="EY112"/>
  <c r="EW112"/>
  <c r="EU112"/>
  <c r="EQ112"/>
  <c r="EO112"/>
  <c r="EM112"/>
  <c r="EI112"/>
  <c r="D112"/>
  <c r="GE111"/>
  <c r="GC111"/>
  <c r="GA111"/>
  <c r="FW111"/>
  <c r="FU111"/>
  <c r="FS111"/>
  <c r="FO111"/>
  <c r="FM111"/>
  <c r="FK111"/>
  <c r="FG111"/>
  <c r="FE111"/>
  <c r="FC111"/>
  <c r="EY111"/>
  <c r="EW111"/>
  <c r="EU111"/>
  <c r="EQ111"/>
  <c r="EO111"/>
  <c r="EM111"/>
  <c r="EI111"/>
  <c r="D111"/>
  <c r="GE110"/>
  <c r="GC110"/>
  <c r="GA110"/>
  <c r="FW110"/>
  <c r="FU110"/>
  <c r="FS110"/>
  <c r="FO110"/>
  <c r="FM110"/>
  <c r="FK110"/>
  <c r="FG110"/>
  <c r="FE110"/>
  <c r="FC110"/>
  <c r="EY110"/>
  <c r="EW110"/>
  <c r="EU110"/>
  <c r="EQ110"/>
  <c r="EO110"/>
  <c r="EI110"/>
  <c r="D110"/>
  <c r="GE109"/>
  <c r="GC109"/>
  <c r="GA109"/>
  <c r="FW109"/>
  <c r="FU109"/>
  <c r="FS109"/>
  <c r="FM109"/>
  <c r="FK109"/>
  <c r="FG109"/>
  <c r="FE109"/>
  <c r="FC109"/>
  <c r="EY109"/>
  <c r="EW109"/>
  <c r="EU109"/>
  <c r="EQ109"/>
  <c r="EO109"/>
  <c r="EM109"/>
  <c r="EI109"/>
  <c r="D109"/>
  <c r="GE108"/>
  <c r="GC108"/>
  <c r="GA108"/>
  <c r="FW108"/>
  <c r="FU108"/>
  <c r="FS108"/>
  <c r="FO108"/>
  <c r="FM108"/>
  <c r="FK108"/>
  <c r="FG108"/>
  <c r="FE108"/>
  <c r="FC108"/>
  <c r="EY108"/>
  <c r="EW108"/>
  <c r="EU108"/>
  <c r="EQ108"/>
  <c r="EO108"/>
  <c r="EM108"/>
  <c r="EI108"/>
  <c r="D108"/>
  <c r="GE107"/>
  <c r="GC107"/>
  <c r="FW107"/>
  <c r="FU107"/>
  <c r="FO107"/>
  <c r="FM107"/>
  <c r="FK107"/>
  <c r="FG107"/>
  <c r="FE107"/>
  <c r="FC107"/>
  <c r="EY107"/>
  <c r="EU107"/>
  <c r="ES107"/>
  <c r="EQ107"/>
  <c r="EO107"/>
  <c r="EM107"/>
  <c r="EK107"/>
  <c r="EI107"/>
  <c r="D107"/>
  <c r="GE106"/>
  <c r="GC106"/>
  <c r="FW106"/>
  <c r="FU106"/>
  <c r="FO106"/>
  <c r="FM106"/>
  <c r="FK106"/>
  <c r="FG106"/>
  <c r="FE106"/>
  <c r="FC106"/>
  <c r="EY106"/>
  <c r="EW106"/>
  <c r="EU106"/>
  <c r="EQ106"/>
  <c r="EO106"/>
  <c r="EM106"/>
  <c r="EI106"/>
  <c r="D106"/>
  <c r="GE105"/>
  <c r="GC105"/>
  <c r="FW105"/>
  <c r="FU105"/>
  <c r="FO105"/>
  <c r="FM105"/>
  <c r="FK105"/>
  <c r="FG105"/>
  <c r="FE105"/>
  <c r="FC105"/>
  <c r="EY105"/>
  <c r="EW105"/>
  <c r="EU105"/>
  <c r="EQ105"/>
  <c r="EO105"/>
  <c r="EM105"/>
  <c r="EI105"/>
  <c r="D105"/>
  <c r="GC104"/>
  <c r="GA104"/>
  <c r="FW104"/>
  <c r="FU104"/>
  <c r="FS104"/>
  <c r="FO104"/>
  <c r="FM104"/>
  <c r="FK104"/>
  <c r="FG104"/>
  <c r="FE104"/>
  <c r="FC104"/>
  <c r="EY104"/>
  <c r="EW104"/>
  <c r="EU104"/>
  <c r="EQ104"/>
  <c r="EO104"/>
  <c r="EM104"/>
  <c r="EI104"/>
  <c r="D104"/>
  <c r="GE103"/>
  <c r="GC103"/>
  <c r="GA103"/>
  <c r="FW103"/>
  <c r="FU103"/>
  <c r="FS103"/>
  <c r="FO103"/>
  <c r="FM103"/>
  <c r="FK103"/>
  <c r="FG103"/>
  <c r="FE103"/>
  <c r="FC103"/>
  <c r="EY103"/>
  <c r="EW103"/>
  <c r="EU103"/>
  <c r="EQ103"/>
  <c r="EO103"/>
  <c r="EM103"/>
  <c r="EI103"/>
  <c r="GE102"/>
  <c r="GC102"/>
  <c r="GA102"/>
  <c r="FW102"/>
  <c r="FU102"/>
  <c r="FS102"/>
  <c r="FO102"/>
  <c r="FM102"/>
  <c r="FK102"/>
  <c r="FG102"/>
  <c r="FE102"/>
  <c r="FC102"/>
  <c r="EY102"/>
  <c r="EW102"/>
  <c r="EU102"/>
  <c r="EQ102"/>
  <c r="EO102"/>
  <c r="EM102"/>
  <c r="EI102"/>
  <c r="D102"/>
  <c r="GE101"/>
  <c r="GC101"/>
  <c r="GA101"/>
  <c r="FW101"/>
  <c r="FU101"/>
  <c r="FS101"/>
  <c r="FO101"/>
  <c r="FM101"/>
  <c r="FK101"/>
  <c r="FG101"/>
  <c r="FE101"/>
  <c r="FC101"/>
  <c r="EY101"/>
  <c r="EW101"/>
  <c r="EU101"/>
  <c r="EQ101"/>
  <c r="EO101"/>
  <c r="EM101"/>
  <c r="EI101"/>
  <c r="D101"/>
  <c r="GE100"/>
  <c r="GC100"/>
  <c r="GA100"/>
  <c r="FW100"/>
  <c r="FU100"/>
  <c r="FS100"/>
  <c r="FO100"/>
  <c r="FM100"/>
  <c r="FK100"/>
  <c r="FG100"/>
  <c r="FE100"/>
  <c r="FC100"/>
  <c r="EY100"/>
  <c r="EW100"/>
  <c r="EU100"/>
  <c r="EQ100"/>
  <c r="EO100"/>
  <c r="EM100"/>
  <c r="EI100"/>
  <c r="D100"/>
  <c r="GE99"/>
  <c r="GC99"/>
  <c r="GA99"/>
  <c r="FW99"/>
  <c r="FU99"/>
  <c r="FS99"/>
  <c r="FO99"/>
  <c r="FM99"/>
  <c r="FK99"/>
  <c r="FG99"/>
  <c r="FE99"/>
  <c r="FC99"/>
  <c r="EY99"/>
  <c r="EW99"/>
  <c r="EU99"/>
  <c r="EQ99"/>
  <c r="EO99"/>
  <c r="EM99"/>
  <c r="EI99"/>
  <c r="D99"/>
  <c r="GE98"/>
  <c r="GC98"/>
  <c r="GA98"/>
  <c r="FW98"/>
  <c r="FU98"/>
  <c r="FS98"/>
  <c r="FO98"/>
  <c r="FM98"/>
  <c r="FK98"/>
  <c r="FG98"/>
  <c r="FE98"/>
  <c r="FC98"/>
  <c r="EY98"/>
  <c r="EW98"/>
  <c r="EU98"/>
  <c r="EQ98"/>
  <c r="EO98"/>
  <c r="EM98"/>
  <c r="D98"/>
  <c r="GE97"/>
  <c r="GC97"/>
  <c r="GA97"/>
  <c r="FW97"/>
  <c r="FU97"/>
  <c r="FS97"/>
  <c r="FO97"/>
  <c r="FM97"/>
  <c r="FK97"/>
  <c r="FG97"/>
  <c r="FE97"/>
  <c r="FC97"/>
  <c r="EY97"/>
  <c r="EU97"/>
  <c r="EQ97"/>
  <c r="EO97"/>
  <c r="EM97"/>
  <c r="EI97"/>
  <c r="D97"/>
  <c r="GE96"/>
  <c r="GC96"/>
  <c r="GA96"/>
  <c r="FW96"/>
  <c r="FU96"/>
  <c r="FS96"/>
  <c r="FO96"/>
  <c r="FM96"/>
  <c r="FK96"/>
  <c r="FG96"/>
  <c r="FE96"/>
  <c r="FC96"/>
  <c r="EY96"/>
  <c r="EW96"/>
  <c r="EU96"/>
  <c r="EQ96"/>
  <c r="EO96"/>
  <c r="EM96"/>
  <c r="EI96"/>
  <c r="D96"/>
  <c r="GE95"/>
  <c r="GC95"/>
  <c r="GA95"/>
  <c r="FW95"/>
  <c r="FU95"/>
  <c r="FS95"/>
  <c r="FO95"/>
  <c r="FM95"/>
  <c r="FK95"/>
  <c r="FG95"/>
  <c r="FE95"/>
  <c r="FC95"/>
  <c r="EY95"/>
  <c r="EW95"/>
  <c r="EU95"/>
  <c r="EQ95"/>
  <c r="EO95"/>
  <c r="EM95"/>
  <c r="EI95"/>
  <c r="D95"/>
  <c r="GE94"/>
  <c r="GC94"/>
  <c r="GA94"/>
  <c r="FW94"/>
  <c r="FU94"/>
  <c r="FS94"/>
  <c r="FO94"/>
  <c r="FM94"/>
  <c r="FK94"/>
  <c r="FG94"/>
  <c r="FE94"/>
  <c r="FC94"/>
  <c r="EY94"/>
  <c r="EW94"/>
  <c r="EU94"/>
  <c r="EQ94"/>
  <c r="EO94"/>
  <c r="EM94"/>
  <c r="EI94"/>
  <c r="D94"/>
  <c r="GE93"/>
  <c r="GC93"/>
  <c r="GA93"/>
  <c r="FW93"/>
  <c r="FU93"/>
  <c r="FS93"/>
  <c r="FO93"/>
  <c r="FM93"/>
  <c r="FK93"/>
  <c r="FG93"/>
  <c r="FE93"/>
  <c r="FC93"/>
  <c r="EY93"/>
  <c r="EW93"/>
  <c r="EU93"/>
  <c r="EQ93"/>
  <c r="EO93"/>
  <c r="EM93"/>
  <c r="EI93"/>
  <c r="D93"/>
  <c r="GE92"/>
  <c r="GC92"/>
  <c r="GA92"/>
  <c r="FW92"/>
  <c r="FU92"/>
  <c r="FS92"/>
  <c r="FO92"/>
  <c r="FM92"/>
  <c r="FK92"/>
  <c r="FG92"/>
  <c r="FE92"/>
  <c r="FC92"/>
  <c r="EY92"/>
  <c r="EW92"/>
  <c r="EU92"/>
  <c r="EQ92"/>
  <c r="EO92"/>
  <c r="EM92"/>
  <c r="EI92"/>
  <c r="D92"/>
  <c r="GE91"/>
  <c r="GC91"/>
  <c r="GA91"/>
  <c r="FW91"/>
  <c r="FU91"/>
  <c r="FS91"/>
  <c r="FO91"/>
  <c r="FM91"/>
  <c r="FK91"/>
  <c r="FG91"/>
  <c r="FE91"/>
  <c r="FC91"/>
  <c r="EY91"/>
  <c r="EW91"/>
  <c r="EU91"/>
  <c r="EQ91"/>
  <c r="EO91"/>
  <c r="EM91"/>
  <c r="EI91"/>
  <c r="D91"/>
  <c r="GE90"/>
  <c r="GC90"/>
  <c r="GA90"/>
  <c r="FW90"/>
  <c r="FU90"/>
  <c r="FS90"/>
  <c r="FO90"/>
  <c r="FM90"/>
  <c r="FK90"/>
  <c r="FG90"/>
  <c r="FE90"/>
  <c r="FC90"/>
  <c r="EY90"/>
  <c r="EW90"/>
  <c r="EU90"/>
  <c r="EQ90"/>
  <c r="EO90"/>
  <c r="EM90"/>
  <c r="EI90"/>
  <c r="D90"/>
  <c r="GE89"/>
  <c r="GC89"/>
  <c r="GA89"/>
  <c r="FW89"/>
  <c r="FS89"/>
  <c r="FO89"/>
  <c r="FM89"/>
  <c r="FK89"/>
  <c r="FG89"/>
  <c r="FE89"/>
  <c r="FC89"/>
  <c r="EY89"/>
  <c r="EW89"/>
  <c r="EU89"/>
  <c r="EQ89"/>
  <c r="EO89"/>
  <c r="EM89"/>
  <c r="EI89"/>
  <c r="D89"/>
  <c r="GE88"/>
  <c r="GC88"/>
  <c r="GA88"/>
  <c r="FW88"/>
  <c r="FU88"/>
  <c r="FS88"/>
  <c r="FO88"/>
  <c r="FM88"/>
  <c r="FK88"/>
  <c r="FG88"/>
  <c r="FE88"/>
  <c r="FC88"/>
  <c r="EY88"/>
  <c r="EW88"/>
  <c r="EU88"/>
  <c r="EQ88"/>
  <c r="EO88"/>
  <c r="EM88"/>
  <c r="EI88"/>
  <c r="D88"/>
  <c r="GE87"/>
  <c r="GC87"/>
  <c r="GA87"/>
  <c r="FW87"/>
  <c r="FU87"/>
  <c r="FS87"/>
  <c r="FO87"/>
  <c r="FM87"/>
  <c r="FK87"/>
  <c r="FG87"/>
  <c r="FE87"/>
  <c r="FC87"/>
  <c r="EY87"/>
  <c r="EW87"/>
  <c r="EU87"/>
  <c r="EQ87"/>
  <c r="EO87"/>
  <c r="EM87"/>
  <c r="EI87"/>
  <c r="D87"/>
  <c r="GE86"/>
  <c r="GC86"/>
  <c r="GA86"/>
  <c r="FW86"/>
  <c r="FU86"/>
  <c r="FO86"/>
  <c r="FM86"/>
  <c r="FK86"/>
  <c r="FG86"/>
  <c r="FE86"/>
  <c r="FC86"/>
  <c r="EY86"/>
  <c r="EW86"/>
  <c r="EU86"/>
  <c r="EQ86"/>
  <c r="EO86"/>
  <c r="EM86"/>
  <c r="EI86"/>
  <c r="D86"/>
  <c r="GE85"/>
  <c r="GC85"/>
  <c r="GA85"/>
  <c r="FW85"/>
  <c r="FU85"/>
  <c r="FS85"/>
  <c r="FO85"/>
  <c r="FM85"/>
  <c r="FK85"/>
  <c r="FG85"/>
  <c r="FE85"/>
  <c r="FC85"/>
  <c r="EY85"/>
  <c r="EW85"/>
  <c r="EU85"/>
  <c r="EQ85"/>
  <c r="EO85"/>
  <c r="EM85"/>
  <c r="EI85"/>
  <c r="GE84"/>
  <c r="GC84"/>
  <c r="GA84"/>
  <c r="FW84"/>
  <c r="FU84"/>
  <c r="FS84"/>
  <c r="FO84"/>
  <c r="FM84"/>
  <c r="FK84"/>
  <c r="FG84"/>
  <c r="FE84"/>
  <c r="FC84"/>
  <c r="EY84"/>
  <c r="EW84"/>
  <c r="EU84"/>
  <c r="EQ84"/>
  <c r="EO84"/>
  <c r="EM84"/>
  <c r="EI84"/>
  <c r="D84"/>
  <c r="GE83"/>
  <c r="GC83"/>
  <c r="GA83"/>
  <c r="FW83"/>
  <c r="FU83"/>
  <c r="FS83"/>
  <c r="FO83"/>
  <c r="FM83"/>
  <c r="FK83"/>
  <c r="FG83"/>
  <c r="FE83"/>
  <c r="FC83"/>
  <c r="EY83"/>
  <c r="EW83"/>
  <c r="EU83"/>
  <c r="EQ83"/>
  <c r="EO83"/>
  <c r="EM83"/>
  <c r="EI83"/>
  <c r="D83"/>
  <c r="GE82"/>
  <c r="GC82"/>
  <c r="GA82"/>
  <c r="FW82"/>
  <c r="FU82"/>
  <c r="FS82"/>
  <c r="FO82"/>
  <c r="FM82"/>
  <c r="FK82"/>
  <c r="FG82"/>
  <c r="FE82"/>
  <c r="FC82"/>
  <c r="EY82"/>
  <c r="EW82"/>
  <c r="EU82"/>
  <c r="EQ82"/>
  <c r="EO82"/>
  <c r="EM82"/>
  <c r="EI82"/>
  <c r="D82"/>
  <c r="GE81"/>
  <c r="GC81"/>
  <c r="GA81"/>
  <c r="FW81"/>
  <c r="FU81"/>
  <c r="FS81"/>
  <c r="FO81"/>
  <c r="FM81"/>
  <c r="FK81"/>
  <c r="FG81"/>
  <c r="FE81"/>
  <c r="FC81"/>
  <c r="EY81"/>
  <c r="EW81"/>
  <c r="EU81"/>
  <c r="EQ81"/>
  <c r="EO81"/>
  <c r="EM81"/>
  <c r="EI81"/>
  <c r="D81"/>
  <c r="GE80"/>
  <c r="GC80"/>
  <c r="GA80"/>
  <c r="FW80"/>
  <c r="FU80"/>
  <c r="FS80"/>
  <c r="FO80"/>
  <c r="FM80"/>
  <c r="FK80"/>
  <c r="FG80"/>
  <c r="FE80"/>
  <c r="FC80"/>
  <c r="EW80"/>
  <c r="EU80"/>
  <c r="EQ80"/>
  <c r="EO80"/>
  <c r="EM80"/>
  <c r="EI80"/>
  <c r="D80"/>
  <c r="GE79"/>
  <c r="GC79"/>
  <c r="GA79"/>
  <c r="FW79"/>
  <c r="FU79"/>
  <c r="FS79"/>
  <c r="FO79"/>
  <c r="FM79"/>
  <c r="FK79"/>
  <c r="FG79"/>
  <c r="FE79"/>
  <c r="FC79"/>
  <c r="EY79"/>
  <c r="EW79"/>
  <c r="EU79"/>
  <c r="EQ79"/>
  <c r="EO79"/>
  <c r="EM79"/>
  <c r="EI79"/>
  <c r="D79"/>
  <c r="GE78"/>
  <c r="GC78"/>
  <c r="GA78"/>
  <c r="FW78"/>
  <c r="FU78"/>
  <c r="FS78"/>
  <c r="FO78"/>
  <c r="FM78"/>
  <c r="FK78"/>
  <c r="FG78"/>
  <c r="FE78"/>
  <c r="FC78"/>
  <c r="EY78"/>
  <c r="EW78"/>
  <c r="EU78"/>
  <c r="EQ78"/>
  <c r="EO78"/>
  <c r="EM78"/>
  <c r="EI78"/>
  <c r="D78"/>
  <c r="GE77"/>
  <c r="GC77"/>
  <c r="GA77"/>
  <c r="FW77"/>
  <c r="FU77"/>
  <c r="FS77"/>
  <c r="FO77"/>
  <c r="FM77"/>
  <c r="FK77"/>
  <c r="FG77"/>
  <c r="FE77"/>
  <c r="FC77"/>
  <c r="EY77"/>
  <c r="EW77"/>
  <c r="EU77"/>
  <c r="EQ77"/>
  <c r="EO77"/>
  <c r="EM77"/>
  <c r="EI77"/>
  <c r="D77"/>
  <c r="GE76"/>
  <c r="GC76"/>
  <c r="GA76"/>
  <c r="FW76"/>
  <c r="FU76"/>
  <c r="FS76"/>
  <c r="FO76"/>
  <c r="FM76"/>
  <c r="FK76"/>
  <c r="FG76"/>
  <c r="FE76"/>
  <c r="FC76"/>
  <c r="EY76"/>
  <c r="EW76"/>
  <c r="EU76"/>
  <c r="EQ76"/>
  <c r="EO76"/>
  <c r="EM76"/>
  <c r="D76"/>
  <c r="GE75"/>
  <c r="GC75"/>
  <c r="GA75"/>
  <c r="FW75"/>
  <c r="FU75"/>
  <c r="FS75"/>
  <c r="FO75"/>
  <c r="FM75"/>
  <c r="FK75"/>
  <c r="FG75"/>
  <c r="FE75"/>
  <c r="FC75"/>
  <c r="EY75"/>
  <c r="EW75"/>
  <c r="EU75"/>
  <c r="EQ75"/>
  <c r="EO75"/>
  <c r="EM75"/>
  <c r="EI75"/>
  <c r="D75"/>
  <c r="GE74"/>
  <c r="GC74"/>
  <c r="GA74"/>
  <c r="FW74"/>
  <c r="FU74"/>
  <c r="FS74"/>
  <c r="FO74"/>
  <c r="FM74"/>
  <c r="FK74"/>
  <c r="FG74"/>
  <c r="FE74"/>
  <c r="FC74"/>
  <c r="EY74"/>
  <c r="EW74"/>
  <c r="EU74"/>
  <c r="EQ74"/>
  <c r="EO74"/>
  <c r="EM74"/>
  <c r="EI74"/>
  <c r="D74"/>
  <c r="GE73"/>
  <c r="GC73"/>
  <c r="GA73"/>
  <c r="FW73"/>
  <c r="FU73"/>
  <c r="FS73"/>
  <c r="FO73"/>
  <c r="FM73"/>
  <c r="FK73"/>
  <c r="FG73"/>
  <c r="FE73"/>
  <c r="FC73"/>
  <c r="EY73"/>
  <c r="EW73"/>
  <c r="EU73"/>
  <c r="EQ73"/>
  <c r="EO73"/>
  <c r="EM73"/>
  <c r="EI73"/>
  <c r="D73"/>
  <c r="GE72"/>
  <c r="GC72"/>
  <c r="GA72"/>
  <c r="FW72"/>
  <c r="FU72"/>
  <c r="FS72"/>
  <c r="FO72"/>
  <c r="FM72"/>
  <c r="FK72"/>
  <c r="FG72"/>
  <c r="FE72"/>
  <c r="FC72"/>
  <c r="EY72"/>
  <c r="EW72"/>
  <c r="EU72"/>
  <c r="EQ72"/>
  <c r="EO72"/>
  <c r="EM72"/>
  <c r="EI72"/>
  <c r="D72"/>
  <c r="GE71"/>
  <c r="GC71"/>
  <c r="GA71"/>
  <c r="FW71"/>
  <c r="FU71"/>
  <c r="FS71"/>
  <c r="FO71"/>
  <c r="FM71"/>
  <c r="FK71"/>
  <c r="FG71"/>
  <c r="FE71"/>
  <c r="FC71"/>
  <c r="EY71"/>
  <c r="EU71"/>
  <c r="EQ71"/>
  <c r="EO71"/>
  <c r="EM71"/>
  <c r="EI71"/>
  <c r="D71"/>
  <c r="GE70"/>
  <c r="GC70"/>
  <c r="GA70"/>
  <c r="FW70"/>
  <c r="FU70"/>
  <c r="FS70"/>
  <c r="FO70"/>
  <c r="FM70"/>
  <c r="FK70"/>
  <c r="FG70"/>
  <c r="FE70"/>
  <c r="FC70"/>
  <c r="EY70"/>
  <c r="EW70"/>
  <c r="EU70"/>
  <c r="EQ70"/>
  <c r="EO70"/>
  <c r="EM70"/>
  <c r="EI70"/>
  <c r="D70"/>
  <c r="GE69"/>
  <c r="GC69"/>
  <c r="GA69"/>
  <c r="FW69"/>
  <c r="FU69"/>
  <c r="FS69"/>
  <c r="FO69"/>
  <c r="FM69"/>
  <c r="FK69"/>
  <c r="FG69"/>
  <c r="FE69"/>
  <c r="FC69"/>
  <c r="EY69"/>
  <c r="EW69"/>
  <c r="EU69"/>
  <c r="EQ69"/>
  <c r="EO69"/>
  <c r="EM69"/>
  <c r="EI69"/>
  <c r="D69"/>
  <c r="GE68"/>
  <c r="GC68"/>
  <c r="GA68"/>
  <c r="FW68"/>
  <c r="FU68"/>
  <c r="FS68"/>
  <c r="FO68"/>
  <c r="FM68"/>
  <c r="FK68"/>
  <c r="FG68"/>
  <c r="FE68"/>
  <c r="FC68"/>
  <c r="EY68"/>
  <c r="EW68"/>
  <c r="EU68"/>
  <c r="EQ68"/>
  <c r="EO68"/>
  <c r="EM68"/>
  <c r="EI68"/>
  <c r="D68"/>
  <c r="GE67"/>
  <c r="GC67"/>
  <c r="GA67"/>
  <c r="FW67"/>
  <c r="FU67"/>
  <c r="FS67"/>
  <c r="FM67"/>
  <c r="FK67"/>
  <c r="FG67"/>
  <c r="FE67"/>
  <c r="FC67"/>
  <c r="EY67"/>
  <c r="EW67"/>
  <c r="EU67"/>
  <c r="EQ67"/>
  <c r="EO67"/>
  <c r="EM67"/>
  <c r="EI67"/>
  <c r="D67"/>
  <c r="GE66"/>
  <c r="GC66"/>
  <c r="GA66"/>
  <c r="FW66"/>
  <c r="FU66"/>
  <c r="FS66"/>
  <c r="FO66"/>
  <c r="FM66"/>
  <c r="FK66"/>
  <c r="FG66"/>
  <c r="FE66"/>
  <c r="FC66"/>
  <c r="EY66"/>
  <c r="EW66"/>
  <c r="EU66"/>
  <c r="EQ66"/>
  <c r="EO66"/>
  <c r="EM66"/>
  <c r="EI66"/>
  <c r="D66"/>
  <c r="GE65"/>
  <c r="GC65"/>
  <c r="GA65"/>
  <c r="FW65"/>
  <c r="FU65"/>
  <c r="FS65"/>
  <c r="FO65"/>
  <c r="FM65"/>
  <c r="FK65"/>
  <c r="FG65"/>
  <c r="FE65"/>
  <c r="FC65"/>
  <c r="EY65"/>
  <c r="EW65"/>
  <c r="EU65"/>
  <c r="EQ65"/>
  <c r="EO65"/>
  <c r="EM65"/>
  <c r="EI65"/>
  <c r="D65"/>
  <c r="GE64"/>
  <c r="GC64"/>
  <c r="GA64"/>
  <c r="FW64"/>
  <c r="FU64"/>
  <c r="FS64"/>
  <c r="FO64"/>
  <c r="FM64"/>
  <c r="FK64"/>
  <c r="FG64"/>
  <c r="FE64"/>
  <c r="FC64"/>
  <c r="EY64"/>
  <c r="EW64"/>
  <c r="EU64"/>
  <c r="EQ64"/>
  <c r="EO64"/>
  <c r="EM64"/>
  <c r="EI64"/>
  <c r="D64"/>
  <c r="GE63"/>
  <c r="GC63"/>
  <c r="GA63"/>
  <c r="FW63"/>
  <c r="FU63"/>
  <c r="FS63"/>
  <c r="FO63"/>
  <c r="FM63"/>
  <c r="FK63"/>
  <c r="FG63"/>
  <c r="FE63"/>
  <c r="FC63"/>
  <c r="EY63"/>
  <c r="EW63"/>
  <c r="EU63"/>
  <c r="EQ63"/>
  <c r="EO63"/>
  <c r="EM63"/>
  <c r="EI63"/>
  <c r="D63"/>
  <c r="GE62"/>
  <c r="GC62"/>
  <c r="GA62"/>
  <c r="FW62"/>
  <c r="FU62"/>
  <c r="FS62"/>
  <c r="FO62"/>
  <c r="FM62"/>
  <c r="FK62"/>
  <c r="FG62"/>
  <c r="FE62"/>
  <c r="FC62"/>
  <c r="EY62"/>
  <c r="EW62"/>
  <c r="EU62"/>
  <c r="EQ62"/>
  <c r="EO62"/>
  <c r="EM62"/>
  <c r="EI62"/>
  <c r="D62"/>
  <c r="GE61"/>
  <c r="GC61"/>
  <c r="GA61"/>
  <c r="FW61"/>
  <c r="FU61"/>
  <c r="FS61"/>
  <c r="FO61"/>
  <c r="FM61"/>
  <c r="FK61"/>
  <c r="FG61"/>
  <c r="FE61"/>
  <c r="FC61"/>
  <c r="EY61"/>
  <c r="EW61"/>
  <c r="EU61"/>
  <c r="EQ61"/>
  <c r="EO61"/>
  <c r="EM61"/>
  <c r="EI61"/>
  <c r="D61"/>
  <c r="GE60"/>
  <c r="GC60"/>
  <c r="GA60"/>
  <c r="FW60"/>
  <c r="FU60"/>
  <c r="FS60"/>
  <c r="FO60"/>
  <c r="FM60"/>
  <c r="FK60"/>
  <c r="FG60"/>
  <c r="FE60"/>
  <c r="FC60"/>
  <c r="EY60"/>
  <c r="EW60"/>
  <c r="EU60"/>
  <c r="EQ60"/>
  <c r="EO60"/>
  <c r="EM60"/>
  <c r="EI60"/>
  <c r="D60"/>
  <c r="GE59"/>
  <c r="GC59"/>
  <c r="GA59"/>
  <c r="FW59"/>
  <c r="FU59"/>
  <c r="FS59"/>
  <c r="FM59"/>
  <c r="FK59"/>
  <c r="FG59"/>
  <c r="FE59"/>
  <c r="FC59"/>
  <c r="EY59"/>
  <c r="EW59"/>
  <c r="EU59"/>
  <c r="EQ59"/>
  <c r="EO59"/>
  <c r="EM59"/>
  <c r="EI59"/>
  <c r="D59"/>
  <c r="GE58"/>
  <c r="GC58"/>
  <c r="GA58"/>
  <c r="FW58"/>
  <c r="FU58"/>
  <c r="FS58"/>
  <c r="FO58"/>
  <c r="FM58"/>
  <c r="FK58"/>
  <c r="FG58"/>
  <c r="FE58"/>
  <c r="FC58"/>
  <c r="EY58"/>
  <c r="EW58"/>
  <c r="EU58"/>
  <c r="EQ58"/>
  <c r="EO58"/>
  <c r="EM58"/>
  <c r="EI58"/>
  <c r="D58"/>
  <c r="GE57"/>
  <c r="GC57"/>
  <c r="GA57"/>
  <c r="FW57"/>
  <c r="FU57"/>
  <c r="FS57"/>
  <c r="FO57"/>
  <c r="FM57"/>
  <c r="FK57"/>
  <c r="FG57"/>
  <c r="FE57"/>
  <c r="FC57"/>
  <c r="EY57"/>
  <c r="EW57"/>
  <c r="EQ57"/>
  <c r="EO57"/>
  <c r="EM57"/>
  <c r="EI57"/>
  <c r="D57"/>
  <c r="GE56"/>
  <c r="GC56"/>
  <c r="FW56"/>
  <c r="FU56"/>
  <c r="FS56"/>
  <c r="FO56"/>
  <c r="FM56"/>
  <c r="FK56"/>
  <c r="FG56"/>
  <c r="FE56"/>
  <c r="FC56"/>
  <c r="EY56"/>
  <c r="EW56"/>
  <c r="EU56"/>
  <c r="EQ56"/>
  <c r="EO56"/>
  <c r="EM56"/>
  <c r="EI56"/>
  <c r="D56"/>
  <c r="GE55"/>
  <c r="GC55"/>
  <c r="GA55"/>
  <c r="FW55"/>
  <c r="FU55"/>
  <c r="FS55"/>
  <c r="FO55"/>
  <c r="FM55"/>
  <c r="FK55"/>
  <c r="FG55"/>
  <c r="FE55"/>
  <c r="FC55"/>
  <c r="EY55"/>
  <c r="EW55"/>
  <c r="EU55"/>
  <c r="EQ55"/>
  <c r="EO55"/>
  <c r="EM55"/>
  <c r="EI55"/>
  <c r="D55"/>
  <c r="GE54"/>
  <c r="GC54"/>
  <c r="GA54"/>
  <c r="FW54"/>
  <c r="FU54"/>
  <c r="FS54"/>
  <c r="FO54"/>
  <c r="FM54"/>
  <c r="FK54"/>
  <c r="FG54"/>
  <c r="FE54"/>
  <c r="FC54"/>
  <c r="EY54"/>
  <c r="EW54"/>
  <c r="EU54"/>
  <c r="EQ54"/>
  <c r="EO54"/>
  <c r="EM54"/>
  <c r="EI54"/>
  <c r="D54"/>
  <c r="GE53"/>
  <c r="GC53"/>
  <c r="GA53"/>
  <c r="FW53"/>
  <c r="FU53"/>
  <c r="FS53"/>
  <c r="FO53"/>
  <c r="FM53"/>
  <c r="FK53"/>
  <c r="FG53"/>
  <c r="FE53"/>
  <c r="FC53"/>
  <c r="EY53"/>
  <c r="EW53"/>
  <c r="EU53"/>
  <c r="EQ53"/>
  <c r="EO53"/>
  <c r="EM53"/>
  <c r="EI53"/>
  <c r="D53"/>
  <c r="GE52"/>
  <c r="GC52"/>
  <c r="GA52"/>
  <c r="FW52"/>
  <c r="FU52"/>
  <c r="FS52"/>
  <c r="FO52"/>
  <c r="FM52"/>
  <c r="FK52"/>
  <c r="FG52"/>
  <c r="FE52"/>
  <c r="FC52"/>
  <c r="EY52"/>
  <c r="EW52"/>
  <c r="EU52"/>
  <c r="EQ52"/>
  <c r="EO52"/>
  <c r="EM52"/>
  <c r="EI52"/>
  <c r="D52"/>
  <c r="GE51"/>
  <c r="GC51"/>
  <c r="GA51"/>
  <c r="FW51"/>
  <c r="FU51"/>
  <c r="FS51"/>
  <c r="FO51"/>
  <c r="FM51"/>
  <c r="FK51"/>
  <c r="FG51"/>
  <c r="FC51"/>
  <c r="EY51"/>
  <c r="EW51"/>
  <c r="EU51"/>
  <c r="EQ51"/>
  <c r="EO51"/>
  <c r="EM51"/>
  <c r="EI51"/>
  <c r="D51"/>
  <c r="GE50"/>
  <c r="GC50"/>
  <c r="GA50"/>
  <c r="FW50"/>
  <c r="FU50"/>
  <c r="FS50"/>
  <c r="FO50"/>
  <c r="FM50"/>
  <c r="FK50"/>
  <c r="FG50"/>
  <c r="FE50"/>
  <c r="FC50"/>
  <c r="EY50"/>
  <c r="EW50"/>
  <c r="EU50"/>
  <c r="EQ50"/>
  <c r="EO50"/>
  <c r="EM50"/>
  <c r="EI50"/>
  <c r="D50"/>
  <c r="GE49"/>
  <c r="GA49"/>
  <c r="FW49"/>
  <c r="FU49"/>
  <c r="FS49"/>
  <c r="FO49"/>
  <c r="FM49"/>
  <c r="FK49"/>
  <c r="FG49"/>
  <c r="FE49"/>
  <c r="FC49"/>
  <c r="EY49"/>
  <c r="EW49"/>
  <c r="EU49"/>
  <c r="EQ49"/>
  <c r="EO49"/>
  <c r="EM49"/>
  <c r="EI49"/>
  <c r="D49"/>
  <c r="GE48"/>
  <c r="GC48"/>
  <c r="GA48"/>
  <c r="FW48"/>
  <c r="FU48"/>
  <c r="FS48"/>
  <c r="FO48"/>
  <c r="FM48"/>
  <c r="FK48"/>
  <c r="FG48"/>
  <c r="FE48"/>
  <c r="FC48"/>
  <c r="EY48"/>
  <c r="EW48"/>
  <c r="EU48"/>
  <c r="EQ48"/>
  <c r="EO48"/>
  <c r="EM48"/>
  <c r="EI48"/>
  <c r="D48"/>
  <c r="GE47"/>
  <c r="GC47"/>
  <c r="GA47"/>
  <c r="FW47"/>
  <c r="FU47"/>
  <c r="FS47"/>
  <c r="FO47"/>
  <c r="FM47"/>
  <c r="FK47"/>
  <c r="FG47"/>
  <c r="FE47"/>
  <c r="FC47"/>
  <c r="EY47"/>
  <c r="EW47"/>
  <c r="EU47"/>
  <c r="EQ47"/>
  <c r="EO47"/>
  <c r="EM47"/>
  <c r="EI47"/>
  <c r="D47"/>
  <c r="GE46"/>
  <c r="GC46"/>
  <c r="GA46"/>
  <c r="FW46"/>
  <c r="FU46"/>
  <c r="FS46"/>
  <c r="FO46"/>
  <c r="FM46"/>
  <c r="FK46"/>
  <c r="FG46"/>
  <c r="FE46"/>
  <c r="FC46"/>
  <c r="EY46"/>
  <c r="EW46"/>
  <c r="EU46"/>
  <c r="EQ46"/>
  <c r="EO46"/>
  <c r="EM46"/>
  <c r="EI46"/>
  <c r="D46"/>
  <c r="GE45"/>
  <c r="GC45"/>
  <c r="GA45"/>
  <c r="FW45"/>
  <c r="FU45"/>
  <c r="FS45"/>
  <c r="FO45"/>
  <c r="FM45"/>
  <c r="FK45"/>
  <c r="FG45"/>
  <c r="FE45"/>
  <c r="FC45"/>
  <c r="EY45"/>
  <c r="EW45"/>
  <c r="EU45"/>
  <c r="EQ45"/>
  <c r="EO45"/>
  <c r="EM45"/>
  <c r="EI45"/>
  <c r="D45"/>
  <c r="GE44"/>
  <c r="GC44"/>
  <c r="GA44"/>
  <c r="FW44"/>
  <c r="FU44"/>
  <c r="FS44"/>
  <c r="FO44"/>
  <c r="FM44"/>
  <c r="FK44"/>
  <c r="FG44"/>
  <c r="FE44"/>
  <c r="FC44"/>
  <c r="EY44"/>
  <c r="EW44"/>
  <c r="EU44"/>
  <c r="EQ44"/>
  <c r="EO44"/>
  <c r="EM44"/>
  <c r="EI44"/>
  <c r="D44"/>
  <c r="GE43"/>
  <c r="GC43"/>
  <c r="GA43"/>
  <c r="FW43"/>
  <c r="FU43"/>
  <c r="FS43"/>
  <c r="FO43"/>
  <c r="FM43"/>
  <c r="FK43"/>
  <c r="FG43"/>
  <c r="FE43"/>
  <c r="FC43"/>
  <c r="EY43"/>
  <c r="EW43"/>
  <c r="EU43"/>
  <c r="EQ43"/>
  <c r="EO43"/>
  <c r="EM43"/>
  <c r="EI43"/>
  <c r="D43"/>
  <c r="GE42"/>
  <c r="GC42"/>
  <c r="GA42"/>
  <c r="FW42"/>
  <c r="FU42"/>
  <c r="FS42"/>
  <c r="FO42"/>
  <c r="FM42"/>
  <c r="FK42"/>
  <c r="FG42"/>
  <c r="FE42"/>
  <c r="FC42"/>
  <c r="EY42"/>
  <c r="EW42"/>
  <c r="EU42"/>
  <c r="EQ42"/>
  <c r="EO42"/>
  <c r="EM42"/>
  <c r="EI42"/>
  <c r="D42"/>
  <c r="GE41"/>
  <c r="GC41"/>
  <c r="GA41"/>
  <c r="FW41"/>
  <c r="FU41"/>
  <c r="FS41"/>
  <c r="FO41"/>
  <c r="FM41"/>
  <c r="FK41"/>
  <c r="FG41"/>
  <c r="FE41"/>
  <c r="FC41"/>
  <c r="EY41"/>
  <c r="EW41"/>
  <c r="EU41"/>
  <c r="EQ41"/>
  <c r="EO41"/>
  <c r="EM41"/>
  <c r="EI41"/>
  <c r="D41"/>
  <c r="GE40"/>
  <c r="GC40"/>
  <c r="GA40"/>
  <c r="FW40"/>
  <c r="FU40"/>
  <c r="FS40"/>
  <c r="FO40"/>
  <c r="FM40"/>
  <c r="FK40"/>
  <c r="FG40"/>
  <c r="FE40"/>
  <c r="FC40"/>
  <c r="EY40"/>
  <c r="EW40"/>
  <c r="EU40"/>
  <c r="EQ40"/>
  <c r="EO40"/>
  <c r="EM40"/>
  <c r="EI40"/>
  <c r="D40"/>
  <c r="GE39"/>
  <c r="GC39"/>
  <c r="GA39"/>
  <c r="FW39"/>
  <c r="FU39"/>
  <c r="FS39"/>
  <c r="FO39"/>
  <c r="FM39"/>
  <c r="FK39"/>
  <c r="FG39"/>
  <c r="FE39"/>
  <c r="FC39"/>
  <c r="EY39"/>
  <c r="EW39"/>
  <c r="EU39"/>
  <c r="EQ39"/>
  <c r="EO39"/>
  <c r="EM39"/>
  <c r="EI39"/>
  <c r="D39"/>
  <c r="GE38"/>
  <c r="GC38"/>
  <c r="GA38"/>
  <c r="FW38"/>
  <c r="FU38"/>
  <c r="FS38"/>
  <c r="FO38"/>
  <c r="FM38"/>
  <c r="FK38"/>
  <c r="FG38"/>
  <c r="FE38"/>
  <c r="FC38"/>
  <c r="EY38"/>
  <c r="EW38"/>
  <c r="EU38"/>
  <c r="EQ38"/>
  <c r="EO38"/>
  <c r="EM38"/>
  <c r="EI38"/>
  <c r="D38"/>
  <c r="GE37"/>
  <c r="GC37"/>
  <c r="GA37"/>
  <c r="FW37"/>
  <c r="FU37"/>
  <c r="FS37"/>
  <c r="FO37"/>
  <c r="FM37"/>
  <c r="FK37"/>
  <c r="FG37"/>
  <c r="FE37"/>
  <c r="FC37"/>
  <c r="EY37"/>
  <c r="EW37"/>
  <c r="EU37"/>
  <c r="EQ37"/>
  <c r="EO37"/>
  <c r="EM37"/>
  <c r="EI37"/>
  <c r="D37"/>
  <c r="GE36"/>
  <c r="GC36"/>
  <c r="GA36"/>
  <c r="FW36"/>
  <c r="FS36"/>
  <c r="FO36"/>
  <c r="FM36"/>
  <c r="FK36"/>
  <c r="FG36"/>
  <c r="FE36"/>
  <c r="FC36"/>
  <c r="EY36"/>
  <c r="EW36"/>
  <c r="EU36"/>
  <c r="EQ36"/>
  <c r="EO36"/>
  <c r="EM36"/>
  <c r="EI36"/>
  <c r="D36"/>
  <c r="GE35"/>
  <c r="GC35"/>
  <c r="GA35"/>
  <c r="FW35"/>
  <c r="FU35"/>
  <c r="FS35"/>
  <c r="FO35"/>
  <c r="FM35"/>
  <c r="FK35"/>
  <c r="FG35"/>
  <c r="FE35"/>
  <c r="FC35"/>
  <c r="EY35"/>
  <c r="EW35"/>
  <c r="EU35"/>
  <c r="EQ35"/>
  <c r="EO35"/>
  <c r="EM35"/>
  <c r="EI35"/>
  <c r="D35"/>
  <c r="GE34"/>
  <c r="GC34"/>
  <c r="GA34"/>
  <c r="FW34"/>
  <c r="FU34"/>
  <c r="FS34"/>
  <c r="FO34"/>
  <c r="FM34"/>
  <c r="FK34"/>
  <c r="FG34"/>
  <c r="FE34"/>
  <c r="FC34"/>
  <c r="EY34"/>
  <c r="EW34"/>
  <c r="EU34"/>
  <c r="EQ34"/>
  <c r="EO34"/>
  <c r="EM34"/>
  <c r="EI34"/>
  <c r="GE33"/>
  <c r="GC33"/>
  <c r="GA33"/>
  <c r="FW33"/>
  <c r="FU33"/>
  <c r="FS33"/>
  <c r="FO33"/>
  <c r="FM33"/>
  <c r="FK33"/>
  <c r="FG33"/>
  <c r="FE33"/>
  <c r="EY33"/>
  <c r="EW33"/>
  <c r="EU33"/>
  <c r="EQ33"/>
  <c r="EO33"/>
  <c r="EM33"/>
  <c r="EI33"/>
  <c r="D33"/>
  <c r="GE32"/>
  <c r="GC32"/>
  <c r="GA32"/>
  <c r="FW32"/>
  <c r="FU32"/>
  <c r="FS32"/>
  <c r="FO32"/>
  <c r="FM32"/>
  <c r="FK32"/>
  <c r="FG32"/>
  <c r="FE32"/>
  <c r="FC32"/>
  <c r="EY32"/>
  <c r="EW32"/>
  <c r="EU32"/>
  <c r="EQ32"/>
  <c r="EO32"/>
  <c r="EM32"/>
  <c r="EI32"/>
  <c r="D32"/>
  <c r="GE31"/>
  <c r="GC31"/>
  <c r="GA31"/>
  <c r="FW31"/>
  <c r="FU31"/>
  <c r="FS31"/>
  <c r="FO31"/>
  <c r="FM31"/>
  <c r="FK31"/>
  <c r="FE31"/>
  <c r="FC31"/>
  <c r="EY31"/>
  <c r="EW31"/>
  <c r="EU31"/>
  <c r="EQ31"/>
  <c r="EO31"/>
  <c r="EM31"/>
  <c r="EI31"/>
  <c r="D31"/>
  <c r="GE30"/>
  <c r="GC30"/>
  <c r="FW30"/>
  <c r="FU30"/>
  <c r="FS30"/>
  <c r="FQ30"/>
  <c r="FO30"/>
  <c r="FM30"/>
  <c r="FI30"/>
  <c r="FG30"/>
  <c r="FE30"/>
  <c r="FA30"/>
  <c r="EY30"/>
  <c r="EW30"/>
  <c r="ES30"/>
  <c r="EQ30"/>
  <c r="EO30"/>
  <c r="EK30"/>
  <c r="EI30"/>
  <c r="D30"/>
  <c r="GE29"/>
  <c r="GC29"/>
  <c r="FY29"/>
  <c r="FW29"/>
  <c r="FU29"/>
  <c r="FQ29"/>
  <c r="FO29"/>
  <c r="FM29"/>
  <c r="FI29"/>
  <c r="FG29"/>
  <c r="FE29"/>
  <c r="FA29"/>
  <c r="EY29"/>
  <c r="EW29"/>
  <c r="ES29"/>
  <c r="EQ29"/>
  <c r="EO29"/>
  <c r="EK29"/>
  <c r="EI29"/>
  <c r="D29"/>
  <c r="GE28"/>
  <c r="GC28"/>
  <c r="FY28"/>
  <c r="FW28"/>
  <c r="FU28"/>
  <c r="FQ28"/>
  <c r="FO28"/>
  <c r="FM28"/>
  <c r="FI28"/>
  <c r="FG28"/>
  <c r="FE28"/>
  <c r="FA28"/>
  <c r="EY28"/>
  <c r="EW28"/>
  <c r="ES28"/>
  <c r="EQ28"/>
  <c r="EO28"/>
  <c r="EK28"/>
  <c r="D28"/>
  <c r="GE27"/>
  <c r="GC27"/>
  <c r="FY27"/>
  <c r="FW27"/>
  <c r="FU27"/>
  <c r="FQ27"/>
  <c r="FO27"/>
  <c r="FM27"/>
  <c r="FI27"/>
  <c r="FG27"/>
  <c r="FE27"/>
  <c r="FA27"/>
  <c r="EY27"/>
  <c r="EW27"/>
  <c r="ES27"/>
  <c r="EQ27"/>
  <c r="EO27"/>
  <c r="EK27"/>
  <c r="EI27"/>
  <c r="D27"/>
  <c r="GE26"/>
  <c r="GC26"/>
  <c r="FY26"/>
  <c r="FW26"/>
  <c r="FU26"/>
  <c r="FQ26"/>
  <c r="FO26"/>
  <c r="FM26"/>
  <c r="FI26"/>
  <c r="FG26"/>
  <c r="FE26"/>
  <c r="FA26"/>
  <c r="EY26"/>
  <c r="EW26"/>
  <c r="ES26"/>
  <c r="EQ26"/>
  <c r="EO26"/>
  <c r="EK26"/>
  <c r="EI26"/>
  <c r="D26"/>
  <c r="GE25"/>
  <c r="GC25"/>
  <c r="FY25"/>
  <c r="FW25"/>
  <c r="FU25"/>
  <c r="FQ25"/>
  <c r="FO25"/>
  <c r="FM25"/>
  <c r="FI25"/>
  <c r="FG25"/>
  <c r="FE25"/>
  <c r="FA25"/>
  <c r="EY25"/>
  <c r="EW25"/>
  <c r="ES25"/>
  <c r="EQ25"/>
  <c r="EO25"/>
  <c r="EK25"/>
  <c r="EI25"/>
  <c r="D25"/>
  <c r="GE24"/>
  <c r="GC24"/>
  <c r="FY24"/>
  <c r="FW24"/>
  <c r="FU24"/>
  <c r="FQ24"/>
  <c r="FO24"/>
  <c r="FI24"/>
  <c r="FG24"/>
  <c r="FE24"/>
  <c r="FA24"/>
  <c r="EY24"/>
  <c r="EW24"/>
  <c r="ES24"/>
  <c r="EQ24"/>
  <c r="EO24"/>
  <c r="EK24"/>
  <c r="EI24"/>
  <c r="D24"/>
  <c r="GE23"/>
  <c r="GC23"/>
  <c r="FY23"/>
  <c r="FW23"/>
  <c r="FU23"/>
  <c r="FQ23"/>
  <c r="FO23"/>
  <c r="FM23"/>
  <c r="FI23"/>
  <c r="FG23"/>
  <c r="FE23"/>
  <c r="FA23"/>
  <c r="EY23"/>
  <c r="EW23"/>
  <c r="ES23"/>
  <c r="EQ23"/>
  <c r="EO23"/>
  <c r="EK23"/>
  <c r="EI23"/>
  <c r="D23"/>
  <c r="GE22"/>
  <c r="GC22"/>
  <c r="FY22"/>
  <c r="FW22"/>
  <c r="FU22"/>
  <c r="FQ22"/>
  <c r="FO22"/>
  <c r="FM22"/>
  <c r="FI22"/>
  <c r="FG22"/>
  <c r="FE22"/>
  <c r="FA22"/>
  <c r="EY22"/>
  <c r="EW22"/>
  <c r="ES22"/>
  <c r="EQ22"/>
  <c r="EO22"/>
  <c r="EK22"/>
  <c r="EI22"/>
  <c r="D22"/>
  <c r="GE21"/>
  <c r="GC21"/>
  <c r="FY21"/>
  <c r="FW21"/>
  <c r="FU21"/>
  <c r="FQ21"/>
  <c r="FO21"/>
  <c r="FM21"/>
  <c r="FI21"/>
  <c r="FG21"/>
  <c r="FE21"/>
  <c r="FA21"/>
  <c r="EY21"/>
  <c r="EW21"/>
  <c r="ES21"/>
  <c r="EQ21"/>
  <c r="EO21"/>
  <c r="EK21"/>
  <c r="EI21"/>
  <c r="D21"/>
  <c r="GE20"/>
  <c r="GC20"/>
  <c r="FY20"/>
  <c r="FW20"/>
  <c r="FU20"/>
  <c r="FQ20"/>
  <c r="FO20"/>
  <c r="FM20"/>
  <c r="FI20"/>
  <c r="FG20"/>
  <c r="FE20"/>
  <c r="FA20"/>
  <c r="EY20"/>
  <c r="EW20"/>
  <c r="ES20"/>
  <c r="EQ20"/>
  <c r="EK20"/>
  <c r="EI20"/>
  <c r="D20"/>
  <c r="GE19"/>
  <c r="GC19"/>
  <c r="FY19"/>
  <c r="FW19"/>
  <c r="FU19"/>
  <c r="FQ19"/>
  <c r="FO19"/>
  <c r="FM19"/>
  <c r="FI19"/>
  <c r="FG19"/>
  <c r="FE19"/>
  <c r="FA19"/>
  <c r="EY19"/>
  <c r="EW19"/>
  <c r="ES19"/>
  <c r="EQ19"/>
  <c r="EO19"/>
  <c r="EK19"/>
  <c r="EI19"/>
  <c r="D19"/>
  <c r="GE18"/>
  <c r="GC18"/>
  <c r="FY18"/>
  <c r="FW18"/>
  <c r="FU18"/>
  <c r="FQ18"/>
  <c r="FO18"/>
  <c r="FM18"/>
  <c r="FI18"/>
  <c r="FG18"/>
  <c r="FE18"/>
  <c r="FA18"/>
  <c r="EY18"/>
  <c r="EW18"/>
  <c r="ES18"/>
  <c r="EQ18"/>
  <c r="EO18"/>
  <c r="EK18"/>
  <c r="EI18"/>
  <c r="D18"/>
  <c r="GE17"/>
  <c r="GC17"/>
  <c r="FY17"/>
  <c r="FW17"/>
  <c r="FU17"/>
  <c r="FQ17"/>
  <c r="FO17"/>
  <c r="FM17"/>
  <c r="FI17"/>
  <c r="FG17"/>
  <c r="FE17"/>
  <c r="FA17"/>
  <c r="EY17"/>
  <c r="EW17"/>
  <c r="ES17"/>
  <c r="EQ17"/>
  <c r="EO17"/>
  <c r="EK17"/>
  <c r="EI17"/>
  <c r="D17"/>
  <c r="GE16"/>
  <c r="GC16"/>
  <c r="FY16"/>
  <c r="FW16"/>
  <c r="FU16"/>
  <c r="FQ16"/>
  <c r="FO16"/>
  <c r="FM16"/>
  <c r="FI16"/>
  <c r="FG16"/>
  <c r="FE16"/>
  <c r="FA16"/>
  <c r="EY16"/>
  <c r="EW16"/>
  <c r="ES16"/>
  <c r="EQ16"/>
  <c r="EO16"/>
  <c r="EK16"/>
  <c r="EI16"/>
  <c r="D16"/>
  <c r="GE15"/>
  <c r="GC15"/>
  <c r="FY15"/>
  <c r="FW15"/>
  <c r="FU15"/>
  <c r="FQ15"/>
  <c r="FO15"/>
  <c r="FM15"/>
  <c r="FI15"/>
  <c r="FG15"/>
  <c r="FE15"/>
  <c r="FA15"/>
  <c r="EY15"/>
  <c r="EW15"/>
  <c r="ES15"/>
  <c r="EQ15"/>
  <c r="EO15"/>
  <c r="EK15"/>
  <c r="EI15"/>
  <c r="D15"/>
  <c r="GE14"/>
  <c r="GC14"/>
  <c r="FY14"/>
  <c r="FW14"/>
  <c r="FU14"/>
  <c r="FQ14"/>
  <c r="FO14"/>
  <c r="FM14"/>
  <c r="FI14"/>
  <c r="FG14"/>
  <c r="FE14"/>
  <c r="FA14"/>
  <c r="EY14"/>
  <c r="EW14"/>
  <c r="ES14"/>
  <c r="EQ14"/>
  <c r="EO14"/>
  <c r="EK14"/>
  <c r="EI14"/>
  <c r="D14"/>
  <c r="GE13"/>
  <c r="GC13"/>
  <c r="FY13"/>
  <c r="FW13"/>
  <c r="FU13"/>
  <c r="FQ13"/>
  <c r="FO13"/>
  <c r="FM13"/>
  <c r="FI13"/>
  <c r="FG13"/>
  <c r="FE13"/>
  <c r="FA13"/>
  <c r="EW13"/>
  <c r="ES13"/>
  <c r="EQ13"/>
  <c r="EO13"/>
  <c r="EK13"/>
  <c r="EI13"/>
  <c r="D13"/>
  <c r="GE12"/>
  <c r="GC12"/>
  <c r="FY12"/>
  <c r="FW12"/>
  <c r="FU12"/>
  <c r="FQ12"/>
  <c r="FO12"/>
  <c r="FM12"/>
  <c r="FI12"/>
  <c r="FG12"/>
  <c r="FE12"/>
  <c r="FA12"/>
  <c r="EY12"/>
  <c r="EW12"/>
  <c r="ES12"/>
  <c r="EQ12"/>
  <c r="EO12"/>
  <c r="EK12"/>
  <c r="EI12"/>
  <c r="D12"/>
  <c r="GE11"/>
  <c r="GC11"/>
  <c r="FY11"/>
  <c r="FW11"/>
  <c r="FU11"/>
  <c r="FQ11"/>
  <c r="FO11"/>
  <c r="FM11"/>
  <c r="FI11"/>
  <c r="FG11"/>
  <c r="FE11"/>
  <c r="FA11"/>
  <c r="EY11"/>
  <c r="EW11"/>
  <c r="ES11"/>
  <c r="EQ11"/>
  <c r="EO11"/>
  <c r="EK11"/>
  <c r="EI11"/>
  <c r="D11"/>
  <c r="GE10"/>
  <c r="GC10"/>
  <c r="FY10"/>
  <c r="FW10"/>
  <c r="FU10"/>
  <c r="FQ10"/>
  <c r="FO10"/>
  <c r="FM10"/>
  <c r="FI10"/>
  <c r="FG10"/>
  <c r="FE10"/>
  <c r="FA10"/>
  <c r="EY10"/>
  <c r="EW10"/>
  <c r="ES10"/>
  <c r="EQ10"/>
  <c r="EO10"/>
  <c r="EK10"/>
  <c r="EI10"/>
  <c r="D10"/>
  <c r="GE9"/>
  <c r="GC9"/>
  <c r="FY9"/>
  <c r="FW9"/>
  <c r="FU9"/>
  <c r="FQ9"/>
  <c r="FO9"/>
  <c r="FM9"/>
  <c r="FG9"/>
  <c r="FA9"/>
  <c r="EY9"/>
  <c r="EW9"/>
  <c r="ES9"/>
  <c r="EQ9"/>
  <c r="EO9"/>
  <c r="EI9"/>
  <c r="D9"/>
  <c r="GE8"/>
  <c r="GC8"/>
  <c r="FY8"/>
  <c r="FW8"/>
  <c r="FU8"/>
  <c r="FO8"/>
  <c r="FM8"/>
  <c r="FG8"/>
  <c r="FE8"/>
  <c r="FA8"/>
  <c r="EY8"/>
  <c r="EW8"/>
  <c r="ES8"/>
  <c r="EQ8"/>
  <c r="EO8"/>
  <c r="EI8"/>
  <c r="D8"/>
  <c r="GE7"/>
  <c r="GC7"/>
  <c r="FY7"/>
  <c r="FW7"/>
  <c r="FU7"/>
  <c r="FO7"/>
  <c r="FM7"/>
  <c r="FG7"/>
  <c r="FE7"/>
  <c r="FA7"/>
  <c r="EY7"/>
  <c r="EW7"/>
  <c r="ES7"/>
  <c r="EQ7"/>
  <c r="EO7"/>
  <c r="EI7"/>
  <c r="D7"/>
  <c r="GE6"/>
  <c r="GC6"/>
  <c r="FY6"/>
  <c r="FW6"/>
  <c r="FU6"/>
  <c r="FO6"/>
  <c r="FM6"/>
  <c r="FG6"/>
  <c r="FE6"/>
  <c r="FA6"/>
  <c r="EY6"/>
  <c r="EW6"/>
  <c r="ES6"/>
  <c r="EQ6"/>
  <c r="EO6"/>
  <c r="EI6"/>
  <c r="D6"/>
  <c r="GE5"/>
  <c r="FY5"/>
  <c r="FW5"/>
  <c r="FU5"/>
  <c r="FQ5"/>
  <c r="FO5"/>
  <c r="FM5"/>
  <c r="FI5"/>
  <c r="FG5"/>
  <c r="FE5"/>
  <c r="FA5"/>
  <c r="EY5"/>
  <c r="EW5"/>
  <c r="ES5"/>
  <c r="EQ5"/>
  <c r="EO5"/>
  <c r="EK5"/>
  <c r="EI5"/>
  <c r="D5"/>
  <c r="GE4"/>
  <c r="GC4"/>
  <c r="FY4"/>
  <c r="FW4"/>
  <c r="FU4"/>
  <c r="FQ4"/>
  <c r="FO4"/>
  <c r="FM4"/>
  <c r="FG4"/>
  <c r="FE4"/>
  <c r="EY4"/>
  <c r="EW4"/>
  <c r="ES4"/>
  <c r="EQ4"/>
  <c r="EK4"/>
  <c r="EI4"/>
  <c r="D4"/>
  <c r="GE3"/>
  <c r="GC3"/>
  <c r="FY3"/>
  <c r="FW3"/>
  <c r="FU3"/>
  <c r="FQ3"/>
  <c r="FO3"/>
  <c r="FM3"/>
  <c r="FG3"/>
  <c r="FE3"/>
  <c r="EY3"/>
  <c r="EW3"/>
  <c r="ES3"/>
  <c r="EQ3"/>
  <c r="EO3"/>
  <c r="EK3"/>
  <c r="EI3"/>
  <c r="GE2"/>
  <c r="GC2"/>
  <c r="FY2"/>
  <c r="FW2"/>
  <c r="FU2"/>
  <c r="FO2"/>
  <c r="FM2"/>
  <c r="FG2"/>
  <c r="FE2"/>
  <c r="FA2"/>
  <c r="EY2"/>
  <c r="EW2"/>
  <c r="ES2"/>
  <c r="EQ2"/>
  <c r="EO2"/>
  <c r="EI2"/>
  <c r="C86" i="7"/>
  <c r="C68"/>
  <c r="D68" s="1"/>
  <c r="C86" i="6"/>
  <c r="C68"/>
  <c r="F68" i="7" l="1"/>
  <c r="E68"/>
  <c r="FS105" i="10"/>
  <c r="GA105"/>
  <c r="FS106"/>
  <c r="GA106"/>
  <c r="FS107"/>
  <c r="GA107"/>
  <c r="EM2"/>
  <c r="EU2"/>
  <c r="FC2"/>
  <c r="FK2"/>
  <c r="FS2"/>
  <c r="GA2"/>
  <c r="EM3"/>
  <c r="EU3"/>
  <c r="FC3"/>
  <c r="FK3"/>
  <c r="FS3"/>
  <c r="GA3"/>
  <c r="EM4"/>
  <c r="EU4"/>
  <c r="FC4"/>
  <c r="FK4"/>
  <c r="FS4"/>
  <c r="GA4"/>
  <c r="EM5"/>
  <c r="EU5"/>
  <c r="FC5"/>
  <c r="FK5"/>
  <c r="FS5"/>
  <c r="GA5"/>
  <c r="EM6"/>
  <c r="EU6"/>
  <c r="FC6"/>
  <c r="FK6"/>
  <c r="FS6"/>
  <c r="GA6"/>
  <c r="EM7"/>
  <c r="EU7"/>
  <c r="FC7"/>
  <c r="FK7"/>
  <c r="FS7"/>
  <c r="GA7"/>
  <c r="EM8"/>
  <c r="EU8"/>
  <c r="FC8"/>
  <c r="FK8"/>
  <c r="FS8"/>
  <c r="GA8"/>
  <c r="EM9"/>
  <c r="EU9"/>
  <c r="FC9"/>
  <c r="FK9"/>
  <c r="FS9"/>
  <c r="GA9"/>
  <c r="EM10"/>
  <c r="EU10"/>
  <c r="FC10"/>
  <c r="FK10"/>
  <c r="FS10"/>
  <c r="GA10"/>
  <c r="EM11"/>
  <c r="EU11"/>
  <c r="FC11"/>
  <c r="FK11"/>
  <c r="FS11"/>
  <c r="GA11"/>
  <c r="EM12"/>
  <c r="EU12"/>
  <c r="FC12"/>
  <c r="FK12"/>
  <c r="FS12"/>
  <c r="GA12"/>
  <c r="EM13"/>
  <c r="EU13"/>
  <c r="FC13"/>
  <c r="FK13"/>
  <c r="FS13"/>
  <c r="GA13"/>
  <c r="EM14"/>
  <c r="EU14"/>
  <c r="FC14"/>
  <c r="FK14"/>
  <c r="FS14"/>
  <c r="GA14"/>
  <c r="EM15"/>
  <c r="EU15"/>
  <c r="FC15"/>
  <c r="FK15"/>
  <c r="FS15"/>
  <c r="GA15"/>
  <c r="EM16"/>
  <c r="EU16"/>
  <c r="FC16"/>
  <c r="FK16"/>
  <c r="FS16"/>
  <c r="GA16"/>
  <c r="EM17"/>
  <c r="EU17"/>
  <c r="FC17"/>
  <c r="FK17"/>
  <c r="FS17"/>
  <c r="GA17"/>
  <c r="EM18"/>
  <c r="EU18"/>
  <c r="FC18"/>
  <c r="FK18"/>
  <c r="FS18"/>
  <c r="EM19"/>
  <c r="FC19"/>
  <c r="FK19"/>
  <c r="FS19"/>
  <c r="GA19"/>
  <c r="EM20"/>
  <c r="EU20"/>
  <c r="FC20"/>
  <c r="FK20"/>
  <c r="FS20"/>
  <c r="GA20"/>
  <c r="EU21"/>
  <c r="FC21"/>
  <c r="FK21"/>
  <c r="FS21"/>
  <c r="GA21"/>
  <c r="EM22"/>
  <c r="EU22"/>
  <c r="FK22"/>
  <c r="FS22"/>
  <c r="GA22"/>
  <c r="EM23"/>
  <c r="EU23"/>
  <c r="FC23"/>
  <c r="FK23"/>
  <c r="FS23"/>
  <c r="GA23"/>
  <c r="EM24"/>
  <c r="EU24"/>
  <c r="FC24"/>
  <c r="FK24"/>
  <c r="FS24"/>
  <c r="GA24"/>
  <c r="EM25"/>
  <c r="EU25"/>
  <c r="FC25"/>
  <c r="FK25"/>
  <c r="FS25"/>
  <c r="GA25"/>
  <c r="EM26"/>
  <c r="EU26"/>
  <c r="FC26"/>
  <c r="FK26"/>
  <c r="GA26"/>
  <c r="EM27"/>
  <c r="EU27"/>
  <c r="FC27"/>
  <c r="FK27"/>
  <c r="FS27"/>
  <c r="GA27"/>
  <c r="EM28"/>
  <c r="EU28"/>
  <c r="FC28"/>
  <c r="FK28"/>
  <c r="FS28"/>
  <c r="GA28"/>
  <c r="EM29"/>
  <c r="EU29"/>
  <c r="FC29"/>
  <c r="FK29"/>
  <c r="FS29"/>
  <c r="GA29"/>
  <c r="EM30"/>
  <c r="EU30"/>
  <c r="FC30"/>
  <c r="FK30"/>
  <c r="FY30"/>
  <c r="EK31"/>
  <c r="ES31"/>
  <c r="FA31"/>
  <c r="FI31"/>
  <c r="FQ31"/>
  <c r="FY31"/>
  <c r="EK32"/>
  <c r="ES32"/>
  <c r="FA32"/>
  <c r="FI32"/>
  <c r="FQ32"/>
  <c r="FY32"/>
  <c r="EK33"/>
  <c r="ES33"/>
  <c r="FA33"/>
  <c r="FI33"/>
  <c r="FQ33"/>
  <c r="FY33"/>
  <c r="EK34"/>
  <c r="ES34"/>
  <c r="FA34"/>
  <c r="FI34"/>
  <c r="FQ34"/>
  <c r="FY34"/>
  <c r="EK35"/>
  <c r="ES35"/>
  <c r="FA35"/>
  <c r="FI35"/>
  <c r="FQ35"/>
  <c r="FY35"/>
  <c r="EK36"/>
  <c r="ES36"/>
  <c r="FA36"/>
  <c r="FI36"/>
  <c r="FQ36"/>
  <c r="FY36"/>
  <c r="EK37"/>
  <c r="ES37"/>
  <c r="FA37"/>
  <c r="FI37"/>
  <c r="FQ37"/>
  <c r="FY37"/>
  <c r="EK38"/>
  <c r="ES38"/>
  <c r="FA38"/>
  <c r="FI38"/>
  <c r="FQ38"/>
  <c r="FY38"/>
  <c r="EK39"/>
  <c r="ES39"/>
  <c r="FA39"/>
  <c r="FQ39"/>
  <c r="FY39"/>
  <c r="EK40"/>
  <c r="ES40"/>
  <c r="FA40"/>
  <c r="FI40"/>
  <c r="FQ40"/>
  <c r="FY40"/>
  <c r="EK41"/>
  <c r="ES41"/>
  <c r="FA41"/>
  <c r="FI41"/>
  <c r="FQ41"/>
  <c r="FY41"/>
  <c r="EK42"/>
  <c r="ES42"/>
  <c r="FA42"/>
  <c r="FI42"/>
  <c r="FQ42"/>
  <c r="FY42"/>
  <c r="EK43"/>
  <c r="ES43"/>
  <c r="FA43"/>
  <c r="FI43"/>
  <c r="FQ43"/>
  <c r="FY43"/>
  <c r="EK44"/>
  <c r="ES44"/>
  <c r="FA44"/>
  <c r="FI44"/>
  <c r="FQ44"/>
  <c r="FY44"/>
  <c r="EK45"/>
  <c r="ES45"/>
  <c r="FA45"/>
  <c r="FI45"/>
  <c r="FY45"/>
  <c r="EK46"/>
  <c r="FA46"/>
  <c r="FI46"/>
  <c r="FQ46"/>
  <c r="FY46"/>
  <c r="EK47"/>
  <c r="ES47"/>
  <c r="FA47"/>
  <c r="FI47"/>
  <c r="FQ47"/>
  <c r="FY47"/>
  <c r="EK48"/>
  <c r="ES48"/>
  <c r="FA48"/>
  <c r="FI48"/>
  <c r="FY48"/>
  <c r="EK49"/>
  <c r="ES49"/>
  <c r="FA49"/>
  <c r="FI49"/>
  <c r="FQ49"/>
  <c r="FY49"/>
  <c r="EK50"/>
  <c r="ES50"/>
  <c r="FA50"/>
  <c r="FI50"/>
  <c r="FQ50"/>
  <c r="EK51"/>
  <c r="ES51"/>
  <c r="FA51"/>
  <c r="FI51"/>
  <c r="FQ51"/>
  <c r="FY51"/>
  <c r="EK52"/>
  <c r="ES52"/>
  <c r="FA52"/>
  <c r="FI52"/>
  <c r="FQ52"/>
  <c r="FY52"/>
  <c r="EK53"/>
  <c r="ES53"/>
  <c r="FA53"/>
  <c r="FI53"/>
  <c r="FQ53"/>
  <c r="FY53"/>
  <c r="EK54"/>
  <c r="ES54"/>
  <c r="FA54"/>
  <c r="FI54"/>
  <c r="FQ54"/>
  <c r="FY54"/>
  <c r="EK55"/>
  <c r="ES55"/>
  <c r="FA55"/>
  <c r="FI55"/>
  <c r="FQ55"/>
  <c r="FY55"/>
  <c r="EK56"/>
  <c r="ES56"/>
  <c r="FA56"/>
  <c r="FI56"/>
  <c r="FQ56"/>
  <c r="FY56"/>
  <c r="EK57"/>
  <c r="ES57"/>
  <c r="FA57"/>
  <c r="FI57"/>
  <c r="FQ57"/>
  <c r="FY57"/>
  <c r="EK58"/>
  <c r="ES58"/>
  <c r="FA58"/>
  <c r="FI58"/>
  <c r="FQ58"/>
  <c r="FY58"/>
  <c r="EK59"/>
  <c r="ES59"/>
  <c r="FA59"/>
  <c r="FI59"/>
  <c r="FQ59"/>
  <c r="FY59"/>
  <c r="EK60"/>
  <c r="ES60"/>
  <c r="FA60"/>
  <c r="FI60"/>
  <c r="FQ60"/>
  <c r="FY60"/>
  <c r="EK61"/>
  <c r="ES61"/>
  <c r="FA61"/>
  <c r="FI61"/>
  <c r="FQ61"/>
  <c r="FY61"/>
  <c r="EK62"/>
  <c r="ES62"/>
  <c r="FA62"/>
  <c r="FI62"/>
  <c r="FQ62"/>
  <c r="FY62"/>
  <c r="EK63"/>
  <c r="ES63"/>
  <c r="FA63"/>
  <c r="FI63"/>
  <c r="FQ63"/>
  <c r="FY63"/>
  <c r="EK64"/>
  <c r="ES64"/>
  <c r="FA64"/>
  <c r="FI64"/>
  <c r="FQ64"/>
  <c r="FY64"/>
  <c r="EK65"/>
  <c r="ES65"/>
  <c r="FA65"/>
  <c r="FI65"/>
  <c r="FQ65"/>
  <c r="FY65"/>
  <c r="EK66"/>
  <c r="ES66"/>
  <c r="FA66"/>
  <c r="FI66"/>
  <c r="FQ66"/>
  <c r="FY66"/>
  <c r="EK67"/>
  <c r="ES67"/>
  <c r="FA67"/>
  <c r="FI67"/>
  <c r="FQ67"/>
  <c r="FY67"/>
  <c r="EK68"/>
  <c r="ES68"/>
  <c r="FA68"/>
  <c r="FI68"/>
  <c r="FQ68"/>
  <c r="FY68"/>
  <c r="EK69"/>
  <c r="ES69"/>
  <c r="FA69"/>
  <c r="FI69"/>
  <c r="FQ69"/>
  <c r="FY69"/>
  <c r="EK70"/>
  <c r="ES70"/>
  <c r="FA70"/>
  <c r="FI70"/>
  <c r="FQ70"/>
  <c r="FY70"/>
  <c r="EK71"/>
  <c r="ES71"/>
  <c r="FA71"/>
  <c r="FI71"/>
  <c r="FQ71"/>
  <c r="FY71"/>
  <c r="EK72"/>
  <c r="ES72"/>
  <c r="FA72"/>
  <c r="FI72"/>
  <c r="FQ72"/>
  <c r="FY72"/>
  <c r="EK73"/>
  <c r="ES73"/>
  <c r="FA73"/>
  <c r="FI73"/>
  <c r="FQ73"/>
  <c r="FY73"/>
  <c r="EK74"/>
  <c r="ES74"/>
  <c r="FA74"/>
  <c r="FI74"/>
  <c r="FQ74"/>
  <c r="FY74"/>
  <c r="EK75"/>
  <c r="ES75"/>
  <c r="FA75"/>
  <c r="FI75"/>
  <c r="FQ75"/>
  <c r="FY75"/>
  <c r="EK76"/>
  <c r="ES76"/>
  <c r="FA76"/>
  <c r="FI76"/>
  <c r="FQ76"/>
  <c r="FY76"/>
  <c r="EK77"/>
  <c r="ES77"/>
  <c r="FA77"/>
  <c r="FQ77"/>
  <c r="FY77"/>
  <c r="EK78"/>
  <c r="ES78"/>
  <c r="FA78"/>
  <c r="FI78"/>
  <c r="FQ78"/>
  <c r="FY78"/>
  <c r="EK79"/>
  <c r="ES79"/>
  <c r="FA79"/>
  <c r="FI79"/>
  <c r="FQ79"/>
  <c r="FY79"/>
  <c r="EK80"/>
  <c r="ES80"/>
  <c r="FA80"/>
  <c r="FI80"/>
  <c r="FQ80"/>
  <c r="FY80"/>
  <c r="EK81"/>
  <c r="ES81"/>
  <c r="FA81"/>
  <c r="FI81"/>
  <c r="FQ81"/>
  <c r="EK82"/>
  <c r="ES82"/>
  <c r="FA82"/>
  <c r="FI82"/>
  <c r="FQ82"/>
  <c r="FY82"/>
  <c r="EK83"/>
  <c r="ES83"/>
  <c r="FA83"/>
  <c r="FI83"/>
  <c r="FQ83"/>
  <c r="FY83"/>
  <c r="EK84"/>
  <c r="ES84"/>
  <c r="FA84"/>
  <c r="FI84"/>
  <c r="FQ84"/>
  <c r="FY84"/>
  <c r="EK85"/>
  <c r="ES85"/>
  <c r="FA85"/>
  <c r="FI85"/>
  <c r="FQ85"/>
  <c r="FY85"/>
  <c r="EK86"/>
  <c r="ES86"/>
  <c r="FA86"/>
  <c r="FI86"/>
  <c r="FQ86"/>
  <c r="FY86"/>
  <c r="EK87"/>
  <c r="ES87"/>
  <c r="FA87"/>
  <c r="FI87"/>
  <c r="FQ87"/>
  <c r="FY87"/>
  <c r="ES88"/>
  <c r="FA88"/>
  <c r="FI88"/>
  <c r="FQ88"/>
  <c r="FY88"/>
  <c r="EK89"/>
  <c r="ES89"/>
  <c r="FA89"/>
  <c r="FI89"/>
  <c r="FQ89"/>
  <c r="FY89"/>
  <c r="EK90"/>
  <c r="ES90"/>
  <c r="FA90"/>
  <c r="FI90"/>
  <c r="FQ90"/>
  <c r="FY90"/>
  <c r="EK91"/>
  <c r="ES91"/>
  <c r="FA91"/>
  <c r="EK2"/>
  <c r="FI2"/>
  <c r="FQ2"/>
  <c r="FA3"/>
  <c r="FI3"/>
  <c r="FA4"/>
  <c r="FI4"/>
  <c r="EK6"/>
  <c r="FI6"/>
  <c r="FQ6"/>
  <c r="EK7"/>
  <c r="FI7"/>
  <c r="FQ7"/>
  <c r="EK8"/>
  <c r="FI8"/>
  <c r="FQ8"/>
  <c r="EK9"/>
  <c r="FI9"/>
  <c r="FI91"/>
  <c r="FQ91"/>
  <c r="FY91"/>
  <c r="EK92"/>
  <c r="ES92"/>
  <c r="FA92"/>
  <c r="FI92"/>
  <c r="FQ92"/>
  <c r="FY92"/>
  <c r="EK93"/>
  <c r="ES93"/>
  <c r="FA93"/>
  <c r="FI93"/>
  <c r="FQ93"/>
  <c r="FY93"/>
  <c r="EK94"/>
  <c r="ES94"/>
  <c r="FI94"/>
  <c r="FQ94"/>
  <c r="FY94"/>
  <c r="EK95"/>
  <c r="ES95"/>
  <c r="FA95"/>
  <c r="FI95"/>
  <c r="FQ95"/>
  <c r="EK96"/>
  <c r="ES96"/>
  <c r="FA96"/>
  <c r="FI96"/>
  <c r="FQ96"/>
  <c r="FY96"/>
  <c r="EK97"/>
  <c r="ES97"/>
  <c r="FA97"/>
  <c r="FI97"/>
  <c r="FQ97"/>
  <c r="FY97"/>
  <c r="EK98"/>
  <c r="ES98"/>
  <c r="FA98"/>
  <c r="FI98"/>
  <c r="FQ98"/>
  <c r="FY98"/>
  <c r="EK99"/>
  <c r="ES99"/>
  <c r="FI99"/>
  <c r="FQ99"/>
  <c r="FY99"/>
  <c r="EK100"/>
  <c r="ES100"/>
  <c r="FA100"/>
  <c r="FI100"/>
  <c r="FQ100"/>
  <c r="FY100"/>
  <c r="EK101"/>
  <c r="ES101"/>
  <c r="FA101"/>
  <c r="FI101"/>
  <c r="FQ101"/>
  <c r="FY101"/>
  <c r="EK102"/>
  <c r="ES102"/>
  <c r="FA102"/>
  <c r="FI102"/>
  <c r="FQ102"/>
  <c r="FY102"/>
  <c r="EK103"/>
  <c r="ES103"/>
  <c r="FA103"/>
  <c r="FI103"/>
  <c r="FQ103"/>
  <c r="FY103"/>
  <c r="EK104"/>
  <c r="ES104"/>
  <c r="FA104"/>
  <c r="FI104"/>
  <c r="FQ104"/>
  <c r="FY104"/>
  <c r="EK105"/>
  <c r="ES105"/>
  <c r="FA105"/>
  <c r="FI105"/>
  <c r="FQ105"/>
  <c r="FY105"/>
  <c r="EK106"/>
  <c r="ES106"/>
  <c r="FA106"/>
  <c r="FI106"/>
  <c r="FQ106"/>
  <c r="FY106"/>
  <c r="FA107"/>
  <c r="FI107"/>
  <c r="FQ107"/>
  <c r="FY107"/>
  <c r="EK108"/>
  <c r="ES108"/>
  <c r="FA108"/>
  <c r="FI108"/>
  <c r="FQ108"/>
  <c r="FY108"/>
  <c r="EK109"/>
  <c r="ES109"/>
  <c r="FA109"/>
  <c r="FI109"/>
  <c r="FQ109"/>
  <c r="FY109"/>
  <c r="EK110"/>
  <c r="ES110"/>
  <c r="FA110"/>
  <c r="FI110"/>
  <c r="FQ110"/>
  <c r="FY110"/>
  <c r="EK111"/>
  <c r="ES111"/>
  <c r="FA111"/>
  <c r="FI111"/>
  <c r="FQ111"/>
  <c r="FY111"/>
  <c r="EK112"/>
  <c r="ES112"/>
  <c r="FA112"/>
  <c r="FI112"/>
  <c r="FQ112"/>
  <c r="FY112"/>
  <c r="EK113"/>
  <c r="ES113"/>
  <c r="FA113"/>
  <c r="FI113"/>
  <c r="FQ113"/>
  <c r="FY113"/>
  <c r="EK114"/>
  <c r="FA114"/>
  <c r="FI114"/>
  <c r="FQ114"/>
  <c r="FY114"/>
  <c r="EK115"/>
  <c r="ES115"/>
  <c r="FA115"/>
  <c r="FI115"/>
  <c r="FQ115"/>
  <c r="FY115"/>
  <c r="EK116"/>
  <c r="ES116"/>
  <c r="FA116"/>
  <c r="FI116"/>
  <c r="FQ116"/>
  <c r="FY116"/>
  <c r="EK117"/>
  <c r="ES117"/>
  <c r="FA117"/>
  <c r="FI117"/>
  <c r="FQ117"/>
  <c r="FY117"/>
  <c r="EK118"/>
  <c r="ES118"/>
  <c r="FA118"/>
  <c r="FI118"/>
  <c r="FQ118"/>
  <c r="FY118"/>
  <c r="EO119"/>
  <c r="EW119"/>
  <c r="FE119"/>
  <c r="FM119"/>
  <c r="FU119"/>
  <c r="GC119"/>
  <c r="EO120"/>
  <c r="EW120"/>
  <c r="FE120"/>
  <c r="FM120"/>
  <c r="FU120"/>
  <c r="GC120"/>
  <c r="EO121"/>
  <c r="EW121"/>
  <c r="FE121"/>
  <c r="FM121"/>
  <c r="FU121"/>
  <c r="GC121"/>
  <c r="EO122"/>
  <c r="EW122"/>
  <c r="FE122"/>
  <c r="FM122"/>
  <c r="FU122"/>
  <c r="GC122"/>
  <c r="EO123"/>
  <c r="EW123"/>
  <c r="FE123"/>
  <c r="FM123"/>
  <c r="FU123"/>
  <c r="GC123"/>
  <c r="EO124"/>
  <c r="EW124"/>
  <c r="FE124"/>
  <c r="FM124"/>
  <c r="FU124"/>
  <c r="GC124"/>
  <c r="EO125"/>
  <c r="EW125"/>
  <c r="FE125"/>
  <c r="FM125"/>
  <c r="FU125"/>
  <c r="GC125"/>
  <c r="EO126"/>
  <c r="EW126"/>
  <c r="FE126"/>
  <c r="FM126"/>
  <c r="FU126"/>
  <c r="GC126"/>
  <c r="FE127"/>
  <c r="FM127"/>
  <c r="FU127"/>
  <c r="GC127"/>
  <c r="EO128"/>
  <c r="EW128"/>
  <c r="FE128"/>
  <c r="FM128"/>
  <c r="FU128"/>
  <c r="GC128"/>
  <c r="EO129"/>
  <c r="EW129"/>
  <c r="FE129"/>
  <c r="FM129"/>
  <c r="FU129"/>
  <c r="GC129"/>
  <c r="EO130"/>
  <c r="EW130"/>
  <c r="FE130"/>
  <c r="FM130"/>
  <c r="FU130"/>
  <c r="GC130"/>
  <c r="EO131"/>
  <c r="EW131"/>
  <c r="FE131"/>
  <c r="FM131"/>
  <c r="FU131"/>
  <c r="GC131"/>
  <c r="EO132"/>
  <c r="EW132"/>
  <c r="FE132"/>
  <c r="FU132"/>
  <c r="GC132"/>
  <c r="EO133"/>
  <c r="EW133"/>
  <c r="FE133"/>
  <c r="FM133"/>
  <c r="FU133"/>
  <c r="GC133"/>
  <c r="EO134"/>
  <c r="EW134"/>
  <c r="FE134"/>
  <c r="FM134"/>
  <c r="FU134"/>
  <c r="GC134"/>
  <c r="EO135"/>
  <c r="EW135"/>
  <c r="FE135"/>
  <c r="FM135"/>
  <c r="FU135"/>
  <c r="GC135"/>
  <c r="EO137"/>
  <c r="EW137"/>
  <c r="FE137"/>
  <c r="FM137"/>
  <c r="FU137"/>
  <c r="GC137"/>
  <c r="EO139"/>
  <c r="EW139"/>
  <c r="FE139"/>
  <c r="FM139"/>
  <c r="FU139"/>
  <c r="GC139"/>
  <c r="EO140"/>
  <c r="EW140"/>
  <c r="FM140"/>
  <c r="FU140"/>
  <c r="GC140"/>
  <c r="EO142"/>
  <c r="EW142"/>
  <c r="FE142"/>
  <c r="FM142"/>
  <c r="FU142"/>
  <c r="GC142"/>
  <c r="EO144"/>
  <c r="EW144"/>
  <c r="FE144"/>
  <c r="FM144"/>
  <c r="FU144"/>
  <c r="GC144"/>
  <c r="EO146"/>
  <c r="EW146"/>
  <c r="FE146"/>
  <c r="FM146"/>
  <c r="FU146"/>
  <c r="GC146"/>
  <c r="EO148"/>
  <c r="EW148"/>
  <c r="FE148"/>
  <c r="FM148"/>
  <c r="FU148"/>
  <c r="GC148"/>
  <c r="FM149"/>
  <c r="FU149"/>
  <c r="GC149"/>
  <c r="EO150"/>
  <c r="EW150"/>
  <c r="FE150"/>
  <c r="FM150"/>
  <c r="FU150"/>
  <c r="GC150"/>
  <c r="EO151"/>
  <c r="EW151"/>
  <c r="FE151"/>
  <c r="FM151"/>
  <c r="FU151"/>
  <c r="GC151"/>
  <c r="EW152"/>
  <c r="FE152"/>
  <c r="FM152"/>
  <c r="FU152"/>
  <c r="GC152"/>
  <c r="EO153"/>
  <c r="EW153"/>
  <c r="FE153"/>
  <c r="FM153"/>
  <c r="FU153"/>
  <c r="GC153"/>
  <c r="EO154"/>
  <c r="EW154"/>
  <c r="FE154"/>
  <c r="FM154"/>
  <c r="FU154"/>
  <c r="GC154"/>
  <c r="EO155"/>
  <c r="EW155"/>
  <c r="FE155"/>
  <c r="FM155"/>
  <c r="FU155"/>
  <c r="GC155"/>
  <c r="EO156"/>
  <c r="EW156"/>
  <c r="FE156"/>
  <c r="FM156"/>
  <c r="FU156"/>
  <c r="GC156"/>
  <c r="EO157"/>
  <c r="EW157"/>
  <c r="FE157"/>
  <c r="FM157"/>
  <c r="FU157"/>
  <c r="GC157"/>
  <c r="EO158"/>
  <c r="EW158"/>
  <c r="FE158"/>
  <c r="FM158"/>
  <c r="FU158"/>
  <c r="GC158"/>
  <c r="EO159"/>
  <c r="EW159"/>
  <c r="FE159"/>
  <c r="FM159"/>
  <c r="FU159"/>
  <c r="GC159"/>
  <c r="EO160"/>
  <c r="EW160"/>
  <c r="FE160"/>
  <c r="FM160"/>
  <c r="FU160"/>
  <c r="GC160"/>
  <c r="EO161"/>
  <c r="EW161"/>
  <c r="FE161"/>
  <c r="FM161"/>
  <c r="FU161"/>
  <c r="GC161"/>
  <c r="EO162"/>
  <c r="EW162"/>
  <c r="FE162"/>
  <c r="FM162"/>
  <c r="FU162"/>
  <c r="GC162"/>
  <c r="EO163"/>
  <c r="EW163"/>
  <c r="FE163"/>
  <c r="FM163"/>
  <c r="FU163"/>
  <c r="GC163"/>
  <c r="EO164"/>
  <c r="EW164"/>
  <c r="FE164"/>
  <c r="FM164"/>
  <c r="FU164"/>
  <c r="GC164"/>
  <c r="EO165"/>
  <c r="EW165"/>
  <c r="FE165"/>
  <c r="FM165"/>
  <c r="FU165"/>
  <c r="GC165"/>
  <c r="EO166"/>
  <c r="EW166"/>
  <c r="FE166"/>
  <c r="FM166"/>
  <c r="FU166"/>
  <c r="GC166"/>
  <c r="EO167"/>
  <c r="EW167"/>
  <c r="FE167"/>
  <c r="FM167"/>
  <c r="FU167"/>
  <c r="GC167"/>
  <c r="EO168"/>
  <c r="EW168"/>
  <c r="FE168"/>
  <c r="FM168"/>
  <c r="FU168"/>
  <c r="GC168"/>
  <c r="EO169"/>
  <c r="EW169"/>
  <c r="FE169"/>
  <c r="FM169"/>
  <c r="FU169"/>
  <c r="GC169"/>
  <c r="EO170"/>
  <c r="EW170"/>
  <c r="FE170"/>
  <c r="FM170"/>
  <c r="FU170"/>
  <c r="GC170"/>
  <c r="EO171"/>
  <c r="EW171"/>
  <c r="FE171"/>
  <c r="FM171"/>
  <c r="FU171"/>
  <c r="GC171"/>
  <c r="EO172"/>
  <c r="EW172"/>
  <c r="FE172"/>
  <c r="FM172"/>
  <c r="FU172"/>
  <c r="GC172"/>
  <c r="EO174"/>
  <c r="EW174"/>
  <c r="FE174"/>
  <c r="FM174"/>
  <c r="FU174"/>
  <c r="GC174"/>
  <c r="EO176"/>
  <c r="EW176"/>
  <c r="FE176"/>
  <c r="FM176"/>
  <c r="FU176"/>
  <c r="GC176"/>
  <c r="EO178"/>
  <c r="EW178"/>
  <c r="FE178"/>
  <c r="FM178"/>
  <c r="FU178"/>
  <c r="GC178"/>
  <c r="EW179"/>
  <c r="FE179"/>
  <c r="FM179"/>
  <c r="FU179"/>
  <c r="GC179"/>
  <c r="EO180"/>
  <c r="EW180"/>
  <c r="FE180"/>
  <c r="FM180"/>
  <c r="FU180"/>
  <c r="GC180"/>
  <c r="EW181"/>
  <c r="FE181"/>
  <c r="FM181"/>
  <c r="FU181"/>
  <c r="GC181"/>
  <c r="GC182"/>
  <c r="EO183"/>
  <c r="EW183"/>
  <c r="FE183"/>
  <c r="FM183"/>
  <c r="FU183"/>
  <c r="GC183"/>
  <c r="EO184"/>
  <c r="EW184"/>
  <c r="FE184"/>
  <c r="FM184"/>
  <c r="FU184"/>
  <c r="GC184"/>
  <c r="EO185"/>
  <c r="EW185"/>
  <c r="FE185"/>
  <c r="FM185"/>
  <c r="FU185"/>
  <c r="GC185"/>
  <c r="EO186"/>
  <c r="EW186"/>
  <c r="FE186"/>
  <c r="FM186"/>
  <c r="FU186"/>
  <c r="GC186"/>
  <c r="EO187"/>
  <c r="EW187"/>
  <c r="FE187"/>
  <c r="FM187"/>
  <c r="FU187"/>
  <c r="GC187"/>
  <c r="EO188"/>
  <c r="EW188"/>
  <c r="FE188"/>
  <c r="FM188"/>
  <c r="FU188"/>
  <c r="GC188"/>
  <c r="EO189"/>
  <c r="EW189"/>
  <c r="FE189"/>
  <c r="FM189"/>
  <c r="FU189"/>
  <c r="GC189"/>
  <c r="EO190"/>
  <c r="EW190"/>
  <c r="FE190"/>
  <c r="FM190"/>
  <c r="FU190"/>
  <c r="GC190"/>
  <c r="EO191"/>
  <c r="EW191"/>
  <c r="FE191"/>
  <c r="FM191"/>
  <c r="FU191"/>
  <c r="GC191"/>
  <c r="EO192"/>
  <c r="EW192"/>
  <c r="FE192"/>
  <c r="FM192"/>
  <c r="FU192"/>
  <c r="GC192"/>
  <c r="EO193"/>
  <c r="EW193"/>
  <c r="FE193"/>
  <c r="FM193"/>
  <c r="FU193"/>
  <c r="GC193"/>
  <c r="EO194"/>
  <c r="EW194"/>
  <c r="FE194"/>
  <c r="FM194"/>
  <c r="FU194"/>
  <c r="GC194"/>
  <c r="EW198"/>
  <c r="FE198"/>
  <c r="FM198"/>
  <c r="FU198"/>
  <c r="GC198"/>
  <c r="EO199"/>
  <c r="EW199"/>
  <c r="FE199"/>
  <c r="FM199"/>
  <c r="FU199"/>
  <c r="GC199"/>
  <c r="EO200"/>
  <c r="EW200"/>
  <c r="FE200"/>
  <c r="FM200"/>
  <c r="FU200"/>
  <c r="GC200"/>
  <c r="EO201"/>
  <c r="EW201"/>
  <c r="FE201"/>
  <c r="FM201"/>
  <c r="FU201"/>
  <c r="GC201"/>
  <c r="EO202"/>
  <c r="EW202"/>
  <c r="FE202"/>
  <c r="FM202"/>
  <c r="FU202"/>
  <c r="GC202"/>
  <c r="EO203"/>
  <c r="EW203"/>
  <c r="FE203"/>
  <c r="FM203"/>
  <c r="FU203"/>
  <c r="GC203"/>
  <c r="EO204"/>
  <c r="EW204"/>
  <c r="FU206"/>
  <c r="GC206"/>
  <c r="EO207"/>
  <c r="EW207"/>
  <c r="FE207"/>
  <c r="FM207"/>
  <c r="FU207"/>
  <c r="GC207"/>
  <c r="EO208"/>
  <c r="EW208"/>
  <c r="FE208"/>
  <c r="FM208"/>
  <c r="FU208"/>
  <c r="GC208"/>
  <c r="EO209"/>
  <c r="EW209"/>
  <c r="FE209"/>
  <c r="FM209"/>
  <c r="FU209"/>
  <c r="GC209"/>
  <c r="EO210"/>
  <c r="EW210"/>
  <c r="FE210"/>
  <c r="FM210"/>
  <c r="FU210"/>
  <c r="GC210"/>
  <c r="EO211"/>
  <c r="EW211"/>
  <c r="FE211"/>
  <c r="FM211"/>
  <c r="FU211"/>
  <c r="GC211"/>
  <c r="EO212"/>
  <c r="EW212"/>
  <c r="FE212"/>
  <c r="GC213"/>
  <c r="EO214"/>
  <c r="EW214"/>
  <c r="FE214"/>
  <c r="FM214"/>
  <c r="FU214"/>
  <c r="GC214"/>
  <c r="EO215"/>
  <c r="EW215"/>
  <c r="FE215"/>
  <c r="FE216"/>
  <c r="FM216"/>
  <c r="FU216"/>
  <c r="GC216"/>
  <c r="FM220"/>
  <c r="FU220"/>
  <c r="GC220"/>
  <c r="EO221"/>
  <c r="EW221"/>
  <c r="FE221"/>
  <c r="FM221"/>
  <c r="FU221"/>
  <c r="GC221"/>
  <c r="EO222"/>
  <c r="EW222"/>
  <c r="FE222"/>
  <c r="FM222"/>
  <c r="FU222"/>
  <c r="GC222"/>
  <c r="EO223"/>
  <c r="EW223"/>
  <c r="FE223"/>
  <c r="FM223"/>
  <c r="FU223"/>
  <c r="GC223"/>
  <c r="EO224"/>
  <c r="EW224"/>
  <c r="FE224"/>
  <c r="FM224"/>
  <c r="FU224"/>
  <c r="GC224"/>
  <c r="EO225"/>
  <c r="EW225"/>
  <c r="FE226"/>
  <c r="FM226"/>
  <c r="FU226"/>
  <c r="GC226"/>
  <c r="EO227"/>
  <c r="FU228"/>
  <c r="GC228"/>
  <c r="EO229"/>
  <c r="EW229"/>
  <c r="FE229"/>
  <c r="FM229"/>
  <c r="FU229"/>
  <c r="GC229"/>
  <c r="EO230"/>
  <c r="EW230"/>
  <c r="FE230"/>
  <c r="FM230"/>
  <c r="FU230"/>
  <c r="GC230"/>
  <c r="EO231"/>
  <c r="EW231"/>
  <c r="FE231"/>
  <c r="FM231"/>
  <c r="FU231"/>
  <c r="GC231"/>
  <c r="EO232"/>
  <c r="EW232"/>
  <c r="FE232"/>
  <c r="FM232"/>
  <c r="FU232"/>
  <c r="GC232"/>
  <c r="EO233"/>
  <c r="EW233"/>
  <c r="FE233"/>
  <c r="FM233"/>
  <c r="FU233"/>
  <c r="GC233"/>
  <c r="EO234"/>
  <c r="EW234"/>
  <c r="FE234"/>
  <c r="FM234"/>
  <c r="FU234"/>
  <c r="FE235"/>
  <c r="FM235"/>
  <c r="FU235"/>
  <c r="GC235"/>
  <c r="EO236"/>
  <c r="EW236"/>
  <c r="FE236"/>
  <c r="FM236"/>
  <c r="FU236"/>
  <c r="GC236"/>
  <c r="EO237"/>
  <c r="EW237"/>
  <c r="FE237"/>
  <c r="FM237"/>
  <c r="FU237"/>
  <c r="GC237"/>
  <c r="EO238"/>
  <c r="EW238"/>
  <c r="FE238"/>
  <c r="EO240"/>
  <c r="EW240"/>
  <c r="FE240"/>
  <c r="FM240"/>
  <c r="FU240"/>
  <c r="GC240"/>
  <c r="EO241"/>
  <c r="EW241"/>
  <c r="FE241"/>
  <c r="FM241"/>
  <c r="FU241"/>
  <c r="GC241"/>
  <c r="EO242"/>
  <c r="EW242"/>
  <c r="FE242"/>
  <c r="FM242"/>
  <c r="FU242"/>
  <c r="GC242"/>
  <c r="FM243"/>
  <c r="FU243"/>
  <c r="GC243"/>
  <c r="EO252"/>
  <c r="EW252"/>
  <c r="FE252"/>
  <c r="FM252"/>
  <c r="FU252"/>
  <c r="GC252"/>
  <c r="EO253"/>
  <c r="EW253"/>
  <c r="FE253"/>
  <c r="FM253"/>
  <c r="FU253"/>
  <c r="GC253"/>
  <c r="EO254"/>
  <c r="EW254"/>
  <c r="EW256"/>
  <c r="FE256"/>
  <c r="FM256"/>
  <c r="FU256"/>
  <c r="GC256"/>
  <c r="EO257"/>
  <c r="EW257"/>
  <c r="FE257"/>
  <c r="EO259"/>
  <c r="EW259"/>
  <c r="FE259"/>
  <c r="K9" i="3"/>
  <c r="B11" s="1"/>
  <c r="C11" s="1"/>
  <c r="B22" i="7"/>
  <c r="C22" s="1"/>
  <c r="B49"/>
  <c r="C49" s="1"/>
  <c r="B73"/>
  <c r="C73" s="1"/>
  <c r="B94"/>
  <c r="C94" s="1"/>
  <c r="K21" i="3"/>
  <c r="B22" s="1"/>
  <c r="C22" s="1"/>
  <c r="K45"/>
  <c r="B46" s="1"/>
  <c r="C46" s="1"/>
  <c r="B16" i="7"/>
  <c r="C16" s="1"/>
  <c r="B43"/>
  <c r="C43" s="1"/>
  <c r="B67"/>
  <c r="C67" s="1"/>
  <c r="B88"/>
  <c r="C88" s="1"/>
  <c r="K39" i="3"/>
  <c r="B40" s="1"/>
  <c r="C40" s="1"/>
  <c r="B10" i="7"/>
  <c r="C10" s="1"/>
  <c r="B37"/>
  <c r="C37" s="1"/>
  <c r="B61"/>
  <c r="C61" s="1"/>
  <c r="B85"/>
  <c r="C85" s="1"/>
  <c r="B10" i="5"/>
  <c r="C10" s="1"/>
  <c r="B34"/>
  <c r="C34" s="1"/>
  <c r="B6" i="7"/>
  <c r="C6" s="1"/>
  <c r="B30"/>
  <c r="C30" s="1"/>
  <c r="B55"/>
  <c r="C55" s="1"/>
  <c r="B79"/>
  <c r="C79" s="1"/>
  <c r="K3" i="3"/>
  <c r="B3" s="1"/>
  <c r="C3" s="1"/>
  <c r="K27"/>
  <c r="B28" s="1"/>
  <c r="C28" s="1"/>
  <c r="K51"/>
  <c r="B52" s="1"/>
  <c r="C52" s="1"/>
  <c r="B24" i="7"/>
  <c r="C24" s="1"/>
  <c r="K33" i="3"/>
  <c r="B34" s="1"/>
  <c r="C34" s="1"/>
  <c r="K21" i="6"/>
  <c r="B23" s="1"/>
  <c r="C23" s="1"/>
  <c r="K39"/>
  <c r="B43" s="1"/>
  <c r="C43" s="1"/>
  <c r="F43" s="1"/>
  <c r="P6" i="9" s="1"/>
  <c r="K63" i="6"/>
  <c r="B66" s="1"/>
  <c r="C66" s="1"/>
  <c r="K69"/>
  <c r="B71" s="1"/>
  <c r="C71" s="1"/>
  <c r="K93"/>
  <c r="B94" s="1"/>
  <c r="C94" s="1"/>
  <c r="K15"/>
  <c r="B17" s="1"/>
  <c r="C17" s="1"/>
  <c r="K33"/>
  <c r="B37" s="1"/>
  <c r="C37" s="1"/>
  <c r="K57"/>
  <c r="K87"/>
  <c r="B88" s="1"/>
  <c r="C88" s="1"/>
  <c r="B24" i="5"/>
  <c r="C24" s="1"/>
  <c r="K9" i="6"/>
  <c r="B11" s="1"/>
  <c r="C11" s="1"/>
  <c r="K51"/>
  <c r="B55" s="1"/>
  <c r="C55" s="1"/>
  <c r="K81"/>
  <c r="B84" s="1"/>
  <c r="C84" s="1"/>
  <c r="K3"/>
  <c r="B5" s="1"/>
  <c r="C5" s="1"/>
  <c r="K27"/>
  <c r="B29" s="1"/>
  <c r="C29" s="1"/>
  <c r="K45"/>
  <c r="B49" s="1"/>
  <c r="C49" s="1"/>
  <c r="H49" s="1"/>
  <c r="K75"/>
  <c r="B77" s="1"/>
  <c r="C77" s="1"/>
  <c r="K15" i="3"/>
  <c r="B19" s="1"/>
  <c r="C19" s="1"/>
  <c r="E48" i="11"/>
  <c r="F48"/>
  <c r="E52"/>
  <c r="F52"/>
  <c r="E56"/>
  <c r="F56"/>
  <c r="E60"/>
  <c r="F60"/>
  <c r="F47"/>
  <c r="E47"/>
  <c r="F51"/>
  <c r="E51"/>
  <c r="F55"/>
  <c r="E55"/>
  <c r="F59"/>
  <c r="E59"/>
  <c r="E46"/>
  <c r="F46"/>
  <c r="E50"/>
  <c r="F50"/>
  <c r="E54"/>
  <c r="F54"/>
  <c r="E58"/>
  <c r="F58"/>
  <c r="E62"/>
  <c r="F62"/>
  <c r="F45"/>
  <c r="E45"/>
  <c r="F49"/>
  <c r="E49"/>
  <c r="F53"/>
  <c r="E53"/>
  <c r="F57"/>
  <c r="E57"/>
  <c r="F61"/>
  <c r="E61"/>
  <c r="B17" i="5"/>
  <c r="C17" s="1"/>
  <c r="FC22" i="10"/>
  <c r="FS26"/>
  <c r="GA30"/>
  <c r="EY13"/>
  <c r="EU19"/>
  <c r="GC5"/>
  <c r="FE9"/>
  <c r="EM21"/>
  <c r="FG31"/>
  <c r="FC33"/>
  <c r="EK150"/>
  <c r="EK168"/>
  <c r="EK164"/>
  <c r="ES194"/>
  <c r="ES114"/>
  <c r="ES46"/>
  <c r="FE220"/>
  <c r="FE140"/>
  <c r="FI243"/>
  <c r="FI77"/>
  <c r="FM238"/>
  <c r="FM132"/>
  <c r="FQ48"/>
  <c r="FQ45"/>
  <c r="FU182"/>
  <c r="FU36"/>
  <c r="FU89"/>
  <c r="FY234"/>
  <c r="FY81"/>
  <c r="FY50"/>
  <c r="GC258"/>
  <c r="GC49"/>
  <c r="EO152"/>
  <c r="EW97"/>
  <c r="FA226"/>
  <c r="EO4"/>
  <c r="GA18"/>
  <c r="EO20"/>
  <c r="FM24"/>
  <c r="EW71"/>
  <c r="EI124"/>
  <c r="EI98"/>
  <c r="EQ198"/>
  <c r="EQ154"/>
  <c r="EY216"/>
  <c r="EY204"/>
  <c r="FK257"/>
  <c r="FK263"/>
  <c r="FK212"/>
  <c r="FO67"/>
  <c r="FO59"/>
  <c r="FS228"/>
  <c r="FS206"/>
  <c r="FW273"/>
  <c r="FW126"/>
  <c r="GA276"/>
  <c r="GA272"/>
  <c r="GA56"/>
  <c r="EM110"/>
  <c r="FG160"/>
  <c r="GE196"/>
  <c r="FI39"/>
  <c r="EU57"/>
  <c r="EI28"/>
  <c r="FE51"/>
  <c r="FS86"/>
  <c r="GE104"/>
  <c r="EK88"/>
  <c r="FO109"/>
  <c r="EU115"/>
  <c r="EI76"/>
  <c r="EY80"/>
  <c r="FA94"/>
  <c r="FY95"/>
  <c r="FA99"/>
  <c r="EW107"/>
  <c r="FG153"/>
  <c r="EQ179"/>
  <c r="EI197"/>
  <c r="EW127"/>
  <c r="FW135"/>
  <c r="FO139"/>
  <c r="FI149"/>
  <c r="FC151"/>
  <c r="EO181"/>
  <c r="EU131"/>
  <c r="FW165"/>
  <c r="GC239"/>
  <c r="FU213"/>
  <c r="FA225"/>
  <c r="FK215"/>
  <c r="ES227"/>
  <c r="EM217"/>
  <c r="FC235"/>
  <c r="EY254"/>
  <c r="EQ264"/>
  <c r="FQ277"/>
  <c r="FQ278"/>
  <c r="EM252"/>
  <c r="GE242"/>
  <c r="ES256"/>
  <c r="B45" i="7"/>
  <c r="C45" s="1"/>
  <c r="B46"/>
  <c r="C46" s="1"/>
  <c r="B57"/>
  <c r="C57" s="1"/>
  <c r="B58"/>
  <c r="C58" s="1"/>
  <c r="B89"/>
  <c r="C89" s="1"/>
  <c r="B47"/>
  <c r="C47" s="1"/>
  <c r="B59"/>
  <c r="C59" s="1"/>
  <c r="B83"/>
  <c r="C83" s="1"/>
  <c r="B90"/>
  <c r="C90" s="1"/>
  <c r="B48"/>
  <c r="C48" s="1"/>
  <c r="B60"/>
  <c r="C60" s="1"/>
  <c r="B91"/>
  <c r="C91" s="1"/>
  <c r="B87"/>
  <c r="C87" s="1"/>
  <c r="B39" i="6"/>
  <c r="C39" s="1"/>
  <c r="B40"/>
  <c r="C40" s="1"/>
  <c r="B41"/>
  <c r="C41" s="1"/>
  <c r="B59"/>
  <c r="C59" s="1"/>
  <c r="B42"/>
  <c r="C42" s="1"/>
  <c r="B60"/>
  <c r="C60" s="1"/>
  <c r="B29" i="5"/>
  <c r="C29" s="1"/>
  <c r="B30"/>
  <c r="C30" s="1"/>
  <c r="B35" i="3"/>
  <c r="C35" s="1"/>
  <c r="B47"/>
  <c r="C47" s="1"/>
  <c r="B5"/>
  <c r="C5" s="1"/>
  <c r="B36"/>
  <c r="C36" s="1"/>
  <c r="B48"/>
  <c r="C48" s="1"/>
  <c r="B6"/>
  <c r="C6" s="1"/>
  <c r="B37"/>
  <c r="C37" s="1"/>
  <c r="B49"/>
  <c r="C49" s="1"/>
  <c r="B33"/>
  <c r="C33" s="1"/>
  <c r="B45"/>
  <c r="C45" s="1"/>
  <c r="H29" i="5" l="1"/>
  <c r="G29"/>
  <c r="F29"/>
  <c r="E29"/>
  <c r="D29"/>
  <c r="H30"/>
  <c r="G30"/>
  <c r="F30"/>
  <c r="E30"/>
  <c r="D30"/>
  <c r="H24"/>
  <c r="G24"/>
  <c r="F24"/>
  <c r="E24"/>
  <c r="D24"/>
  <c r="H94" i="7"/>
  <c r="G94"/>
  <c r="F94"/>
  <c r="E94"/>
  <c r="D94"/>
  <c r="H17" i="5"/>
  <c r="G17"/>
  <c r="F17"/>
  <c r="E17"/>
  <c r="D17"/>
  <c r="H89" i="7"/>
  <c r="G89"/>
  <c r="F89"/>
  <c r="E89"/>
  <c r="D89"/>
  <c r="H90"/>
  <c r="G90"/>
  <c r="F90"/>
  <c r="E90"/>
  <c r="D90"/>
  <c r="F87"/>
  <c r="G87"/>
  <c r="H87"/>
  <c r="D87"/>
  <c r="E87"/>
  <c r="H91"/>
  <c r="G91"/>
  <c r="F91"/>
  <c r="E91"/>
  <c r="D91"/>
  <c r="H88"/>
  <c r="G88"/>
  <c r="F88"/>
  <c r="E88"/>
  <c r="D88"/>
  <c r="H85"/>
  <c r="G85"/>
  <c r="F85"/>
  <c r="E85"/>
  <c r="D85"/>
  <c r="H83"/>
  <c r="G83"/>
  <c r="F83"/>
  <c r="E83"/>
  <c r="D83"/>
  <c r="H79"/>
  <c r="G79"/>
  <c r="F79"/>
  <c r="E79"/>
  <c r="D79"/>
  <c r="H73"/>
  <c r="G73"/>
  <c r="F73"/>
  <c r="E73"/>
  <c r="D73"/>
  <c r="H67"/>
  <c r="G67"/>
  <c r="F67"/>
  <c r="E67"/>
  <c r="D67"/>
  <c r="E57"/>
  <c r="F57"/>
  <c r="G57"/>
  <c r="H57"/>
  <c r="D57"/>
  <c r="H58"/>
  <c r="G58"/>
  <c r="F58"/>
  <c r="E58"/>
  <c r="D58"/>
  <c r="H61"/>
  <c r="G61"/>
  <c r="F61"/>
  <c r="E61"/>
  <c r="D61"/>
  <c r="H60"/>
  <c r="G60"/>
  <c r="F60"/>
  <c r="E60"/>
  <c r="D60"/>
  <c r="H59"/>
  <c r="G59"/>
  <c r="F59"/>
  <c r="E59"/>
  <c r="D59"/>
  <c r="H55"/>
  <c r="G55"/>
  <c r="F55"/>
  <c r="E55"/>
  <c r="D55"/>
  <c r="H46"/>
  <c r="G46"/>
  <c r="F46"/>
  <c r="E46"/>
  <c r="D46"/>
  <c r="H49"/>
  <c r="G49"/>
  <c r="F49"/>
  <c r="E49"/>
  <c r="D49"/>
  <c r="H47"/>
  <c r="G47"/>
  <c r="F47"/>
  <c r="E47"/>
  <c r="D47"/>
  <c r="E45"/>
  <c r="F45"/>
  <c r="G45"/>
  <c r="H45"/>
  <c r="D45"/>
  <c r="H48"/>
  <c r="G48"/>
  <c r="F48"/>
  <c r="E48"/>
  <c r="D48"/>
  <c r="H43"/>
  <c r="G43"/>
  <c r="F43"/>
  <c r="E43"/>
  <c r="D43"/>
  <c r="H37"/>
  <c r="G37"/>
  <c r="F37"/>
  <c r="E37"/>
  <c r="D37"/>
  <c r="H30"/>
  <c r="G30"/>
  <c r="F30"/>
  <c r="E30"/>
  <c r="D30"/>
  <c r="H22"/>
  <c r="G22"/>
  <c r="F22"/>
  <c r="E22"/>
  <c r="D22"/>
  <c r="H24"/>
  <c r="G24"/>
  <c r="F24"/>
  <c r="E24"/>
  <c r="D24"/>
  <c r="H16"/>
  <c r="G16"/>
  <c r="F16"/>
  <c r="E16"/>
  <c r="D16"/>
  <c r="H10"/>
  <c r="G10"/>
  <c r="F10"/>
  <c r="E10"/>
  <c r="D10"/>
  <c r="H6"/>
  <c r="G6"/>
  <c r="F6"/>
  <c r="E6"/>
  <c r="D6"/>
  <c r="H34" i="5"/>
  <c r="G34"/>
  <c r="F34"/>
  <c r="E34"/>
  <c r="D34"/>
  <c r="H10"/>
  <c r="G10"/>
  <c r="F10"/>
  <c r="E10"/>
  <c r="D10"/>
  <c r="B75" i="7"/>
  <c r="C75" s="1"/>
  <c r="B34"/>
  <c r="C34" s="1"/>
  <c r="B72"/>
  <c r="C72" s="1"/>
  <c r="B84"/>
  <c r="C84" s="1"/>
  <c r="B17"/>
  <c r="C17" s="1"/>
  <c r="B81"/>
  <c r="C81" s="1"/>
  <c r="B70"/>
  <c r="C70" s="1"/>
  <c r="B71"/>
  <c r="C71" s="1"/>
  <c r="B82"/>
  <c r="C82" s="1"/>
  <c r="B69"/>
  <c r="C69" s="1"/>
  <c r="B17" i="3"/>
  <c r="C17" s="1"/>
  <c r="B34" i="6"/>
  <c r="C34" s="1"/>
  <c r="G34" s="1"/>
  <c r="B36" i="7"/>
  <c r="C36" s="1"/>
  <c r="B37" i="5"/>
  <c r="C37" s="1"/>
  <c r="B97" i="6"/>
  <c r="C97" s="1"/>
  <c r="B63" i="7"/>
  <c r="C63" s="1"/>
  <c r="B95" i="6"/>
  <c r="C95" s="1"/>
  <c r="B66" i="7"/>
  <c r="C66" s="1"/>
  <c r="B65"/>
  <c r="C65" s="1"/>
  <c r="B83" i="6"/>
  <c r="C83" s="1"/>
  <c r="E83" s="1"/>
  <c r="B23" i="5"/>
  <c r="C23" s="1"/>
  <c r="B72" i="6"/>
  <c r="C72" s="1"/>
  <c r="B30" i="3"/>
  <c r="C30" s="1"/>
  <c r="E30" s="1"/>
  <c r="B29"/>
  <c r="C29" s="1"/>
  <c r="E29" s="1"/>
  <c r="B29" i="7"/>
  <c r="C29" s="1"/>
  <c r="B46" i="6"/>
  <c r="C46" s="1"/>
  <c r="D46" s="1"/>
  <c r="B23" i="3"/>
  <c r="C23" s="1"/>
  <c r="F23" s="1"/>
  <c r="B35" i="5"/>
  <c r="C35" s="1"/>
  <c r="B48" i="6"/>
  <c r="C48" s="1"/>
  <c r="H48" s="1"/>
  <c r="B78" i="7"/>
  <c r="C78" s="1"/>
  <c r="B35"/>
  <c r="C35" s="1"/>
  <c r="B76"/>
  <c r="C76" s="1"/>
  <c r="B64"/>
  <c r="C64" s="1"/>
  <c r="B25" i="3"/>
  <c r="C25" s="1"/>
  <c r="H25" s="1"/>
  <c r="B12" i="5"/>
  <c r="C12" s="1"/>
  <c r="B24" i="3"/>
  <c r="C24" s="1"/>
  <c r="F24" s="1"/>
  <c r="B33" i="5"/>
  <c r="C33" s="1"/>
  <c r="B36"/>
  <c r="C36" s="1"/>
  <c r="B23" i="7"/>
  <c r="C23" s="1"/>
  <c r="B77"/>
  <c r="C77" s="1"/>
  <c r="B33"/>
  <c r="C33" s="1"/>
  <c r="B51" i="3"/>
  <c r="C51" s="1"/>
  <c r="H51" s="1"/>
  <c r="B12"/>
  <c r="C12" s="1"/>
  <c r="F12" s="1"/>
  <c r="B91" i="6"/>
  <c r="C91" s="1"/>
  <c r="E91" s="1"/>
  <c r="B54"/>
  <c r="C54" s="1"/>
  <c r="D54" s="1"/>
  <c r="B65"/>
  <c r="C65" s="1"/>
  <c r="F65" s="1"/>
  <c r="B51"/>
  <c r="C51" s="1"/>
  <c r="E51" s="1"/>
  <c r="B96" i="7"/>
  <c r="C96" s="1"/>
  <c r="B41"/>
  <c r="C41" s="1"/>
  <c r="B39"/>
  <c r="C39" s="1"/>
  <c r="B55" i="3"/>
  <c r="C55" s="1"/>
  <c r="G55" s="1"/>
  <c r="B52" i="6"/>
  <c r="C52" s="1"/>
  <c r="F52" s="1"/>
  <c r="B40" i="7"/>
  <c r="C40" s="1"/>
  <c r="B47" i="6"/>
  <c r="C47" s="1"/>
  <c r="F47" s="1"/>
  <c r="B97" i="7"/>
  <c r="C97" s="1"/>
  <c r="B54" i="3"/>
  <c r="C54" s="1"/>
  <c r="F54" s="1"/>
  <c r="S27" i="8" s="1"/>
  <c r="B53" i="3"/>
  <c r="C53" s="1"/>
  <c r="D53" s="1"/>
  <c r="Q26" i="8" s="1"/>
  <c r="B11" i="5"/>
  <c r="C11" s="1"/>
  <c r="B87" i="6"/>
  <c r="C87" s="1"/>
  <c r="F87" s="1"/>
  <c r="B90"/>
  <c r="C90" s="1"/>
  <c r="H90" s="1"/>
  <c r="B53"/>
  <c r="C53" s="1"/>
  <c r="F53" s="1"/>
  <c r="B89"/>
  <c r="C89" s="1"/>
  <c r="H89" s="1"/>
  <c r="B45"/>
  <c r="C45" s="1"/>
  <c r="G45" s="1"/>
  <c r="B54" i="7"/>
  <c r="C54" s="1"/>
  <c r="B21" i="3"/>
  <c r="C21" s="1"/>
  <c r="E21" s="1"/>
  <c r="B78" i="6"/>
  <c r="C78" s="1"/>
  <c r="E78" s="1"/>
  <c r="B96"/>
  <c r="C96" s="1"/>
  <c r="H96" s="1"/>
  <c r="B93" i="7"/>
  <c r="C93" s="1"/>
  <c r="B11"/>
  <c r="C11" s="1"/>
  <c r="B93" i="6"/>
  <c r="C93" s="1"/>
  <c r="F93" s="1"/>
  <c r="H1"/>
  <c r="B33"/>
  <c r="C33" s="1"/>
  <c r="G33" s="1"/>
  <c r="B42" i="7"/>
  <c r="C42" s="1"/>
  <c r="B95"/>
  <c r="C95" s="1"/>
  <c r="B35" i="6"/>
  <c r="C35" s="1"/>
  <c r="G35" s="1"/>
  <c r="B51" i="7"/>
  <c r="C51" s="1"/>
  <c r="B36" i="6"/>
  <c r="C36" s="1"/>
  <c r="H36" s="1"/>
  <c r="B53" i="7"/>
  <c r="C53" s="1"/>
  <c r="B52"/>
  <c r="C52" s="1"/>
  <c r="B13"/>
  <c r="C13" s="1"/>
  <c r="B39" i="3"/>
  <c r="C39" s="1"/>
  <c r="G39" s="1"/>
  <c r="B43"/>
  <c r="C43" s="1"/>
  <c r="E43" s="1"/>
  <c r="O20" i="8" s="1"/>
  <c r="B42" i="3"/>
  <c r="C42" s="1"/>
  <c r="G42" s="1"/>
  <c r="B41"/>
  <c r="C41" s="1"/>
  <c r="D41" s="1"/>
  <c r="N18" i="8" s="1"/>
  <c r="B18" i="5"/>
  <c r="C18" s="1"/>
  <c r="B3"/>
  <c r="C3" s="1"/>
  <c r="B27" i="3"/>
  <c r="C27" s="1"/>
  <c r="H27" s="1"/>
  <c r="B18"/>
  <c r="C18" s="1"/>
  <c r="E18" s="1"/>
  <c r="H1"/>
  <c r="B9" i="5"/>
  <c r="C9" s="1"/>
  <c r="B13"/>
  <c r="C13" s="1"/>
  <c r="B7" i="3"/>
  <c r="C7" s="1"/>
  <c r="H1" i="7"/>
  <c r="B5"/>
  <c r="C5" s="1"/>
  <c r="B7"/>
  <c r="C7" s="1"/>
  <c r="F3" i="3"/>
  <c r="C24" i="8" s="1"/>
  <c r="B4" i="3"/>
  <c r="C4" s="1"/>
  <c r="F4" s="1"/>
  <c r="B9" i="7"/>
  <c r="C9" s="1"/>
  <c r="G49" i="6"/>
  <c r="E49"/>
  <c r="R14" i="9" s="1"/>
  <c r="B21" i="7"/>
  <c r="C21" s="1"/>
  <c r="B25"/>
  <c r="C25" s="1"/>
  <c r="D43" i="6"/>
  <c r="N6" i="8" s="1"/>
  <c r="H43" i="6"/>
  <c r="B31" i="7"/>
  <c r="C31" s="1"/>
  <c r="G43" i="6"/>
  <c r="E43"/>
  <c r="O6" i="9" s="1"/>
  <c r="B4" i="7"/>
  <c r="C4" s="1"/>
  <c r="B3"/>
  <c r="C3" s="1"/>
  <c r="B15"/>
  <c r="C15" s="1"/>
  <c r="B28"/>
  <c r="C28" s="1"/>
  <c r="B19"/>
  <c r="C19" s="1"/>
  <c r="D49" i="6"/>
  <c r="Q14" i="8" s="1"/>
  <c r="B27" i="7"/>
  <c r="C27" s="1"/>
  <c r="B12"/>
  <c r="C12" s="1"/>
  <c r="B18"/>
  <c r="C18" s="1"/>
  <c r="F49" i="6"/>
  <c r="S14" i="8" s="1"/>
  <c r="P6"/>
  <c r="B16" i="3"/>
  <c r="C16" s="1"/>
  <c r="H16" s="1"/>
  <c r="B31"/>
  <c r="C31" s="1"/>
  <c r="F19"/>
  <c r="F20" i="8" s="1"/>
  <c r="D19" i="3"/>
  <c r="AD20" i="9" s="1"/>
  <c r="G19" i="3"/>
  <c r="E19"/>
  <c r="E20" i="8" s="1"/>
  <c r="H19" i="3"/>
  <c r="B30" i="6"/>
  <c r="C30" s="1"/>
  <c r="E30" s="1"/>
  <c r="B28"/>
  <c r="C28" s="1"/>
  <c r="G28" s="1"/>
  <c r="B31"/>
  <c r="C31" s="1"/>
  <c r="B27"/>
  <c r="C27" s="1"/>
  <c r="F27" s="1"/>
  <c r="B10"/>
  <c r="C10" s="1"/>
  <c r="G10" s="1"/>
  <c r="B13"/>
  <c r="C13" s="1"/>
  <c r="B12"/>
  <c r="C12" s="1"/>
  <c r="F12" s="1"/>
  <c r="B9"/>
  <c r="C9" s="1"/>
  <c r="G9" s="1"/>
  <c r="B58"/>
  <c r="C58" s="1"/>
  <c r="F58" s="1"/>
  <c r="B61"/>
  <c r="C61" s="1"/>
  <c r="B57"/>
  <c r="C57" s="1"/>
  <c r="G57" s="1"/>
  <c r="B27" i="5"/>
  <c r="C27" s="1"/>
  <c r="B31"/>
  <c r="C31" s="1"/>
  <c r="B28"/>
  <c r="C28" s="1"/>
  <c r="B15" i="3"/>
  <c r="C15" s="1"/>
  <c r="E15" s="1"/>
  <c r="B64" i="6"/>
  <c r="C64" s="1"/>
  <c r="E64" s="1"/>
  <c r="B63"/>
  <c r="C63" s="1"/>
  <c r="D63" s="1"/>
  <c r="W2" i="9" s="1"/>
  <c r="B67" i="6"/>
  <c r="C67" s="1"/>
  <c r="G94"/>
  <c r="B75"/>
  <c r="C75" s="1"/>
  <c r="F75" s="1"/>
  <c r="B79"/>
  <c r="C79" s="1"/>
  <c r="B76"/>
  <c r="C76" s="1"/>
  <c r="H76" s="1"/>
  <c r="B85"/>
  <c r="C85" s="1"/>
  <c r="B82"/>
  <c r="C82" s="1"/>
  <c r="E82" s="1"/>
  <c r="B81"/>
  <c r="C81" s="1"/>
  <c r="H81" s="1"/>
  <c r="B21" i="5"/>
  <c r="C21" s="1"/>
  <c r="B25"/>
  <c r="C25" s="1"/>
  <c r="B22"/>
  <c r="C22" s="1"/>
  <c r="B16" i="6"/>
  <c r="C16" s="1"/>
  <c r="F16" s="1"/>
  <c r="B19"/>
  <c r="C19" s="1"/>
  <c r="B18"/>
  <c r="C18" s="1"/>
  <c r="G18" s="1"/>
  <c r="B15"/>
  <c r="C15" s="1"/>
  <c r="G15" s="1"/>
  <c r="B70"/>
  <c r="C70" s="1"/>
  <c r="D70" s="1"/>
  <c r="B69"/>
  <c r="C69" s="1"/>
  <c r="D69" s="1"/>
  <c r="B73"/>
  <c r="C73" s="1"/>
  <c r="D94"/>
  <c r="T3" i="9" s="1"/>
  <c r="B4" i="6"/>
  <c r="C4" s="1"/>
  <c r="E4" s="1"/>
  <c r="B6"/>
  <c r="C6" s="1"/>
  <c r="E6" s="1"/>
  <c r="B7"/>
  <c r="C7" s="1"/>
  <c r="D7" s="1"/>
  <c r="B3"/>
  <c r="C3" s="1"/>
  <c r="H3" s="1"/>
  <c r="B22"/>
  <c r="C22" s="1"/>
  <c r="D22" s="1"/>
  <c r="B24"/>
  <c r="C24" s="1"/>
  <c r="F24" s="1"/>
  <c r="B25"/>
  <c r="C25" s="1"/>
  <c r="B21"/>
  <c r="C21" s="1"/>
  <c r="D21" s="1"/>
  <c r="B9" i="3"/>
  <c r="C9" s="1"/>
  <c r="F9" s="1"/>
  <c r="B13"/>
  <c r="C13" s="1"/>
  <c r="B10"/>
  <c r="C10" s="1"/>
  <c r="E10" s="1"/>
  <c r="E94" i="6"/>
  <c r="U3" i="8" s="1"/>
  <c r="F94" i="6"/>
  <c r="V3" i="9" s="1"/>
  <c r="H94" i="6"/>
  <c r="G46" i="3"/>
  <c r="H46"/>
  <c r="H40"/>
  <c r="H88" i="6"/>
  <c r="F55"/>
  <c r="S6" i="8" s="1"/>
  <c r="E40" i="3"/>
  <c r="O17" i="8" s="1"/>
  <c r="D22" i="3"/>
  <c r="D3"/>
  <c r="F40"/>
  <c r="P17" i="8" s="1"/>
  <c r="E22" i="3"/>
  <c r="G52"/>
  <c r="D37" i="6"/>
  <c r="F57"/>
  <c r="E37"/>
  <c r="E88"/>
  <c r="E55"/>
  <c r="G3" i="3"/>
  <c r="F46"/>
  <c r="S17" i="8" s="1"/>
  <c r="D40" i="3"/>
  <c r="N17" i="8" s="1"/>
  <c r="F28" i="3"/>
  <c r="H22"/>
  <c r="H3"/>
  <c r="D46"/>
  <c r="Q17" i="8" s="1"/>
  <c r="E3" i="3"/>
  <c r="E34"/>
  <c r="D55" i="6"/>
  <c r="F37"/>
  <c r="D57"/>
  <c r="G37"/>
  <c r="G22" i="3"/>
  <c r="G27"/>
  <c r="H37" i="6"/>
  <c r="E28" i="3"/>
  <c r="D52"/>
  <c r="Q25" i="8" s="1"/>
  <c r="E52" i="3"/>
  <c r="R25" i="8" s="1"/>
  <c r="D34" i="3"/>
  <c r="E27"/>
  <c r="G40"/>
  <c r="D28"/>
  <c r="G88" i="6"/>
  <c r="D88"/>
  <c r="H55"/>
  <c r="H57"/>
  <c r="F34" i="3"/>
  <c r="F88" i="6"/>
  <c r="H52" i="3"/>
  <c r="U3" i="9"/>
  <c r="G34" i="3"/>
  <c r="D27"/>
  <c r="F52"/>
  <c r="S25" i="8" s="1"/>
  <c r="H34" i="3"/>
  <c r="G28"/>
  <c r="E46"/>
  <c r="R17" i="8" s="1"/>
  <c r="H28" i="3"/>
  <c r="F22"/>
  <c r="G55" i="6"/>
  <c r="D20" i="8"/>
  <c r="B19" i="5"/>
  <c r="C19" s="1"/>
  <c r="B16"/>
  <c r="C16" s="1"/>
  <c r="H1"/>
  <c r="B15"/>
  <c r="C15" s="1"/>
  <c r="F78" i="6"/>
  <c r="E29"/>
  <c r="F29"/>
  <c r="G29"/>
  <c r="H29"/>
  <c r="D29"/>
  <c r="E5"/>
  <c r="F5"/>
  <c r="G5"/>
  <c r="H5"/>
  <c r="D5"/>
  <c r="G83"/>
  <c r="F83"/>
  <c r="F59"/>
  <c r="G59"/>
  <c r="H59"/>
  <c r="D59"/>
  <c r="E59"/>
  <c r="G39"/>
  <c r="H39"/>
  <c r="D39"/>
  <c r="E39"/>
  <c r="F39"/>
  <c r="F84"/>
  <c r="G84"/>
  <c r="H84"/>
  <c r="D84"/>
  <c r="E84"/>
  <c r="E60"/>
  <c r="F60"/>
  <c r="G60"/>
  <c r="H60"/>
  <c r="D60"/>
  <c r="G11"/>
  <c r="H11"/>
  <c r="D11"/>
  <c r="E11"/>
  <c r="F11"/>
  <c r="D90"/>
  <c r="H65"/>
  <c r="G65"/>
  <c r="H41"/>
  <c r="D41"/>
  <c r="E41"/>
  <c r="F41"/>
  <c r="G41"/>
  <c r="G52"/>
  <c r="E40"/>
  <c r="F40"/>
  <c r="G40"/>
  <c r="H40"/>
  <c r="D40"/>
  <c r="G91"/>
  <c r="F91"/>
  <c r="G66"/>
  <c r="H66"/>
  <c r="D66"/>
  <c r="E66"/>
  <c r="F66"/>
  <c r="G42"/>
  <c r="H42"/>
  <c r="D42"/>
  <c r="E42"/>
  <c r="F42"/>
  <c r="E17"/>
  <c r="F17"/>
  <c r="G17"/>
  <c r="H17"/>
  <c r="D17"/>
  <c r="G71"/>
  <c r="H71"/>
  <c r="D71"/>
  <c r="E71"/>
  <c r="F71"/>
  <c r="G47"/>
  <c r="H47"/>
  <c r="E89"/>
  <c r="F89"/>
  <c r="D89"/>
  <c r="E97"/>
  <c r="F97"/>
  <c r="G97"/>
  <c r="H97"/>
  <c r="D97"/>
  <c r="F72"/>
  <c r="G72"/>
  <c r="H72"/>
  <c r="D72"/>
  <c r="E72"/>
  <c r="E48"/>
  <c r="D48"/>
  <c r="G23"/>
  <c r="H23"/>
  <c r="D23"/>
  <c r="E23"/>
  <c r="F23"/>
  <c r="E77"/>
  <c r="F77"/>
  <c r="G77"/>
  <c r="H77"/>
  <c r="D77"/>
  <c r="D53"/>
  <c r="G95"/>
  <c r="H95"/>
  <c r="D95"/>
  <c r="E95"/>
  <c r="F95"/>
  <c r="E46"/>
  <c r="H34"/>
  <c r="F51" i="3"/>
  <c r="S24" i="8" s="1"/>
  <c r="D51" i="3"/>
  <c r="Q24" i="8" s="1"/>
  <c r="E51" i="3"/>
  <c r="R24" i="8" s="1"/>
  <c r="G30" i="3"/>
  <c r="G6"/>
  <c r="H6"/>
  <c r="D6"/>
  <c r="E6"/>
  <c r="F6"/>
  <c r="H36"/>
  <c r="D36"/>
  <c r="E36"/>
  <c r="F36"/>
  <c r="G36"/>
  <c r="F11"/>
  <c r="G11"/>
  <c r="H11"/>
  <c r="D11"/>
  <c r="E11"/>
  <c r="E47"/>
  <c r="R18" i="8" s="1"/>
  <c r="F47" i="3"/>
  <c r="S18" i="8" s="1"/>
  <c r="G47" i="3"/>
  <c r="H47"/>
  <c r="D47"/>
  <c r="Q18" i="8" s="1"/>
  <c r="H33" i="3"/>
  <c r="D33"/>
  <c r="E33"/>
  <c r="F33"/>
  <c r="G33"/>
  <c r="G37"/>
  <c r="H37"/>
  <c r="D37"/>
  <c r="E37"/>
  <c r="F37"/>
  <c r="H17"/>
  <c r="D17"/>
  <c r="E17"/>
  <c r="F17"/>
  <c r="G17"/>
  <c r="H48"/>
  <c r="D48"/>
  <c r="Q19" i="8" s="1"/>
  <c r="E48" i="3"/>
  <c r="R19" i="8" s="1"/>
  <c r="F48" i="3"/>
  <c r="S19" i="8" s="1"/>
  <c r="G48" i="3"/>
  <c r="E35"/>
  <c r="F35"/>
  <c r="G35"/>
  <c r="H35"/>
  <c r="D35"/>
  <c r="H45"/>
  <c r="D45"/>
  <c r="Q16" i="8" s="1"/>
  <c r="E45" i="3"/>
  <c r="R16" i="8" s="1"/>
  <c r="F45" i="3"/>
  <c r="S16" i="8" s="1"/>
  <c r="G45" i="3"/>
  <c r="G49"/>
  <c r="H49"/>
  <c r="D49"/>
  <c r="Q20" i="8" s="1"/>
  <c r="E49" i="3"/>
  <c r="R20" i="8" s="1"/>
  <c r="F49" i="3"/>
  <c r="S20" i="8" s="1"/>
  <c r="G24" i="3"/>
  <c r="G54"/>
  <c r="H29"/>
  <c r="F29"/>
  <c r="G29"/>
  <c r="H5"/>
  <c r="D5"/>
  <c r="E5"/>
  <c r="F5"/>
  <c r="G5"/>
  <c r="H19" i="5" l="1"/>
  <c r="G19"/>
  <c r="F19"/>
  <c r="E19"/>
  <c r="D19"/>
  <c r="H22"/>
  <c r="G22"/>
  <c r="F22"/>
  <c r="E22"/>
  <c r="D22"/>
  <c r="H27"/>
  <c r="D27"/>
  <c r="E27"/>
  <c r="F27"/>
  <c r="G27"/>
  <c r="H18"/>
  <c r="G18"/>
  <c r="F18"/>
  <c r="E18"/>
  <c r="D18"/>
  <c r="H23"/>
  <c r="G23"/>
  <c r="F23"/>
  <c r="E23"/>
  <c r="D23"/>
  <c r="H16"/>
  <c r="G16"/>
  <c r="F16"/>
  <c r="E16"/>
  <c r="D16"/>
  <c r="H31"/>
  <c r="G31"/>
  <c r="F31"/>
  <c r="E31"/>
  <c r="D31"/>
  <c r="H95" i="7"/>
  <c r="G95"/>
  <c r="F95"/>
  <c r="E95"/>
  <c r="D95"/>
  <c r="E21" i="5"/>
  <c r="F21"/>
  <c r="G21"/>
  <c r="H21"/>
  <c r="D21"/>
  <c r="H28"/>
  <c r="G28"/>
  <c r="F28"/>
  <c r="E28"/>
  <c r="D28"/>
  <c r="H97" i="7"/>
  <c r="G97"/>
  <c r="F97"/>
  <c r="E97"/>
  <c r="D97"/>
  <c r="H15" i="5"/>
  <c r="D15"/>
  <c r="E15"/>
  <c r="F15"/>
  <c r="G15"/>
  <c r="H25"/>
  <c r="G25"/>
  <c r="F25"/>
  <c r="E25"/>
  <c r="D25"/>
  <c r="E93" i="7"/>
  <c r="F93"/>
  <c r="G93"/>
  <c r="H93"/>
  <c r="D93"/>
  <c r="H96"/>
  <c r="G96"/>
  <c r="F96"/>
  <c r="E96"/>
  <c r="D96"/>
  <c r="H16" i="6"/>
  <c r="G93"/>
  <c r="H84" i="7"/>
  <c r="G84"/>
  <c r="F84"/>
  <c r="E84"/>
  <c r="D84"/>
  <c r="H82"/>
  <c r="G82"/>
  <c r="F82"/>
  <c r="E82"/>
  <c r="D82"/>
  <c r="F81"/>
  <c r="G81"/>
  <c r="H81"/>
  <c r="D81"/>
  <c r="E81"/>
  <c r="F75"/>
  <c r="G75"/>
  <c r="H75"/>
  <c r="D75"/>
  <c r="E75"/>
  <c r="H78"/>
  <c r="G78"/>
  <c r="F78"/>
  <c r="E78"/>
  <c r="D78"/>
  <c r="H77"/>
  <c r="G77"/>
  <c r="F77"/>
  <c r="E77"/>
  <c r="D77"/>
  <c r="H76"/>
  <c r="G76"/>
  <c r="F76"/>
  <c r="E76"/>
  <c r="D76"/>
  <c r="F69"/>
  <c r="G69"/>
  <c r="H69"/>
  <c r="D69"/>
  <c r="E69"/>
  <c r="H70"/>
  <c r="G70"/>
  <c r="F70"/>
  <c r="E70"/>
  <c r="D70"/>
  <c r="H72"/>
  <c r="G72"/>
  <c r="F72"/>
  <c r="E72"/>
  <c r="D72"/>
  <c r="H71"/>
  <c r="G71"/>
  <c r="F71"/>
  <c r="E71"/>
  <c r="D71"/>
  <c r="H65"/>
  <c r="G65"/>
  <c r="F65"/>
  <c r="E65"/>
  <c r="D65"/>
  <c r="F63"/>
  <c r="G63"/>
  <c r="H63"/>
  <c r="D63"/>
  <c r="E63"/>
  <c r="H64"/>
  <c r="G64"/>
  <c r="F64"/>
  <c r="E64"/>
  <c r="D64"/>
  <c r="H66"/>
  <c r="G66"/>
  <c r="F66"/>
  <c r="E66"/>
  <c r="D66"/>
  <c r="H53"/>
  <c r="G53"/>
  <c r="F53"/>
  <c r="E53"/>
  <c r="D53"/>
  <c r="H52"/>
  <c r="G52"/>
  <c r="F52"/>
  <c r="E52"/>
  <c r="D52"/>
  <c r="E51"/>
  <c r="F51"/>
  <c r="G51"/>
  <c r="H51"/>
  <c r="D51"/>
  <c r="H54"/>
  <c r="G54"/>
  <c r="F54"/>
  <c r="E54"/>
  <c r="D54"/>
  <c r="E39"/>
  <c r="F39"/>
  <c r="G39"/>
  <c r="H39"/>
  <c r="D39"/>
  <c r="H42"/>
  <c r="G42"/>
  <c r="F42"/>
  <c r="E42"/>
  <c r="D42"/>
  <c r="H40"/>
  <c r="G40"/>
  <c r="F40"/>
  <c r="E40"/>
  <c r="D40"/>
  <c r="H41"/>
  <c r="G41"/>
  <c r="F41"/>
  <c r="E41"/>
  <c r="D41"/>
  <c r="E33"/>
  <c r="F33"/>
  <c r="G33"/>
  <c r="H33"/>
  <c r="D33"/>
  <c r="H36"/>
  <c r="G36"/>
  <c r="F36"/>
  <c r="E36"/>
  <c r="D36"/>
  <c r="H34"/>
  <c r="G34"/>
  <c r="F34"/>
  <c r="E34"/>
  <c r="D34"/>
  <c r="H35"/>
  <c r="G35"/>
  <c r="F35"/>
  <c r="E35"/>
  <c r="D35"/>
  <c r="H29"/>
  <c r="G29"/>
  <c r="F29"/>
  <c r="E29"/>
  <c r="D29"/>
  <c r="E27"/>
  <c r="F27"/>
  <c r="G27"/>
  <c r="H27"/>
  <c r="D27"/>
  <c r="H31"/>
  <c r="G31"/>
  <c r="F31"/>
  <c r="E31"/>
  <c r="D31"/>
  <c r="H28"/>
  <c r="G28"/>
  <c r="F28"/>
  <c r="E28"/>
  <c r="D28"/>
  <c r="E21"/>
  <c r="F21"/>
  <c r="G21"/>
  <c r="H21"/>
  <c r="D21"/>
  <c r="H25"/>
  <c r="G25"/>
  <c r="F25"/>
  <c r="E25"/>
  <c r="D25"/>
  <c r="H23"/>
  <c r="G23"/>
  <c r="F23"/>
  <c r="E23"/>
  <c r="D23"/>
  <c r="H18"/>
  <c r="G18"/>
  <c r="F18"/>
  <c r="E18"/>
  <c r="D18"/>
  <c r="H19"/>
  <c r="G19"/>
  <c r="F19"/>
  <c r="E19"/>
  <c r="D19"/>
  <c r="H17"/>
  <c r="G17"/>
  <c r="F17"/>
  <c r="E17"/>
  <c r="D17"/>
  <c r="E15"/>
  <c r="F15"/>
  <c r="G15"/>
  <c r="H15"/>
  <c r="D15"/>
  <c r="H11"/>
  <c r="G11"/>
  <c r="F11"/>
  <c r="E11"/>
  <c r="D11"/>
  <c r="H12"/>
  <c r="G12"/>
  <c r="F12"/>
  <c r="E12"/>
  <c r="D12"/>
  <c r="E9"/>
  <c r="F9"/>
  <c r="G9"/>
  <c r="H9"/>
  <c r="D9"/>
  <c r="H13"/>
  <c r="G13"/>
  <c r="F13"/>
  <c r="E13"/>
  <c r="D13"/>
  <c r="H5"/>
  <c r="G5"/>
  <c r="F5"/>
  <c r="E5"/>
  <c r="D5"/>
  <c r="H7"/>
  <c r="G7"/>
  <c r="F7"/>
  <c r="E7"/>
  <c r="D7"/>
  <c r="G3"/>
  <c r="H3"/>
  <c r="D3"/>
  <c r="E3"/>
  <c r="F3"/>
  <c r="H4"/>
  <c r="G4"/>
  <c r="F4"/>
  <c r="E4"/>
  <c r="D4"/>
  <c r="E33" i="5"/>
  <c r="F33"/>
  <c r="G33"/>
  <c r="H33"/>
  <c r="D33"/>
  <c r="H36"/>
  <c r="G36"/>
  <c r="F36"/>
  <c r="E36"/>
  <c r="D36"/>
  <c r="H37"/>
  <c r="G37"/>
  <c r="F37"/>
  <c r="E37"/>
  <c r="D37"/>
  <c r="H35"/>
  <c r="G35"/>
  <c r="F35"/>
  <c r="E35"/>
  <c r="D35"/>
  <c r="H11"/>
  <c r="G11"/>
  <c r="F11"/>
  <c r="E11"/>
  <c r="D11"/>
  <c r="H12"/>
  <c r="G12"/>
  <c r="F12"/>
  <c r="E12"/>
  <c r="D12"/>
  <c r="F9"/>
  <c r="G9"/>
  <c r="H9"/>
  <c r="D9"/>
  <c r="E9"/>
  <c r="H13"/>
  <c r="G13"/>
  <c r="F13"/>
  <c r="E13"/>
  <c r="D13"/>
  <c r="G89" i="6"/>
  <c r="D47"/>
  <c r="D29" i="3"/>
  <c r="F43"/>
  <c r="P20" i="8" s="1"/>
  <c r="G51" i="3"/>
  <c r="D65" i="6"/>
  <c r="H93"/>
  <c r="H83"/>
  <c r="G78"/>
  <c r="H78"/>
  <c r="E47"/>
  <c r="E65"/>
  <c r="D93"/>
  <c r="D83"/>
  <c r="D78"/>
  <c r="E93"/>
  <c r="G3" i="5"/>
  <c r="H3"/>
  <c r="D3"/>
  <c r="E3"/>
  <c r="F3"/>
  <c r="S14" i="9"/>
  <c r="H10" i="6"/>
  <c r="H30"/>
  <c r="H33"/>
  <c r="D10"/>
  <c r="H18"/>
  <c r="G24"/>
  <c r="H24"/>
  <c r="D24"/>
  <c r="D6"/>
  <c r="H23" i="3"/>
  <c r="E53"/>
  <c r="R26" i="8" s="1"/>
  <c r="F30" i="3"/>
  <c r="M27" i="8" s="1"/>
  <c r="D34" i="6"/>
  <c r="D18"/>
  <c r="H39" i="3"/>
  <c r="E34" i="6"/>
  <c r="F54"/>
  <c r="F34"/>
  <c r="M11" i="8" s="1"/>
  <c r="E18" i="6"/>
  <c r="H55" i="3"/>
  <c r="H45" i="6"/>
  <c r="D96"/>
  <c r="F51"/>
  <c r="S2" i="9" s="1"/>
  <c r="AE20"/>
  <c r="E12" i="6"/>
  <c r="F27" i="3"/>
  <c r="Q14" i="9"/>
  <c r="AC24"/>
  <c r="G87" i="6"/>
  <c r="D12"/>
  <c r="E70"/>
  <c r="AB3" i="8" s="1"/>
  <c r="G12" i="6"/>
  <c r="E16"/>
  <c r="G12" i="3"/>
  <c r="G18"/>
  <c r="G51" i="6"/>
  <c r="H87"/>
  <c r="H24" i="3"/>
  <c r="H12"/>
  <c r="D55"/>
  <c r="Q28" i="8" s="1"/>
  <c r="E55" i="3"/>
  <c r="R28" i="8" s="1"/>
  <c r="D45" i="6"/>
  <c r="E45"/>
  <c r="E96"/>
  <c r="U5" i="9" s="1"/>
  <c r="F96" i="6"/>
  <c r="G36"/>
  <c r="H51"/>
  <c r="D87"/>
  <c r="AD2" i="8" s="1"/>
  <c r="D76" i="6"/>
  <c r="E76"/>
  <c r="AB11" i="9" s="1"/>
  <c r="R14" i="8"/>
  <c r="D24" i="3"/>
  <c r="H19" i="8" s="1"/>
  <c r="D12" i="3"/>
  <c r="A19" i="8" s="1"/>
  <c r="F55" i="3"/>
  <c r="S28" i="8" s="1"/>
  <c r="F45" i="6"/>
  <c r="S10" i="9" s="1"/>
  <c r="G96" i="6"/>
  <c r="D51"/>
  <c r="E87"/>
  <c r="E41" i="3"/>
  <c r="O18" i="8" s="1"/>
  <c r="E24" i="3"/>
  <c r="X19" i="9" s="1"/>
  <c r="E12" i="3"/>
  <c r="H42"/>
  <c r="E35" i="6"/>
  <c r="E9"/>
  <c r="H9"/>
  <c r="F76"/>
  <c r="AC11" i="9" s="1"/>
  <c r="F41" i="3"/>
  <c r="P18" i="8" s="1"/>
  <c r="G41" i="3"/>
  <c r="D23"/>
  <c r="H18" i="8" s="1"/>
  <c r="F18" i="3"/>
  <c r="F19" i="8" s="1"/>
  <c r="D39" i="3"/>
  <c r="N16" i="8" s="1"/>
  <c r="F53" i="3"/>
  <c r="S26" i="8" s="1"/>
  <c r="H30" i="3"/>
  <c r="E53" i="6"/>
  <c r="G54"/>
  <c r="F9"/>
  <c r="G27"/>
  <c r="H27"/>
  <c r="D4" i="3"/>
  <c r="AA25" i="9" s="1"/>
  <c r="H41" i="3"/>
  <c r="E39"/>
  <c r="O16" i="8" s="1"/>
  <c r="G53" i="3"/>
  <c r="G53" i="6"/>
  <c r="H54"/>
  <c r="AF20" i="9"/>
  <c r="D9" i="6"/>
  <c r="D9" i="3"/>
  <c r="A16" i="8" s="1"/>
  <c r="G21" i="3"/>
  <c r="F21"/>
  <c r="Y16" i="9" s="1"/>
  <c r="E4" i="3"/>
  <c r="D21"/>
  <c r="H16" i="8" s="1"/>
  <c r="G76" i="6"/>
  <c r="F39" i="3"/>
  <c r="P16" i="8" s="1"/>
  <c r="D30" i="3"/>
  <c r="G23"/>
  <c r="H53"/>
  <c r="H53" i="6"/>
  <c r="E54"/>
  <c r="D4"/>
  <c r="E27"/>
  <c r="L2" i="9" s="1"/>
  <c r="G4" i="6"/>
  <c r="D27"/>
  <c r="H4" i="3"/>
  <c r="G25"/>
  <c r="D25"/>
  <c r="H4" i="6"/>
  <c r="D15" i="3"/>
  <c r="H7" i="6"/>
  <c r="G69"/>
  <c r="G15" i="3"/>
  <c r="H63" i="6"/>
  <c r="H15" i="3"/>
  <c r="E63" i="6"/>
  <c r="X2" i="9" s="1"/>
  <c r="F15" i="3"/>
  <c r="H54"/>
  <c r="D42"/>
  <c r="N19" i="8" s="1"/>
  <c r="F46" i="6"/>
  <c r="S11" i="8" s="1"/>
  <c r="G46" i="6"/>
  <c r="F48"/>
  <c r="S13" i="9" s="1"/>
  <c r="E33" i="6"/>
  <c r="H91"/>
  <c r="H52"/>
  <c r="E90"/>
  <c r="AE5" i="9" s="1"/>
  <c r="D36" i="6"/>
  <c r="F35"/>
  <c r="M12" i="9" s="1"/>
  <c r="G64" i="6"/>
  <c r="H6"/>
  <c r="E24"/>
  <c r="I5" i="8" s="1"/>
  <c r="G58" i="6"/>
  <c r="G6"/>
  <c r="F10"/>
  <c r="C3" i="9" s="1"/>
  <c r="F18" i="6"/>
  <c r="F5" i="8" s="1"/>
  <c r="D54" i="3"/>
  <c r="Q27" i="8" s="1"/>
  <c r="E23" i="3"/>
  <c r="E42"/>
  <c r="O19" i="8" s="1"/>
  <c r="F42" i="3"/>
  <c r="P19" i="8" s="1"/>
  <c r="H46" i="6"/>
  <c r="G48"/>
  <c r="F33"/>
  <c r="M10" i="8" s="1"/>
  <c r="D91" i="6"/>
  <c r="D52"/>
  <c r="E52"/>
  <c r="F90"/>
  <c r="AF5" i="9" s="1"/>
  <c r="E36" i="6"/>
  <c r="H35"/>
  <c r="F16" i="3"/>
  <c r="AF17" i="9" s="1"/>
  <c r="H64" i="6"/>
  <c r="F30"/>
  <c r="M5" i="9" s="1"/>
  <c r="E10" i="6"/>
  <c r="B3" i="8" s="1"/>
  <c r="F64" i="6"/>
  <c r="Y3" i="8" s="1"/>
  <c r="H21" i="3"/>
  <c r="F6" i="6"/>
  <c r="C13" i="8" s="1"/>
  <c r="D58" i="6"/>
  <c r="T11" i="8" s="1"/>
  <c r="D75" i="6"/>
  <c r="G63"/>
  <c r="D33"/>
  <c r="E54" i="3"/>
  <c r="R27" i="8" s="1"/>
  <c r="G90" i="6"/>
  <c r="F36"/>
  <c r="M13" i="8" s="1"/>
  <c r="D35" i="6"/>
  <c r="K12" i="8" s="1"/>
  <c r="G30" i="6"/>
  <c r="D30"/>
  <c r="K5" i="9" s="1"/>
  <c r="G7" i="6"/>
  <c r="H75"/>
  <c r="D64"/>
  <c r="H58"/>
  <c r="N6" i="9"/>
  <c r="G75" i="6"/>
  <c r="H82"/>
  <c r="E58"/>
  <c r="U11" i="8" s="1"/>
  <c r="E25" i="3"/>
  <c r="F25"/>
  <c r="Y20" i="9" s="1"/>
  <c r="G22" i="6"/>
  <c r="X16" i="9"/>
  <c r="I16" i="8"/>
  <c r="F7" i="6"/>
  <c r="C14" i="8" s="1"/>
  <c r="E7" i="6"/>
  <c r="B14" i="9" s="1"/>
  <c r="H28" i="6"/>
  <c r="G4" i="3"/>
  <c r="H10"/>
  <c r="O6" i="8"/>
  <c r="T3"/>
  <c r="D10" i="3"/>
  <c r="AA17" i="9" s="1"/>
  <c r="F28" i="6"/>
  <c r="M3" i="9" s="1"/>
  <c r="W2" i="8"/>
  <c r="D18" i="3"/>
  <c r="D19" i="8" s="1"/>
  <c r="H43" i="3"/>
  <c r="D16"/>
  <c r="AD17" i="9" s="1"/>
  <c r="H12" i="6"/>
  <c r="G16"/>
  <c r="G81"/>
  <c r="E57"/>
  <c r="U10" i="8" s="1"/>
  <c r="E28" i="6"/>
  <c r="L3" i="8" s="1"/>
  <c r="D81" i="6"/>
  <c r="AD10" i="8" s="1"/>
  <c r="D82" i="6"/>
  <c r="AD11" i="9" s="1"/>
  <c r="H70" i="6"/>
  <c r="E81"/>
  <c r="AE10" i="8" s="1"/>
  <c r="F82" i="6"/>
  <c r="AF11" i="8" s="1"/>
  <c r="F15" i="6"/>
  <c r="H18" i="3"/>
  <c r="G43"/>
  <c r="D43"/>
  <c r="N20" i="8" s="1"/>
  <c r="E16" i="3"/>
  <c r="AE17" i="9" s="1"/>
  <c r="G16" i="3"/>
  <c r="E75" i="6"/>
  <c r="AB10" i="9" s="1"/>
  <c r="G70" i="6"/>
  <c r="D16"/>
  <c r="D3" i="8" s="1"/>
  <c r="F81" i="6"/>
  <c r="AF10" i="8" s="1"/>
  <c r="G82" i="6"/>
  <c r="D28"/>
  <c r="K3" i="9" s="1"/>
  <c r="F10" i="3"/>
  <c r="AC17" i="9" s="1"/>
  <c r="H9" i="3"/>
  <c r="G9"/>
  <c r="E9"/>
  <c r="B16" i="8" s="1"/>
  <c r="G10" i="3"/>
  <c r="F7"/>
  <c r="D7"/>
  <c r="G7"/>
  <c r="E7"/>
  <c r="H7"/>
  <c r="F4" i="6"/>
  <c r="C11" i="9" s="1"/>
  <c r="F21" i="6"/>
  <c r="J2" i="9" s="1"/>
  <c r="H21" i="6"/>
  <c r="V3" i="8"/>
  <c r="G21" i="6"/>
  <c r="G3"/>
  <c r="E69"/>
  <c r="H69"/>
  <c r="D15"/>
  <c r="F69"/>
  <c r="F3" i="9"/>
  <c r="F3" i="8"/>
  <c r="C5" i="9"/>
  <c r="C5" i="8"/>
  <c r="E22" i="6"/>
  <c r="F70"/>
  <c r="AC3" i="9" s="1"/>
  <c r="V11"/>
  <c r="V11" i="8"/>
  <c r="E21" i="6"/>
  <c r="H15"/>
  <c r="E15"/>
  <c r="E3"/>
  <c r="H22"/>
  <c r="F3"/>
  <c r="F63"/>
  <c r="H3" i="8"/>
  <c r="H3" i="9"/>
  <c r="AA3"/>
  <c r="AA3" i="8"/>
  <c r="AA2"/>
  <c r="AA2" i="9"/>
  <c r="F22" i="6"/>
  <c r="D3"/>
  <c r="AC11" i="8"/>
  <c r="AB17" i="9"/>
  <c r="B17" i="8"/>
  <c r="F31" i="3"/>
  <c r="H31"/>
  <c r="E31"/>
  <c r="D31"/>
  <c r="G31"/>
  <c r="X3" i="9"/>
  <c r="X3" i="8"/>
  <c r="H2" i="9"/>
  <c r="H2" i="8"/>
  <c r="E16"/>
  <c r="AE16" i="9"/>
  <c r="E25" i="6"/>
  <c r="F25"/>
  <c r="H25"/>
  <c r="D25"/>
  <c r="G25"/>
  <c r="G79"/>
  <c r="F79"/>
  <c r="E79"/>
  <c r="H79"/>
  <c r="D79"/>
  <c r="G19"/>
  <c r="E19"/>
  <c r="H19"/>
  <c r="D19"/>
  <c r="F19"/>
  <c r="E73"/>
  <c r="F73"/>
  <c r="H73"/>
  <c r="D73"/>
  <c r="G73"/>
  <c r="E85"/>
  <c r="D85"/>
  <c r="G85"/>
  <c r="F85"/>
  <c r="H85"/>
  <c r="H61"/>
  <c r="G61"/>
  <c r="F61"/>
  <c r="D61"/>
  <c r="E61"/>
  <c r="E13"/>
  <c r="H13"/>
  <c r="D13"/>
  <c r="G13"/>
  <c r="F13"/>
  <c r="H13" i="3"/>
  <c r="F13"/>
  <c r="E13"/>
  <c r="D13"/>
  <c r="G13"/>
  <c r="F67" i="6"/>
  <c r="E67"/>
  <c r="H67"/>
  <c r="D67"/>
  <c r="G67"/>
  <c r="G31"/>
  <c r="F31"/>
  <c r="E31"/>
  <c r="H31"/>
  <c r="D31"/>
  <c r="S6" i="9"/>
  <c r="C26" i="8"/>
  <c r="AC26" i="9"/>
  <c r="V18"/>
  <c r="M18" i="8"/>
  <c r="L20"/>
  <c r="U20" i="9"/>
  <c r="M19" i="8"/>
  <c r="V19" i="9"/>
  <c r="AC27"/>
  <c r="C27" i="8"/>
  <c r="M11" i="9"/>
  <c r="T4" i="8"/>
  <c r="T4" i="9"/>
  <c r="S4" i="8"/>
  <c r="S4" i="9"/>
  <c r="AA12" i="8"/>
  <c r="AA12" i="9"/>
  <c r="AB12"/>
  <c r="AB12" i="8"/>
  <c r="AA5"/>
  <c r="AA5" i="9"/>
  <c r="T6" i="8"/>
  <c r="T6" i="9"/>
  <c r="U6"/>
  <c r="U6" i="8"/>
  <c r="R12"/>
  <c r="R12" i="9"/>
  <c r="S12" i="8"/>
  <c r="S12" i="9"/>
  <c r="P5" i="8"/>
  <c r="P5" i="9"/>
  <c r="AD6"/>
  <c r="AD6" i="8"/>
  <c r="Q3"/>
  <c r="Q3" i="9"/>
  <c r="R3" i="8"/>
  <c r="R3" i="9"/>
  <c r="N4" i="8"/>
  <c r="N4" i="9"/>
  <c r="X4" i="8"/>
  <c r="X4" i="9"/>
  <c r="C4" i="8"/>
  <c r="C4" i="9"/>
  <c r="AD13"/>
  <c r="AD13" i="8"/>
  <c r="U2" i="9"/>
  <c r="U2" i="8"/>
  <c r="V2"/>
  <c r="V2" i="9"/>
  <c r="Q2"/>
  <c r="Q2" i="8"/>
  <c r="U12"/>
  <c r="U12" i="9"/>
  <c r="V12" i="8"/>
  <c r="V12" i="9"/>
  <c r="S5"/>
  <c r="S5" i="8"/>
  <c r="AA13"/>
  <c r="AA13" i="9"/>
  <c r="AE2" i="8"/>
  <c r="AE2" i="9"/>
  <c r="M17" i="8"/>
  <c r="V17" i="9"/>
  <c r="K2" i="8"/>
  <c r="K2" i="9"/>
  <c r="AC25"/>
  <c r="C25" i="8"/>
  <c r="J5"/>
  <c r="J5" i="9"/>
  <c r="B5"/>
  <c r="B5" i="8"/>
  <c r="T10" i="9"/>
  <c r="T10" i="8"/>
  <c r="C3"/>
  <c r="Q6" i="9"/>
  <c r="Q6" i="8"/>
  <c r="T11" i="9"/>
  <c r="M24" i="8"/>
  <c r="V24" i="9"/>
  <c r="V25"/>
  <c r="M25" i="8"/>
  <c r="B11"/>
  <c r="B11" i="9"/>
  <c r="AE3" i="8"/>
  <c r="AE3" i="9"/>
  <c r="M2"/>
  <c r="M2" i="8"/>
  <c r="AE11"/>
  <c r="AE11" i="9"/>
  <c r="AA24"/>
  <c r="A24" i="8"/>
  <c r="T26" i="9"/>
  <c r="K26" i="8"/>
  <c r="W18" i="9"/>
  <c r="V20"/>
  <c r="M20" i="8"/>
  <c r="T16" i="9"/>
  <c r="K16" i="8"/>
  <c r="AA18" i="9"/>
  <c r="A18" i="8"/>
  <c r="T27" i="9"/>
  <c r="K27" i="8"/>
  <c r="Q11"/>
  <c r="Q11" i="9"/>
  <c r="U4"/>
  <c r="U4" i="8"/>
  <c r="AC12"/>
  <c r="AC12" i="9"/>
  <c r="H4" i="8"/>
  <c r="H4" i="9"/>
  <c r="AB5"/>
  <c r="AB5" i="8"/>
  <c r="AC5"/>
  <c r="AC5" i="9"/>
  <c r="V6" i="8"/>
  <c r="V6" i="9"/>
  <c r="AD4"/>
  <c r="AD4" i="8"/>
  <c r="AE4"/>
  <c r="AE4" i="9"/>
  <c r="AA4" i="8"/>
  <c r="AA4" i="9"/>
  <c r="T5" i="8"/>
  <c r="T5" i="9"/>
  <c r="D4"/>
  <c r="D4" i="8"/>
  <c r="E4"/>
  <c r="E4" i="9"/>
  <c r="W5"/>
  <c r="W5" i="8"/>
  <c r="AE6"/>
  <c r="AE6" i="9"/>
  <c r="N3" i="8"/>
  <c r="N3" i="9"/>
  <c r="O3"/>
  <c r="O3" i="8"/>
  <c r="S3" i="9"/>
  <c r="S3" i="8"/>
  <c r="O4"/>
  <c r="O4" i="9"/>
  <c r="Y4"/>
  <c r="Y4" i="8"/>
  <c r="AE13"/>
  <c r="AE13" i="9"/>
  <c r="AF13" i="8"/>
  <c r="AF13" i="9"/>
  <c r="N2" i="8"/>
  <c r="N2" i="9"/>
  <c r="R2" i="8"/>
  <c r="R2" i="9"/>
  <c r="L12" i="8"/>
  <c r="L12" i="9"/>
  <c r="AD12" i="8"/>
  <c r="AD12" i="9"/>
  <c r="K4" i="8"/>
  <c r="K4" i="9"/>
  <c r="L4" i="8"/>
  <c r="L4" i="9"/>
  <c r="AB13" i="8"/>
  <c r="AB13" i="9"/>
  <c r="AF2" i="8"/>
  <c r="AF2" i="9"/>
  <c r="C2" i="8"/>
  <c r="C2" i="9"/>
  <c r="B2" i="8"/>
  <c r="B2" i="9"/>
  <c r="A2" i="8"/>
  <c r="A2" i="9"/>
  <c r="AC10" i="8"/>
  <c r="AC10" i="9"/>
  <c r="A3" i="8"/>
  <c r="A3" i="9"/>
  <c r="K25" i="8"/>
  <c r="T25" i="9"/>
  <c r="K17" i="8"/>
  <c r="T17" i="9"/>
  <c r="M14"/>
  <c r="M14" i="8"/>
  <c r="L5"/>
  <c r="L5" i="9"/>
  <c r="E5" i="8"/>
  <c r="E5" i="9"/>
  <c r="AA10" i="8"/>
  <c r="AA10" i="9"/>
  <c r="AA26"/>
  <c r="A26" i="8"/>
  <c r="U26" i="9"/>
  <c r="L26" i="8"/>
  <c r="W19" i="9"/>
  <c r="I19" i="8"/>
  <c r="X18" i="9"/>
  <c r="I18" i="8"/>
  <c r="J18"/>
  <c r="Y18" i="9"/>
  <c r="AB19"/>
  <c r="B19" i="8"/>
  <c r="L16"/>
  <c r="U16" i="9"/>
  <c r="B18" i="8"/>
  <c r="AB18" i="9"/>
  <c r="AC18"/>
  <c r="C18" i="8"/>
  <c r="K19"/>
  <c r="T19" i="9"/>
  <c r="A27" i="8"/>
  <c r="AA27" i="9"/>
  <c r="U27"/>
  <c r="L27" i="8"/>
  <c r="K11" i="9"/>
  <c r="K11" i="8"/>
  <c r="R11" i="9"/>
  <c r="R11" i="8"/>
  <c r="V4"/>
  <c r="V4" i="9"/>
  <c r="Q4"/>
  <c r="Q4" i="8"/>
  <c r="I4" i="9"/>
  <c r="I4" i="8"/>
  <c r="Q13"/>
  <c r="Q13" i="9"/>
  <c r="R13"/>
  <c r="R13" i="8"/>
  <c r="Q10"/>
  <c r="Q10" i="9"/>
  <c r="R10" i="8"/>
  <c r="R10" i="9"/>
  <c r="AF4" i="8"/>
  <c r="AF4" i="9"/>
  <c r="AB4" i="8"/>
  <c r="AB4" i="9"/>
  <c r="V5" i="8"/>
  <c r="V5" i="9"/>
  <c r="F4" i="8"/>
  <c r="F4" i="9"/>
  <c r="N5" i="8"/>
  <c r="N5" i="9"/>
  <c r="X5" i="8"/>
  <c r="X5" i="9"/>
  <c r="AF6" i="8"/>
  <c r="AF6" i="9"/>
  <c r="P3" i="8"/>
  <c r="P3" i="9"/>
  <c r="P4" i="8"/>
  <c r="P4" i="9"/>
  <c r="AD5" i="8"/>
  <c r="AD5" i="9"/>
  <c r="A4" i="8"/>
  <c r="A4" i="9"/>
  <c r="T13" i="8"/>
  <c r="T13" i="9"/>
  <c r="U13" i="8"/>
  <c r="U13" i="9"/>
  <c r="O2" i="8"/>
  <c r="O2" i="9"/>
  <c r="AE12" i="8"/>
  <c r="AE12" i="9"/>
  <c r="A12" i="8"/>
  <c r="A12" i="9"/>
  <c r="B12"/>
  <c r="B12" i="8"/>
  <c r="M4" i="9"/>
  <c r="M4" i="8"/>
  <c r="Q5"/>
  <c r="Q5" i="9"/>
  <c r="AC13" i="8"/>
  <c r="AC13" i="9"/>
  <c r="A11" i="8"/>
  <c r="A11" i="9"/>
  <c r="B13" i="8"/>
  <c r="B13" i="9"/>
  <c r="Y17"/>
  <c r="J17" i="8"/>
  <c r="K24"/>
  <c r="T24" i="9"/>
  <c r="AB25"/>
  <c r="B25" i="8"/>
  <c r="W3" i="9"/>
  <c r="W3" i="8"/>
  <c r="A5"/>
  <c r="A5" i="9"/>
  <c r="L24" i="8"/>
  <c r="U24" i="9"/>
  <c r="U25"/>
  <c r="L25" i="8"/>
  <c r="A13"/>
  <c r="A13" i="9"/>
  <c r="AB24"/>
  <c r="B24" i="8"/>
  <c r="R6"/>
  <c r="R6" i="9"/>
  <c r="V10" i="8"/>
  <c r="V10" i="9"/>
  <c r="K14" i="8"/>
  <c r="K14" i="9"/>
  <c r="I17" i="8"/>
  <c r="X17" i="9"/>
  <c r="W17"/>
  <c r="H17" i="8"/>
  <c r="B26"/>
  <c r="AB26" i="9"/>
  <c r="M26" i="8"/>
  <c r="V26" i="9"/>
  <c r="Y19"/>
  <c r="J19" i="8"/>
  <c r="T18" i="9"/>
  <c r="K18" i="8"/>
  <c r="U18" i="9"/>
  <c r="L18" i="8"/>
  <c r="C19"/>
  <c r="AC19" i="9"/>
  <c r="T20"/>
  <c r="K20" i="8"/>
  <c r="V16" i="9"/>
  <c r="M16" i="8"/>
  <c r="L19"/>
  <c r="U19" i="9"/>
  <c r="B27" i="8"/>
  <c r="AB27" i="9"/>
  <c r="L11" i="8"/>
  <c r="L11" i="9"/>
  <c r="R4" i="8"/>
  <c r="R4" i="9"/>
  <c r="J4" i="8"/>
  <c r="J4" i="9"/>
  <c r="K10" i="8"/>
  <c r="K10" i="9"/>
  <c r="L10" i="8"/>
  <c r="L10" i="9"/>
  <c r="Q12" i="8"/>
  <c r="Q12" i="9"/>
  <c r="AC4" i="8"/>
  <c r="AC4" i="9"/>
  <c r="O5"/>
  <c r="O5" i="8"/>
  <c r="Y5"/>
  <c r="Y5" i="9"/>
  <c r="W4" i="8"/>
  <c r="W4" i="9"/>
  <c r="B4" i="8"/>
  <c r="B4" i="9"/>
  <c r="K13"/>
  <c r="K13" i="8"/>
  <c r="L13"/>
  <c r="L13" i="9"/>
  <c r="V13"/>
  <c r="V13" i="8"/>
  <c r="T2"/>
  <c r="T2" i="9"/>
  <c r="P2" i="8"/>
  <c r="P2" i="9"/>
  <c r="T12"/>
  <c r="T12" i="8"/>
  <c r="AF12" i="9"/>
  <c r="AF12" i="8"/>
  <c r="C12"/>
  <c r="C12" i="9"/>
  <c r="R5" i="8"/>
  <c r="R5" i="9"/>
  <c r="AA11" i="8"/>
  <c r="AA11" i="9"/>
  <c r="AA16"/>
  <c r="AF3"/>
  <c r="AF3" i="8"/>
  <c r="B14"/>
  <c r="AD3"/>
  <c r="AD3" i="9"/>
  <c r="E3" i="8"/>
  <c r="E3" i="9"/>
  <c r="H5" i="8"/>
  <c r="H5" i="9"/>
  <c r="U17"/>
  <c r="L17" i="8"/>
  <c r="A14"/>
  <c r="A14" i="9"/>
  <c r="L14" i="8"/>
  <c r="L14" i="9"/>
  <c r="D5" i="8"/>
  <c r="D5" i="9"/>
  <c r="AC16"/>
  <c r="C16" i="8"/>
  <c r="AE19" i="9"/>
  <c r="E19" i="8"/>
  <c r="AF18" i="9"/>
  <c r="F18" i="8"/>
  <c r="D18"/>
  <c r="AD18" i="9"/>
  <c r="AE18"/>
  <c r="E18" i="8"/>
  <c r="K5" l="1"/>
  <c r="S11" i="9"/>
  <c r="F5"/>
  <c r="M12" i="8"/>
  <c r="S10"/>
  <c r="Y3" i="9"/>
  <c r="V27"/>
  <c r="M5" i="8"/>
  <c r="S2"/>
  <c r="AF19" i="9"/>
  <c r="AB3"/>
  <c r="AE5" i="8"/>
  <c r="U11" i="9"/>
  <c r="AB10" i="8"/>
  <c r="AF5"/>
  <c r="M13" i="9"/>
  <c r="C13"/>
  <c r="A25" i="8"/>
  <c r="AB16" i="9"/>
  <c r="F17" i="8"/>
  <c r="J16"/>
  <c r="AA19" i="9"/>
  <c r="J20" i="8"/>
  <c r="E17"/>
  <c r="AF10" i="9"/>
  <c r="L3"/>
  <c r="X2" i="8"/>
  <c r="AD19" i="9"/>
  <c r="B3"/>
  <c r="AB11" i="8"/>
  <c r="M10" i="9"/>
  <c r="L2" i="8"/>
  <c r="AD2" i="9"/>
  <c r="S13" i="8"/>
  <c r="C11"/>
  <c r="U5"/>
  <c r="W16" i="9"/>
  <c r="I5"/>
  <c r="K12"/>
  <c r="M3" i="8"/>
  <c r="W20" i="9"/>
  <c r="H20" i="8"/>
  <c r="C14" i="9"/>
  <c r="A17" i="8"/>
  <c r="AD16" i="9"/>
  <c r="D16" i="8"/>
  <c r="F16"/>
  <c r="AF16" i="9"/>
  <c r="AE10"/>
  <c r="K3" i="8"/>
  <c r="D3" i="9"/>
  <c r="I20" i="8"/>
  <c r="X20" i="9"/>
  <c r="D17" i="8"/>
  <c r="AF11" i="9"/>
  <c r="AD10"/>
  <c r="AD11" i="8"/>
  <c r="U10" i="9"/>
  <c r="AC3" i="8"/>
  <c r="F2" i="9"/>
  <c r="F2" i="8"/>
  <c r="C17"/>
  <c r="J2"/>
  <c r="C28"/>
  <c r="AC28" i="9"/>
  <c r="A28" i="8"/>
  <c r="AA28" i="9"/>
  <c r="AB28"/>
  <c r="B28" i="8"/>
  <c r="AB2" i="9"/>
  <c r="AB2" i="8"/>
  <c r="D2" i="9"/>
  <c r="D2" i="8"/>
  <c r="AC2" i="9"/>
  <c r="AC2" i="8"/>
  <c r="I3"/>
  <c r="I3" i="9"/>
  <c r="Y2" i="8"/>
  <c r="Y2" i="9"/>
  <c r="E2"/>
  <c r="E2" i="8"/>
  <c r="B10"/>
  <c r="B10" i="9"/>
  <c r="I2"/>
  <c r="I2" i="8"/>
  <c r="C10" i="9"/>
  <c r="C10" i="8"/>
  <c r="J3" i="9"/>
  <c r="J3" i="8"/>
  <c r="A10" i="9"/>
  <c r="A10" i="8"/>
  <c r="U28" i="9"/>
  <c r="L28" i="8"/>
  <c r="T28" i="9"/>
  <c r="K28" i="8"/>
  <c r="V28" i="9"/>
  <c r="M28" i="8"/>
  <c r="Y6"/>
  <c r="Y6" i="9"/>
  <c r="C20" i="8"/>
  <c r="AC20" i="9"/>
  <c r="A6"/>
  <c r="A6" i="8"/>
  <c r="T14"/>
  <c r="T14" i="9"/>
  <c r="AE14"/>
  <c r="AE14" i="8"/>
  <c r="F6" i="9"/>
  <c r="F6" i="8"/>
  <c r="AC14" i="9"/>
  <c r="AC14" i="8"/>
  <c r="K6" i="9"/>
  <c r="K6" i="8"/>
  <c r="X6"/>
  <c r="X6" i="9"/>
  <c r="B20" i="8"/>
  <c r="AB20" i="9"/>
  <c r="U14"/>
  <c r="U14" i="8"/>
  <c r="AD14" i="9"/>
  <c r="AD14" i="8"/>
  <c r="AA6" i="9"/>
  <c r="AA6" i="8"/>
  <c r="E6" i="9"/>
  <c r="E6" i="8"/>
  <c r="AB14"/>
  <c r="AB14" i="9"/>
  <c r="H6"/>
  <c r="H6" i="8"/>
  <c r="M6"/>
  <c r="M6" i="9"/>
  <c r="A20" i="8"/>
  <c r="AA20" i="9"/>
  <c r="C6"/>
  <c r="C6" i="8"/>
  <c r="B6" i="9"/>
  <c r="B6" i="8"/>
  <c r="AB6"/>
  <c r="AB6" i="9"/>
  <c r="I6"/>
  <c r="I6" i="8"/>
  <c r="L6"/>
  <c r="L6" i="9"/>
  <c r="W6" i="8"/>
  <c r="W6" i="9"/>
  <c r="V14"/>
  <c r="V14" i="8"/>
  <c r="AF14"/>
  <c r="AF14" i="9"/>
  <c r="AC6"/>
  <c r="AC6" i="8"/>
  <c r="D6"/>
  <c r="D6" i="9"/>
  <c r="AA14"/>
  <c r="AA14" i="8"/>
  <c r="J6" i="9"/>
  <c r="J6" i="8"/>
  <c r="D18" i="4"/>
  <c r="A76" i="1" l="1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IA18" i="10" l="1"/>
  <c r="IA56"/>
  <c r="IA23"/>
  <c r="IA46"/>
  <c r="IA106"/>
  <c r="IA12"/>
  <c r="IA25"/>
  <c r="IA104"/>
  <c r="IA27"/>
  <c r="IA155"/>
  <c r="IA215"/>
  <c r="IA187"/>
  <c r="IA137"/>
  <c r="IA151"/>
  <c r="IA156"/>
  <c r="IA88"/>
  <c r="IA29"/>
  <c r="IA167"/>
  <c r="IA87"/>
  <c r="IA200"/>
  <c r="IA107"/>
  <c r="IA77"/>
  <c r="IA268"/>
  <c r="IA202"/>
  <c r="IA43"/>
  <c r="IA118"/>
  <c r="IA114"/>
  <c r="IA112"/>
  <c r="IA227"/>
  <c r="IA136"/>
  <c r="IA135"/>
  <c r="IA14"/>
  <c r="IA110"/>
  <c r="IA249"/>
  <c r="IA86"/>
  <c r="IA252"/>
  <c r="IA40"/>
  <c r="IA224"/>
  <c r="IA17"/>
  <c r="IA242"/>
  <c r="IA84"/>
  <c r="IA55"/>
  <c r="IA243"/>
  <c r="IA97"/>
  <c r="IA236"/>
  <c r="IA39"/>
  <c r="IA78"/>
  <c r="IA168"/>
  <c r="IA123"/>
  <c r="IA139"/>
  <c r="IA125"/>
  <c r="IA152"/>
  <c r="IA232"/>
  <c r="IA154"/>
  <c r="IA217"/>
  <c r="IA144"/>
  <c r="IA99"/>
  <c r="IA251"/>
  <c r="IA100"/>
  <c r="IA133"/>
  <c r="IA260"/>
  <c r="IA214"/>
  <c r="IA270"/>
  <c r="IA208"/>
  <c r="IA211"/>
  <c r="IA150"/>
  <c r="IA147"/>
  <c r="IA272"/>
  <c r="IA113"/>
  <c r="IA5"/>
  <c r="IA219"/>
  <c r="IA207"/>
  <c r="IA44"/>
  <c r="IA267"/>
  <c r="IA191"/>
  <c r="IA173"/>
  <c r="IA6"/>
  <c r="IA20"/>
  <c r="IA195"/>
  <c r="IA165"/>
  <c r="IA103"/>
  <c r="IA240"/>
  <c r="IA262"/>
  <c r="IA204"/>
  <c r="IA183"/>
  <c r="IA91"/>
  <c r="IA54"/>
  <c r="IA72"/>
  <c r="IA238"/>
  <c r="IA212"/>
  <c r="IA266"/>
  <c r="IA93"/>
  <c r="IA220"/>
  <c r="IA50"/>
  <c r="IA248"/>
  <c r="IA185"/>
  <c r="IA10"/>
  <c r="IA129"/>
  <c r="IA145"/>
  <c r="IA141"/>
  <c r="IA164"/>
  <c r="IA192"/>
  <c r="IA159"/>
  <c r="IA247"/>
  <c r="IA149"/>
  <c r="IA263"/>
  <c r="IA111"/>
  <c r="IA130"/>
  <c r="IA71"/>
  <c r="IA233"/>
  <c r="IA36"/>
  <c r="IA246"/>
  <c r="IA194"/>
  <c r="IA68"/>
  <c r="IA158"/>
  <c r="IA182"/>
  <c r="IA2"/>
  <c r="IA28"/>
  <c r="IA45"/>
  <c r="IA142"/>
  <c r="IA229"/>
  <c r="IA210"/>
  <c r="IA60"/>
  <c r="IA205"/>
  <c r="IA37"/>
  <c r="IA188"/>
  <c r="IA171"/>
  <c r="IA79"/>
  <c r="IA121"/>
  <c r="IA32"/>
  <c r="IA196"/>
  <c r="IA24"/>
  <c r="IA140"/>
  <c r="IA160"/>
  <c r="IA95"/>
  <c r="IA47"/>
  <c r="IA105"/>
  <c r="IA175"/>
  <c r="IA277"/>
  <c r="IA250"/>
  <c r="IA186"/>
  <c r="IA228"/>
  <c r="IA180"/>
  <c r="IA134"/>
  <c r="IA132"/>
  <c r="IA181"/>
  <c r="IA74"/>
  <c r="IA128"/>
  <c r="IA83"/>
  <c r="IA38"/>
  <c r="IA274"/>
  <c r="IA75"/>
  <c r="IA59"/>
  <c r="IA170"/>
  <c r="IA127"/>
  <c r="IA269"/>
  <c r="IA34"/>
  <c r="IA256"/>
  <c r="IA31"/>
  <c r="IA199"/>
  <c r="IA64"/>
  <c r="IA254"/>
  <c r="IA201"/>
  <c r="IA253"/>
  <c r="IA61"/>
  <c r="IA275"/>
  <c r="IA16"/>
  <c r="IA161"/>
  <c r="IA119"/>
  <c r="IA19"/>
  <c r="IA62"/>
  <c r="IA66"/>
  <c r="IA69"/>
  <c r="IA157"/>
  <c r="IA67"/>
  <c r="IA65"/>
  <c r="IA13"/>
  <c r="IA98"/>
  <c r="IA276"/>
  <c r="IA255"/>
  <c r="IA189"/>
  <c r="IA177"/>
  <c r="IA76"/>
  <c r="IA213"/>
  <c r="IA235"/>
  <c r="IA109"/>
  <c r="IA58"/>
  <c r="IA53"/>
  <c r="IA273"/>
  <c r="IA4"/>
  <c r="IA162"/>
  <c r="IA245"/>
  <c r="IA51"/>
  <c r="IA279"/>
  <c r="IA239"/>
  <c r="IA259"/>
  <c r="IA120"/>
  <c r="IA190"/>
  <c r="IA30"/>
  <c r="IA221"/>
  <c r="IA42"/>
  <c r="IA222"/>
  <c r="IA216"/>
  <c r="IA241"/>
  <c r="IA33"/>
  <c r="IA108"/>
  <c r="IA169"/>
  <c r="IA203"/>
  <c r="IA9"/>
  <c r="IA163"/>
  <c r="IA176"/>
  <c r="IA124"/>
  <c r="IA92"/>
  <c r="IA148"/>
  <c r="IA237"/>
  <c r="IA70"/>
  <c r="IA22"/>
  <c r="IA116"/>
  <c r="IA244"/>
  <c r="IA231"/>
  <c r="IA218"/>
  <c r="IA26"/>
  <c r="IA179"/>
  <c r="IA146"/>
  <c r="IA8"/>
  <c r="IA153"/>
  <c r="IA223"/>
  <c r="IA271"/>
  <c r="IA63"/>
  <c r="IA265"/>
  <c r="IA257"/>
  <c r="IA143"/>
  <c r="IA73"/>
  <c r="IA35"/>
  <c r="IA96"/>
  <c r="IA172"/>
  <c r="IA193"/>
  <c r="IA49"/>
  <c r="IA261"/>
  <c r="IA81"/>
  <c r="IA101"/>
  <c r="IA80"/>
  <c r="IA230"/>
  <c r="IA94"/>
  <c r="IA138"/>
  <c r="IA15"/>
  <c r="IA197"/>
  <c r="IA57"/>
  <c r="IA41"/>
  <c r="IA166"/>
  <c r="IA11"/>
  <c r="IA174"/>
  <c r="IA126"/>
  <c r="IA198"/>
  <c r="IA52"/>
  <c r="IA89"/>
  <c r="IA82"/>
  <c r="IA131"/>
  <c r="IA225"/>
  <c r="IA7"/>
  <c r="IA3"/>
  <c r="IA102"/>
  <c r="IA115"/>
  <c r="IA206"/>
  <c r="IA278"/>
  <c r="IA178"/>
  <c r="IA90"/>
  <c r="IA85"/>
  <c r="IA209"/>
  <c r="IA21"/>
  <c r="IA184"/>
  <c r="IA117"/>
  <c r="IA122"/>
  <c r="IA226"/>
  <c r="IA234"/>
  <c r="IA264"/>
  <c r="IA258"/>
  <c r="B6" i="11"/>
  <c r="IA48" i="10"/>
  <c r="C8" i="11" l="1"/>
  <c r="D8" s="1"/>
  <c r="I8" s="1"/>
  <c r="C32"/>
  <c r="C36"/>
  <c r="D36" s="1"/>
  <c r="Q36" s="1"/>
  <c r="C31"/>
  <c r="D31" s="1"/>
  <c r="Q31" s="1"/>
  <c r="C35"/>
  <c r="D35" s="1"/>
  <c r="Q35" s="1"/>
  <c r="C30"/>
  <c r="D30" s="1"/>
  <c r="Q30" s="1"/>
  <c r="C34"/>
  <c r="D34" s="1"/>
  <c r="Q34" s="1"/>
  <c r="C38"/>
  <c r="D38" s="1"/>
  <c r="Q38" s="1"/>
  <c r="C29"/>
  <c r="D29" s="1"/>
  <c r="Q29" s="1"/>
  <c r="C33"/>
  <c r="D33" s="1"/>
  <c r="Q33" s="1"/>
  <c r="C37"/>
  <c r="D37" s="1"/>
  <c r="Q37" s="1"/>
  <c r="C6"/>
  <c r="D6" s="1"/>
  <c r="C19"/>
  <c r="D19" s="1"/>
  <c r="I19" s="1"/>
  <c r="C11"/>
  <c r="D11" s="1"/>
  <c r="C9"/>
  <c r="D9" s="1"/>
  <c r="Q9" s="1"/>
  <c r="C44"/>
  <c r="D44" s="1"/>
  <c r="C16"/>
  <c r="D16" s="1"/>
  <c r="Q16" s="1"/>
  <c r="C12"/>
  <c r="D12" s="1"/>
  <c r="Q12" s="1"/>
  <c r="C20"/>
  <c r="D20" s="1"/>
  <c r="Q20" s="1"/>
  <c r="C39"/>
  <c r="D39" s="1"/>
  <c r="C22"/>
  <c r="D22" s="1"/>
  <c r="Q22" s="1"/>
  <c r="C40"/>
  <c r="D40" s="1"/>
  <c r="C42"/>
  <c r="D42" s="1"/>
  <c r="C13"/>
  <c r="D13" s="1"/>
  <c r="Q13" s="1"/>
  <c r="C27"/>
  <c r="D27" s="1"/>
  <c r="Q27" s="1"/>
  <c r="C28"/>
  <c r="D28" s="1"/>
  <c r="Q28" s="1"/>
  <c r="C17"/>
  <c r="D17" s="1"/>
  <c r="Q17" s="1"/>
  <c r="C15"/>
  <c r="D15" s="1"/>
  <c r="Q15" s="1"/>
  <c r="C41"/>
  <c r="D41" s="1"/>
  <c r="E41" s="1"/>
  <c r="C7"/>
  <c r="D7" s="1"/>
  <c r="Q7" s="1"/>
  <c r="C21"/>
  <c r="D21" s="1"/>
  <c r="Q21" s="1"/>
  <c r="C25"/>
  <c r="D25" s="1"/>
  <c r="Q25" s="1"/>
  <c r="C26"/>
  <c r="D26" s="1"/>
  <c r="Q26" s="1"/>
  <c r="C10"/>
  <c r="D10" s="1"/>
  <c r="Q10" s="1"/>
  <c r="C18"/>
  <c r="D18" s="1"/>
  <c r="Q18" s="1"/>
  <c r="C14"/>
  <c r="D14" s="1"/>
  <c r="Q14" s="1"/>
  <c r="D32"/>
  <c r="Q32" s="1"/>
  <c r="C43"/>
  <c r="D43" s="1"/>
  <c r="C24"/>
  <c r="D24" s="1"/>
  <c r="Q24" s="1"/>
  <c r="C23"/>
  <c r="D23" s="1"/>
  <c r="Q23" s="1"/>
  <c r="J8" l="1"/>
  <c r="H8"/>
  <c r="O8" s="1"/>
  <c r="E40"/>
  <c r="Q40"/>
  <c r="G19"/>
  <c r="N19" s="1"/>
  <c r="Q19"/>
  <c r="E8"/>
  <c r="K8" s="1"/>
  <c r="Q8"/>
  <c r="E39"/>
  <c r="Q39"/>
  <c r="F11"/>
  <c r="L11" s="1"/>
  <c r="Q11"/>
  <c r="F19"/>
  <c r="L19" s="1"/>
  <c r="E6"/>
  <c r="K6" s="1"/>
  <c r="Q6"/>
  <c r="F8"/>
  <c r="G8"/>
  <c r="N8" s="1"/>
  <c r="J19"/>
  <c r="E37"/>
  <c r="K37" s="1"/>
  <c r="G37"/>
  <c r="N37" s="1"/>
  <c r="I37"/>
  <c r="F37"/>
  <c r="H37"/>
  <c r="O37" s="1"/>
  <c r="J37"/>
  <c r="F35"/>
  <c r="H35"/>
  <c r="O35" s="1"/>
  <c r="J35"/>
  <c r="E35"/>
  <c r="K35" s="1"/>
  <c r="G35"/>
  <c r="N35" s="1"/>
  <c r="I35"/>
  <c r="E33"/>
  <c r="K33" s="1"/>
  <c r="G33"/>
  <c r="N33" s="1"/>
  <c r="I33"/>
  <c r="F33"/>
  <c r="H33"/>
  <c r="O33" s="1"/>
  <c r="J33"/>
  <c r="E30"/>
  <c r="K30" s="1"/>
  <c r="G30"/>
  <c r="N30" s="1"/>
  <c r="I30"/>
  <c r="F30"/>
  <c r="H30"/>
  <c r="O30" s="1"/>
  <c r="J30"/>
  <c r="F31"/>
  <c r="H31"/>
  <c r="O31" s="1"/>
  <c r="J31"/>
  <c r="E31"/>
  <c r="K31" s="1"/>
  <c r="G31"/>
  <c r="N31" s="1"/>
  <c r="I31"/>
  <c r="F32"/>
  <c r="H32"/>
  <c r="O32" s="1"/>
  <c r="J32"/>
  <c r="E32"/>
  <c r="K32" s="1"/>
  <c r="G32"/>
  <c r="N32" s="1"/>
  <c r="I32"/>
  <c r="E34"/>
  <c r="K34" s="1"/>
  <c r="G34"/>
  <c r="N34" s="1"/>
  <c r="I34"/>
  <c r="F34"/>
  <c r="H34"/>
  <c r="O34" s="1"/>
  <c r="J34"/>
  <c r="E29"/>
  <c r="K29" s="1"/>
  <c r="G29"/>
  <c r="N29" s="1"/>
  <c r="I29"/>
  <c r="F29"/>
  <c r="H29"/>
  <c r="O29" s="1"/>
  <c r="J29"/>
  <c r="E38"/>
  <c r="K38" s="1"/>
  <c r="G38"/>
  <c r="N38" s="1"/>
  <c r="I38"/>
  <c r="F38"/>
  <c r="H38"/>
  <c r="J38"/>
  <c r="F36"/>
  <c r="H36"/>
  <c r="O36" s="1"/>
  <c r="J36"/>
  <c r="E36"/>
  <c r="K36" s="1"/>
  <c r="G36"/>
  <c r="N36" s="1"/>
  <c r="I36"/>
  <c r="M8"/>
  <c r="L8"/>
  <c r="E11"/>
  <c r="K11" s="1"/>
  <c r="J11"/>
  <c r="J6"/>
  <c r="G11"/>
  <c r="N11" s="1"/>
  <c r="G6"/>
  <c r="N6" s="1"/>
  <c r="I11"/>
  <c r="H11"/>
  <c r="O11" s="1"/>
  <c r="F6"/>
  <c r="I6"/>
  <c r="H6"/>
  <c r="O6" s="1"/>
  <c r="E19"/>
  <c r="K19" s="1"/>
  <c r="H19"/>
  <c r="O19" s="1"/>
  <c r="J18"/>
  <c r="I18"/>
  <c r="F18"/>
  <c r="E18"/>
  <c r="K18" s="1"/>
  <c r="G18"/>
  <c r="N18" s="1"/>
  <c r="H18"/>
  <c r="O18" s="1"/>
  <c r="G27"/>
  <c r="N27" s="1"/>
  <c r="F27"/>
  <c r="J27"/>
  <c r="E27"/>
  <c r="K27" s="1"/>
  <c r="H27"/>
  <c r="O27" s="1"/>
  <c r="I27"/>
  <c r="I28"/>
  <c r="G28"/>
  <c r="N28" s="1"/>
  <c r="H28"/>
  <c r="O28" s="1"/>
  <c r="J28"/>
  <c r="F28"/>
  <c r="E28"/>
  <c r="K28" s="1"/>
  <c r="E16"/>
  <c r="K16" s="1"/>
  <c r="J16"/>
  <c r="I16"/>
  <c r="G16"/>
  <c r="N16" s="1"/>
  <c r="H16"/>
  <c r="O16" s="1"/>
  <c r="F16"/>
  <c r="F43"/>
  <c r="E43"/>
  <c r="F14"/>
  <c r="G14"/>
  <c r="N14" s="1"/>
  <c r="H14"/>
  <c r="O14" s="1"/>
  <c r="E14"/>
  <c r="K14" s="1"/>
  <c r="J14"/>
  <c r="I14"/>
  <c r="J26"/>
  <c r="H26"/>
  <c r="O26" s="1"/>
  <c r="E26"/>
  <c r="K26" s="1"/>
  <c r="G26"/>
  <c r="N26" s="1"/>
  <c r="I26"/>
  <c r="F26"/>
  <c r="J7"/>
  <c r="G7"/>
  <c r="N7" s="1"/>
  <c r="I7"/>
  <c r="E7"/>
  <c r="K7" s="1"/>
  <c r="H7"/>
  <c r="O7" s="1"/>
  <c r="F7"/>
  <c r="H17"/>
  <c r="O17" s="1"/>
  <c r="I17"/>
  <c r="G17"/>
  <c r="N17" s="1"/>
  <c r="J17"/>
  <c r="F17"/>
  <c r="E17"/>
  <c r="K17" s="1"/>
  <c r="E42"/>
  <c r="F42"/>
  <c r="E12"/>
  <c r="K12" s="1"/>
  <c r="H12"/>
  <c r="O12" s="1"/>
  <c r="F12"/>
  <c r="J12"/>
  <c r="I12"/>
  <c r="G12"/>
  <c r="N12" s="1"/>
  <c r="J9"/>
  <c r="E9"/>
  <c r="K9" s="1"/>
  <c r="I9"/>
  <c r="G9"/>
  <c r="N9" s="1"/>
  <c r="F9"/>
  <c r="H9"/>
  <c r="O9" s="1"/>
  <c r="I23"/>
  <c r="H23"/>
  <c r="O23" s="1"/>
  <c r="G23"/>
  <c r="N23" s="1"/>
  <c r="F23"/>
  <c r="E23"/>
  <c r="K23" s="1"/>
  <c r="J23"/>
  <c r="E15"/>
  <c r="K15" s="1"/>
  <c r="J15"/>
  <c r="G15"/>
  <c r="N15" s="1"/>
  <c r="I15"/>
  <c r="F15"/>
  <c r="H15"/>
  <c r="O15" s="1"/>
  <c r="E24"/>
  <c r="K24" s="1"/>
  <c r="H24"/>
  <c r="O24" s="1"/>
  <c r="I24"/>
  <c r="G24"/>
  <c r="N24" s="1"/>
  <c r="J24"/>
  <c r="F24"/>
  <c r="J10"/>
  <c r="H10"/>
  <c r="O10" s="1"/>
  <c r="E10"/>
  <c r="K10" s="1"/>
  <c r="I10"/>
  <c r="F10"/>
  <c r="G10"/>
  <c r="N10" s="1"/>
  <c r="E21"/>
  <c r="K21" s="1"/>
  <c r="G21"/>
  <c r="N21" s="1"/>
  <c r="J21"/>
  <c r="H21"/>
  <c r="O21" s="1"/>
  <c r="I21"/>
  <c r="F21"/>
  <c r="J13"/>
  <c r="I13"/>
  <c r="H13"/>
  <c r="O13" s="1"/>
  <c r="E13"/>
  <c r="K13" s="1"/>
  <c r="G13"/>
  <c r="N13" s="1"/>
  <c r="F13"/>
  <c r="E20"/>
  <c r="K20" s="1"/>
  <c r="G20"/>
  <c r="N20" s="1"/>
  <c r="J20"/>
  <c r="F20"/>
  <c r="I20"/>
  <c r="H20"/>
  <c r="O20" s="1"/>
  <c r="F44"/>
  <c r="E44"/>
  <c r="I25"/>
  <c r="H25"/>
  <c r="O25" s="1"/>
  <c r="E25"/>
  <c r="K25" s="1"/>
  <c r="G25"/>
  <c r="N25" s="1"/>
  <c r="J25"/>
  <c r="F25"/>
  <c r="J22"/>
  <c r="G22"/>
  <c r="N22" s="1"/>
  <c r="E22"/>
  <c r="K22" s="1"/>
  <c r="H22"/>
  <c r="O22" s="1"/>
  <c r="I22"/>
  <c r="F22"/>
  <c r="M19" l="1"/>
  <c r="M11"/>
  <c r="M18"/>
  <c r="L18"/>
  <c r="M23"/>
  <c r="L23"/>
  <c r="M27"/>
  <c r="L27"/>
  <c r="M22"/>
  <c r="L22"/>
  <c r="L20"/>
  <c r="M20"/>
  <c r="L28"/>
  <c r="M28"/>
  <c r="M25"/>
  <c r="L25"/>
  <c r="M21"/>
  <c r="L21"/>
  <c r="L24"/>
  <c r="M24"/>
  <c r="M26"/>
  <c r="L26"/>
  <c r="L31"/>
  <c r="M31"/>
  <c r="M29"/>
  <c r="L29"/>
  <c r="M30"/>
  <c r="L30"/>
  <c r="M36"/>
  <c r="L36"/>
  <c r="M32"/>
  <c r="L32"/>
  <c r="L35"/>
  <c r="M35"/>
  <c r="M38"/>
  <c r="L38"/>
  <c r="M34"/>
  <c r="L34"/>
  <c r="M33"/>
  <c r="L33"/>
  <c r="M37"/>
  <c r="L37"/>
  <c r="M10"/>
  <c r="L10"/>
  <c r="M9"/>
  <c r="L9"/>
  <c r="M12"/>
  <c r="L12"/>
  <c r="M14"/>
  <c r="L14"/>
  <c r="M13"/>
  <c r="L13"/>
  <c r="M7"/>
  <c r="L7"/>
  <c r="M16"/>
  <c r="L16"/>
  <c r="M15"/>
  <c r="L15"/>
  <c r="M17"/>
  <c r="L17"/>
  <c r="M6"/>
  <c r="L6"/>
</calcChain>
</file>

<file path=xl/comments1.xml><?xml version="1.0" encoding="utf-8"?>
<comments xmlns="http://schemas.openxmlformats.org/spreadsheetml/2006/main">
  <authors>
    <author>Erwans 12</author>
  </authors>
  <commentList>
    <comment ref="B5" authorId="0">
      <text>
        <r>
          <rPr>
            <sz val="9"/>
            <color indexed="81"/>
            <rFont val="Tahoma"/>
            <family val="2"/>
          </rPr>
          <t xml:space="preserve">Sélectionnez la classe désirée
</t>
        </r>
      </text>
    </comment>
  </commentList>
</comments>
</file>

<file path=xl/sharedStrings.xml><?xml version="1.0" encoding="utf-8"?>
<sst xmlns="http://schemas.openxmlformats.org/spreadsheetml/2006/main" count="4480" uniqueCount="857">
  <si>
    <t>Term CF</t>
  </si>
  <si>
    <t>Term TCVA</t>
  </si>
  <si>
    <t>2e CF</t>
  </si>
  <si>
    <t>BTS 1</t>
  </si>
  <si>
    <t>BTS 2</t>
  </si>
  <si>
    <t>2e GT</t>
  </si>
  <si>
    <t>1e CGEA</t>
  </si>
  <si>
    <t>2e CGEA</t>
  </si>
  <si>
    <t>1e STAV</t>
  </si>
  <si>
    <t>Term CGEA</t>
  </si>
  <si>
    <t>1e TCVA</t>
  </si>
  <si>
    <t>2e TCVA</t>
  </si>
  <si>
    <t>3e EA</t>
  </si>
  <si>
    <t>Term STAV</t>
  </si>
  <si>
    <t>1e CF</t>
  </si>
  <si>
    <t>Classes</t>
  </si>
  <si>
    <t>10h25</t>
  </si>
  <si>
    <t>11h20</t>
  </si>
  <si>
    <t>13h35</t>
  </si>
  <si>
    <t>14h30</t>
  </si>
  <si>
    <t>15h30</t>
  </si>
  <si>
    <t>16h30</t>
  </si>
  <si>
    <t>Jours</t>
  </si>
  <si>
    <t>08h30</t>
  </si>
  <si>
    <t>09h20</t>
  </si>
  <si>
    <t>12h15</t>
  </si>
  <si>
    <t>Lundi</t>
  </si>
  <si>
    <t>Mardi</t>
  </si>
  <si>
    <t>Mercredi</t>
  </si>
  <si>
    <t>Jeudi</t>
  </si>
  <si>
    <t>Vendredi</t>
  </si>
  <si>
    <t>Chambres 2em étage fille</t>
  </si>
  <si>
    <t>a venir</t>
  </si>
  <si>
    <t>Chambres 1er étages filles</t>
  </si>
  <si>
    <t>Genre</t>
  </si>
  <si>
    <t>Régime</t>
  </si>
  <si>
    <t>A venir</t>
  </si>
  <si>
    <t>Chambres rez de chaussée garcons</t>
  </si>
  <si>
    <t xml:space="preserve">Chambres 1er étage garcons </t>
  </si>
  <si>
    <t xml:space="preserve"> vc </t>
  </si>
  <si>
    <t>G</t>
  </si>
  <si>
    <t>EXT</t>
  </si>
  <si>
    <t>vxvxc cx</t>
  </si>
  <si>
    <t>cvxx</t>
  </si>
  <si>
    <t>fgdfg</t>
  </si>
  <si>
    <t>F</t>
  </si>
  <si>
    <t>DP</t>
  </si>
  <si>
    <t>cbxcbxcx</t>
  </si>
  <si>
    <t>xbcxb</t>
  </si>
  <si>
    <t xml:space="preserve"> xcvxvxf</t>
  </si>
  <si>
    <t>INT</t>
  </si>
  <si>
    <t>CHAMBRES FILLES 1e ETAGE</t>
  </si>
  <si>
    <t>Effectifs:</t>
  </si>
  <si>
    <t>CHAMBRE</t>
  </si>
  <si>
    <t>NOM</t>
  </si>
  <si>
    <t>PRENOM</t>
  </si>
  <si>
    <t>CLASSE</t>
  </si>
  <si>
    <t>Dimanche</t>
  </si>
  <si>
    <t xml:space="preserve">Mercredi </t>
  </si>
  <si>
    <t>CHAMBRES FILLES 2e ETAGE</t>
  </si>
  <si>
    <t>Année</t>
  </si>
  <si>
    <t>lits:</t>
  </si>
  <si>
    <t>Surveillantes</t>
  </si>
  <si>
    <t>Douches</t>
  </si>
  <si>
    <t>Sanitaires</t>
  </si>
  <si>
    <t>Nom</t>
  </si>
  <si>
    <t>Prénom</t>
  </si>
  <si>
    <t>Date de naissance</t>
  </si>
  <si>
    <t>Age</t>
  </si>
  <si>
    <t>Classe</t>
  </si>
  <si>
    <t>a venir2</t>
  </si>
  <si>
    <t>Colonne3</t>
  </si>
  <si>
    <t>Dossier Complet ?</t>
  </si>
  <si>
    <t>Chambre</t>
  </si>
  <si>
    <t>N° de Casier</t>
  </si>
  <si>
    <t>Prénom Rep Légal 1</t>
  </si>
  <si>
    <t>Adresse 1</t>
  </si>
  <si>
    <t>Code Postal 1</t>
  </si>
  <si>
    <t>Ville 1</t>
  </si>
  <si>
    <t>Tel fixe 1</t>
  </si>
  <si>
    <t>Tel Mob 1</t>
  </si>
  <si>
    <t>E.Mail 1</t>
  </si>
  <si>
    <t>Chambre2</t>
  </si>
  <si>
    <t>Civilité 2</t>
  </si>
  <si>
    <t>Nom Rep Légal 2</t>
  </si>
  <si>
    <t>Prénom Rep Légal 2</t>
  </si>
  <si>
    <t>Adresse 2</t>
  </si>
  <si>
    <t>Code Postal 2</t>
  </si>
  <si>
    <t>Ville 2</t>
  </si>
  <si>
    <t>Tel Fixe 2</t>
  </si>
  <si>
    <t>Tel Mobile 2</t>
  </si>
  <si>
    <t xml:space="preserve">E Mail 2 </t>
  </si>
  <si>
    <t>Lien Parenté 2</t>
  </si>
  <si>
    <t>Validation</t>
  </si>
  <si>
    <t>Colonne1</t>
  </si>
  <si>
    <t>Colonne2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</si>
  <si>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</si>
  <si>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</si>
  <si>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</si>
  <si>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</si>
  <si>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</si>
  <si>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</si>
  <si>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</si>
  <si>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</si>
  <si>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</si>
  <si>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</si>
  <si>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</si>
  <si>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Vacances de la Toussaint</t>
  </si>
  <si>
    <t>Vacances de Noël</t>
  </si>
  <si>
    <t>Vacances d'Hivers</t>
  </si>
  <si>
    <t>Vacances de Päques</t>
  </si>
  <si>
    <t>Vacances d'été</t>
  </si>
  <si>
    <t>Camp 1</t>
  </si>
  <si>
    <t>Camp 2</t>
  </si>
  <si>
    <t>Camp 3</t>
  </si>
  <si>
    <t>Camp4</t>
  </si>
  <si>
    <t>Mercredi1</t>
  </si>
  <si>
    <t>Remarque</t>
  </si>
  <si>
    <t>Diphtérie</t>
  </si>
  <si>
    <t>Diphtérie2</t>
  </si>
  <si>
    <t>Date</t>
  </si>
  <si>
    <t>lundi</t>
  </si>
  <si>
    <t>Date2</t>
  </si>
  <si>
    <t>5 jours</t>
  </si>
  <si>
    <t>4 jours</t>
  </si>
  <si>
    <t>Date3</t>
  </si>
  <si>
    <t>DT polio</t>
  </si>
  <si>
    <t>DT polio2</t>
  </si>
  <si>
    <t>Date4</t>
  </si>
  <si>
    <t>Tétracoq</t>
  </si>
  <si>
    <t>Tétracoq2</t>
  </si>
  <si>
    <t>Date5</t>
  </si>
  <si>
    <t>BCG</t>
  </si>
  <si>
    <t>BCG2</t>
  </si>
  <si>
    <t>Date6</t>
  </si>
  <si>
    <t>Hépatite B</t>
  </si>
  <si>
    <t>Hépatite B2</t>
  </si>
  <si>
    <t>Date7</t>
  </si>
  <si>
    <t>Rubéole-</t>
  </si>
  <si>
    <t>Rubéole-2</t>
  </si>
  <si>
    <t>Date8</t>
  </si>
  <si>
    <t>Coqueluche</t>
  </si>
  <si>
    <t>Coqueluche2</t>
  </si>
  <si>
    <t>Date9</t>
  </si>
  <si>
    <t>Autres (préciser)</t>
  </si>
  <si>
    <t>Autres (préciser)2</t>
  </si>
  <si>
    <t>Date10</t>
  </si>
  <si>
    <t>Allergies Médicamenteuses</t>
  </si>
  <si>
    <t>Allergies Médicamenteuses1</t>
  </si>
  <si>
    <t>asthme</t>
  </si>
  <si>
    <t>asthme1</t>
  </si>
  <si>
    <t>Précisez la cause</t>
  </si>
  <si>
    <t>Végétarien</t>
  </si>
  <si>
    <t>Végétalien</t>
  </si>
  <si>
    <t>Sans Porc</t>
  </si>
  <si>
    <t>Sans Aïl, Oignon, Echalote, Champignon</t>
  </si>
  <si>
    <t>chambre3</t>
  </si>
  <si>
    <t>Allergies Alimentaires2</t>
  </si>
  <si>
    <t>Allergies Alimentaires3</t>
  </si>
  <si>
    <t>Allergies Alimentaires4</t>
  </si>
  <si>
    <t>Allergies Alimentaires5</t>
  </si>
  <si>
    <t>Allergies Alimentaires6</t>
  </si>
  <si>
    <t>chambre4</t>
  </si>
  <si>
    <t>Autres Allergies 2</t>
  </si>
  <si>
    <t>Autres Allergies 3</t>
  </si>
  <si>
    <t>Autres Allergies 4</t>
  </si>
  <si>
    <t>Autres Allergies 5</t>
  </si>
  <si>
    <t>Autres Allergies 6</t>
  </si>
  <si>
    <t xml:space="preserve">traitement médical </t>
  </si>
  <si>
    <t>traitement médical 2</t>
  </si>
  <si>
    <t xml:space="preserve">RUBÉOLE   </t>
  </si>
  <si>
    <t>RUBÉOLE   2</t>
  </si>
  <si>
    <t xml:space="preserve">VARICELLE   </t>
  </si>
  <si>
    <t>VARICELLE   2</t>
  </si>
  <si>
    <t xml:space="preserve">ANGINE   </t>
  </si>
  <si>
    <t>ANGINE   2</t>
  </si>
  <si>
    <t xml:space="preserve">SCARLATINE   </t>
  </si>
  <si>
    <t>SCARLATINE   2</t>
  </si>
  <si>
    <t xml:space="preserve">COQUELUCHE   </t>
  </si>
  <si>
    <t>COQUELUCHE   2</t>
  </si>
  <si>
    <t xml:space="preserve">ROUGEOLE   </t>
  </si>
  <si>
    <t>ROUGEOLE   2</t>
  </si>
  <si>
    <t xml:space="preserve">OREILLONS   </t>
  </si>
  <si>
    <t>OREILLONS   2</t>
  </si>
  <si>
    <t xml:space="preserve">OTITE     </t>
  </si>
  <si>
    <t>OTITE     2</t>
  </si>
  <si>
    <t xml:space="preserve">RHUMATISME </t>
  </si>
  <si>
    <t>RHUMATISME 2</t>
  </si>
  <si>
    <t>Difficultés de santé</t>
  </si>
  <si>
    <t>Occurrence2</t>
  </si>
  <si>
    <t>Séquence3</t>
  </si>
  <si>
    <t>Occurrence3</t>
  </si>
  <si>
    <t>Séquence4</t>
  </si>
  <si>
    <t>Occurrence4</t>
  </si>
  <si>
    <t>Séquence5</t>
  </si>
  <si>
    <t>Occurrence5</t>
  </si>
  <si>
    <t>Séquence6</t>
  </si>
  <si>
    <t>Occurrence6</t>
  </si>
  <si>
    <t>Séquence7</t>
  </si>
  <si>
    <t>Occurrence7</t>
  </si>
  <si>
    <t>Séquence8</t>
  </si>
  <si>
    <t>Occurrence8</t>
  </si>
  <si>
    <t>Séquence9</t>
  </si>
  <si>
    <t>Occurrence9</t>
  </si>
  <si>
    <t>Séquence10</t>
  </si>
  <si>
    <t>Occurrence10</t>
  </si>
  <si>
    <t>Séquence11</t>
  </si>
  <si>
    <t>Occurrence11</t>
  </si>
  <si>
    <t>Séquence12</t>
  </si>
  <si>
    <t>Occurrence12</t>
  </si>
  <si>
    <t>Séquence13</t>
  </si>
  <si>
    <t>Occurrence13</t>
  </si>
  <si>
    <t>Séquence14</t>
  </si>
  <si>
    <t>Occurrence14</t>
  </si>
  <si>
    <t>Séquence15</t>
  </si>
  <si>
    <t>Occurrence15</t>
  </si>
  <si>
    <t>Séquence16</t>
  </si>
  <si>
    <t>Occurrence16</t>
  </si>
  <si>
    <t>Séquence17</t>
  </si>
  <si>
    <t>Occurrence17</t>
  </si>
  <si>
    <t>Séquence18</t>
  </si>
  <si>
    <t>Occurrence18</t>
  </si>
  <si>
    <t>Séquence19</t>
  </si>
  <si>
    <t>Occurrence19</t>
  </si>
  <si>
    <t>Séquence20</t>
  </si>
  <si>
    <t>Occurrence20</t>
  </si>
  <si>
    <t>Séquence21</t>
  </si>
  <si>
    <t>Occurrence21</t>
  </si>
  <si>
    <t>Séquence22</t>
  </si>
  <si>
    <t>Occurrence22</t>
  </si>
  <si>
    <t>Séquence23</t>
  </si>
  <si>
    <t>Occurrence23</t>
  </si>
  <si>
    <t>Séquence24</t>
  </si>
  <si>
    <t>Occurrence24</t>
  </si>
  <si>
    <t>Séquence25</t>
  </si>
  <si>
    <t>Occurrence25</t>
  </si>
  <si>
    <t>Séquence26</t>
  </si>
  <si>
    <t>Occurrence26</t>
  </si>
  <si>
    <t>Séquence27</t>
  </si>
  <si>
    <t>Occurrence</t>
  </si>
  <si>
    <t>Séquence</t>
  </si>
  <si>
    <t>AGUERA</t>
  </si>
  <si>
    <t>Melany</t>
  </si>
  <si>
    <t>21/06/2000</t>
  </si>
  <si>
    <t/>
  </si>
  <si>
    <t>205</t>
  </si>
  <si>
    <t>AKARID</t>
  </si>
  <si>
    <t>Arnaud</t>
  </si>
  <si>
    <t>ALAUX</t>
  </si>
  <si>
    <t>Alicia</t>
  </si>
  <si>
    <t>ALBAGNAC</t>
  </si>
  <si>
    <t>Maylis</t>
  </si>
  <si>
    <t>ALBINET</t>
  </si>
  <si>
    <t>Romain</t>
  </si>
  <si>
    <t>AMIEL</t>
  </si>
  <si>
    <t>Rachel</t>
  </si>
  <si>
    <t>ARIZA</t>
  </si>
  <si>
    <t>Esteban</t>
  </si>
  <si>
    <t>AVET</t>
  </si>
  <si>
    <t>Eleane</t>
  </si>
  <si>
    <t>BABOULENE</t>
  </si>
  <si>
    <t>Lucas</t>
  </si>
  <si>
    <t>BALAYSSAC</t>
  </si>
  <si>
    <t>Benjamin</t>
  </si>
  <si>
    <t>BARBER-MARTIN</t>
  </si>
  <si>
    <t>Nathan</t>
  </si>
  <si>
    <t>BARREAU</t>
  </si>
  <si>
    <t>Pauline</t>
  </si>
  <si>
    <t>BARRUCAND</t>
  </si>
  <si>
    <t>Thibault</t>
  </si>
  <si>
    <t>BARTHELEMY</t>
  </si>
  <si>
    <t>Elsa</t>
  </si>
  <si>
    <t>BAUBY</t>
  </si>
  <si>
    <t>Maxence</t>
  </si>
  <si>
    <t>BAULES</t>
  </si>
  <si>
    <t>Guillaume</t>
  </si>
  <si>
    <t>BEAUFILS</t>
  </si>
  <si>
    <t>Mathilde</t>
  </si>
  <si>
    <t>BEDOS</t>
  </si>
  <si>
    <t>BELLOUBET</t>
  </si>
  <si>
    <t>Maëlys</t>
  </si>
  <si>
    <t>BELOU</t>
  </si>
  <si>
    <t>Marie</t>
  </si>
  <si>
    <t>BERARD</t>
  </si>
  <si>
    <t>Mélanie</t>
  </si>
  <si>
    <t>BERNARD</t>
  </si>
  <si>
    <t>Nicolas</t>
  </si>
  <si>
    <t>Anissa</t>
  </si>
  <si>
    <t>BERTRAND</t>
  </si>
  <si>
    <t>Alexia</t>
  </si>
  <si>
    <t>BESSE</t>
  </si>
  <si>
    <t>Nadège</t>
  </si>
  <si>
    <t>BILLET</t>
  </si>
  <si>
    <t>Alexis</t>
  </si>
  <si>
    <t>BILLOT</t>
  </si>
  <si>
    <t>Lucie</t>
  </si>
  <si>
    <t>BOISSARIE</t>
  </si>
  <si>
    <t>Antoine</t>
  </si>
  <si>
    <t>BOMPA</t>
  </si>
  <si>
    <t>Armande</t>
  </si>
  <si>
    <t>BONNEFON</t>
  </si>
  <si>
    <t>Auriane</t>
  </si>
  <si>
    <t>BONNEFOY</t>
  </si>
  <si>
    <t>Lou</t>
  </si>
  <si>
    <t>BONNET</t>
  </si>
  <si>
    <t>BOUCHEYROU</t>
  </si>
  <si>
    <t>Arthur</t>
  </si>
  <si>
    <t>BOUDET</t>
  </si>
  <si>
    <t>Landry</t>
  </si>
  <si>
    <t>BOULAROT</t>
  </si>
  <si>
    <t>Inès</t>
  </si>
  <si>
    <t>BOUNY</t>
  </si>
  <si>
    <t>Florian</t>
  </si>
  <si>
    <t>BOUSTIE</t>
  </si>
  <si>
    <t>Axel</t>
  </si>
  <si>
    <t>BOUTINON</t>
  </si>
  <si>
    <t>Elhea</t>
  </si>
  <si>
    <t>CABRIDENS</t>
  </si>
  <si>
    <t>Martin</t>
  </si>
  <si>
    <t>CALMETTES</t>
  </si>
  <si>
    <t>CAMMARATA</t>
  </si>
  <si>
    <t>Zoé</t>
  </si>
  <si>
    <t>CANET</t>
  </si>
  <si>
    <t>Gabriel</t>
  </si>
  <si>
    <t>CANNAC</t>
  </si>
  <si>
    <t>CANTALOUBE</t>
  </si>
  <si>
    <t>Maeva</t>
  </si>
  <si>
    <t>CAPELLE</t>
  </si>
  <si>
    <t>Amandine</t>
  </si>
  <si>
    <t>CAPUT</t>
  </si>
  <si>
    <t>Jean-Baptiste</t>
  </si>
  <si>
    <t>CARDON</t>
  </si>
  <si>
    <t>CARNEADO</t>
  </si>
  <si>
    <t>Léa</t>
  </si>
  <si>
    <t>CARROZZA</t>
  </si>
  <si>
    <t>Chloé</t>
  </si>
  <si>
    <t>CARRY</t>
  </si>
  <si>
    <t>Clémence</t>
  </si>
  <si>
    <t>CARVALHO</t>
  </si>
  <si>
    <t>CASSAN</t>
  </si>
  <si>
    <t>Cedric</t>
  </si>
  <si>
    <t>CASTANIE</t>
  </si>
  <si>
    <t>Bruno</t>
  </si>
  <si>
    <t>CASTELBOU</t>
  </si>
  <si>
    <t>Julien</t>
  </si>
  <si>
    <t>CAUSSIGNAC</t>
  </si>
  <si>
    <t>Lise</t>
  </si>
  <si>
    <t>CAVAIGNAC</t>
  </si>
  <si>
    <t>Axelle</t>
  </si>
  <si>
    <t>CAYRE</t>
  </si>
  <si>
    <t>Charlotte</t>
  </si>
  <si>
    <t>CAYROL</t>
  </si>
  <si>
    <t>Ugo</t>
  </si>
  <si>
    <t>CAZES</t>
  </si>
  <si>
    <t>Lauryne</t>
  </si>
  <si>
    <t>CHAPLAIN</t>
  </si>
  <si>
    <t>Lisa</t>
  </si>
  <si>
    <t>CHARBONNIER</t>
  </si>
  <si>
    <t>Gauthier</t>
  </si>
  <si>
    <t>CID</t>
  </si>
  <si>
    <t>Quentin</t>
  </si>
  <si>
    <t>CLEDEL</t>
  </si>
  <si>
    <t>Hugo</t>
  </si>
  <si>
    <t>CONSTANTIN</t>
  </si>
  <si>
    <t>COSTE</t>
  </si>
  <si>
    <t>Laurine</t>
  </si>
  <si>
    <t>COSTES</t>
  </si>
  <si>
    <t>Manon</t>
  </si>
  <si>
    <t>COUDERC</t>
  </si>
  <si>
    <t>Maxime</t>
  </si>
  <si>
    <t>COURNEDE</t>
  </si>
  <si>
    <t>Mathieu</t>
  </si>
  <si>
    <t>COUSTEAU</t>
  </si>
  <si>
    <t>COUTEL</t>
  </si>
  <si>
    <t>CROM</t>
  </si>
  <si>
    <t>Coline</t>
  </si>
  <si>
    <t>CROS</t>
  </si>
  <si>
    <t>CUBAYNES</t>
  </si>
  <si>
    <t>Baptiste</t>
  </si>
  <si>
    <t>DALMASSO</t>
  </si>
  <si>
    <t>DAOUT</t>
  </si>
  <si>
    <t>Camille</t>
  </si>
  <si>
    <t>DASSIE</t>
  </si>
  <si>
    <t>Laura</t>
  </si>
  <si>
    <t>DE JESUS</t>
  </si>
  <si>
    <t>DE SOUZA</t>
  </si>
  <si>
    <t>Jade</t>
  </si>
  <si>
    <t>DECROS</t>
  </si>
  <si>
    <t>Julianne</t>
  </si>
  <si>
    <t>DEGUIRARD</t>
  </si>
  <si>
    <t>Vanessa</t>
  </si>
  <si>
    <t>DELBOS</t>
  </si>
  <si>
    <t>DELBOURG</t>
  </si>
  <si>
    <t>Raphael</t>
  </si>
  <si>
    <t>DELMAS</t>
  </si>
  <si>
    <t>Océane</t>
  </si>
  <si>
    <t>DELMOND</t>
  </si>
  <si>
    <t>Romaric</t>
  </si>
  <si>
    <t>DERSY</t>
  </si>
  <si>
    <t>Alexandra</t>
  </si>
  <si>
    <t>DESPIERRE</t>
  </si>
  <si>
    <t>Lorinda</t>
  </si>
  <si>
    <t>DESTANG</t>
  </si>
  <si>
    <t>Antonin</t>
  </si>
  <si>
    <t>DESTRUEL</t>
  </si>
  <si>
    <t>Jérémy</t>
  </si>
  <si>
    <t>DUCHESNE</t>
  </si>
  <si>
    <t>DUEE</t>
  </si>
  <si>
    <t>DUPUIS</t>
  </si>
  <si>
    <t>Coralie</t>
  </si>
  <si>
    <t>ESCAICH</t>
  </si>
  <si>
    <t>FABRE</t>
  </si>
  <si>
    <t>Anaïs</t>
  </si>
  <si>
    <t>Audrey</t>
  </si>
  <si>
    <t>FAU</t>
  </si>
  <si>
    <t>Emmy</t>
  </si>
  <si>
    <t>FAVRE</t>
  </si>
  <si>
    <t>Gwendoline</t>
  </si>
  <si>
    <t>FAYE</t>
  </si>
  <si>
    <t>FAYOLLE</t>
  </si>
  <si>
    <t>Solène</t>
  </si>
  <si>
    <t>FOISSAC</t>
  </si>
  <si>
    <t>Léo</t>
  </si>
  <si>
    <t>FOULQUIER</t>
  </si>
  <si>
    <t>Clery</t>
  </si>
  <si>
    <t>FOURNIERE</t>
  </si>
  <si>
    <t>FRESQUET</t>
  </si>
  <si>
    <t>Justin</t>
  </si>
  <si>
    <t>FRYON</t>
  </si>
  <si>
    <t>Louis</t>
  </si>
  <si>
    <t>GACHOD</t>
  </si>
  <si>
    <t>Juliette</t>
  </si>
  <si>
    <t>GALES</t>
  </si>
  <si>
    <t>GARES</t>
  </si>
  <si>
    <t>Lola</t>
  </si>
  <si>
    <t>GARIVET</t>
  </si>
  <si>
    <t>GARNERO</t>
  </si>
  <si>
    <t>Logan</t>
  </si>
  <si>
    <t>GATIGNOL THIBAULT</t>
  </si>
  <si>
    <t>Fabien</t>
  </si>
  <si>
    <t>GERAERT</t>
  </si>
  <si>
    <t>Emilie</t>
  </si>
  <si>
    <t>GONTIER</t>
  </si>
  <si>
    <t>Saphir</t>
  </si>
  <si>
    <t>GOUT</t>
  </si>
  <si>
    <t>Lucile</t>
  </si>
  <si>
    <t>GRAMMONT</t>
  </si>
  <si>
    <t>Matthieu</t>
  </si>
  <si>
    <t>GRASSIN</t>
  </si>
  <si>
    <t>Dasha</t>
  </si>
  <si>
    <t>GREGOIRE</t>
  </si>
  <si>
    <t>Elisa</t>
  </si>
  <si>
    <t>GRIBALDO</t>
  </si>
  <si>
    <t>GROS</t>
  </si>
  <si>
    <t>GUEVEL</t>
  </si>
  <si>
    <t>Allan</t>
  </si>
  <si>
    <t>GUIBAL</t>
  </si>
  <si>
    <t>Emma</t>
  </si>
  <si>
    <t>GUILLERMIN</t>
  </si>
  <si>
    <t>Yorick</t>
  </si>
  <si>
    <t>HAMARD</t>
  </si>
  <si>
    <t>Sharly</t>
  </si>
  <si>
    <t>HAURY</t>
  </si>
  <si>
    <t>HECQUET</t>
  </si>
  <si>
    <t>HEMONO</t>
  </si>
  <si>
    <t>IMBERT</t>
  </si>
  <si>
    <t>IZQUIERDO</t>
  </si>
  <si>
    <t>Alexian</t>
  </si>
  <si>
    <t>JARDIN</t>
  </si>
  <si>
    <t>Jessica</t>
  </si>
  <si>
    <t>JOIE</t>
  </si>
  <si>
    <t>Estelle</t>
  </si>
  <si>
    <t>JOLLY</t>
  </si>
  <si>
    <t>Cindy</t>
  </si>
  <si>
    <t>JONQUIERES</t>
  </si>
  <si>
    <t>Théophile</t>
  </si>
  <si>
    <t>JOSEPH-EDMOND</t>
  </si>
  <si>
    <t>JOUCLAS</t>
  </si>
  <si>
    <t>JOUGLAS</t>
  </si>
  <si>
    <t>JULIEN</t>
  </si>
  <si>
    <t>Agathe</t>
  </si>
  <si>
    <t>LACHAIZE</t>
  </si>
  <si>
    <t>Sherly</t>
  </si>
  <si>
    <t>LACIPIERE</t>
  </si>
  <si>
    <t>Lucia</t>
  </si>
  <si>
    <t>LACOSTE</t>
  </si>
  <si>
    <t>Marion</t>
  </si>
  <si>
    <t>LAFAGE</t>
  </si>
  <si>
    <t>LALANNE</t>
  </si>
  <si>
    <t>Rémi</t>
  </si>
  <si>
    <t>LAMOTHE</t>
  </si>
  <si>
    <t>LAPOUGE</t>
  </si>
  <si>
    <t>Jeremy</t>
  </si>
  <si>
    <t>LARNAUDIE</t>
  </si>
  <si>
    <t>Clara</t>
  </si>
  <si>
    <t>Lorie</t>
  </si>
  <si>
    <t>LARROCHE</t>
  </si>
  <si>
    <t>Elise</t>
  </si>
  <si>
    <t>LAUNAY</t>
  </si>
  <si>
    <t>Remi</t>
  </si>
  <si>
    <t>LAURENT</t>
  </si>
  <si>
    <t>Margot</t>
  </si>
  <si>
    <t>LAURISSON</t>
  </si>
  <si>
    <t>Cassandre</t>
  </si>
  <si>
    <t>LEGRAND</t>
  </si>
  <si>
    <t>Eva</t>
  </si>
  <si>
    <t>LEMAZURIER</t>
  </si>
  <si>
    <t>Doriane</t>
  </si>
  <si>
    <t>LEON-DUFOUR</t>
  </si>
  <si>
    <t>Clarisse</t>
  </si>
  <si>
    <t>LETOURNEUR</t>
  </si>
  <si>
    <t>LISIEWICZ</t>
  </si>
  <si>
    <t>Alexandre</t>
  </si>
  <si>
    <t>LOMBARD</t>
  </si>
  <si>
    <t>Océanne</t>
  </si>
  <si>
    <t>LOUGE</t>
  </si>
  <si>
    <t>Simon</t>
  </si>
  <si>
    <t>MAILLE</t>
  </si>
  <si>
    <t>Sophie</t>
  </si>
  <si>
    <t>MALARET</t>
  </si>
  <si>
    <t>MALET</t>
  </si>
  <si>
    <t>MALEVILLE</t>
  </si>
  <si>
    <t>Vincent</t>
  </si>
  <si>
    <t>MALIRAT</t>
  </si>
  <si>
    <t>MALVEZIN</t>
  </si>
  <si>
    <t>Sylvain</t>
  </si>
  <si>
    <t>MANCEAU</t>
  </si>
  <si>
    <t>MARCADE</t>
  </si>
  <si>
    <t>MARCOLIN</t>
  </si>
  <si>
    <t>Ludovic</t>
  </si>
  <si>
    <t>MARMOITON</t>
  </si>
  <si>
    <t>Lukas</t>
  </si>
  <si>
    <t>MASDIEU</t>
  </si>
  <si>
    <t>MAUPAS</t>
  </si>
  <si>
    <t>MAURY</t>
  </si>
  <si>
    <t>MAZARGUIL</t>
  </si>
  <si>
    <t>MAZET</t>
  </si>
  <si>
    <t>Anthony</t>
  </si>
  <si>
    <t>MECKES</t>
  </si>
  <si>
    <t>Victor</t>
  </si>
  <si>
    <t>MEDINA</t>
  </si>
  <si>
    <t>MEHATS</t>
  </si>
  <si>
    <t>MENARD</t>
  </si>
  <si>
    <t>MENRAS</t>
  </si>
  <si>
    <t>Pierre</t>
  </si>
  <si>
    <t>MERVIEL</t>
  </si>
  <si>
    <t>Emeline</t>
  </si>
  <si>
    <t>MOISSON</t>
  </si>
  <si>
    <t>MOLES</t>
  </si>
  <si>
    <t>MOLINIE</t>
  </si>
  <si>
    <t>Morgane</t>
  </si>
  <si>
    <t>MONTEIRO</t>
  </si>
  <si>
    <t>Eulalie</t>
  </si>
  <si>
    <t>MORTIER</t>
  </si>
  <si>
    <t>Laurie</t>
  </si>
  <si>
    <t>MOSQUEIRO</t>
  </si>
  <si>
    <t>Jean Baptiste</t>
  </si>
  <si>
    <t>MOUCHONNET</t>
  </si>
  <si>
    <t>MOUTINHO</t>
  </si>
  <si>
    <t>MOYSSET</t>
  </si>
  <si>
    <t>Chrislain</t>
  </si>
  <si>
    <t>MUR</t>
  </si>
  <si>
    <t>NEUENS</t>
  </si>
  <si>
    <t>Tiphany</t>
  </si>
  <si>
    <t>NGUYEN</t>
  </si>
  <si>
    <t>Thi-Kim-Thu</t>
  </si>
  <si>
    <t>NUNES</t>
  </si>
  <si>
    <t>Rayan</t>
  </si>
  <si>
    <t>OLIVIE</t>
  </si>
  <si>
    <t>Adrien</t>
  </si>
  <si>
    <t>PAGES</t>
  </si>
  <si>
    <t>PAJOT</t>
  </si>
  <si>
    <t>Ophelie</t>
  </si>
  <si>
    <t>PELIZZARI</t>
  </si>
  <si>
    <t>PEREIRA</t>
  </si>
  <si>
    <t>Edith</t>
  </si>
  <si>
    <t>Cidgy</t>
  </si>
  <si>
    <t>PERIE</t>
  </si>
  <si>
    <t>PERROT</t>
  </si>
  <si>
    <t>PESTEIL</t>
  </si>
  <si>
    <t>Loic</t>
  </si>
  <si>
    <t>PEYRILLES</t>
  </si>
  <si>
    <t>Maeliss</t>
  </si>
  <si>
    <t>PEZIN</t>
  </si>
  <si>
    <t>Jean Marie</t>
  </si>
  <si>
    <t>PICILI</t>
  </si>
  <si>
    <t>PIQUEMAL</t>
  </si>
  <si>
    <t>PLANCHET</t>
  </si>
  <si>
    <t>Tristan</t>
  </si>
  <si>
    <t>POLI</t>
  </si>
  <si>
    <t>Eddy</t>
  </si>
  <si>
    <t>PONS</t>
  </si>
  <si>
    <t>POULET</t>
  </si>
  <si>
    <t>Grégory</t>
  </si>
  <si>
    <t>Aurélie</t>
  </si>
  <si>
    <t>POURCEL</t>
  </si>
  <si>
    <t>PRADEL</t>
  </si>
  <si>
    <t>PRIVAT</t>
  </si>
  <si>
    <t>Elois</t>
  </si>
  <si>
    <t>PUECH</t>
  </si>
  <si>
    <t>Laetitia</t>
  </si>
  <si>
    <t>PY</t>
  </si>
  <si>
    <t>QUILLARD</t>
  </si>
  <si>
    <t>Célia</t>
  </si>
  <si>
    <t>RAILLARD</t>
  </si>
  <si>
    <t>Gwenael</t>
  </si>
  <si>
    <t>RAMADIER</t>
  </si>
  <si>
    <t>RAMES</t>
  </si>
  <si>
    <t>Valentine</t>
  </si>
  <si>
    <t>RAUFFET</t>
  </si>
  <si>
    <t>REUS</t>
  </si>
  <si>
    <t>Solen</t>
  </si>
  <si>
    <t>REVEL</t>
  </si>
  <si>
    <t>Manueva</t>
  </si>
  <si>
    <t>RIBOT</t>
  </si>
  <si>
    <t>Gwenaelle</t>
  </si>
  <si>
    <t>ROBERT</t>
  </si>
  <si>
    <t>RODES</t>
  </si>
  <si>
    <t>Lea</t>
  </si>
  <si>
    <t>RONZIER</t>
  </si>
  <si>
    <t>Mélissa</t>
  </si>
  <si>
    <t>ROQUES</t>
  </si>
  <si>
    <t>ROQUESSOLANE</t>
  </si>
  <si>
    <t>ROUDERGUES</t>
  </si>
  <si>
    <t>Héloïse</t>
  </si>
  <si>
    <t>ROUFFET</t>
  </si>
  <si>
    <t>ROUGIE</t>
  </si>
  <si>
    <t>Maëva</t>
  </si>
  <si>
    <t>ROUMIGUIERE</t>
  </si>
  <si>
    <t>Aulicia</t>
  </si>
  <si>
    <t>ROUQUETTE</t>
  </si>
  <si>
    <t>ROUQUIE</t>
  </si>
  <si>
    <t>Gaetan</t>
  </si>
  <si>
    <t>SACRE</t>
  </si>
  <si>
    <t>Shana</t>
  </si>
  <si>
    <t>SAINDOU</t>
  </si>
  <si>
    <t>Halima</t>
  </si>
  <si>
    <t>SALARIS</t>
  </si>
  <si>
    <t>SARNEL</t>
  </si>
  <si>
    <t>Boris</t>
  </si>
  <si>
    <t>SEGALA</t>
  </si>
  <si>
    <t>SELEBRAN</t>
  </si>
  <si>
    <t>Naïs</t>
  </si>
  <si>
    <t>SOULIE</t>
  </si>
  <si>
    <t>Cyprien</t>
  </si>
  <si>
    <t>SOURSOU</t>
  </si>
  <si>
    <t>Emilien</t>
  </si>
  <si>
    <t>SOUSSAINTJEAN</t>
  </si>
  <si>
    <t>STADLER</t>
  </si>
  <si>
    <t>Laureen</t>
  </si>
  <si>
    <t>SZKONDZIAK</t>
  </si>
  <si>
    <t>TABERNA-ARMENGAUD</t>
  </si>
  <si>
    <t>Matthias</t>
  </si>
  <si>
    <t>TABUSTEAU</t>
  </si>
  <si>
    <t>TESTAS</t>
  </si>
  <si>
    <t>TETUAN</t>
  </si>
  <si>
    <t>Mélaine</t>
  </si>
  <si>
    <t>TEYSSEDOU</t>
  </si>
  <si>
    <t>Noah</t>
  </si>
  <si>
    <t>THAMIE</t>
  </si>
  <si>
    <t>Flavie</t>
  </si>
  <si>
    <t>THIERES</t>
  </si>
  <si>
    <t>Jonathan</t>
  </si>
  <si>
    <t>THIRIET</t>
  </si>
  <si>
    <t>Justine</t>
  </si>
  <si>
    <t>THOMAS</t>
  </si>
  <si>
    <t>THOREZ</t>
  </si>
  <si>
    <t>TIRACHE</t>
  </si>
  <si>
    <t>Caroline</t>
  </si>
  <si>
    <t>VACHON</t>
  </si>
  <si>
    <t>Enzo</t>
  </si>
  <si>
    <t>VACQUIER</t>
  </si>
  <si>
    <t>Julie</t>
  </si>
  <si>
    <t>VAISSIERES</t>
  </si>
  <si>
    <t>Maël</t>
  </si>
  <si>
    <t>VALES</t>
  </si>
  <si>
    <t>VALET</t>
  </si>
  <si>
    <t>Tiffany</t>
  </si>
  <si>
    <t>VAN BRUSSEL</t>
  </si>
  <si>
    <t>Paola</t>
  </si>
  <si>
    <t>VAN PARYS</t>
  </si>
  <si>
    <t>Charles</t>
  </si>
  <si>
    <t>VANAUDENHOVE</t>
  </si>
  <si>
    <t>VANFLETEREN</t>
  </si>
  <si>
    <t>VARLET</t>
  </si>
  <si>
    <t>Yohan</t>
  </si>
  <si>
    <t>VEDRUNE</t>
  </si>
  <si>
    <t>Bastien</t>
  </si>
  <si>
    <t>VENRIES</t>
  </si>
  <si>
    <t>VERDELET</t>
  </si>
  <si>
    <t>VERGNES</t>
  </si>
  <si>
    <t>Adeline</t>
  </si>
  <si>
    <t>VIGEON</t>
  </si>
  <si>
    <t>VIGNIER</t>
  </si>
  <si>
    <t>VIGUIE</t>
  </si>
  <si>
    <t>VIGUIER</t>
  </si>
  <si>
    <t>ZUMBIEHL</t>
  </si>
  <si>
    <t>Sandra</t>
  </si>
  <si>
    <t>Index</t>
  </si>
  <si>
    <t>Casier</t>
  </si>
  <si>
    <t>Effectif</t>
  </si>
  <si>
    <t xml:space="preserve">   </t>
  </si>
  <si>
    <t>16/12/1998</t>
  </si>
  <si>
    <t>18</t>
  </si>
  <si>
    <t>221</t>
  </si>
  <si>
    <t>3e EA-2e TCVA</t>
  </si>
  <si>
    <t>ETUDES DU</t>
  </si>
  <si>
    <t>au</t>
  </si>
  <si>
    <t>3e EA-1e CGEA</t>
  </si>
  <si>
    <t>Chambres</t>
  </si>
  <si>
    <t>01/11/2002</t>
  </si>
  <si>
    <t>15</t>
  </si>
  <si>
    <t>23</t>
  </si>
  <si>
    <t>17</t>
  </si>
  <si>
    <t>171</t>
  </si>
  <si>
    <t>reste mercredi</t>
  </si>
  <si>
    <t>reste mercredi2</t>
  </si>
  <si>
    <t>sortie mercredi pm</t>
  </si>
  <si>
    <t>24/01/2002</t>
  </si>
  <si>
    <t>84</t>
  </si>
  <si>
    <t>sortie mercredi pm4</t>
  </si>
  <si>
    <t>sortie EDT</t>
  </si>
  <si>
    <t>sortie edt2</t>
  </si>
  <si>
    <t>sortie sco</t>
  </si>
  <si>
    <t>sortie sco2</t>
  </si>
  <si>
    <t>Présence</t>
  </si>
  <si>
    <t>Colonne4</t>
  </si>
  <si>
    <t>Séquence28</t>
  </si>
  <si>
    <t>Séquence29</t>
  </si>
  <si>
    <t>Séquence30</t>
  </si>
  <si>
    <t>Séquence31</t>
  </si>
  <si>
    <t>Séquence32</t>
  </si>
  <si>
    <t>Séquence33</t>
  </si>
  <si>
    <t>Séquence34</t>
  </si>
  <si>
    <t>Séquence35</t>
  </si>
  <si>
    <t>Séquence36</t>
  </si>
  <si>
    <t>Séquence37</t>
  </si>
  <si>
    <t>Séquence38</t>
  </si>
  <si>
    <t>Séquence39</t>
  </si>
  <si>
    <t>Séquence40</t>
  </si>
  <si>
    <t>Séquence41</t>
  </si>
  <si>
    <t>Séquence42</t>
  </si>
  <si>
    <t>Séquence43</t>
  </si>
  <si>
    <t>Séquence44</t>
  </si>
  <si>
    <t>Séquence45</t>
  </si>
  <si>
    <t>Séquence46</t>
  </si>
  <si>
    <t>Séquence47</t>
  </si>
  <si>
    <t>Séquence48</t>
  </si>
  <si>
    <t>Séquence49</t>
  </si>
  <si>
    <t>Séquence50</t>
  </si>
  <si>
    <t>Occurrence27</t>
  </si>
  <si>
    <t>Occurrence28</t>
  </si>
  <si>
    <t>Occurrence29</t>
  </si>
  <si>
    <t>Occurrence30</t>
  </si>
  <si>
    <t>Occurrence31</t>
  </si>
  <si>
    <t>Occurrence32</t>
  </si>
  <si>
    <t>Occurrence33</t>
  </si>
  <si>
    <t>Occurrence34</t>
  </si>
  <si>
    <t>Occurrence35</t>
  </si>
  <si>
    <t>Occurrence36</t>
  </si>
  <si>
    <t>Occurrence37</t>
  </si>
  <si>
    <t>Occurrence38</t>
  </si>
  <si>
    <t>Occurrence39</t>
  </si>
  <si>
    <t>Occurrence40</t>
  </si>
  <si>
    <t>Occurrence41</t>
  </si>
  <si>
    <t>Occurrence42</t>
  </si>
  <si>
    <t>Occurrence43</t>
  </si>
  <si>
    <t>Occurrence44</t>
  </si>
  <si>
    <t>Occurrence45</t>
  </si>
  <si>
    <t>Occurrence46</t>
  </si>
  <si>
    <t>Occurrence47</t>
  </si>
  <si>
    <t>Occurrence48</t>
  </si>
  <si>
    <t>Occurrence49</t>
  </si>
  <si>
    <t>CHAMBRES GARCONS 1e ETAGE</t>
  </si>
  <si>
    <t>09/09/1999</t>
  </si>
  <si>
    <t>74</t>
  </si>
  <si>
    <t>145</t>
  </si>
  <si>
    <t>09/01/2001</t>
  </si>
  <si>
    <t>16</t>
  </si>
  <si>
    <t>73</t>
  </si>
  <si>
    <t>21/09/2001</t>
  </si>
  <si>
    <t>66</t>
  </si>
  <si>
    <t>16/09/2001</t>
  </si>
  <si>
    <t>82</t>
  </si>
  <si>
    <t>CHAMBRES GARCON RDC</t>
  </si>
  <si>
    <t>29/03/1999</t>
  </si>
  <si>
    <t>212</t>
  </si>
  <si>
    <t>126</t>
  </si>
  <si>
    <t>06/01/2000</t>
  </si>
  <si>
    <t>214</t>
  </si>
  <si>
    <t>29/09/2000</t>
  </si>
  <si>
    <t>216</t>
  </si>
  <si>
    <t>17/06/1999</t>
  </si>
  <si>
    <t>207</t>
  </si>
  <si>
    <t>21/01/2003</t>
  </si>
  <si>
    <t>14</t>
  </si>
  <si>
    <t>88</t>
  </si>
  <si>
    <t>114</t>
  </si>
  <si>
    <t>07/10/2003</t>
  </si>
  <si>
    <t>89</t>
  </si>
  <si>
    <t>18/11/2002</t>
  </si>
  <si>
    <t>87</t>
  </si>
  <si>
    <t>Pointage</t>
  </si>
  <si>
    <t>Changement EDT</t>
  </si>
  <si>
    <t>Sortie</t>
  </si>
  <si>
    <t>Coin Fumeur</t>
  </si>
  <si>
    <t>Autorisation</t>
  </si>
  <si>
    <t>Non</t>
  </si>
  <si>
    <t>Dossier</t>
  </si>
  <si>
    <t>Complet</t>
  </si>
  <si>
    <t>Oui</t>
  </si>
  <si>
    <t>VRAI</t>
  </si>
  <si>
    <t>Cochez</t>
  </si>
  <si>
    <t>Pointage Mercredi AM</t>
  </si>
  <si>
    <t>(Tous)</t>
  </si>
  <si>
    <t>3EME</t>
  </si>
  <si>
    <t>2CF</t>
  </si>
  <si>
    <t>2GT</t>
  </si>
  <si>
    <t>2CGEA</t>
  </si>
  <si>
    <t>ALLAUX</t>
  </si>
  <si>
    <t>Chloe</t>
  </si>
  <si>
    <t>Antonnin</t>
  </si>
  <si>
    <t>DESPIERRE CORPORON</t>
  </si>
  <si>
    <t>Rémy</t>
  </si>
  <si>
    <t>Cléry</t>
  </si>
  <si>
    <t>SVP, ne passez en orange que les cases et pas</t>
  </si>
  <si>
    <t>2TCVA</t>
  </si>
  <si>
    <t xml:space="preserve">les noms des élèves afin de savoir si ils étaient </t>
  </si>
  <si>
    <t>1CF</t>
  </si>
  <si>
    <t>1STAV</t>
  </si>
  <si>
    <t>Mael</t>
  </si>
  <si>
    <t>gris ou blanc à l'origine</t>
  </si>
  <si>
    <t>1CGEA</t>
  </si>
  <si>
    <t xml:space="preserve">BESSE </t>
  </si>
  <si>
    <t>Ophélie</t>
  </si>
  <si>
    <t>Merci :-)</t>
  </si>
  <si>
    <t>Maëliss</t>
  </si>
  <si>
    <t>CARROZA</t>
  </si>
  <si>
    <t>1 TCVA</t>
  </si>
  <si>
    <t>Laëtitia</t>
  </si>
  <si>
    <t xml:space="preserve">GUEVEL </t>
  </si>
  <si>
    <t>Anais</t>
  </si>
  <si>
    <t>T.CF</t>
  </si>
  <si>
    <t>T.STAV</t>
  </si>
  <si>
    <t xml:space="preserve">LEGRAND </t>
  </si>
  <si>
    <t>LEON DUFOUR</t>
  </si>
  <si>
    <t>Elhéa</t>
  </si>
  <si>
    <t>T.TCVA</t>
  </si>
  <si>
    <t>Nais</t>
  </si>
  <si>
    <t>TABERNA ARMENGAUD</t>
  </si>
  <si>
    <t>T.CGEA</t>
  </si>
  <si>
    <t>Cédric</t>
  </si>
  <si>
    <t>SOIR</t>
  </si>
  <si>
    <t>APRES-MIDI</t>
  </si>
  <si>
    <t>toutes les heures de 13h30 à 17h30</t>
  </si>
  <si>
    <t>SORTIE EXCEPTIONNELLE</t>
  </si>
  <si>
    <t>màj :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</si>
</sst>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0#&quot;&quot;##&quot;&quot;##&quot;&quot;##&quot;&quot;##"/>
  </numFmts>
  <fonts count="4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Georgia"/>
      <family val="1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rgb="FFFF0000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hadow/>
      <sz val="9"/>
      <color rgb="FF009900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008000"/>
      <name val="Calibri"/>
      <family val="2"/>
      <scheme val="minor"/>
    </font>
    <font>
      <sz val="9"/>
      <color indexed="81"/>
      <name val="Tahoma"/>
      <family val="2"/>
    </font>
    <font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Georgia"/>
      <family val="1"/>
    </font>
    <font>
      <b/>
      <sz val="7"/>
      <color indexed="8"/>
      <name val="Calibri"/>
      <family val="2"/>
    </font>
    <font>
      <sz val="7"/>
      <color indexed="8"/>
      <name val="Calibri"/>
      <family val="2"/>
    </font>
    <font>
      <sz val="7"/>
      <color indexed="8"/>
      <name val="Arial"/>
      <family val="2"/>
    </font>
    <font>
      <sz val="7"/>
      <name val="Arial"/>
      <family val="2"/>
    </font>
    <font>
      <sz val="7"/>
      <name val="Calibri"/>
      <family val="2"/>
    </font>
    <font>
      <b/>
      <sz val="20"/>
      <color indexed="8"/>
      <name val="Calibri"/>
      <family val="2"/>
    </font>
    <font>
      <b/>
      <sz val="7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</fills>
  <borders count="5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ont="1" applyFill="1" applyBorder="1"/>
    <xf numFmtId="0" fontId="0" fillId="3" borderId="2" xfId="0" applyNumberFormat="1" applyFont="1" applyFill="1" applyBorder="1" applyAlignment="1">
      <alignment horizontal="center"/>
    </xf>
    <xf numFmtId="0" fontId="0" fillId="4" borderId="2" xfId="0" applyFont="1" applyFill="1" applyBorder="1"/>
    <xf numFmtId="0" fontId="0" fillId="4" borderId="2" xfId="0" applyNumberFormat="1" applyFont="1" applyFill="1" applyBorder="1" applyAlignment="1">
      <alignment horizontal="center"/>
    </xf>
    <xf numFmtId="0" fontId="5" fillId="0" borderId="0" xfId="0" applyFont="1" applyFill="1" applyBorder="1"/>
    <xf numFmtId="0" fontId="0" fillId="0" borderId="0" xfId="0" applyAlignment="1">
      <alignment horizontal="center"/>
    </xf>
    <xf numFmtId="0" fontId="0" fillId="0" borderId="2" xfId="0" applyFill="1" applyBorder="1"/>
    <xf numFmtId="0" fontId="1" fillId="2" borderId="3" xfId="0" applyFont="1" applyFill="1" applyBorder="1" applyAlignment="1">
      <alignment horizontal="center" vertical="center"/>
    </xf>
    <xf numFmtId="0" fontId="0" fillId="3" borderId="5" xfId="0" applyFont="1" applyFill="1" applyBorder="1"/>
    <xf numFmtId="0" fontId="0" fillId="0" borderId="5" xfId="0" applyFill="1" applyBorder="1"/>
    <xf numFmtId="0" fontId="0" fillId="3" borderId="5" xfId="0" applyNumberFormat="1" applyFont="1" applyFill="1" applyBorder="1" applyAlignment="1">
      <alignment horizontal="center"/>
    </xf>
    <xf numFmtId="0" fontId="0" fillId="3" borderId="2" xfId="0" applyNumberFormat="1" applyFont="1" applyFill="1" applyBorder="1"/>
    <xf numFmtId="0" fontId="2" fillId="3" borderId="2" xfId="0" applyNumberFormat="1" applyFont="1" applyFill="1" applyBorder="1" applyAlignment="1">
      <alignment horizontal="center"/>
    </xf>
    <xf numFmtId="0" fontId="0" fillId="3" borderId="4" xfId="0" applyNumberFormat="1" applyFont="1" applyFill="1" applyBorder="1" applyAlignment="1">
      <alignment horizontal="center"/>
    </xf>
    <xf numFmtId="0" fontId="0" fillId="4" borderId="2" xfId="0" applyNumberFormat="1" applyFont="1" applyFill="1" applyBorder="1"/>
    <xf numFmtId="0" fontId="2" fillId="4" borderId="2" xfId="0" applyNumberFormat="1" applyFont="1" applyFill="1" applyBorder="1" applyAlignment="1">
      <alignment horizontal="center"/>
    </xf>
    <xf numFmtId="0" fontId="0" fillId="4" borderId="4" xfId="0" applyNumberFormat="1" applyFont="1" applyFill="1" applyBorder="1" applyAlignment="1">
      <alignment horizontal="center"/>
    </xf>
    <xf numFmtId="0" fontId="3" fillId="3" borderId="2" xfId="0" applyNumberFormat="1" applyFont="1" applyFill="1" applyBorder="1"/>
    <xf numFmtId="0" fontId="4" fillId="3" borderId="4" xfId="0" applyNumberFormat="1" applyFont="1" applyFill="1" applyBorder="1" applyAlignment="1">
      <alignment horizontal="center"/>
    </xf>
    <xf numFmtId="0" fontId="3" fillId="4" borderId="2" xfId="0" applyNumberFormat="1" applyFont="1" applyFill="1" applyBorder="1"/>
    <xf numFmtId="0" fontId="4" fillId="4" borderId="4" xfId="0" applyNumberFormat="1" applyFont="1" applyFill="1" applyBorder="1" applyAlignment="1">
      <alignment horizontal="center"/>
    </xf>
    <xf numFmtId="0" fontId="0" fillId="3" borderId="5" xfId="0" applyNumberFormat="1" applyFont="1" applyFill="1" applyBorder="1"/>
    <xf numFmtId="0" fontId="2" fillId="3" borderId="5" xfId="0" applyNumberFormat="1" applyFont="1" applyFill="1" applyBorder="1" applyAlignment="1">
      <alignment horizontal="center"/>
    </xf>
    <xf numFmtId="0" fontId="0" fillId="3" borderId="0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/>
    <xf numFmtId="0" fontId="5" fillId="0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Alignment="1"/>
    <xf numFmtId="0" fontId="0" fillId="5" borderId="0" xfId="0" applyFill="1"/>
    <xf numFmtId="0" fontId="0" fillId="0" borderId="0" xfId="0" applyFill="1"/>
    <xf numFmtId="0" fontId="8" fillId="5" borderId="0" xfId="0" applyFont="1" applyFill="1" applyBorder="1" applyAlignment="1">
      <alignment vertical="center"/>
    </xf>
    <xf numFmtId="0" fontId="0" fillId="5" borderId="0" xfId="0" applyFont="1" applyFill="1" applyBorder="1"/>
    <xf numFmtId="0" fontId="9" fillId="5" borderId="0" xfId="0" applyFont="1" applyFill="1" applyBorder="1"/>
    <xf numFmtId="0" fontId="9" fillId="5" borderId="0" xfId="0" applyFont="1" applyFill="1" applyBorder="1" applyAlignment="1">
      <alignment horizontal="left"/>
    </xf>
    <xf numFmtId="16" fontId="0" fillId="5" borderId="0" xfId="0" applyNumberFormat="1" applyFill="1"/>
    <xf numFmtId="14" fontId="10" fillId="5" borderId="0" xfId="0" applyNumberFormat="1" applyFont="1" applyFill="1"/>
    <xf numFmtId="0" fontId="11" fillId="5" borderId="0" xfId="0" applyFont="1" applyFill="1"/>
    <xf numFmtId="0" fontId="12" fillId="5" borderId="0" xfId="0" applyFont="1" applyFill="1" applyAlignment="1"/>
    <xf numFmtId="0" fontId="12" fillId="5" borderId="0" xfId="0" applyFont="1" applyFill="1"/>
    <xf numFmtId="0" fontId="0" fillId="0" borderId="0" xfId="0" applyFill="1" applyAlignment="1"/>
    <xf numFmtId="0" fontId="14" fillId="0" borderId="6" xfId="1" applyFont="1" applyBorder="1" applyAlignment="1">
      <alignment vertical="center"/>
    </xf>
    <xf numFmtId="0" fontId="14" fillId="0" borderId="6" xfId="1" applyFont="1" applyBorder="1" applyAlignment="1">
      <alignment horizontal="right" vertical="center"/>
    </xf>
    <xf numFmtId="0" fontId="14" fillId="0" borderId="6" xfId="1" applyFont="1" applyBorder="1" applyAlignment="1">
      <alignment horizontal="left" vertical="center"/>
    </xf>
    <xf numFmtId="0" fontId="15" fillId="0" borderId="0" xfId="0" applyFont="1" applyAlignment="1">
      <alignment horizontal="left"/>
    </xf>
    <xf numFmtId="0" fontId="0" fillId="0" borderId="0" xfId="0" applyFill="1" applyBorder="1"/>
    <xf numFmtId="0" fontId="16" fillId="6" borderId="7" xfId="1" applyFont="1" applyFill="1" applyBorder="1" applyAlignment="1">
      <alignment horizontal="center" vertical="center"/>
    </xf>
    <xf numFmtId="0" fontId="16" fillId="6" borderId="8" xfId="1" applyFont="1" applyFill="1" applyBorder="1" applyAlignment="1">
      <alignment horizontal="center" vertical="center"/>
    </xf>
    <xf numFmtId="11" fontId="17" fillId="7" borderId="8" xfId="0" applyNumberFormat="1" applyFont="1" applyFill="1" applyBorder="1" applyAlignment="1">
      <alignment horizontal="center" vertical="center"/>
    </xf>
    <xf numFmtId="11" fontId="17" fillId="7" borderId="9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5" fillId="8" borderId="10" xfId="1" applyFont="1" applyFill="1" applyBorder="1" applyAlignment="1">
      <alignment vertic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0" fontId="18" fillId="0" borderId="13" xfId="0" applyFont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5" fillId="8" borderId="14" xfId="1" applyFont="1" applyFill="1" applyBorder="1" applyAlignment="1">
      <alignment vertical="center"/>
    </xf>
    <xf numFmtId="0" fontId="18" fillId="0" borderId="15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18" fillId="0" borderId="16" xfId="0" applyFont="1" applyBorder="1"/>
    <xf numFmtId="0" fontId="18" fillId="0" borderId="17" xfId="0" applyFont="1" applyBorder="1" applyAlignment="1">
      <alignment horizontal="center"/>
    </xf>
    <xf numFmtId="0" fontId="5" fillId="8" borderId="14" xfId="1" applyFont="1" applyFill="1" applyBorder="1" applyAlignment="1">
      <alignment horizontal="center" vertical="center"/>
    </xf>
    <xf numFmtId="0" fontId="5" fillId="8" borderId="18" xfId="1" applyFont="1" applyFill="1" applyBorder="1" applyAlignment="1">
      <alignment vertical="center"/>
    </xf>
    <xf numFmtId="0" fontId="18" fillId="0" borderId="19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8" fillId="0" borderId="20" xfId="0" applyFont="1" applyBorder="1"/>
    <xf numFmtId="0" fontId="18" fillId="0" borderId="21" xfId="0" applyFont="1" applyBorder="1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Border="1"/>
    <xf numFmtId="0" fontId="2" fillId="0" borderId="0" xfId="1" applyBorder="1"/>
    <xf numFmtId="0" fontId="0" fillId="0" borderId="0" xfId="0" applyBorder="1"/>
    <xf numFmtId="0" fontId="13" fillId="0" borderId="0" xfId="0" applyFont="1" applyBorder="1" applyAlignment="1">
      <alignment horizontal="center"/>
    </xf>
    <xf numFmtId="0" fontId="5" fillId="0" borderId="0" xfId="1" applyFont="1" applyFill="1" applyBorder="1"/>
    <xf numFmtId="0" fontId="2" fillId="0" borderId="0" xfId="1" applyBorder="1" applyAlignment="1">
      <alignment horizontal="center"/>
    </xf>
    <xf numFmtId="0" fontId="5" fillId="8" borderId="10" xfId="1" applyFont="1" applyFill="1" applyBorder="1" applyAlignment="1">
      <alignment horizontal="center" vertical="center"/>
    </xf>
    <xf numFmtId="0" fontId="5" fillId="8" borderId="18" xfId="1" applyFont="1" applyFill="1" applyBorder="1" applyAlignment="1">
      <alignment horizontal="center" vertical="center"/>
    </xf>
    <xf numFmtId="0" fontId="18" fillId="0" borderId="22" xfId="0" applyFont="1" applyBorder="1" applyAlignment="1">
      <alignment horizontal="center"/>
    </xf>
    <xf numFmtId="0" fontId="18" fillId="0" borderId="11" xfId="0" applyFont="1" applyBorder="1"/>
    <xf numFmtId="0" fontId="18" fillId="0" borderId="23" xfId="0" applyFont="1" applyBorder="1" applyAlignment="1">
      <alignment horizontal="center"/>
    </xf>
    <xf numFmtId="0" fontId="18" fillId="0" borderId="15" xfId="0" applyFont="1" applyBorder="1"/>
    <xf numFmtId="0" fontId="18" fillId="0" borderId="24" xfId="0" applyFont="1" applyBorder="1" applyAlignment="1">
      <alignment horizontal="center"/>
    </xf>
    <xf numFmtId="0" fontId="18" fillId="0" borderId="19" xfId="0" applyFont="1" applyBorder="1"/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5" fillId="9" borderId="10" xfId="1" applyFont="1" applyFill="1" applyBorder="1" applyAlignment="1">
      <alignment horizontal="center" vertical="center"/>
    </xf>
    <xf numFmtId="0" fontId="5" fillId="9" borderId="14" xfId="1" applyFont="1" applyFill="1" applyBorder="1" applyAlignment="1">
      <alignment horizontal="center" vertical="center"/>
    </xf>
    <xf numFmtId="0" fontId="5" fillId="9" borderId="18" xfId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6" fillId="6" borderId="25" xfId="1" applyFont="1" applyFill="1" applyBorder="1" applyAlignment="1">
      <alignment horizontal="center" vertical="center"/>
    </xf>
    <xf numFmtId="11" fontId="17" fillId="7" borderId="25" xfId="0" applyNumberFormat="1" applyFont="1" applyFill="1" applyBorder="1" applyAlignment="1">
      <alignment horizontal="center" vertical="center"/>
    </xf>
    <xf numFmtId="11" fontId="17" fillId="7" borderId="26" xfId="0" applyNumberFormat="1" applyFont="1" applyFill="1" applyBorder="1" applyAlignment="1">
      <alignment horizontal="center" vertical="center"/>
    </xf>
    <xf numFmtId="0" fontId="5" fillId="8" borderId="27" xfId="1" applyFont="1" applyFill="1" applyBorder="1" applyAlignment="1">
      <alignment vertical="center"/>
    </xf>
    <xf numFmtId="0" fontId="18" fillId="0" borderId="28" xfId="0" applyFont="1" applyBorder="1" applyAlignment="1">
      <alignment horizontal="center"/>
    </xf>
    <xf numFmtId="0" fontId="5" fillId="8" borderId="29" xfId="1" applyFont="1" applyFill="1" applyBorder="1" applyAlignment="1">
      <alignment vertical="center"/>
    </xf>
    <xf numFmtId="0" fontId="18" fillId="0" borderId="30" xfId="0" applyFont="1" applyBorder="1" applyAlignment="1">
      <alignment horizontal="center"/>
    </xf>
    <xf numFmtId="0" fontId="5" fillId="8" borderId="29" xfId="1" applyFont="1" applyFill="1" applyBorder="1" applyAlignment="1">
      <alignment horizontal="center" vertical="center"/>
    </xf>
    <xf numFmtId="0" fontId="5" fillId="8" borderId="31" xfId="1" applyFont="1" applyFill="1" applyBorder="1" applyAlignment="1">
      <alignment vertical="center"/>
    </xf>
    <xf numFmtId="0" fontId="18" fillId="0" borderId="32" xfId="0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1" fillId="0" borderId="0" xfId="0" applyFont="1" applyAlignment="1">
      <alignment shrinkToFit="1"/>
    </xf>
    <xf numFmtId="0" fontId="22" fillId="0" borderId="33" xfId="0" applyFont="1" applyBorder="1" applyAlignment="1">
      <alignment horizontal="right"/>
    </xf>
    <xf numFmtId="0" fontId="22" fillId="0" borderId="33" xfId="0" applyFont="1" applyBorder="1"/>
    <xf numFmtId="0" fontId="22" fillId="0" borderId="34" xfId="0" applyFont="1" applyBorder="1"/>
    <xf numFmtId="0" fontId="21" fillId="0" borderId="0" xfId="0" applyFont="1"/>
    <xf numFmtId="0" fontId="21" fillId="0" borderId="10" xfId="0" applyFont="1" applyBorder="1" applyAlignment="1">
      <alignment horizontal="right" shrinkToFit="1"/>
    </xf>
    <xf numFmtId="0" fontId="21" fillId="0" borderId="35" xfId="0" applyFont="1" applyBorder="1" applyAlignment="1">
      <alignment shrinkToFit="1"/>
    </xf>
    <xf numFmtId="0" fontId="21" fillId="0" borderId="35" xfId="0" applyFont="1" applyBorder="1" applyAlignment="1">
      <alignment horizontal="left" shrinkToFit="1"/>
    </xf>
    <xf numFmtId="0" fontId="21" fillId="0" borderId="36" xfId="0" applyFont="1" applyBorder="1" applyAlignment="1">
      <alignment shrinkToFit="1"/>
    </xf>
    <xf numFmtId="0" fontId="21" fillId="0" borderId="0" xfId="0" applyFont="1" applyBorder="1" applyAlignment="1">
      <alignment shrinkToFit="1"/>
    </xf>
    <xf numFmtId="0" fontId="21" fillId="0" borderId="14" xfId="0" applyFont="1" applyBorder="1" applyAlignment="1">
      <alignment horizontal="right" shrinkToFit="1"/>
    </xf>
    <xf numFmtId="0" fontId="21" fillId="0" borderId="0" xfId="0" applyFont="1" applyBorder="1" applyAlignment="1">
      <alignment horizontal="left" shrinkToFit="1"/>
    </xf>
    <xf numFmtId="0" fontId="21" fillId="0" borderId="37" xfId="0" applyFont="1" applyBorder="1" applyAlignment="1">
      <alignment shrinkToFit="1"/>
    </xf>
    <xf numFmtId="0" fontId="23" fillId="0" borderId="0" xfId="0" applyFont="1" applyBorder="1" applyAlignment="1">
      <alignment shrinkToFit="1"/>
    </xf>
    <xf numFmtId="0" fontId="21" fillId="0" borderId="18" xfId="0" applyFont="1" applyBorder="1" applyAlignment="1">
      <alignment horizontal="right" shrinkToFit="1"/>
    </xf>
    <xf numFmtId="0" fontId="21" fillId="0" borderId="6" xfId="0" applyFont="1" applyBorder="1" applyAlignment="1">
      <alignment shrinkToFit="1"/>
    </xf>
    <xf numFmtId="0" fontId="21" fillId="0" borderId="38" xfId="0" applyFont="1" applyBorder="1" applyAlignment="1">
      <alignment shrinkToFit="1"/>
    </xf>
    <xf numFmtId="0" fontId="24" fillId="0" borderId="39" xfId="0" applyFont="1" applyBorder="1" applyAlignment="1">
      <alignment horizontal="center" shrinkToFit="1"/>
    </xf>
    <xf numFmtId="0" fontId="24" fillId="0" borderId="6" xfId="0" applyFont="1" applyBorder="1" applyAlignment="1">
      <alignment horizontal="right" shrinkToFit="1"/>
    </xf>
    <xf numFmtId="0" fontId="24" fillId="0" borderId="34" xfId="0" applyFont="1" applyBorder="1" applyAlignment="1">
      <alignment shrinkToFit="1"/>
    </xf>
    <xf numFmtId="0" fontId="24" fillId="0" borderId="0" xfId="0" applyFont="1" applyBorder="1" applyAlignment="1">
      <alignment horizontal="center" shrinkToFit="1"/>
    </xf>
    <xf numFmtId="0" fontId="24" fillId="0" borderId="18" xfId="0" applyFont="1" applyBorder="1" applyAlignment="1">
      <alignment horizontal="center" shrinkToFit="1"/>
    </xf>
    <xf numFmtId="0" fontId="24" fillId="0" borderId="38" xfId="0" applyFont="1" applyBorder="1" applyAlignment="1">
      <alignment shrinkToFit="1"/>
    </xf>
    <xf numFmtId="0" fontId="24" fillId="0" borderId="37" xfId="0" applyFont="1" applyBorder="1" applyAlignment="1">
      <alignment shrinkToFit="1"/>
    </xf>
    <xf numFmtId="0" fontId="24" fillId="0" borderId="0" xfId="0" applyFont="1" applyAlignment="1">
      <alignment horizontal="center" shrinkToFit="1"/>
    </xf>
    <xf numFmtId="0" fontId="24" fillId="0" borderId="33" xfId="0" applyFont="1" applyBorder="1" applyAlignment="1">
      <alignment horizontal="right" shrinkToFit="1"/>
    </xf>
    <xf numFmtId="0" fontId="24" fillId="0" borderId="39" xfId="0" applyFont="1" applyBorder="1" applyAlignment="1">
      <alignment shrinkToFit="1"/>
    </xf>
    <xf numFmtId="0" fontId="24" fillId="0" borderId="10" xfId="0" applyFont="1" applyBorder="1" applyAlignment="1">
      <alignment horizontal="center" shrinkToFit="1"/>
    </xf>
    <xf numFmtId="0" fontId="24" fillId="0" borderId="35" xfId="0" applyFont="1" applyBorder="1" applyAlignment="1">
      <alignment horizontal="right" shrinkToFit="1"/>
    </xf>
    <xf numFmtId="0" fontId="24" fillId="0" borderId="36" xfId="0" applyFont="1" applyBorder="1" applyAlignment="1">
      <alignment shrinkToFit="1"/>
    </xf>
    <xf numFmtId="0" fontId="21" fillId="0" borderId="10" xfId="0" applyFont="1" applyBorder="1" applyAlignment="1">
      <alignment shrinkToFit="1"/>
    </xf>
    <xf numFmtId="0" fontId="21" fillId="0" borderId="14" xfId="0" applyFont="1" applyBorder="1" applyAlignment="1">
      <alignment shrinkToFit="1"/>
    </xf>
    <xf numFmtId="0" fontId="21" fillId="0" borderId="18" xfId="0" applyFont="1" applyBorder="1" applyAlignment="1">
      <alignment shrinkToFit="1"/>
    </xf>
    <xf numFmtId="0" fontId="25" fillId="0" borderId="0" xfId="0" applyFont="1"/>
    <xf numFmtId="0" fontId="21" fillId="0" borderId="0" xfId="0" applyFont="1" applyBorder="1"/>
    <xf numFmtId="0" fontId="21" fillId="0" borderId="36" xfId="0" applyFont="1" applyBorder="1" applyAlignment="1">
      <alignment horizontal="left" shrinkToFit="1"/>
    </xf>
    <xf numFmtId="0" fontId="21" fillId="0" borderId="35" xfId="0" applyFont="1" applyBorder="1" applyAlignment="1">
      <alignment horizontal="right" shrinkToFit="1"/>
    </xf>
    <xf numFmtId="0" fontId="21" fillId="0" borderId="37" xfId="0" applyFont="1" applyBorder="1" applyAlignment="1">
      <alignment horizontal="left" shrinkToFit="1"/>
    </xf>
    <xf numFmtId="0" fontId="21" fillId="0" borderId="0" xfId="0" applyFont="1" applyBorder="1" applyAlignment="1">
      <alignment horizontal="right" shrinkToFit="1"/>
    </xf>
    <xf numFmtId="0" fontId="21" fillId="0" borderId="6" xfId="0" applyFont="1" applyBorder="1" applyAlignment="1">
      <alignment horizontal="left" shrinkToFit="1"/>
    </xf>
    <xf numFmtId="0" fontId="21" fillId="0" borderId="38" xfId="0" applyFont="1" applyBorder="1" applyAlignment="1">
      <alignment horizontal="left" shrinkToFit="1"/>
    </xf>
    <xf numFmtId="0" fontId="21" fillId="0" borderId="6" xfId="0" applyFont="1" applyBorder="1" applyAlignment="1">
      <alignment horizontal="right" shrinkToFit="1"/>
    </xf>
    <xf numFmtId="0" fontId="24" fillId="0" borderId="10" xfId="0" applyFont="1" applyBorder="1" applyAlignment="1">
      <alignment shrinkToFit="1"/>
    </xf>
    <xf numFmtId="0" fontId="21" fillId="0" borderId="36" xfId="0" applyFont="1" applyBorder="1" applyAlignment="1">
      <alignment horizontal="right" shrinkToFit="1"/>
    </xf>
    <xf numFmtId="0" fontId="21" fillId="0" borderId="37" xfId="0" applyFont="1" applyBorder="1" applyAlignment="1">
      <alignment horizontal="right" shrinkToFit="1"/>
    </xf>
    <xf numFmtId="0" fontId="21" fillId="0" borderId="38" xfId="0" applyFont="1" applyBorder="1" applyAlignment="1">
      <alignment horizontal="right" shrinkToFit="1"/>
    </xf>
    <xf numFmtId="0" fontId="24" fillId="0" borderId="0" xfId="0" applyFont="1" applyBorder="1" applyAlignment="1">
      <alignment horizontal="right" shrinkToFit="1"/>
    </xf>
    <xf numFmtId="0" fontId="24" fillId="0" borderId="0" xfId="0" applyFont="1" applyBorder="1" applyAlignment="1">
      <alignment shrinkToFit="1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0" xfId="0" applyFont="1" applyFill="1" applyBorder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NumberFormat="1"/>
    <xf numFmtId="0" fontId="0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2" fontId="0" fillId="0" borderId="0" xfId="0" applyNumberFormat="1" applyAlignment="1">
      <alignment horizontal="center"/>
    </xf>
    <xf numFmtId="0" fontId="18" fillId="0" borderId="0" xfId="0" applyFont="1"/>
    <xf numFmtId="49" fontId="22" fillId="0" borderId="10" xfId="0" applyNumberFormat="1" applyFont="1" applyFill="1" applyBorder="1" applyAlignment="1">
      <alignment wrapText="1"/>
    </xf>
    <xf numFmtId="49" fontId="29" fillId="0" borderId="0" xfId="0" applyNumberFormat="1" applyFont="1" applyBorder="1" applyAlignment="1">
      <alignment horizontal="center" wrapText="1" shrinkToFit="1"/>
    </xf>
    <xf numFmtId="0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center" vertical="center" wrapText="1"/>
    </xf>
    <xf numFmtId="49" fontId="22" fillId="0" borderId="0" xfId="0" applyNumberFormat="1" applyFont="1" applyFill="1" applyBorder="1" applyAlignment="1">
      <alignment horizontal="center" vertical="center"/>
    </xf>
    <xf numFmtId="49" fontId="22" fillId="0" borderId="41" xfId="0" applyNumberFormat="1" applyFont="1" applyFill="1" applyBorder="1" applyAlignment="1">
      <alignment horizontal="center" vertical="center"/>
    </xf>
    <xf numFmtId="0" fontId="30" fillId="0" borderId="40" xfId="0" applyFont="1" applyFill="1" applyBorder="1" applyAlignment="1">
      <alignment horizontal="center" vertical="center"/>
    </xf>
    <xf numFmtId="49" fontId="22" fillId="12" borderId="42" xfId="0" applyNumberFormat="1" applyFont="1" applyFill="1" applyBorder="1" applyAlignment="1">
      <alignment wrapText="1"/>
    </xf>
    <xf numFmtId="49" fontId="22" fillId="12" borderId="43" xfId="0" applyNumberFormat="1" applyFont="1" applyFill="1" applyBorder="1" applyAlignment="1">
      <alignment wrapText="1"/>
    </xf>
    <xf numFmtId="49" fontId="22" fillId="12" borderId="44" xfId="0" applyNumberFormat="1" applyFont="1" applyFill="1" applyBorder="1" applyAlignment="1">
      <alignment wrapText="1"/>
    </xf>
    <xf numFmtId="49" fontId="22" fillId="12" borderId="43" xfId="0" applyNumberFormat="1" applyFont="1" applyFill="1" applyBorder="1" applyAlignment="1">
      <alignment horizontal="center" wrapText="1"/>
    </xf>
    <xf numFmtId="0" fontId="0" fillId="0" borderId="25" xfId="0" applyNumberFormat="1" applyFont="1" applyFill="1" applyBorder="1" applyAlignment="1">
      <alignment horizontal="center" vertical="center" wrapText="1"/>
    </xf>
    <xf numFmtId="0" fontId="0" fillId="13" borderId="25" xfId="0" applyNumberFormat="1" applyFont="1" applyFill="1" applyBorder="1" applyAlignment="1">
      <alignment horizontal="center" vertical="center" wrapText="1"/>
    </xf>
    <xf numFmtId="0" fontId="30" fillId="13" borderId="40" xfId="0" applyFont="1" applyFill="1" applyBorder="1" applyAlignment="1">
      <alignment horizontal="center" vertical="center"/>
    </xf>
    <xf numFmtId="0" fontId="0" fillId="13" borderId="26" xfId="0" applyNumberFormat="1" applyFont="1" applyFill="1" applyBorder="1" applyAlignment="1">
      <alignment horizontal="center" vertical="center" wrapText="1"/>
    </xf>
    <xf numFmtId="14" fontId="0" fillId="5" borderId="0" xfId="0" applyNumberFormat="1" applyFill="1" applyBorder="1"/>
    <xf numFmtId="164" fontId="13" fillId="12" borderId="43" xfId="0" applyNumberFormat="1" applyFont="1" applyFill="1" applyBorder="1" applyAlignment="1">
      <alignment horizontal="right" wrapText="1"/>
    </xf>
    <xf numFmtId="164" fontId="13" fillId="12" borderId="43" xfId="0" applyNumberFormat="1" applyFont="1" applyFill="1" applyBorder="1" applyAlignment="1">
      <alignment wrapText="1"/>
    </xf>
    <xf numFmtId="165" fontId="0" fillId="0" borderId="0" xfId="0" applyNumberFormat="1" applyFont="1" applyFill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0" fontId="18" fillId="0" borderId="45" xfId="0" applyFont="1" applyBorder="1"/>
    <xf numFmtId="0" fontId="18" fillId="0" borderId="46" xfId="0" applyFont="1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19" fillId="0" borderId="0" xfId="0" applyFont="1" applyBorder="1" applyAlignment="1">
      <alignment horizontal="right" vertical="center"/>
    </xf>
    <xf numFmtId="0" fontId="19" fillId="0" borderId="0" xfId="0" applyFont="1" applyBorder="1" applyAlignment="1">
      <alignment horizontal="right"/>
    </xf>
    <xf numFmtId="0" fontId="28" fillId="11" borderId="0" xfId="0" applyFont="1" applyFill="1" applyBorder="1"/>
    <xf numFmtId="0" fontId="18" fillId="0" borderId="39" xfId="0" applyFont="1" applyBorder="1"/>
    <xf numFmtId="0" fontId="18" fillId="0" borderId="33" xfId="0" applyFont="1" applyBorder="1"/>
    <xf numFmtId="0" fontId="18" fillId="0" borderId="0" xfId="0" applyNumberFormat="1" applyFont="1" applyBorder="1" applyAlignment="1">
      <alignment horizontal="center"/>
    </xf>
    <xf numFmtId="0" fontId="22" fillId="0" borderId="49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/>
    </xf>
    <xf numFmtId="0" fontId="15" fillId="0" borderId="33" xfId="0" applyFont="1" applyBorder="1"/>
    <xf numFmtId="0" fontId="32" fillId="10" borderId="27" xfId="0" applyFont="1" applyFill="1" applyBorder="1" applyAlignment="1">
      <alignment horizontal="center" vertical="center"/>
    </xf>
    <xf numFmtId="0" fontId="22" fillId="0" borderId="49" xfId="0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left"/>
    </xf>
    <xf numFmtId="0" fontId="19" fillId="0" borderId="49" xfId="0" applyFont="1" applyBorder="1" applyAlignment="1">
      <alignment horizontal="center" vertical="center"/>
    </xf>
    <xf numFmtId="0" fontId="18" fillId="0" borderId="50" xfId="0" applyFont="1" applyBorder="1" applyAlignment="1">
      <alignment horizontal="center"/>
    </xf>
    <xf numFmtId="0" fontId="18" fillId="0" borderId="50" xfId="0" applyFont="1" applyBorder="1"/>
    <xf numFmtId="0" fontId="0" fillId="0" borderId="0" xfId="0" applyNumberFormat="1" applyFont="1" applyFill="1" applyBorder="1" applyAlignment="1">
      <alignment horizontal="left"/>
    </xf>
    <xf numFmtId="0" fontId="16" fillId="0" borderId="6" xfId="1" applyFont="1" applyBorder="1" applyAlignment="1">
      <alignment vertical="center"/>
    </xf>
    <xf numFmtId="0" fontId="16" fillId="0" borderId="6" xfId="1" applyFont="1" applyBorder="1" applyAlignment="1">
      <alignment horizontal="right" vertical="center"/>
    </xf>
    <xf numFmtId="0" fontId="16" fillId="0" borderId="6" xfId="1" applyFont="1" applyBorder="1" applyAlignment="1">
      <alignment horizontal="left" vertical="center"/>
    </xf>
    <xf numFmtId="0" fontId="31" fillId="0" borderId="0" xfId="0" applyFont="1" applyAlignment="1">
      <alignment horizontal="left"/>
    </xf>
    <xf numFmtId="0" fontId="11" fillId="0" borderId="0" xfId="0" applyFont="1" applyBorder="1" applyAlignment="1">
      <alignment horizontal="center"/>
    </xf>
    <xf numFmtId="0" fontId="15" fillId="0" borderId="33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18" fillId="0" borderId="51" xfId="0" applyFont="1" applyBorder="1" applyAlignment="1">
      <alignment horizontal="center"/>
    </xf>
    <xf numFmtId="0" fontId="18" fillId="0" borderId="51" xfId="0" applyFont="1" applyBorder="1"/>
    <xf numFmtId="0" fontId="18" fillId="0" borderId="51" xfId="0" applyNumberFormat="1" applyFont="1" applyBorder="1" applyAlignment="1">
      <alignment horizontal="center"/>
    </xf>
    <xf numFmtId="0" fontId="0" fillId="0" borderId="51" xfId="0" applyBorder="1"/>
    <xf numFmtId="0" fontId="0" fillId="0" borderId="51" xfId="0" applyBorder="1" applyAlignment="1">
      <alignment horizontal="center"/>
    </xf>
    <xf numFmtId="0" fontId="0" fillId="0" borderId="0" xfId="0" pivotButton="1" applyBorder="1" applyAlignment="1">
      <alignment horizontal="center"/>
    </xf>
    <xf numFmtId="0" fontId="0" fillId="14" borderId="52" xfId="0" applyFill="1" applyBorder="1"/>
    <xf numFmtId="0" fontId="0" fillId="0" borderId="52" xfId="0" applyBorder="1"/>
    <xf numFmtId="0" fontId="0" fillId="0" borderId="52" xfId="0" pivotButton="1" applyBorder="1"/>
    <xf numFmtId="0" fontId="0" fillId="0" borderId="52" xfId="0" applyBorder="1" applyAlignment="1">
      <alignment horizontal="left"/>
    </xf>
    <xf numFmtId="0" fontId="0" fillId="0" borderId="52" xfId="0" applyNumberFormat="1" applyBorder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34" fillId="0" borderId="0" xfId="0" applyFont="1" applyAlignment="1">
      <alignment vertical="center"/>
    </xf>
    <xf numFmtId="0" fontId="35" fillId="0" borderId="53" xfId="0" applyFont="1" applyFill="1" applyBorder="1" applyAlignment="1">
      <alignment horizontal="left" vertical="center" wrapText="1"/>
    </xf>
    <xf numFmtId="0" fontId="34" fillId="11" borderId="53" xfId="0" applyFont="1" applyFill="1" applyBorder="1" applyAlignment="1">
      <alignment vertical="center"/>
    </xf>
    <xf numFmtId="0" fontId="35" fillId="0" borderId="53" xfId="0" applyFont="1" applyFill="1" applyBorder="1" applyAlignment="1">
      <alignment vertical="center"/>
    </xf>
    <xf numFmtId="0" fontId="34" fillId="0" borderId="53" xfId="0" applyFont="1" applyFill="1" applyBorder="1" applyAlignment="1">
      <alignment horizontal="left" vertical="center"/>
    </xf>
    <xf numFmtId="0" fontId="34" fillId="0" borderId="53" xfId="0" applyFont="1" applyFill="1" applyBorder="1" applyAlignment="1">
      <alignment vertical="center"/>
    </xf>
    <xf numFmtId="0" fontId="34" fillId="11" borderId="53" xfId="0" applyFont="1" applyFill="1" applyBorder="1" applyAlignment="1">
      <alignment horizontal="left" vertical="center"/>
    </xf>
    <xf numFmtId="0" fontId="36" fillId="11" borderId="51" xfId="0" applyFont="1" applyFill="1" applyBorder="1" applyAlignment="1">
      <alignment horizontal="left" vertical="center" wrapText="1"/>
    </xf>
    <xf numFmtId="0" fontId="34" fillId="11" borderId="51" xfId="0" applyFont="1" applyFill="1" applyBorder="1" applyAlignment="1">
      <alignment vertical="center"/>
    </xf>
    <xf numFmtId="0" fontId="35" fillId="0" borderId="51" xfId="0" applyFont="1" applyFill="1" applyBorder="1" applyAlignment="1">
      <alignment vertical="center"/>
    </xf>
    <xf numFmtId="0" fontId="34" fillId="16" borderId="51" xfId="0" applyFont="1" applyFill="1" applyBorder="1" applyAlignment="1">
      <alignment horizontal="left" vertical="center"/>
    </xf>
    <xf numFmtId="0" fontId="34" fillId="0" borderId="51" xfId="0" applyFont="1" applyFill="1" applyBorder="1" applyAlignment="1">
      <alignment horizontal="left" vertical="center"/>
    </xf>
    <xf numFmtId="0" fontId="34" fillId="0" borderId="51" xfId="0" applyFont="1" applyFill="1" applyBorder="1" applyAlignment="1">
      <alignment vertical="center"/>
    </xf>
    <xf numFmtId="0" fontId="37" fillId="11" borderId="51" xfId="0" applyFont="1" applyFill="1" applyBorder="1" applyAlignment="1">
      <alignment horizontal="left" vertical="center"/>
    </xf>
    <xf numFmtId="0" fontId="35" fillId="0" borderId="51" xfId="0" applyFont="1" applyFill="1" applyBorder="1" applyAlignment="1">
      <alignment horizontal="left" vertical="center" wrapText="1"/>
    </xf>
    <xf numFmtId="0" fontId="35" fillId="10" borderId="51" xfId="0" applyFont="1" applyFill="1" applyBorder="1" applyAlignment="1">
      <alignment horizontal="left" vertical="center" wrapText="1"/>
    </xf>
    <xf numFmtId="0" fontId="36" fillId="0" borderId="51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37" fillId="11" borderId="51" xfId="0" applyFont="1" applyFill="1" applyBorder="1" applyAlignment="1">
      <alignment vertical="center"/>
    </xf>
    <xf numFmtId="0" fontId="35" fillId="11" borderId="51" xfId="0" applyFont="1" applyFill="1" applyBorder="1" applyAlignment="1">
      <alignment vertical="center"/>
    </xf>
    <xf numFmtId="0" fontId="34" fillId="11" borderId="51" xfId="0" applyFont="1" applyFill="1" applyBorder="1" applyAlignment="1">
      <alignment horizontal="left" vertical="center"/>
    </xf>
    <xf numFmtId="0" fontId="34" fillId="16" borderId="51" xfId="0" applyFont="1" applyFill="1" applyBorder="1" applyAlignment="1">
      <alignment vertical="center"/>
    </xf>
    <xf numFmtId="0" fontId="36" fillId="11" borderId="51" xfId="0" applyFont="1" applyFill="1" applyBorder="1" applyAlignment="1">
      <alignment vertical="center"/>
    </xf>
    <xf numFmtId="0" fontId="37" fillId="0" borderId="51" xfId="0" applyFont="1" applyFill="1" applyBorder="1" applyAlignment="1">
      <alignment horizontal="left" vertical="center"/>
    </xf>
    <xf numFmtId="0" fontId="36" fillId="10" borderId="51" xfId="0" applyFont="1" applyFill="1" applyBorder="1" applyAlignment="1">
      <alignment vertical="center"/>
    </xf>
    <xf numFmtId="0" fontId="36" fillId="11" borderId="46" xfId="0" applyFont="1" applyFill="1" applyBorder="1" applyAlignment="1">
      <alignment horizontal="left" vertical="center" wrapText="1"/>
    </xf>
    <xf numFmtId="0" fontId="34" fillId="11" borderId="46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5" fillId="10" borderId="51" xfId="0" applyFont="1" applyFill="1" applyBorder="1" applyAlignment="1">
      <alignment vertical="center"/>
    </xf>
    <xf numFmtId="0" fontId="35" fillId="0" borderId="46" xfId="0" applyFont="1" applyFill="1" applyBorder="1" applyAlignment="1">
      <alignment vertical="center"/>
    </xf>
    <xf numFmtId="0" fontId="35" fillId="0" borderId="20" xfId="0" applyFont="1" applyBorder="1" applyAlignment="1">
      <alignment horizontal="left"/>
    </xf>
    <xf numFmtId="0" fontId="34" fillId="0" borderId="46" xfId="0" applyFont="1" applyFill="1" applyBorder="1" applyAlignment="1">
      <alignment horizontal="left" vertical="center"/>
    </xf>
    <xf numFmtId="0" fontId="34" fillId="0" borderId="46" xfId="0" applyFont="1" applyFill="1" applyBorder="1" applyAlignment="1">
      <alignment vertical="center"/>
    </xf>
    <xf numFmtId="0" fontId="35" fillId="11" borderId="53" xfId="0" applyFont="1" applyFill="1" applyBorder="1" applyAlignment="1">
      <alignment vertical="center"/>
    </xf>
    <xf numFmtId="0" fontId="37" fillId="0" borderId="53" xfId="0" applyFont="1" applyBorder="1" applyAlignment="1">
      <alignment horizontal="left" vertical="center"/>
    </xf>
    <xf numFmtId="0" fontId="34" fillId="0" borderId="53" xfId="0" applyFont="1" applyBorder="1" applyAlignment="1">
      <alignment vertical="center"/>
    </xf>
    <xf numFmtId="0" fontId="34" fillId="11" borderId="46" xfId="0" applyFont="1" applyFill="1" applyBorder="1" applyAlignment="1">
      <alignment horizontal="left" vertical="center"/>
    </xf>
    <xf numFmtId="0" fontId="37" fillId="0" borderId="51" xfId="0" applyFont="1" applyBorder="1" applyAlignment="1">
      <alignment horizontal="left" vertical="center"/>
    </xf>
    <xf numFmtId="0" fontId="34" fillId="0" borderId="51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35" fillId="11" borderId="46" xfId="0" applyFont="1" applyFill="1" applyBorder="1" applyAlignment="1">
      <alignment vertical="center"/>
    </xf>
    <xf numFmtId="0" fontId="37" fillId="16" borderId="51" xfId="0" applyFont="1" applyFill="1" applyBorder="1" applyAlignment="1">
      <alignment horizontal="left" vertical="center"/>
    </xf>
    <xf numFmtId="0" fontId="37" fillId="0" borderId="46" xfId="0" applyFont="1" applyFill="1" applyBorder="1" applyAlignment="1">
      <alignment horizontal="left" vertical="center"/>
    </xf>
    <xf numFmtId="0" fontId="34" fillId="0" borderId="46" xfId="0" applyFont="1" applyBorder="1" applyAlignment="1">
      <alignment vertical="center"/>
    </xf>
    <xf numFmtId="0" fontId="37" fillId="11" borderId="53" xfId="0" applyFont="1" applyFill="1" applyBorder="1" applyAlignment="1">
      <alignment horizontal="left" vertical="center"/>
    </xf>
    <xf numFmtId="0" fontId="36" fillId="0" borderId="53" xfId="0" applyFont="1" applyFill="1" applyBorder="1" applyAlignment="1">
      <alignment horizontal="center" vertical="center" wrapText="1"/>
    </xf>
    <xf numFmtId="0" fontId="39" fillId="0" borderId="53" xfId="0" applyFont="1" applyFill="1" applyBorder="1" applyAlignment="1">
      <alignment horizontal="center" vertical="center" wrapText="1"/>
    </xf>
    <xf numFmtId="0" fontId="35" fillId="0" borderId="51" xfId="0" applyFont="1" applyFill="1" applyBorder="1" applyAlignment="1">
      <alignment horizontal="center" vertical="center" wrapText="1"/>
    </xf>
    <xf numFmtId="0" fontId="39" fillId="0" borderId="51" xfId="0" applyFont="1" applyFill="1" applyBorder="1" applyAlignment="1">
      <alignment horizontal="center" vertical="center" wrapText="1"/>
    </xf>
    <xf numFmtId="0" fontId="36" fillId="0" borderId="51" xfId="0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6" fillId="11" borderId="51" xfId="0" applyFont="1" applyFill="1" applyBorder="1" applyAlignment="1">
      <alignment horizontal="center" vertical="center" wrapText="1"/>
    </xf>
    <xf numFmtId="0" fontId="39" fillId="11" borderId="51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vertical="center"/>
    </xf>
    <xf numFmtId="0" fontId="34" fillId="8" borderId="51" xfId="0" applyFont="1" applyFill="1" applyBorder="1" applyAlignment="1">
      <alignment vertical="center"/>
    </xf>
    <xf numFmtId="0" fontId="34" fillId="0" borderId="0" xfId="0" applyFont="1" applyBorder="1" applyAlignment="1">
      <alignment vertical="center"/>
    </xf>
    <xf numFmtId="0" fontId="34" fillId="0" borderId="0" xfId="0" applyFont="1" applyAlignment="1">
      <alignment horizontal="right" vertical="center"/>
    </xf>
    <xf numFmtId="0" fontId="37" fillId="17" borderId="0" xfId="0" applyFont="1" applyFill="1" applyAlignment="1">
      <alignment vertical="center"/>
    </xf>
    <xf numFmtId="0" fontId="34" fillId="0" borderId="0" xfId="0" applyFont="1" applyAlignment="1">
      <alignment horizontal="left" vertical="center"/>
    </xf>
    <xf numFmtId="0" fontId="34" fillId="11" borderId="0" xfId="0" applyFont="1" applyFill="1" applyAlignment="1">
      <alignment vertical="center"/>
    </xf>
    <xf numFmtId="0" fontId="34" fillId="11" borderId="0" xfId="0" applyFont="1" applyFill="1" applyAlignment="1">
      <alignment horizontal="left" vertical="center"/>
    </xf>
    <xf numFmtId="0" fontId="34" fillId="0" borderId="0" xfId="0" applyFont="1" applyAlignment="1">
      <alignment horizontal="center" vertical="center"/>
    </xf>
    <xf numFmtId="14" fontId="34" fillId="0" borderId="0" xfId="0" applyNumberFormat="1" applyFont="1" applyFill="1" applyAlignment="1">
      <alignment horizontal="left" vertical="center"/>
    </xf>
    <xf numFmtId="0" fontId="0" fillId="5" borderId="0" xfId="0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38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3" fillId="15" borderId="25" xfId="0" applyFont="1" applyFill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3" fillId="15" borderId="54" xfId="0" applyFont="1" applyFill="1" applyBorder="1" applyAlignment="1">
      <alignment horizontal="center" vertical="center"/>
    </xf>
    <xf numFmtId="0" fontId="33" fillId="15" borderId="33" xfId="0" applyFont="1" applyFill="1" applyBorder="1" applyAlignment="1">
      <alignment horizontal="center" vertical="center"/>
    </xf>
    <xf numFmtId="0" fontId="33" fillId="15" borderId="55" xfId="0" applyFont="1" applyFill="1" applyBorder="1" applyAlignment="1">
      <alignment horizontal="center" vertical="center"/>
    </xf>
    <xf numFmtId="49" fontId="22" fillId="12" borderId="43" xfId="0" applyNumberFormat="1" applyFont="1" applyFill="1" applyBorder="1" applyAlignment="1">
      <alignment horizontal="center" wrapText="1"/>
    </xf>
    <xf numFmtId="0" fontId="24" fillId="0" borderId="39" xfId="0" applyFont="1" applyBorder="1" applyAlignment="1">
      <alignment horizontal="center" shrinkToFit="1"/>
    </xf>
    <xf numFmtId="0" fontId="24" fillId="0" borderId="33" xfId="0" applyFont="1" applyBorder="1" applyAlignment="1">
      <alignment horizontal="center" shrinkToFit="1"/>
    </xf>
    <xf numFmtId="0" fontId="24" fillId="0" borderId="34" xfId="0" applyFont="1" applyBorder="1" applyAlignment="1">
      <alignment horizontal="center" shrinkToFit="1"/>
    </xf>
    <xf numFmtId="0" fontId="24" fillId="0" borderId="0" xfId="0" applyFont="1" applyBorder="1" applyAlignment="1">
      <alignment horizontal="center" shrinkToFit="1"/>
    </xf>
  </cellXfs>
  <cellStyles count="2">
    <cellStyle name="Normal" xfId="0" builtinId="0"/>
    <cellStyle name="Normal 2" xfId="1"/>
  </cellStyles>
  <dxfs count="264">
    <dxf>
      <font>
        <b/>
        <i val="0"/>
        <color rgb="FFFF0000"/>
      </font>
    </dxf>
    <dxf>
      <font>
        <b/>
        <i val="0"/>
        <color rgb="FFFFC000"/>
      </font>
    </dxf>
    <dxf>
      <font>
        <b/>
        <i val="0"/>
        <color rgb="FF00B050"/>
      </font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left" vertical="bottom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ont>
        <color theme="0"/>
      </font>
    </dxf>
    <dxf>
      <font>
        <b/>
        <i val="0"/>
        <color rgb="FF00B050"/>
      </font>
    </dxf>
    <dxf>
      <border>
        <left/>
        <right/>
        <top/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</font>
    </dxf>
    <dxf>
      <alignment horizontal="center" readingOrder="0"/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Le Régime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L'Age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La Chambre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Sortie Changement EDT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Le Casier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Présence Dimanche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Présence Mercredi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8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Pointage Mercredi AM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Coin Fumeur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10.xml><?xml version="1.0" encoding="utf-8"?>
<ax:ocx xmlns:ax="http://schemas.microsoft.com/office/2006/activeX" xmlns:r="http://schemas.openxmlformats.org/officeDocument/2006/relationships" ax:classid="{8BD21D60-EC42-11CE-9E0D-00AA006002F3}" ax:persistence="persistPropertyBag">
  <ax:ocxPr ax:name="BackColor" ax:value="2147483658"/>
  <ax:ocxPr ax:name="ForeColor" ax:value="2147483661"/>
  <ax:ocxPr ax:name="DisplayStyle" ax:value="6"/>
  <ax:ocxPr ax:name="Size" ax:value="7461;1164"/>
  <ax:ocxPr ax:name="Value" ax:value="1"/>
  <ax:ocxPr ax:name="Caption" ax:value="Masquer Dossier Administratif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figeac.legta.free.fr/" TargetMode="Externa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9.emf"/><Relationship Id="rId3" Type="http://schemas.openxmlformats.org/officeDocument/2006/relationships/image" Target="../media/image4.emf"/><Relationship Id="rId7" Type="http://schemas.openxmlformats.org/officeDocument/2006/relationships/image" Target="../media/image8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10" Type="http://schemas.openxmlformats.org/officeDocument/2006/relationships/image" Target="../media/image11.emf"/><Relationship Id="rId4" Type="http://schemas.openxmlformats.org/officeDocument/2006/relationships/image" Target="../media/image5.emf"/><Relationship Id="rId9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142876</xdr:colOff>
      <xdr:row>0</xdr:row>
      <xdr:rowOff>66675</xdr:rowOff>
    </xdr:from>
    <xdr:to>
      <xdr:col>18</xdr:col>
      <xdr:colOff>438150</xdr:colOff>
      <xdr:row>6</xdr:row>
      <xdr:rowOff>95249</xdr:rowOff>
    </xdr:to>
    <xdr:sp macro="" textlink="">
      <xdr:nvSpPr>
        <xdr:cNvPr id="38" name="Rectangle 37"/>
        <xdr:cNvSpPr/>
      </xdr:nvSpPr>
      <xdr:spPr>
        <a:xfrm>
          <a:off x="10934701" y="66675"/>
          <a:ext cx="3343274" cy="1171574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333376</xdr:colOff>
      <xdr:row>32</xdr:row>
      <xdr:rowOff>161925</xdr:rowOff>
    </xdr:from>
    <xdr:to>
      <xdr:col>4</xdr:col>
      <xdr:colOff>485776</xdr:colOff>
      <xdr:row>38</xdr:row>
      <xdr:rowOff>190499</xdr:rowOff>
    </xdr:to>
    <xdr:sp macro="" textlink="">
      <xdr:nvSpPr>
        <xdr:cNvPr id="37" name="Rectangle 36"/>
        <xdr:cNvSpPr/>
      </xdr:nvSpPr>
      <xdr:spPr>
        <a:xfrm>
          <a:off x="333376" y="6486525"/>
          <a:ext cx="3200400" cy="1171574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704850</xdr:colOff>
      <xdr:row>31</xdr:row>
      <xdr:rowOff>152400</xdr:rowOff>
    </xdr:from>
    <xdr:to>
      <xdr:col>15</xdr:col>
      <xdr:colOff>57150</xdr:colOff>
      <xdr:row>39</xdr:row>
      <xdr:rowOff>123824</xdr:rowOff>
    </xdr:to>
    <xdr:sp macro="" textlink="">
      <xdr:nvSpPr>
        <xdr:cNvPr id="34" name="Rectangle 33"/>
        <xdr:cNvSpPr/>
      </xdr:nvSpPr>
      <xdr:spPr>
        <a:xfrm>
          <a:off x="3752850" y="6286500"/>
          <a:ext cx="7858125" cy="1495424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57150</xdr:colOff>
      <xdr:row>7</xdr:row>
      <xdr:rowOff>66675</xdr:rowOff>
    </xdr:from>
    <xdr:to>
      <xdr:col>9</xdr:col>
      <xdr:colOff>352425</xdr:colOff>
      <xdr:row>25</xdr:row>
      <xdr:rowOff>161924</xdr:rowOff>
    </xdr:to>
    <xdr:sp macro="" textlink="">
      <xdr:nvSpPr>
        <xdr:cNvPr id="30" name="Rectangle 29"/>
        <xdr:cNvSpPr/>
      </xdr:nvSpPr>
      <xdr:spPr>
        <a:xfrm>
          <a:off x="3867150" y="1400175"/>
          <a:ext cx="3343275" cy="3733799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561975</xdr:colOff>
      <xdr:row>7</xdr:row>
      <xdr:rowOff>66676</xdr:rowOff>
    </xdr:from>
    <xdr:to>
      <xdr:col>13</xdr:col>
      <xdr:colOff>733425</xdr:colOff>
      <xdr:row>15</xdr:row>
      <xdr:rowOff>285751</xdr:rowOff>
    </xdr:to>
    <xdr:sp macro="" textlink="">
      <xdr:nvSpPr>
        <xdr:cNvPr id="22" name="Rectangle 21"/>
        <xdr:cNvSpPr/>
      </xdr:nvSpPr>
      <xdr:spPr>
        <a:xfrm>
          <a:off x="7419975" y="1400176"/>
          <a:ext cx="3343275" cy="17526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133350</xdr:colOff>
      <xdr:row>19</xdr:row>
      <xdr:rowOff>57150</xdr:rowOff>
    </xdr:from>
    <xdr:to>
      <xdr:col>18</xdr:col>
      <xdr:colOff>428625</xdr:colOff>
      <xdr:row>31</xdr:row>
      <xdr:rowOff>28575</xdr:rowOff>
    </xdr:to>
    <xdr:sp macro="" textlink="">
      <xdr:nvSpPr>
        <xdr:cNvPr id="21" name="Rectangle 20"/>
        <xdr:cNvSpPr/>
      </xdr:nvSpPr>
      <xdr:spPr>
        <a:xfrm>
          <a:off x="10925175" y="3867150"/>
          <a:ext cx="3343275" cy="229552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133350</xdr:colOff>
      <xdr:row>7</xdr:row>
      <xdr:rowOff>66675</xdr:rowOff>
    </xdr:from>
    <xdr:to>
      <xdr:col>18</xdr:col>
      <xdr:colOff>428625</xdr:colOff>
      <xdr:row>18</xdr:row>
      <xdr:rowOff>76200</xdr:rowOff>
    </xdr:to>
    <xdr:sp macro="" textlink="">
      <xdr:nvSpPr>
        <xdr:cNvPr id="20" name="Rectangle 19"/>
        <xdr:cNvSpPr/>
      </xdr:nvSpPr>
      <xdr:spPr>
        <a:xfrm>
          <a:off x="10925175" y="1400175"/>
          <a:ext cx="3343275" cy="2295525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173125</xdr:colOff>
      <xdr:row>15</xdr:row>
      <xdr:rowOff>171022</xdr:rowOff>
    </xdr:from>
    <xdr:to>
      <xdr:col>4</xdr:col>
      <xdr:colOff>6203</xdr:colOff>
      <xdr:row>18</xdr:row>
      <xdr:rowOff>163783</xdr:rowOff>
    </xdr:to>
    <xdr:sp macro="" textlink="">
      <xdr:nvSpPr>
        <xdr:cNvPr id="2" name="Rectangle à coins arrondis 1"/>
        <xdr:cNvSpPr/>
      </xdr:nvSpPr>
      <xdr:spPr>
        <a:xfrm>
          <a:off x="173125" y="3038047"/>
          <a:ext cx="2881078" cy="745236"/>
        </a:xfrm>
        <a:prstGeom prst="roundRect">
          <a:avLst/>
        </a:prstGeom>
        <a:noFill/>
        <a:ln>
          <a:solidFill>
            <a:schemeClr val="bg1">
              <a:lumMod val="75000"/>
            </a:schemeClr>
          </a:solidFill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t"/>
        <a:lstStyle/>
        <a:p>
          <a:pPr lvl="1" algn="l"/>
          <a:endParaRPr lang="fr-FR" sz="1050">
            <a:noFill/>
          </a:endParaRPr>
        </a:p>
      </xdr:txBody>
    </xdr:sp>
    <xdr:clientData/>
  </xdr:twoCellAnchor>
  <xdr:twoCellAnchor editAs="oneCell">
    <xdr:from>
      <xdr:col>15</xdr:col>
      <xdr:colOff>77769</xdr:colOff>
      <xdr:row>34</xdr:row>
      <xdr:rowOff>0</xdr:rowOff>
    </xdr:from>
    <xdr:to>
      <xdr:col>19</xdr:col>
      <xdr:colOff>165243</xdr:colOff>
      <xdr:row>38</xdr:row>
      <xdr:rowOff>48598</xdr:rowOff>
    </xdr:to>
    <xdr:pic>
      <xdr:nvPicPr>
        <xdr:cNvPr id="3" name="Image 2" descr="CIAS de Rignac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31594" y="6705600"/>
          <a:ext cx="3135474" cy="810598"/>
        </a:xfrm>
        <a:prstGeom prst="rect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</xdr:pic>
    <xdr:clientData/>
  </xdr:twoCellAnchor>
  <xdr:twoCellAnchor>
    <xdr:from>
      <xdr:col>5</xdr:col>
      <xdr:colOff>421040</xdr:colOff>
      <xdr:row>15</xdr:row>
      <xdr:rowOff>78497</xdr:rowOff>
    </xdr:from>
    <xdr:to>
      <xdr:col>8</xdr:col>
      <xdr:colOff>609193</xdr:colOff>
      <xdr:row>17</xdr:row>
      <xdr:rowOff>22821</xdr:rowOff>
    </xdr:to>
    <xdr:sp macro="[0]!menu2" textlink="">
      <xdr:nvSpPr>
        <xdr:cNvPr id="4" name="Organigramme : Terminateur 3"/>
        <xdr:cNvSpPr/>
      </xdr:nvSpPr>
      <xdr:spPr>
        <a:xfrm>
          <a:off x="4231040" y="2945522"/>
          <a:ext cx="2474153" cy="430099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accent6">
                  <a:lumMod val="75000"/>
                </a:schemeClr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Fiche détaillée d'un élève</a:t>
          </a:r>
        </a:p>
      </xdr:txBody>
    </xdr:sp>
    <xdr:clientData/>
  </xdr:twoCellAnchor>
  <xdr:twoCellAnchor>
    <xdr:from>
      <xdr:col>14</xdr:col>
      <xdr:colOff>209550</xdr:colOff>
      <xdr:row>1</xdr:row>
      <xdr:rowOff>60067</xdr:rowOff>
    </xdr:from>
    <xdr:to>
      <xdr:col>16</xdr:col>
      <xdr:colOff>199830</xdr:colOff>
      <xdr:row>5</xdr:row>
      <xdr:rowOff>104775</xdr:rowOff>
    </xdr:to>
    <xdr:sp macro="[0]!plein_ecran" textlink="">
      <xdr:nvSpPr>
        <xdr:cNvPr id="5" name="Organigramme : Terminateur 4"/>
        <xdr:cNvSpPr/>
      </xdr:nvSpPr>
      <xdr:spPr>
        <a:xfrm>
          <a:off x="11001375" y="250567"/>
          <a:ext cx="1514280" cy="806708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rgbClr val="00B050"/>
              </a:solidFill>
              <a:effectLst/>
            </a:rPr>
            <a:t>OUVRIR PLEIN ECRAN</a:t>
          </a:r>
        </a:p>
      </xdr:txBody>
    </xdr:sp>
    <xdr:clientData/>
  </xdr:twoCellAnchor>
  <xdr:twoCellAnchor>
    <xdr:from>
      <xdr:col>16</xdr:col>
      <xdr:colOff>248427</xdr:colOff>
      <xdr:row>1</xdr:row>
      <xdr:rowOff>50349</xdr:rowOff>
    </xdr:from>
    <xdr:to>
      <xdr:col>18</xdr:col>
      <xdr:colOff>267866</xdr:colOff>
      <xdr:row>5</xdr:row>
      <xdr:rowOff>101672</xdr:rowOff>
    </xdr:to>
    <xdr:sp macro="[0]!Fermer_plein_écran" textlink="">
      <xdr:nvSpPr>
        <xdr:cNvPr id="6" name="Organigramme : Terminateur 5"/>
        <xdr:cNvSpPr/>
      </xdr:nvSpPr>
      <xdr:spPr>
        <a:xfrm>
          <a:off x="12564252" y="240849"/>
          <a:ext cx="1543439" cy="813323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FF0000"/>
              </a:solidFill>
              <a:effectLst/>
            </a:rPr>
            <a:t>FERMER PLEIN ECRAN</a:t>
          </a:r>
        </a:p>
      </xdr:txBody>
    </xdr:sp>
    <xdr:clientData/>
  </xdr:twoCellAnchor>
  <xdr:twoCellAnchor>
    <xdr:from>
      <xdr:col>5</xdr:col>
      <xdr:colOff>436986</xdr:colOff>
      <xdr:row>9</xdr:row>
      <xdr:rowOff>188769</xdr:rowOff>
    </xdr:from>
    <xdr:to>
      <xdr:col>8</xdr:col>
      <xdr:colOff>625139</xdr:colOff>
      <xdr:row>12</xdr:row>
      <xdr:rowOff>47369</xdr:rowOff>
    </xdr:to>
    <xdr:sp macro="[0]!menu1" textlink="">
      <xdr:nvSpPr>
        <xdr:cNvPr id="11" name="Organigramme : Terminateur 10"/>
        <xdr:cNvSpPr/>
      </xdr:nvSpPr>
      <xdr:spPr>
        <a:xfrm>
          <a:off x="4246986" y="1912794"/>
          <a:ext cx="2474153" cy="430100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Ajouter</a:t>
          </a:r>
          <a:r>
            <a:rPr lang="fr-FR" sz="1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un </a:t>
          </a:r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élève</a:t>
          </a:r>
        </a:p>
      </xdr:txBody>
    </xdr:sp>
    <xdr:clientData/>
  </xdr:twoCellAnchor>
  <xdr:twoCellAnchor>
    <xdr:from>
      <xdr:col>9</xdr:col>
      <xdr:colOff>426681</xdr:colOff>
      <xdr:row>10</xdr:row>
      <xdr:rowOff>154697</xdr:rowOff>
    </xdr:from>
    <xdr:to>
      <xdr:col>13</xdr:col>
      <xdr:colOff>495864</xdr:colOff>
      <xdr:row>13</xdr:row>
      <xdr:rowOff>22821</xdr:rowOff>
    </xdr:to>
    <xdr:sp macro="[0]!Etudes_Semaine" textlink="">
      <xdr:nvSpPr>
        <xdr:cNvPr id="12" name="Organigramme : Terminateur 11"/>
        <xdr:cNvSpPr/>
      </xdr:nvSpPr>
      <xdr:spPr>
        <a:xfrm>
          <a:off x="7284681" y="2069222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Imprimer</a:t>
          </a:r>
          <a:r>
            <a:rPr lang="fr-FR" sz="1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é</a:t>
          </a:r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tudes de la semaine</a:t>
          </a:r>
        </a:p>
      </xdr:txBody>
    </xdr:sp>
    <xdr:clientData/>
  </xdr:twoCellAnchor>
  <xdr:twoCellAnchor>
    <xdr:from>
      <xdr:col>9</xdr:col>
      <xdr:colOff>446121</xdr:colOff>
      <xdr:row>13</xdr:row>
      <xdr:rowOff>102385</xdr:rowOff>
    </xdr:from>
    <xdr:to>
      <xdr:col>13</xdr:col>
      <xdr:colOff>502479</xdr:colOff>
      <xdr:row>15</xdr:row>
      <xdr:rowOff>161203</xdr:rowOff>
    </xdr:to>
    <xdr:sp macro="[0]!ETUDES" textlink="">
      <xdr:nvSpPr>
        <xdr:cNvPr id="13" name="Organigramme : Terminateur 12"/>
        <xdr:cNvSpPr/>
      </xdr:nvSpPr>
      <xdr:spPr>
        <a:xfrm>
          <a:off x="7304121" y="2588410"/>
          <a:ext cx="3228183" cy="439818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Modifications études de la semaine</a:t>
          </a:r>
        </a:p>
      </xdr:txBody>
    </xdr:sp>
    <xdr:clientData/>
  </xdr:twoCellAnchor>
  <xdr:twoCellAnchor>
    <xdr:from>
      <xdr:col>13</xdr:col>
      <xdr:colOff>723900</xdr:colOff>
      <xdr:row>10</xdr:row>
      <xdr:rowOff>152400</xdr:rowOff>
    </xdr:from>
    <xdr:to>
      <xdr:col>18</xdr:col>
      <xdr:colOff>154908</xdr:colOff>
      <xdr:row>13</xdr:row>
      <xdr:rowOff>20524</xdr:rowOff>
    </xdr:to>
    <xdr:sp macro="[0]!Chambresfilles1eretage" textlink="">
      <xdr:nvSpPr>
        <xdr:cNvPr id="14" name="Organigramme : Terminateur 13"/>
        <xdr:cNvSpPr/>
      </xdr:nvSpPr>
      <xdr:spPr>
        <a:xfrm>
          <a:off x="10753725" y="2066925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FF0066"/>
              </a:solidFill>
              <a:effectLst/>
            </a:rPr>
            <a:t>Chambres Filles 1er étage</a:t>
          </a:r>
        </a:p>
      </xdr:txBody>
    </xdr:sp>
    <xdr:clientData/>
  </xdr:twoCellAnchor>
  <xdr:twoCellAnchor>
    <xdr:from>
      <xdr:col>13</xdr:col>
      <xdr:colOff>723900</xdr:colOff>
      <xdr:row>13</xdr:row>
      <xdr:rowOff>114300</xdr:rowOff>
    </xdr:from>
    <xdr:to>
      <xdr:col>18</xdr:col>
      <xdr:colOff>154908</xdr:colOff>
      <xdr:row>15</xdr:row>
      <xdr:rowOff>172924</xdr:rowOff>
    </xdr:to>
    <xdr:sp macro="[0]!Chambresfille2emetage" textlink="">
      <xdr:nvSpPr>
        <xdr:cNvPr id="15" name="Organigramme : Terminateur 14"/>
        <xdr:cNvSpPr/>
      </xdr:nvSpPr>
      <xdr:spPr>
        <a:xfrm>
          <a:off x="10753725" y="2600325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FF0066"/>
              </a:solidFill>
              <a:effectLst/>
            </a:rPr>
            <a:t>Chambres Filles 2em étage</a:t>
          </a:r>
        </a:p>
      </xdr:txBody>
    </xdr:sp>
    <xdr:clientData/>
  </xdr:twoCellAnchor>
  <xdr:twoCellAnchor>
    <xdr:from>
      <xdr:col>13</xdr:col>
      <xdr:colOff>695325</xdr:colOff>
      <xdr:row>22</xdr:row>
      <xdr:rowOff>122351</xdr:rowOff>
    </xdr:from>
    <xdr:to>
      <xdr:col>18</xdr:col>
      <xdr:colOff>126333</xdr:colOff>
      <xdr:row>24</xdr:row>
      <xdr:rowOff>180975</xdr:rowOff>
    </xdr:to>
    <xdr:sp macro="[0]!Chambresgarcons1eretage" textlink="">
      <xdr:nvSpPr>
        <xdr:cNvPr id="16" name="Organigramme : Terminateur 15"/>
        <xdr:cNvSpPr/>
      </xdr:nvSpPr>
      <xdr:spPr>
        <a:xfrm>
          <a:off x="10725150" y="4513376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0070C0"/>
              </a:solidFill>
              <a:effectLst/>
            </a:rPr>
            <a:t>Chambres Garçons 1er étage</a:t>
          </a:r>
        </a:p>
      </xdr:txBody>
    </xdr:sp>
    <xdr:clientData/>
  </xdr:twoCellAnchor>
  <xdr:twoCellAnchor>
    <xdr:from>
      <xdr:col>13</xdr:col>
      <xdr:colOff>695325</xdr:colOff>
      <xdr:row>25</xdr:row>
      <xdr:rowOff>93776</xdr:rowOff>
    </xdr:from>
    <xdr:to>
      <xdr:col>18</xdr:col>
      <xdr:colOff>126333</xdr:colOff>
      <xdr:row>27</xdr:row>
      <xdr:rowOff>152400</xdr:rowOff>
    </xdr:to>
    <xdr:sp macro="[0]!Chambresgarconsrdc" textlink="">
      <xdr:nvSpPr>
        <xdr:cNvPr id="17" name="Organigramme : Terminateur 16"/>
        <xdr:cNvSpPr/>
      </xdr:nvSpPr>
      <xdr:spPr>
        <a:xfrm>
          <a:off x="10725150" y="5065826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0070C0"/>
              </a:solidFill>
              <a:effectLst/>
            </a:rPr>
            <a:t>Chambres</a:t>
          </a:r>
          <a:r>
            <a:rPr lang="fr-FR" sz="1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0070C0"/>
              </a:solidFill>
              <a:effectLst/>
            </a:rPr>
            <a:t> Garçons rez de chaussée</a:t>
          </a:r>
          <a:endParaRPr lang="fr-FR" sz="14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solidFill>
              <a:srgbClr val="0070C0"/>
            </a:solidFill>
            <a:effectLst/>
          </a:endParaRPr>
        </a:p>
      </xdr:txBody>
    </xdr:sp>
    <xdr:clientData/>
  </xdr:twoCellAnchor>
  <xdr:twoCellAnchor>
    <xdr:from>
      <xdr:col>13</xdr:col>
      <xdr:colOff>742950</xdr:colOff>
      <xdr:row>15</xdr:row>
      <xdr:rowOff>285750</xdr:rowOff>
    </xdr:from>
    <xdr:to>
      <xdr:col>18</xdr:col>
      <xdr:colOff>173958</xdr:colOff>
      <xdr:row>17</xdr:row>
      <xdr:rowOff>239599</xdr:rowOff>
    </xdr:to>
    <xdr:sp macro="[0]!Planetagefille" textlink="">
      <xdr:nvSpPr>
        <xdr:cNvPr id="18" name="Organigramme : Terminateur 17"/>
        <xdr:cNvSpPr/>
      </xdr:nvSpPr>
      <xdr:spPr>
        <a:xfrm>
          <a:off x="10772775" y="3152775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FF0066"/>
              </a:solidFill>
              <a:effectLst/>
            </a:rPr>
            <a:t>Plan étages</a:t>
          </a:r>
          <a:r>
            <a:rPr lang="fr-FR" sz="1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FF0066"/>
              </a:solidFill>
              <a:effectLst/>
            </a:rPr>
            <a:t> Filles</a:t>
          </a:r>
          <a:endParaRPr lang="fr-FR" sz="14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solidFill>
              <a:srgbClr val="FF0066"/>
            </a:solidFill>
            <a:effectLst/>
          </a:endParaRPr>
        </a:p>
      </xdr:txBody>
    </xdr:sp>
    <xdr:clientData/>
  </xdr:twoCellAnchor>
  <xdr:twoCellAnchor>
    <xdr:from>
      <xdr:col>13</xdr:col>
      <xdr:colOff>723900</xdr:colOff>
      <xdr:row>28</xdr:row>
      <xdr:rowOff>65201</xdr:rowOff>
    </xdr:from>
    <xdr:to>
      <xdr:col>18</xdr:col>
      <xdr:colOff>154908</xdr:colOff>
      <xdr:row>30</xdr:row>
      <xdr:rowOff>104775</xdr:rowOff>
    </xdr:to>
    <xdr:sp macro="[0]!Chambresgarconsrdc" textlink="">
      <xdr:nvSpPr>
        <xdr:cNvPr id="19" name="Organigramme : Terminateur 18"/>
        <xdr:cNvSpPr/>
      </xdr:nvSpPr>
      <xdr:spPr>
        <a:xfrm>
          <a:off x="10753725" y="5608751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0070C0"/>
              </a:solidFill>
              <a:effectLst/>
            </a:rPr>
            <a:t>Plan étages Garçons</a:t>
          </a:r>
        </a:p>
      </xdr:txBody>
    </xdr:sp>
    <xdr:clientData/>
  </xdr:twoCellAnchor>
  <xdr:twoCellAnchor>
    <xdr:from>
      <xdr:col>9</xdr:col>
      <xdr:colOff>552450</xdr:colOff>
      <xdr:row>17</xdr:row>
      <xdr:rowOff>19051</xdr:rowOff>
    </xdr:from>
    <xdr:to>
      <xdr:col>13</xdr:col>
      <xdr:colOff>723900</xdr:colOff>
      <xdr:row>25</xdr:row>
      <xdr:rowOff>152401</xdr:rowOff>
    </xdr:to>
    <xdr:sp macro="" textlink="">
      <xdr:nvSpPr>
        <xdr:cNvPr id="23" name="Rectangle 22"/>
        <xdr:cNvSpPr/>
      </xdr:nvSpPr>
      <xdr:spPr>
        <a:xfrm>
          <a:off x="7410450" y="3371851"/>
          <a:ext cx="3343275" cy="17526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445731</xdr:colOff>
      <xdr:row>20</xdr:row>
      <xdr:rowOff>40397</xdr:rowOff>
    </xdr:from>
    <xdr:to>
      <xdr:col>13</xdr:col>
      <xdr:colOff>514914</xdr:colOff>
      <xdr:row>22</xdr:row>
      <xdr:rowOff>99021</xdr:rowOff>
    </xdr:to>
    <xdr:sp macro="[0]!Listeparclasse" textlink="">
      <xdr:nvSpPr>
        <xdr:cNvPr id="24" name="Organigramme : Terminateur 23"/>
        <xdr:cNvSpPr/>
      </xdr:nvSpPr>
      <xdr:spPr>
        <a:xfrm>
          <a:off x="7303731" y="4050422"/>
          <a:ext cx="3241008" cy="439624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Liste Casiers chambres etc</a:t>
          </a:r>
          <a:r>
            <a:rPr lang="fr-FR" sz="14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...</a:t>
          </a:r>
          <a:endParaRPr lang="fr-FR" sz="14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9</xdr:col>
      <xdr:colOff>465171</xdr:colOff>
      <xdr:row>22</xdr:row>
      <xdr:rowOff>178585</xdr:rowOff>
    </xdr:from>
    <xdr:to>
      <xdr:col>13</xdr:col>
      <xdr:colOff>521529</xdr:colOff>
      <xdr:row>25</xdr:row>
      <xdr:rowOff>37378</xdr:rowOff>
    </xdr:to>
    <xdr:sp macro="" textlink="">
      <xdr:nvSpPr>
        <xdr:cNvPr id="25" name="Organigramme : Terminateur 24"/>
        <xdr:cNvSpPr/>
      </xdr:nvSpPr>
      <xdr:spPr>
        <a:xfrm>
          <a:off x="7323171" y="4569610"/>
          <a:ext cx="3228183" cy="439818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Listes autorisations Club ... Fumeur</a:t>
          </a:r>
        </a:p>
      </xdr:txBody>
    </xdr:sp>
    <xdr:clientData/>
  </xdr:twoCellAnchor>
  <xdr:twoCellAnchor editAs="absolute">
    <xdr:from>
      <xdr:col>0</xdr:col>
      <xdr:colOff>647700</xdr:colOff>
      <xdr:row>15</xdr:row>
      <xdr:rowOff>98369</xdr:rowOff>
    </xdr:from>
    <xdr:to>
      <xdr:col>3</xdr:col>
      <xdr:colOff>714908</xdr:colOff>
      <xdr:row>16</xdr:row>
      <xdr:rowOff>171913</xdr:rowOff>
    </xdr:to>
    <xdr:sp macro="" textlink="">
      <xdr:nvSpPr>
        <xdr:cNvPr id="26" name="Rectangle 25"/>
        <xdr:cNvSpPr/>
      </xdr:nvSpPr>
      <xdr:spPr>
        <a:xfrm rot="21480000">
          <a:off x="647700" y="2965394"/>
          <a:ext cx="2353208" cy="36881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6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Année scolaire en cours</a:t>
          </a:r>
          <a:endParaRPr lang="fr-FR" sz="16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 editAs="absolute">
    <xdr:from>
      <xdr:col>5</xdr:col>
      <xdr:colOff>406364</xdr:colOff>
      <xdr:row>13</xdr:row>
      <xdr:rowOff>75173</xdr:rowOff>
    </xdr:from>
    <xdr:to>
      <xdr:col>9</xdr:col>
      <xdr:colOff>128389</xdr:colOff>
      <xdr:row>15</xdr:row>
      <xdr:rowOff>28432</xdr:rowOff>
    </xdr:to>
    <xdr:sp macro="" textlink="">
      <xdr:nvSpPr>
        <xdr:cNvPr id="27" name="Rectangle 26"/>
        <xdr:cNvSpPr/>
      </xdr:nvSpPr>
      <xdr:spPr>
        <a:xfrm>
          <a:off x="4216364" y="2561198"/>
          <a:ext cx="2770025" cy="33425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Modification et visualisation</a:t>
          </a:r>
          <a:endParaRPr lang="fr-FR" sz="1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 editAs="absolute">
    <xdr:from>
      <xdr:col>5</xdr:col>
      <xdr:colOff>374685</xdr:colOff>
      <xdr:row>7</xdr:row>
      <xdr:rowOff>180975</xdr:rowOff>
    </xdr:from>
    <xdr:to>
      <xdr:col>9</xdr:col>
      <xdr:colOff>96710</xdr:colOff>
      <xdr:row>9</xdr:row>
      <xdr:rowOff>124709</xdr:rowOff>
    </xdr:to>
    <xdr:sp macro="" textlink="">
      <xdr:nvSpPr>
        <xdr:cNvPr id="28" name="Rectangle 27"/>
        <xdr:cNvSpPr/>
      </xdr:nvSpPr>
      <xdr:spPr>
        <a:xfrm>
          <a:off x="4184685" y="1514475"/>
          <a:ext cx="2770025" cy="33425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Gestion des nouvelles entrées</a:t>
          </a:r>
          <a:endParaRPr lang="fr-FR" sz="14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 editAs="absolute">
    <xdr:from>
      <xdr:col>10</xdr:col>
      <xdr:colOff>139666</xdr:colOff>
      <xdr:row>7</xdr:row>
      <xdr:rowOff>188306</xdr:rowOff>
    </xdr:from>
    <xdr:to>
      <xdr:col>13</xdr:col>
      <xdr:colOff>499866</xdr:colOff>
      <xdr:row>9</xdr:row>
      <xdr:rowOff>132040</xdr:rowOff>
    </xdr:to>
    <xdr:sp macro="" textlink="">
      <xdr:nvSpPr>
        <xdr:cNvPr id="29" name="Rectangle 28"/>
        <xdr:cNvSpPr/>
      </xdr:nvSpPr>
      <xdr:spPr>
        <a:xfrm>
          <a:off x="7759666" y="1521806"/>
          <a:ext cx="2770025" cy="33425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Modification / Edition des études</a:t>
          </a:r>
          <a:endParaRPr lang="fr-FR" sz="1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 editAs="absolute">
    <xdr:from>
      <xdr:col>14</xdr:col>
      <xdr:colOff>425416</xdr:colOff>
      <xdr:row>7</xdr:row>
      <xdr:rowOff>178781</xdr:rowOff>
    </xdr:from>
    <xdr:to>
      <xdr:col>18</xdr:col>
      <xdr:colOff>147441</xdr:colOff>
      <xdr:row>9</xdr:row>
      <xdr:rowOff>122515</xdr:rowOff>
    </xdr:to>
    <xdr:sp macro="" textlink="">
      <xdr:nvSpPr>
        <xdr:cNvPr id="31" name="Rectangle 30"/>
        <xdr:cNvSpPr/>
      </xdr:nvSpPr>
      <xdr:spPr>
        <a:xfrm>
          <a:off x="11217241" y="1512281"/>
          <a:ext cx="2770025" cy="33425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Listes et Plan étages Filles</a:t>
          </a:r>
          <a:endParaRPr lang="fr-FR" sz="1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 editAs="absolute">
    <xdr:from>
      <xdr:col>14</xdr:col>
      <xdr:colOff>444466</xdr:colOff>
      <xdr:row>19</xdr:row>
      <xdr:rowOff>150206</xdr:rowOff>
    </xdr:from>
    <xdr:to>
      <xdr:col>18</xdr:col>
      <xdr:colOff>166491</xdr:colOff>
      <xdr:row>21</xdr:row>
      <xdr:rowOff>93940</xdr:rowOff>
    </xdr:to>
    <xdr:sp macro="" textlink="">
      <xdr:nvSpPr>
        <xdr:cNvPr id="32" name="Rectangle 31"/>
        <xdr:cNvSpPr/>
      </xdr:nvSpPr>
      <xdr:spPr>
        <a:xfrm>
          <a:off x="11236291" y="3960206"/>
          <a:ext cx="2770025" cy="33425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Listes et Plan étages Garçons</a:t>
          </a:r>
          <a:endParaRPr lang="fr-FR" sz="1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 editAs="absolute">
    <xdr:from>
      <xdr:col>10</xdr:col>
      <xdr:colOff>114300</xdr:colOff>
      <xdr:row>17</xdr:row>
      <xdr:rowOff>152401</xdr:rowOff>
    </xdr:from>
    <xdr:to>
      <xdr:col>13</xdr:col>
      <xdr:colOff>474500</xdr:colOff>
      <xdr:row>19</xdr:row>
      <xdr:rowOff>29460</xdr:rowOff>
    </xdr:to>
    <xdr:sp macro="" textlink="">
      <xdr:nvSpPr>
        <xdr:cNvPr id="33" name="Rectangle 32"/>
        <xdr:cNvSpPr/>
      </xdr:nvSpPr>
      <xdr:spPr>
        <a:xfrm>
          <a:off x="7734300" y="3505201"/>
          <a:ext cx="2770025" cy="334259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Listes en tout genre à l'impression</a:t>
          </a:r>
          <a:endParaRPr lang="fr-FR" sz="14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0</xdr:col>
      <xdr:colOff>276225</xdr:colOff>
      <xdr:row>33</xdr:row>
      <xdr:rowOff>181168</xdr:rowOff>
    </xdr:from>
    <xdr:to>
      <xdr:col>2</xdr:col>
      <xdr:colOff>266505</xdr:colOff>
      <xdr:row>38</xdr:row>
      <xdr:rowOff>35376</xdr:rowOff>
    </xdr:to>
    <xdr:sp macro="[0]!Quitterclasseur" textlink="">
      <xdr:nvSpPr>
        <xdr:cNvPr id="35" name="Organigramme : Terminateur 34"/>
        <xdr:cNvSpPr/>
      </xdr:nvSpPr>
      <xdr:spPr>
        <a:xfrm>
          <a:off x="276225" y="6696268"/>
          <a:ext cx="1514280" cy="806708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rgbClr val="FF0000"/>
              </a:solidFill>
              <a:effectLst/>
            </a:rPr>
            <a:t>Quitter</a:t>
          </a:r>
        </a:p>
      </xdr:txBody>
    </xdr:sp>
    <xdr:clientData/>
  </xdr:twoCellAnchor>
  <xdr:twoCellAnchor>
    <xdr:from>
      <xdr:col>2</xdr:col>
      <xdr:colOff>315102</xdr:colOff>
      <xdr:row>33</xdr:row>
      <xdr:rowOff>171450</xdr:rowOff>
    </xdr:from>
    <xdr:to>
      <xdr:col>4</xdr:col>
      <xdr:colOff>334541</xdr:colOff>
      <xdr:row>38</xdr:row>
      <xdr:rowOff>32273</xdr:rowOff>
    </xdr:to>
    <xdr:sp macro="" textlink="">
      <xdr:nvSpPr>
        <xdr:cNvPr id="36" name="Organigramme : Terminateur 35"/>
        <xdr:cNvSpPr/>
      </xdr:nvSpPr>
      <xdr:spPr>
        <a:xfrm>
          <a:off x="1839102" y="6686550"/>
          <a:ext cx="1543439" cy="813323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 i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solidFill>
                <a:srgbClr val="00B050"/>
              </a:solidFill>
              <a:effectLst/>
            </a:rPr>
            <a:t>Sauvegarder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480872</xdr:colOff>
      <xdr:row>34</xdr:row>
      <xdr:rowOff>25206</xdr:rowOff>
    </xdr:from>
    <xdr:to>
      <xdr:col>21</xdr:col>
      <xdr:colOff>571551</xdr:colOff>
      <xdr:row>36</xdr:row>
      <xdr:rowOff>135816</xdr:rowOff>
    </xdr:to>
    <xdr:sp macro="[0]!Retour" textlink="">
      <xdr:nvSpPr>
        <xdr:cNvPr id="3" name="Organigramme : Terminateur 2"/>
        <xdr:cNvSpPr/>
      </xdr:nvSpPr>
      <xdr:spPr>
        <a:xfrm>
          <a:off x="6769667" y="6245146"/>
          <a:ext cx="3441643" cy="500790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Retour à la page d'acceuil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280</xdr:row>
      <xdr:rowOff>66675</xdr:rowOff>
    </xdr:from>
    <xdr:to>
      <xdr:col>7</xdr:col>
      <xdr:colOff>924595</xdr:colOff>
      <xdr:row>283</xdr:row>
      <xdr:rowOff>3450</xdr:rowOff>
    </xdr:to>
    <xdr:sp macro="[0]!Retour" textlink="">
      <xdr:nvSpPr>
        <xdr:cNvPr id="3" name="Organigramme : Terminateur 2"/>
        <xdr:cNvSpPr/>
      </xdr:nvSpPr>
      <xdr:spPr>
        <a:xfrm>
          <a:off x="3819525" y="53635275"/>
          <a:ext cx="3991645" cy="508275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 à la page d'acceuil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1509016</xdr:colOff>
      <xdr:row>7</xdr:row>
      <xdr:rowOff>406685</xdr:rowOff>
    </xdr:from>
    <xdr:to>
      <xdr:col>4</xdr:col>
      <xdr:colOff>1158011</xdr:colOff>
      <xdr:row>8</xdr:row>
      <xdr:rowOff>422550</xdr:rowOff>
    </xdr:to>
    <xdr:sp macro="[0]!Etudes_Semaine" textlink="">
      <xdr:nvSpPr>
        <xdr:cNvPr id="5" name="Organigramme : Terminateur 4"/>
        <xdr:cNvSpPr/>
      </xdr:nvSpPr>
      <xdr:spPr>
        <a:xfrm>
          <a:off x="3852808" y="3970533"/>
          <a:ext cx="2816860" cy="625893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Imprimer</a:t>
          </a:r>
          <a:r>
            <a:rPr lang="fr-FR" sz="1400" b="0" cap="none" spc="0" baseline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é</a:t>
          </a:r>
          <a:r>
            <a:rPr lang="fr-FR" sz="1400" b="0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tudes de la semaine</a:t>
          </a:r>
        </a:p>
      </xdr:txBody>
    </xdr:sp>
    <xdr:clientData/>
  </xdr:twoCellAnchor>
  <xdr:twoCellAnchor>
    <xdr:from>
      <xdr:col>4</xdr:col>
      <xdr:colOff>1551825</xdr:colOff>
      <xdr:row>7</xdr:row>
      <xdr:rowOff>406685</xdr:rowOff>
    </xdr:from>
    <xdr:to>
      <xdr:col>6</xdr:col>
      <xdr:colOff>1200820</xdr:colOff>
      <xdr:row>8</xdr:row>
      <xdr:rowOff>422550</xdr:rowOff>
    </xdr:to>
    <xdr:sp macro="[0]!Retour" textlink="">
      <xdr:nvSpPr>
        <xdr:cNvPr id="6" name="Organigramme : Terminateur 5"/>
        <xdr:cNvSpPr/>
      </xdr:nvSpPr>
      <xdr:spPr>
        <a:xfrm>
          <a:off x="7063482" y="3970533"/>
          <a:ext cx="2816860" cy="625893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24500" cmpd="dbl">
                <a:solidFill>
                  <a:schemeClr val="accent2">
                    <a:shade val="85000"/>
                    <a:satMod val="155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2">
                      <a:tint val="10000"/>
                      <a:satMod val="155000"/>
                    </a:schemeClr>
                  </a:gs>
                  <a:gs pos="60000">
                    <a:schemeClr val="accent2">
                      <a:tint val="30000"/>
                      <a:satMod val="155000"/>
                    </a:schemeClr>
                  </a:gs>
                  <a:gs pos="100000">
                    <a:schemeClr val="accent2">
                      <a:tint val="73000"/>
                      <a:satMod val="155000"/>
                    </a:schemeClr>
                  </a:gs>
                </a:gsLst>
                <a:lin ang="5400000"/>
              </a:gradFill>
              <a:effectLst>
                <a:outerShdw blurRad="38100" dist="38100" dir="7020000" algn="tl">
                  <a:srgbClr val="000000">
                    <a:alpha val="35000"/>
                  </a:srgbClr>
                </a:outerShdw>
              </a:effectLst>
            </a:rPr>
            <a:t>Retour à la page d'acceuil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78</xdr:row>
      <xdr:rowOff>85725</xdr:rowOff>
    </xdr:from>
    <xdr:to>
      <xdr:col>8</xdr:col>
      <xdr:colOff>670</xdr:colOff>
      <xdr:row>81</xdr:row>
      <xdr:rowOff>3450</xdr:rowOff>
    </xdr:to>
    <xdr:sp macro="[0]!Retour" textlink="">
      <xdr:nvSpPr>
        <xdr:cNvPr id="2" name="Organigramme : Terminateur 1"/>
        <xdr:cNvSpPr/>
      </xdr:nvSpPr>
      <xdr:spPr>
        <a:xfrm>
          <a:off x="3552825" y="14992350"/>
          <a:ext cx="2543845" cy="508275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 à la page d'acceuil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21</xdr:row>
      <xdr:rowOff>85725</xdr:rowOff>
    </xdr:from>
    <xdr:to>
      <xdr:col>6</xdr:col>
      <xdr:colOff>670</xdr:colOff>
      <xdr:row>24</xdr:row>
      <xdr:rowOff>3450</xdr:rowOff>
    </xdr:to>
    <xdr:sp macro="[0]!Retour" textlink="">
      <xdr:nvSpPr>
        <xdr:cNvPr id="4" name="Organigramme : Terminateur 3"/>
        <xdr:cNvSpPr/>
      </xdr:nvSpPr>
      <xdr:spPr>
        <a:xfrm>
          <a:off x="3552825" y="14992350"/>
          <a:ext cx="2543845" cy="508275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 à la page d'acceuil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98</xdr:row>
      <xdr:rowOff>123825</xdr:rowOff>
    </xdr:from>
    <xdr:to>
      <xdr:col>7</xdr:col>
      <xdr:colOff>352425</xdr:colOff>
      <xdr:row>101</xdr:row>
      <xdr:rowOff>70125</xdr:rowOff>
    </xdr:to>
    <xdr:sp macro="[0]!Retour" textlink="">
      <xdr:nvSpPr>
        <xdr:cNvPr id="3" name="Organigramme : Terminateur 2"/>
        <xdr:cNvSpPr/>
      </xdr:nvSpPr>
      <xdr:spPr>
        <a:xfrm>
          <a:off x="3333750" y="20069175"/>
          <a:ext cx="3390900" cy="517800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1019175</xdr:colOff>
      <xdr:row>56</xdr:row>
      <xdr:rowOff>47625</xdr:rowOff>
    </xdr:from>
    <xdr:to>
      <xdr:col>6</xdr:col>
      <xdr:colOff>1019175</xdr:colOff>
      <xdr:row>58</xdr:row>
      <xdr:rowOff>184425</xdr:rowOff>
    </xdr:to>
    <xdr:sp macro="[0]!Retour" textlink="">
      <xdr:nvSpPr>
        <xdr:cNvPr id="3" name="Organigramme : Terminateur 2"/>
        <xdr:cNvSpPr/>
      </xdr:nvSpPr>
      <xdr:spPr>
        <a:xfrm>
          <a:off x="3781425" y="11458575"/>
          <a:ext cx="2495550" cy="517800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1019175</xdr:colOff>
      <xdr:row>40</xdr:row>
      <xdr:rowOff>0</xdr:rowOff>
    </xdr:from>
    <xdr:to>
      <xdr:col>6</xdr:col>
      <xdr:colOff>1019175</xdr:colOff>
      <xdr:row>42</xdr:row>
      <xdr:rowOff>136800</xdr:rowOff>
    </xdr:to>
    <xdr:sp macro="[0]!Retour" textlink="">
      <xdr:nvSpPr>
        <xdr:cNvPr id="3" name="Organigramme : Terminateur 2"/>
        <xdr:cNvSpPr/>
      </xdr:nvSpPr>
      <xdr:spPr>
        <a:xfrm>
          <a:off x="3781425" y="11601450"/>
          <a:ext cx="2495550" cy="517800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628649</xdr:colOff>
      <xdr:row>98</xdr:row>
      <xdr:rowOff>133350</xdr:rowOff>
    </xdr:from>
    <xdr:to>
      <xdr:col>6</xdr:col>
      <xdr:colOff>923924</xdr:colOff>
      <xdr:row>101</xdr:row>
      <xdr:rowOff>79650</xdr:rowOff>
    </xdr:to>
    <xdr:sp macro="[0]!Retour" textlink="">
      <xdr:nvSpPr>
        <xdr:cNvPr id="3" name="Organigramme : Terminateur 2"/>
        <xdr:cNvSpPr/>
      </xdr:nvSpPr>
      <xdr:spPr>
        <a:xfrm>
          <a:off x="3390899" y="20078700"/>
          <a:ext cx="2790825" cy="517800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514048</xdr:colOff>
      <xdr:row>30</xdr:row>
      <xdr:rowOff>105834</xdr:rowOff>
    </xdr:from>
    <xdr:to>
      <xdr:col>17</xdr:col>
      <xdr:colOff>30237</xdr:colOff>
      <xdr:row>34</xdr:row>
      <xdr:rowOff>34294</xdr:rowOff>
    </xdr:to>
    <xdr:sp macro="[0]!Retour" textlink="">
      <xdr:nvSpPr>
        <xdr:cNvPr id="2" name="Organigramme : Terminateur 1"/>
        <xdr:cNvSpPr/>
      </xdr:nvSpPr>
      <xdr:spPr>
        <a:xfrm>
          <a:off x="8451548" y="6319763"/>
          <a:ext cx="4051903" cy="714650"/>
        </a:xfrm>
        <a:prstGeom prst="flowChartTerminator">
          <a:avLst/>
        </a:prstGeom>
        <a:ln>
          <a:noFill/>
        </a:ln>
        <a:effectLst>
          <a:outerShdw blurRad="184150" dist="241300" dir="11520000" sx="110000" sy="110000" algn="ctr">
            <a:srgbClr val="000000">
              <a:alpha val="18000"/>
            </a:srgbClr>
          </a:outerShdw>
        </a:effectLst>
        <a:scene3d>
          <a:camera prst="perspectiveFront" fov="5100000">
            <a:rot lat="0" lon="2100000" rev="0"/>
          </a:camera>
          <a:lightRig rig="flood" dir="t">
            <a:rot lat="0" lon="0" rev="13800000"/>
          </a:lightRig>
        </a:scene3d>
        <a:sp3d extrusionH="107950" prstMaterial="plastic">
          <a:bevelT w="82550" h="63500" prst="divot"/>
          <a:bevelB/>
        </a:sp3d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 à la page d'acceuil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wans 12" refreshedDate="43050.545068402775" createdVersion="3" refreshedVersion="3" minRefreshableVersion="3" recordCount="278">
  <cacheSource type="worksheet">
    <worksheetSource name="Tableaulistesenfants"/>
  </cacheSource>
  <cacheFields count="237">
    <cacheField name="Nom" numFmtId="0">
      <sharedItems count="266">
        <s v="AGUERA"/>
        <s v="AKARID"/>
        <s v="ALAUX"/>
        <s v="ALBAGNAC"/>
        <s v="ALBINET"/>
        <s v="AMIEL"/>
        <s v="ARIZA"/>
        <s v="AVET"/>
        <s v="BABOULENE"/>
        <s v="BALAYSSAC"/>
        <s v="BARBER-MARTIN"/>
        <s v="BARREAU"/>
        <s v="BARRUCAND"/>
        <s v="BARTHELEMY"/>
        <s v="BAUBY"/>
        <s v="BAULES"/>
        <s v="BEAUFILS"/>
        <s v="BEDOS"/>
        <s v="BELLOUBET"/>
        <s v="BELOU"/>
        <s v="BERARD"/>
        <s v="BERNARD"/>
        <s v="BERTRAND"/>
        <s v="BESSE"/>
        <s v="BILLET"/>
        <s v="BILLOT"/>
        <s v="BOISSARIE"/>
        <s v="BOMPA"/>
        <s v="BONNEFON"/>
        <s v="BONNEFOY"/>
        <s v="BONNET"/>
        <s v="BOUCHEYROU"/>
        <s v="BOUDET"/>
        <s v="BOULAROT"/>
        <s v="BOUNY"/>
        <s v="BOUSTIE"/>
        <s v="BOUTINON"/>
        <s v="CABRIDENS"/>
        <s v="CALMETTES"/>
        <s v="CAMMARATA"/>
        <s v="CANET"/>
        <s v="CANNAC"/>
        <s v="CANTALOUBE"/>
        <s v="CAPELLE"/>
        <s v="CAPUT"/>
        <s v="CARDON"/>
        <s v="CARNEADO"/>
        <s v="CARROZZA"/>
        <s v="CARRY"/>
        <s v="CARVALHO"/>
        <s v="CASSAN"/>
        <s v="CASTANIE"/>
        <s v="CASTELBOU"/>
        <s v="CAUSSIGNAC"/>
        <s v="CAVAIGNAC"/>
        <s v="CAYRE"/>
        <s v="CAYROL"/>
        <s v="CAZES"/>
        <s v="CHAPLAIN"/>
        <s v="CHARBONNIER"/>
        <s v="CID"/>
        <s v="CLEDEL"/>
        <s v="CONSTANTIN"/>
        <s v="COSTE"/>
        <s v="COSTES"/>
        <s v="COUDERC"/>
        <s v="COURNEDE"/>
        <s v="COUSTEAU"/>
        <s v="COUTEL"/>
        <s v="CROM"/>
        <s v="CROS"/>
        <s v="CUBAYNES"/>
        <s v="DALMASSO"/>
        <s v="DAOUT"/>
        <s v="DASSIE"/>
        <s v="DE JESUS"/>
        <s v="DE SOUZA"/>
        <s v="DECROS"/>
        <s v="DEGUIRARD"/>
        <s v="DELBOS"/>
        <s v="DELBOURG"/>
        <s v="DELMAS"/>
        <s v="DELMOND"/>
        <s v="DERSY"/>
        <s v="DESPIERRE"/>
        <s v="DESTANG"/>
        <s v="DESTRUEL"/>
        <s v="DUCHESNE"/>
        <s v="DUEE"/>
        <s v="DUPUIS"/>
        <s v="ESCAICH"/>
        <s v="FABRE"/>
        <s v="FAU"/>
        <s v="FAVRE"/>
        <s v="FAYE"/>
        <s v="FAYOLLE"/>
        <s v="FOISSAC"/>
        <s v="FOULQUIER"/>
        <s v="FOURNIERE"/>
        <s v="FRESQUET"/>
        <s v="FRYON"/>
        <s v="GACHOD"/>
        <s v="GALES"/>
        <s v="GARES"/>
        <s v="GARIVET"/>
        <s v="GARNERO"/>
        <s v="GATIGNOL THIBAULT"/>
        <s v="GERAERT"/>
        <s v="GONTIER"/>
        <s v="GOUT"/>
        <s v="GRAMMONT"/>
        <s v="GRASSIN"/>
        <s v="GREGOIRE"/>
        <s v="GRIBALDO"/>
        <s v="GROS"/>
        <s v="GUEVEL"/>
        <s v="GUIBAL"/>
        <s v="GUILLERMIN"/>
        <s v="HAMARD"/>
        <s v="HAURY"/>
        <s v="HECQUET"/>
        <s v="HEMONO"/>
        <s v="IMBERT"/>
        <s v="IZQUIERDO"/>
        <s v="JARDIN"/>
        <s v="JOIE"/>
        <s v="JOLLY"/>
        <s v="JONQUIERES"/>
        <s v="JOSEPH-EDMOND"/>
        <s v="JOUCLAS"/>
        <s v="JOUGLAS"/>
        <s v="JULIEN"/>
        <s v="LACHAIZE"/>
        <s v="LACIPIERE"/>
        <s v="LACOSTE"/>
        <s v="LAFAGE"/>
        <s v="LALANNE"/>
        <s v="LAMOTHE"/>
        <s v="LAPOUGE"/>
        <s v="LARNAUDIE"/>
        <s v="LARROCHE"/>
        <s v="LAUNAY"/>
        <s v="LAURENT"/>
        <s v="LAURISSON"/>
        <s v="LEGRAND"/>
        <s v="LEMAZURIER"/>
        <s v="LEON-DUFOUR"/>
        <s v="LETOURNEUR"/>
        <s v="LISIEWICZ"/>
        <s v="LOMBARD"/>
        <s v="LOUGE"/>
        <s v="MAILLE"/>
        <s v="MALARET"/>
        <s v="MALET"/>
        <s v="MALEVILLE"/>
        <s v="MALIRAT"/>
        <s v="MALVEZIN"/>
        <s v="MANCEAU"/>
        <s v="MARCADE"/>
        <s v="MARCOLIN"/>
        <s v="MARMOITON"/>
        <s v="MASDIEU"/>
        <s v="MAUPAS"/>
        <s v="MAURY"/>
        <s v="MAZARGUIL"/>
        <s v="MAZET"/>
        <s v="MECKES"/>
        <s v="MEDINA"/>
        <s v="MEHATS"/>
        <s v="MENARD"/>
        <s v="MENRAS"/>
        <s v="MERVIEL"/>
        <s v="MOISSON"/>
        <s v="MOLES"/>
        <s v="MOLINIE"/>
        <s v="MONTEIRO"/>
        <s v="MORTIER"/>
        <s v="MOSQUEIRO"/>
        <s v="MOUCHONNET"/>
        <s v="MOUTINHO"/>
        <s v="MOYSSET"/>
        <s v="MUR"/>
        <s v="NEUENS"/>
        <s v="NGUYEN"/>
        <s v="NUNES"/>
        <s v="OLIVIE"/>
        <s v="PAGES"/>
        <s v="PAJOT"/>
        <s v="PELIZZARI"/>
        <s v="PEREIRA"/>
        <s v="PERIE"/>
        <s v="PERROT"/>
        <s v="PESTEIL"/>
        <s v="PEYRILLES"/>
        <s v="PEZIN"/>
        <s v="PICILI"/>
        <s v="PIQUEMAL"/>
        <s v="PLANCHET"/>
        <s v="POLI"/>
        <s v="PONS"/>
        <s v="POULET"/>
        <s v="POURCEL"/>
        <s v="PRADEL"/>
        <s v="PRIVAT"/>
        <s v="PUECH"/>
        <s v="PY"/>
        <s v="QUILLARD"/>
        <s v="RAILLARD"/>
        <s v="RAMADIER"/>
        <s v="RAMES"/>
        <s v="RAUFFET"/>
        <s v="REUS"/>
        <s v="REVEL"/>
        <s v="RIBOT"/>
        <s v="ROBERT"/>
        <s v="RODES"/>
        <s v="RONZIER"/>
        <s v="ROQUES"/>
        <s v="ROQUESSOLANE"/>
        <s v="ROUDERGUES"/>
        <s v="ROUFFET"/>
        <s v="ROUGIE"/>
        <s v="ROUMIGUIERE"/>
        <s v="ROUQUETTE"/>
        <s v="ROUQUIE"/>
        <s v="SACRE"/>
        <s v="SAINDOU"/>
        <s v="SALARIS"/>
        <s v="SARNEL"/>
        <s v="SEGALA"/>
        <s v="SELEBRAN"/>
        <s v="SOULIE"/>
        <s v="SOURSOU"/>
        <s v="SOUSSAINTJEAN"/>
        <s v="STADLER"/>
        <s v="SZKONDZIAK"/>
        <s v="TABERNA-ARMENGAUD"/>
        <s v="TABUSTEAU"/>
        <s v="TESTAS"/>
        <s v="TETUAN"/>
        <s v="TEYSSEDOU"/>
        <s v="THAMIE"/>
        <s v="THIERES"/>
        <s v="THIRIET"/>
        <s v="THOMAS"/>
        <s v="THOREZ"/>
        <s v="TIRACHE"/>
        <s v="VACHON"/>
        <s v="VACQUIER"/>
        <s v="VAISSIERES"/>
        <s v="VALES"/>
        <s v="VALET"/>
        <s v="VAN BRUSSEL"/>
        <s v="VAN PARYS"/>
        <s v="VANAUDENHOVE"/>
        <s v="VANFLETEREN"/>
        <s v="VARLET"/>
        <s v="VEDRUNE"/>
        <s v="VENRIES"/>
        <s v="VERDELET"/>
        <s v="VERGNES"/>
        <s v="VIGEON"/>
        <s v="VIGNIER"/>
        <s v="VIGUIE"/>
        <s v="VIGUIER"/>
        <s v="ZUMBIEHL"/>
      </sharedItems>
    </cacheField>
    <cacheField name="Prénom" numFmtId="0">
      <sharedItems count="188">
        <s v="Melany"/>
        <s v="Arnaud"/>
        <s v="Alicia"/>
        <s v="Maylis"/>
        <s v="Romain"/>
        <s v="Rachel"/>
        <s v="Esteban"/>
        <s v="Eleane"/>
        <s v="Lucas"/>
        <s v="Benjamin"/>
        <s v="Nathan"/>
        <s v="Pauline"/>
        <s v="Thibault"/>
        <s v="Elsa"/>
        <s v="Maxence"/>
        <s v="Guillaume"/>
        <s v="Mathilde"/>
        <s v="Maëlys"/>
        <s v="Marie"/>
        <s v="Mélanie"/>
        <s v="Nicolas"/>
        <s v="Anissa"/>
        <s v="Alexia"/>
        <s v="Nadège"/>
        <s v="Alexis"/>
        <s v="Lucie"/>
        <s v="Antoine"/>
        <s v="Armande"/>
        <s v="Auriane"/>
        <s v="Lou"/>
        <s v="Arthur"/>
        <s v="Landry"/>
        <s v="Inès"/>
        <s v="Florian"/>
        <s v="Axel"/>
        <s v="Elhea"/>
        <s v="Martin"/>
        <s v="Zoé"/>
        <s v="Gabriel"/>
        <s v="Maeva"/>
        <s v="Amandine"/>
        <s v="Jean-Baptiste"/>
        <s v="Léa"/>
        <s v="Chloé"/>
        <s v="Clémence"/>
        <s v="Cedric"/>
        <s v="Bruno"/>
        <s v="Julien"/>
        <s v="Lise"/>
        <s v="Axelle"/>
        <s v="Charlotte"/>
        <s v="Ugo"/>
        <s v="Lauryne"/>
        <s v="Lisa"/>
        <s v="Gauthier"/>
        <s v="Quentin"/>
        <s v="Hugo"/>
        <s v="Laurine"/>
        <s v="Manon"/>
        <s v="Maxime"/>
        <s v="Mathieu"/>
        <s v="Coline"/>
        <s v="Baptiste"/>
        <s v="Camille"/>
        <s v="Laura"/>
        <s v="Jade"/>
        <s v="Julianne"/>
        <s v="Vanessa"/>
        <s v="Raphael"/>
        <s v="Océane"/>
        <s v="Romaric"/>
        <s v="Alexandra"/>
        <s v="Lorinda"/>
        <s v="Antonin"/>
        <s v="Jérémy"/>
        <s v="Coralie"/>
        <s v="Anaïs"/>
        <s v="Audrey"/>
        <s v="Emmy"/>
        <s v="Gwendoline"/>
        <s v="Solène"/>
        <s v="Léo"/>
        <s v="Clery"/>
        <s v="Justin"/>
        <s v="Louis"/>
        <s v="Juliette"/>
        <s v="Lola"/>
        <s v="Logan"/>
        <s v="Fabien"/>
        <s v="Emilie"/>
        <s v="Saphir"/>
        <s v="Lucile"/>
        <s v="Matthieu"/>
        <s v="Dasha"/>
        <s v="Elisa"/>
        <s v="Allan"/>
        <s v="Emma"/>
        <s v="Yorick"/>
        <s v="Sharly"/>
        <s v="Alexian"/>
        <s v="Jessica"/>
        <s v="Estelle"/>
        <s v="Cindy"/>
        <s v="Théophile"/>
        <s v="Agathe"/>
        <s v="Sherly"/>
        <s v="Lucia"/>
        <s v="Marion"/>
        <s v="Rémi"/>
        <s v="Jeremy"/>
        <s v="Clara"/>
        <s v="Lorie"/>
        <s v="Elise"/>
        <s v="Remi"/>
        <s v="Margot"/>
        <s v="Cassandre"/>
        <s v="Eva"/>
        <s v="Doriane"/>
        <s v="Clarisse"/>
        <s v="Alexandre"/>
        <s v="Océanne"/>
        <s v="Simon"/>
        <s v="Sophie"/>
        <s v="Vincent"/>
        <s v="Sylvain"/>
        <s v="Ludovic"/>
        <s v="Lukas"/>
        <s v="Anthony"/>
        <s v="Victor"/>
        <s v="Pierre"/>
        <s v="Emeline"/>
        <s v="Morgane"/>
        <s v="Eulalie"/>
        <s v="Laurie"/>
        <s v="Jean Baptiste"/>
        <s v="Chrislain"/>
        <s v="Tiphany"/>
        <s v="Thi-Kim-Thu"/>
        <s v="Rayan"/>
        <s v="Adrien"/>
        <s v="Ophelie"/>
        <s v="Edith"/>
        <s v="Cidgy"/>
        <s v="Loic"/>
        <s v="Maeliss"/>
        <s v="Jean Marie"/>
        <s v="Tristan"/>
        <s v="Eddy"/>
        <s v="Grégory"/>
        <s v="Aurélie"/>
        <s v="Elois"/>
        <s v="Laetitia"/>
        <s v="Célia"/>
        <s v="Gwenael"/>
        <s v="Valentine"/>
        <s v="Solen"/>
        <s v="Manueva"/>
        <s v="Gwenaelle"/>
        <s v="Lea"/>
        <s v="Mélissa"/>
        <s v="Héloïse"/>
        <s v="Maëva"/>
        <s v="Aulicia"/>
        <s v="Gaetan"/>
        <s v="Shana"/>
        <s v="Halima"/>
        <s v="Boris"/>
        <s v="Naïs"/>
        <s v="Cyprien"/>
        <s v="Emilien"/>
        <s v="Laureen"/>
        <s v="Matthias"/>
        <s v="Mélaine"/>
        <s v="Noah"/>
        <s v="Flavie"/>
        <s v="Jonathan"/>
        <s v="Justine"/>
        <s v="Caroline"/>
        <s v="Enzo"/>
        <s v="Julie"/>
        <s v="Maël"/>
        <s v="Tiffany"/>
        <s v="Paola"/>
        <s v="Charles"/>
        <s v="Yohan"/>
        <s v="Bastien"/>
        <s v="Adeline"/>
        <s v="Sandra"/>
      </sharedItems>
    </cacheField>
    <cacheField name="Date de naissance" numFmtId="14">
      <sharedItems containsDate="1" containsMixedTypes="1" minDate="1995-03-18T00:00:00" maxDate="2006-12-30T00:00:00"/>
    </cacheField>
    <cacheField name="Age" numFmtId="0">
      <sharedItems containsMixedTypes="1" containsNumber="1" containsInteger="1" minValue="10" maxValue="22"/>
    </cacheField>
    <cacheField name="Classe" numFmtId="0">
      <sharedItems count="15">
        <s v="Term CF"/>
        <s v="Term TCVA"/>
        <s v="2e CF"/>
        <s v="BTS 1"/>
        <s v="BTS 2"/>
        <s v="2e GT"/>
        <s v="1e CGEA"/>
        <s v="2e CGEA"/>
        <s v="1e STAV"/>
        <s v="Term CGEA"/>
        <s v="1e TCVA"/>
        <s v="2e TCVA"/>
        <s v="3e EA"/>
        <s v="Term STAV"/>
        <s v="1e CF"/>
      </sharedItems>
    </cacheField>
    <cacheField name="Régime" numFmtId="0">
      <sharedItems/>
    </cacheField>
    <cacheField name="Genre" numFmtId="0">
      <sharedItems/>
    </cacheField>
    <cacheField name="a venir" numFmtId="0">
      <sharedItems containsBlank="1"/>
    </cacheField>
    <cacheField name="a venir2" numFmtId="0">
      <sharedItems containsBlank="1"/>
    </cacheField>
    <cacheField name="Colonne3" numFmtId="0">
      <sharedItems containsBlank="1"/>
    </cacheField>
    <cacheField name="Dossier Complet ?" numFmtId="0">
      <sharedItems containsBlank="1"/>
    </cacheField>
    <cacheField name="Chambre" numFmtId="0">
      <sharedItems containsBlank="1" containsMixedTypes="1" containsNumber="1" containsInteger="1" minValue="158" maxValue="180"/>
    </cacheField>
    <cacheField name="N° de Casier" numFmtId="0">
      <sharedItems containsBlank="1" containsMixedTypes="1" containsNumber="1" containsInteger="1" minValue="1" maxValue="266" count="233">
        <s v="205"/>
        <s v="221"/>
        <n v="142"/>
        <n v="222"/>
        <m/>
        <n v="243"/>
        <n v="223"/>
        <n v="50"/>
        <n v="51"/>
        <n v="95"/>
        <n v="26"/>
        <n v="52"/>
        <n v="189"/>
        <n v="157"/>
        <n v="1"/>
        <n v="190"/>
        <n v="191"/>
        <n v="27"/>
        <n v="53"/>
        <n v="206"/>
        <n v="54"/>
        <n v="141"/>
        <n v="96"/>
        <n v="80"/>
        <n v="115"/>
        <n v="116"/>
        <n v="28"/>
        <s v="207"/>
        <n v="55"/>
        <n v="93"/>
        <n v="94"/>
        <n v="117"/>
        <n v="29"/>
        <n v="97"/>
        <n v="244"/>
        <n v="56"/>
        <n v="245"/>
        <n v="173"/>
        <n v="208"/>
        <n v="246"/>
        <n v="209"/>
        <n v="57"/>
        <n v="210"/>
        <n v="30"/>
        <n v="58"/>
        <n v="158"/>
        <n v="98"/>
        <n v="247"/>
        <n v="99"/>
        <n v="6"/>
        <n v="159"/>
        <n v="248"/>
        <n v="224"/>
        <n v="31"/>
        <n v="143"/>
        <n v="100"/>
        <n v="32"/>
        <n v="7"/>
        <n v="160"/>
        <n v="101"/>
        <n v="174"/>
        <n v="175"/>
        <n v="33"/>
        <n v="144"/>
        <n v="211"/>
        <n v="8"/>
        <n v="176"/>
        <n v="59"/>
        <n v="60"/>
        <n v="118"/>
        <s v="212"/>
        <n v="119"/>
        <n v="9"/>
        <n v="10"/>
        <n v="145"/>
        <n v="249"/>
        <n v="34"/>
        <n v="12"/>
        <n v="225"/>
        <n v="61"/>
        <n v="62"/>
        <n v="161"/>
        <n v="146"/>
        <n v="213"/>
        <n v="81"/>
        <n v="250"/>
        <s v="82"/>
        <n v="35"/>
        <n v="83"/>
        <n v="251"/>
        <n v="252"/>
        <n v="226"/>
        <n v="147"/>
        <n v="178"/>
        <n v="179"/>
        <n v="36"/>
        <n v="120"/>
        <n v="180"/>
        <n v="253"/>
        <n v="254"/>
        <n v="121"/>
        <s v="214"/>
        <n v="192"/>
        <n v="228"/>
        <n v="163"/>
        <s v="84"/>
        <n v="193"/>
        <n v="85"/>
        <n v="215"/>
        <n v="102"/>
        <n v="103"/>
        <n v="194"/>
        <n v="13"/>
        <n v="86"/>
        <n v="195"/>
        <n v="14"/>
        <n v="149"/>
        <n v="122"/>
        <n v="255"/>
        <n v="256"/>
        <s v="87"/>
        <n v="257"/>
        <n v="123"/>
        <n v="63"/>
        <n v="124"/>
        <n v="258"/>
        <n v="64"/>
        <n v="181"/>
        <n v="196"/>
        <n v="150"/>
        <s v="88"/>
        <s v="89"/>
        <n v="37"/>
        <n v="164"/>
        <n v="165"/>
        <n v="15"/>
        <n v="197"/>
        <n v="104"/>
        <n v="259"/>
        <n v="151"/>
        <n v="105"/>
        <n v="106"/>
        <s v="216"/>
        <n v="229"/>
        <n v="17"/>
        <n v="166"/>
        <n v="152"/>
        <n v="65"/>
        <n v="90"/>
        <n v="167"/>
        <n v="260"/>
        <n v="153"/>
        <n v="182"/>
        <n v="125"/>
        <n v="198"/>
        <n v="199"/>
        <n v="38"/>
        <s v="66"/>
        <n v="261"/>
        <n v="126"/>
        <n v="107"/>
        <n v="168"/>
        <n v="154"/>
        <n v="18"/>
        <n v="39"/>
        <n v="19"/>
        <n v="67"/>
        <n v="108"/>
        <n v="20"/>
        <n v="68"/>
        <n v="127"/>
        <n v="155"/>
        <n v="183"/>
        <n v="21"/>
        <n v="128"/>
        <n v="169"/>
        <n v="217"/>
        <n v="184"/>
        <n v="109"/>
        <n v="185"/>
        <n v="110"/>
        <n v="262"/>
        <n v="263"/>
        <n v="111"/>
        <n v="218"/>
        <n v="230"/>
        <n v="201"/>
        <n v="69"/>
        <n v="129"/>
        <n v="70"/>
        <n v="22"/>
        <n v="71"/>
        <n v="72"/>
        <n v="40"/>
        <s v="73"/>
        <n v="219"/>
        <n v="231"/>
        <n v="232"/>
        <s v="74"/>
        <n v="130"/>
        <n v="131"/>
        <s v="23"/>
        <n v="41"/>
        <n v="220"/>
        <n v="42"/>
        <n v="132"/>
        <n v="186"/>
        <n v="43"/>
        <n v="187"/>
        <n v="202"/>
        <n v="112"/>
        <n v="75"/>
        <n v="133"/>
        <n v="233"/>
        <n v="44"/>
        <n v="91"/>
        <n v="170"/>
        <n v="24"/>
        <n v="134"/>
        <n v="156"/>
        <n v="76"/>
        <n v="113"/>
        <n v="135"/>
        <n v="188"/>
        <n v="171"/>
        <n v="77"/>
        <n v="92"/>
        <n v="203"/>
        <n v="78"/>
        <n v="264"/>
        <n v="172"/>
        <n v="265"/>
        <n v="266"/>
      </sharedItems>
    </cacheField>
    <cacheField name="Prénom Rep Légal 1" numFmtId="0">
      <sharedItems containsBlank="1"/>
    </cacheField>
    <cacheField name="Adresse 1" numFmtId="0">
      <sharedItems containsBlank="1"/>
    </cacheField>
    <cacheField name="Code Postal 1" numFmtId="0">
      <sharedItems containsBlank="1"/>
    </cacheField>
    <cacheField name="Ville 1" numFmtId="0">
      <sharedItems containsBlank="1"/>
    </cacheField>
    <cacheField name="Tel fixe 1" numFmtId="0">
      <sharedItems containsBlank="1"/>
    </cacheField>
    <cacheField name="Tel Mob 1" numFmtId="0">
      <sharedItems containsBlank="1" containsMixedTypes="1" containsNumber="1" containsInteger="1" minValue="617305112" maxValue="789427991"/>
    </cacheField>
    <cacheField name="E.Mail 1" numFmtId="0">
      <sharedItems containsBlank="1"/>
    </cacheField>
    <cacheField name="Chambre2" numFmtId="0">
      <sharedItems containsString="0" containsBlank="1" containsNumber="1" containsInteger="1" minValue="132" maxValue="149"/>
    </cacheField>
    <cacheField name="Civilité 2" numFmtId="0">
      <sharedItems containsBlank="1"/>
    </cacheField>
    <cacheField name="Nom Rep Légal 2" numFmtId="0">
      <sharedItems containsBlank="1"/>
    </cacheField>
    <cacheField name="Prénom Rep Légal 2" numFmtId="0">
      <sharedItems containsBlank="1"/>
    </cacheField>
    <cacheField name="Adresse 2" numFmtId="0">
      <sharedItems containsBlank="1"/>
    </cacheField>
    <cacheField name="Code Postal 2" numFmtId="0">
      <sharedItems containsBlank="1"/>
    </cacheField>
    <cacheField name="Ville 2" numFmtId="0">
      <sharedItems containsBlank="1"/>
    </cacheField>
    <cacheField name="Tel Fixe 2" numFmtId="0">
      <sharedItems containsBlank="1"/>
    </cacheField>
    <cacheField name="Tel Mobile 2" numFmtId="0">
      <sharedItems containsBlank="1"/>
    </cacheField>
    <cacheField name="E Mail 2 " numFmtId="0">
      <sharedItems containsBlank="1"/>
    </cacheField>
    <cacheField name="Lien Parenté 2" numFmtId="0">
      <sharedItems containsBlank="1"/>
    </cacheField>
    <cacheField name="Validation" numFmtId="0">
      <sharedItems containsBlank="1"/>
    </cacheField>
    <cacheField name="Colonne1" numFmtId="0">
      <sharedItems containsBlank="1"/>
    </cacheField>
    <cacheField name="Colonne2" numFmtId="0">
      <sharedItems containsBlank="1"/>
    </cacheField>
    <cacheField name="Septembre" numFmtId="0">
      <sharedItems containsBlank="1"/>
    </cacheField>
    <cacheField name="Octobre" numFmtId="0">
      <sharedItems containsBlank="1"/>
    </cacheField>
    <cacheField name="Novembre" numFmtId="0">
      <sharedItems containsBlank="1"/>
    </cacheField>
    <cacheField name="Décembre" numFmtId="0">
      <sharedItems containsBlank="1"/>
    </cacheField>
    <cacheField name="Janvier" numFmtId="0">
      <sharedItems containsBlank="1"/>
    </cacheField>
    <cacheField name="Février" numFmtId="0">
      <sharedItems containsBlank="1"/>
    </cacheField>
    <cacheField name="Mars" numFmtId="0">
      <sharedItems containsBlank="1"/>
    </cacheField>
    <cacheField name="Avril" numFmtId="0">
      <sharedItems containsBlank="1"/>
    </cacheField>
    <cacheField name="Mai" numFmtId="0">
      <sharedItems containsBlank="1"/>
    </cacheField>
    <cacheField name="Juin" numFmtId="0">
      <sharedItems containsBlank="1"/>
    </cacheField>
    <cacheField name="Juillet" numFmtId="0">
      <sharedItems containsBlank="1"/>
    </cacheField>
    <cacheField name="Vacances de la Toussaint" numFmtId="0">
      <sharedItems containsBlank="1"/>
    </cacheField>
    <cacheField name="Vacances de Noël" numFmtId="0">
      <sharedItems containsBlank="1"/>
    </cacheField>
    <cacheField name="Vacances d'Hivers" numFmtId="0">
      <sharedItems containsBlank="1"/>
    </cacheField>
    <cacheField name="Vacances de Päques" numFmtId="0">
      <sharedItems containsBlank="1"/>
    </cacheField>
    <cacheField name="Vacances d'été" numFmtId="0">
      <sharedItems containsBlank="1"/>
    </cacheField>
    <cacheField name="Camp 1" numFmtId="0">
      <sharedItems containsBlank="1"/>
    </cacheField>
    <cacheField name="Camp 2" numFmtId="0">
      <sharedItems containsBlank="1"/>
    </cacheField>
    <cacheField name="Camp 3" numFmtId="0">
      <sharedItems containsBlank="1"/>
    </cacheField>
    <cacheField name="Camp4" numFmtId="0">
      <sharedItems containsBlank="1"/>
    </cacheField>
    <cacheField name="reste mercredi" numFmtId="0">
      <sharedItems containsBlank="1" count="3">
        <b v="0"/>
        <m/>
        <b v="1"/>
      </sharedItems>
    </cacheField>
    <cacheField name="reste mercredi2" numFmtId="0">
      <sharedItems containsBlank="1"/>
    </cacheField>
    <cacheField name="sortie mercredi pm" numFmtId="0">
      <sharedItems containsBlank="1"/>
    </cacheField>
    <cacheField name="sortie mercredi pm4" numFmtId="0">
      <sharedItems containsBlank="1"/>
    </cacheField>
    <cacheField name="Mercredi" numFmtId="0">
      <sharedItems containsBlank="1"/>
    </cacheField>
    <cacheField name="Mercredi1" numFmtId="0">
      <sharedItems containsBlank="1"/>
    </cacheField>
    <cacheField name="sortie EDT" numFmtId="0">
      <sharedItems containsBlank="1"/>
    </cacheField>
    <cacheField name="sortie edt2" numFmtId="0">
      <sharedItems containsBlank="1"/>
    </cacheField>
    <cacheField name="sortie sco" numFmtId="0">
      <sharedItems containsBlank="1"/>
    </cacheField>
    <cacheField name="sortie sco2" numFmtId="0">
      <sharedItems containsBlank="1"/>
    </cacheField>
    <cacheField name="Remarque" numFmtId="0">
      <sharedItems containsBlank="1"/>
    </cacheField>
    <cacheField name="Diphtérie" numFmtId="0">
      <sharedItems containsBlank="1"/>
    </cacheField>
    <cacheField name="Diphtérie2" numFmtId="0">
      <sharedItems containsBlank="1"/>
    </cacheField>
    <cacheField name="Date" numFmtId="0">
      <sharedItems containsBlank="1"/>
    </cacheField>
    <cacheField name="Dimanche" numFmtId="0">
      <sharedItems containsBlank="1"/>
    </cacheField>
    <cacheField name="lundi" numFmtId="0">
      <sharedItems containsBlank="1"/>
    </cacheField>
    <cacheField name="Date2" numFmtId="0">
      <sharedItems containsBlank="1"/>
    </cacheField>
    <cacheField name="5 jours" numFmtId="0">
      <sharedItems containsBlank="1"/>
    </cacheField>
    <cacheField name="4 jours" numFmtId="0">
      <sharedItems containsBlank="1"/>
    </cacheField>
    <cacheField name="Date3" numFmtId="0">
      <sharedItems containsBlank="1"/>
    </cacheField>
    <cacheField name="DT polio" numFmtId="0">
      <sharedItems containsBlank="1"/>
    </cacheField>
    <cacheField name="DT polio2" numFmtId="0">
      <sharedItems containsBlank="1"/>
    </cacheField>
    <cacheField name="Date4" numFmtId="0">
      <sharedItems containsBlank="1"/>
    </cacheField>
    <cacheField name="Tétracoq" numFmtId="0">
      <sharedItems containsBlank="1"/>
    </cacheField>
    <cacheField name="Tétracoq2" numFmtId="0">
      <sharedItems containsBlank="1"/>
    </cacheField>
    <cacheField name="Date5" numFmtId="0">
      <sharedItems containsBlank="1"/>
    </cacheField>
    <cacheField name="BCG" numFmtId="0">
      <sharedItems containsBlank="1"/>
    </cacheField>
    <cacheField name="BCG2" numFmtId="0">
      <sharedItems containsBlank="1"/>
    </cacheField>
    <cacheField name="Date6" numFmtId="0">
      <sharedItems containsBlank="1"/>
    </cacheField>
    <cacheField name="Hépatite B" numFmtId="0">
      <sharedItems containsBlank="1"/>
    </cacheField>
    <cacheField name="Hépatite B2" numFmtId="0">
      <sharedItems containsBlank="1"/>
    </cacheField>
    <cacheField name="Date7" numFmtId="0">
      <sharedItems containsBlank="1"/>
    </cacheField>
    <cacheField name="Rubéole-" numFmtId="0">
      <sharedItems containsBlank="1"/>
    </cacheField>
    <cacheField name="Rubéole-2" numFmtId="0">
      <sharedItems containsBlank="1"/>
    </cacheField>
    <cacheField name="Date8" numFmtId="0">
      <sharedItems containsBlank="1"/>
    </cacheField>
    <cacheField name="Coqueluche" numFmtId="0">
      <sharedItems containsBlank="1"/>
    </cacheField>
    <cacheField name="Coqueluche2" numFmtId="0">
      <sharedItems containsBlank="1"/>
    </cacheField>
    <cacheField name="Date9" numFmtId="0">
      <sharedItems containsBlank="1"/>
    </cacheField>
    <cacheField name="Autres (préciser)" numFmtId="0">
      <sharedItems containsBlank="1"/>
    </cacheField>
    <cacheField name="Autres (préciser)2" numFmtId="0">
      <sharedItems containsBlank="1"/>
    </cacheField>
    <cacheField name="Date10" numFmtId="0">
      <sharedItems containsBlank="1"/>
    </cacheField>
    <cacheField name="Allergies Médicamenteuses" numFmtId="0">
      <sharedItems containsBlank="1"/>
    </cacheField>
    <cacheField name="Allergies Médicamenteuses1" numFmtId="0">
      <sharedItems containsBlank="1"/>
    </cacheField>
    <cacheField name="asthme" numFmtId="0">
      <sharedItems containsBlank="1"/>
    </cacheField>
    <cacheField name="asthme1" numFmtId="0">
      <sharedItems containsBlank="1"/>
    </cacheField>
    <cacheField name="Précisez la cause" numFmtId="0">
      <sharedItems containsBlank="1"/>
    </cacheField>
    <cacheField name="Végétarien" numFmtId="0">
      <sharedItems containsBlank="1"/>
    </cacheField>
    <cacheField name="Végétalien" numFmtId="0">
      <sharedItems containsBlank="1"/>
    </cacheField>
    <cacheField name="Sans Porc" numFmtId="0">
      <sharedItems containsBlank="1"/>
    </cacheField>
    <cacheField name="Sans Aïl, Oignon, Echalote, Champignon" numFmtId="0">
      <sharedItems containsBlank="1"/>
    </cacheField>
    <cacheField name="chambre3" numFmtId="0">
      <sharedItems containsBlank="1" containsMixedTypes="1" containsNumber="1" containsInteger="1" minValue="104" maxValue="127"/>
    </cacheField>
    <cacheField name="Allergies Alimentaires2" numFmtId="0">
      <sharedItems containsBlank="1"/>
    </cacheField>
    <cacheField name="Allergies Alimentaires3" numFmtId="0">
      <sharedItems containsBlank="1"/>
    </cacheField>
    <cacheField name="Allergies Alimentaires4" numFmtId="0">
      <sharedItems containsBlank="1"/>
    </cacheField>
    <cacheField name="Allergies Alimentaires5" numFmtId="0">
      <sharedItems containsBlank="1"/>
    </cacheField>
    <cacheField name="Allergies Alimentaires6" numFmtId="0">
      <sharedItems containsBlank="1"/>
    </cacheField>
    <cacheField name="chambre4" numFmtId="0">
      <sharedItems containsBlank="1" containsMixedTypes="1" containsNumber="1" containsInteger="1" minValue="146" maxValue="154"/>
    </cacheField>
    <cacheField name="Autres Allergies 2" numFmtId="0">
      <sharedItems containsBlank="1"/>
    </cacheField>
    <cacheField name="Autres Allergies 3" numFmtId="0">
      <sharedItems containsBlank="1"/>
    </cacheField>
    <cacheField name="Autres Allergies 4" numFmtId="0">
      <sharedItems containsBlank="1"/>
    </cacheField>
    <cacheField name="Autres Allergies 5" numFmtId="0">
      <sharedItems containsBlank="1"/>
    </cacheField>
    <cacheField name="Autres Allergies 6" numFmtId="0">
      <sharedItems containsBlank="1"/>
    </cacheField>
    <cacheField name="traitement médical " numFmtId="0">
      <sharedItems containsBlank="1"/>
    </cacheField>
    <cacheField name="traitement médical 2" numFmtId="0">
      <sharedItems containsBlank="1"/>
    </cacheField>
    <cacheField name="RUBÉOLE   " numFmtId="0">
      <sharedItems containsBlank="1"/>
    </cacheField>
    <cacheField name="RUBÉOLE   2" numFmtId="0">
      <sharedItems containsBlank="1"/>
    </cacheField>
    <cacheField name="VARICELLE   " numFmtId="0">
      <sharedItems containsBlank="1"/>
    </cacheField>
    <cacheField name="VARICELLE   2" numFmtId="0">
      <sharedItems containsBlank="1"/>
    </cacheField>
    <cacheField name="ANGINE   " numFmtId="0">
      <sharedItems containsBlank="1"/>
    </cacheField>
    <cacheField name="ANGINE   2" numFmtId="0">
      <sharedItems containsBlank="1"/>
    </cacheField>
    <cacheField name="SCARLATINE   " numFmtId="0">
      <sharedItems containsBlank="1"/>
    </cacheField>
    <cacheField name="SCARLATINE   2" numFmtId="0">
      <sharedItems containsBlank="1"/>
    </cacheField>
    <cacheField name="COQUELUCHE   " numFmtId="0">
      <sharedItems containsBlank="1"/>
    </cacheField>
    <cacheField name="COQUELUCHE   2" numFmtId="0">
      <sharedItems containsBlank="1"/>
    </cacheField>
    <cacheField name="ROUGEOLE   " numFmtId="0">
      <sharedItems containsBlank="1"/>
    </cacheField>
    <cacheField name="ROUGEOLE   2" numFmtId="0">
      <sharedItems containsBlank="1"/>
    </cacheField>
    <cacheField name="OREILLONS   " numFmtId="0">
      <sharedItems containsBlank="1"/>
    </cacheField>
    <cacheField name="OREILLONS   2" numFmtId="0">
      <sharedItems containsBlank="1"/>
    </cacheField>
    <cacheField name="OTITE     " numFmtId="0">
      <sharedItems containsBlank="1"/>
    </cacheField>
    <cacheField name="OTITE     2" numFmtId="0">
      <sharedItems containsBlank="1"/>
    </cacheField>
    <cacheField name="RHUMATISME " numFmtId="0">
      <sharedItems containsBlank="1"/>
    </cacheField>
    <cacheField name="RHUMATISME 2" numFmtId="0">
      <sharedItems containsBlank="1"/>
    </cacheField>
    <cacheField name="Difficultés de santé" numFmtId="0">
      <sharedItems containsBlank="1"/>
    </cacheField>
    <cacheField name="Occurrence2" numFmtId="0">
      <sharedItems containsSemiMixedTypes="0" containsString="0" containsNumber="1" containsInteger="1" minValue="0" maxValue="1"/>
    </cacheField>
    <cacheField name="Séquence3" numFmtId="0">
      <sharedItems containsSemiMixedTypes="0" containsString="0" containsNumber="1" containsInteger="1" minValue="0" maxValue="5"/>
    </cacheField>
    <cacheField name="Occurrence3" numFmtId="0">
      <sharedItems containsSemiMixedTypes="0" containsString="0" containsNumber="1" containsInteger="1" minValue="0" maxValue="1"/>
    </cacheField>
    <cacheField name="Séquence4" numFmtId="0">
      <sharedItems containsSemiMixedTypes="0" containsString="0" containsNumber="1" containsInteger="1" minValue="0" maxValue="4"/>
    </cacheField>
    <cacheField name="Occurrence4" numFmtId="0">
      <sharedItems containsSemiMixedTypes="0" containsString="0" containsNumber="1" containsInteger="1" minValue="0" maxValue="1"/>
    </cacheField>
    <cacheField name="Séquence5" numFmtId="0">
      <sharedItems containsSemiMixedTypes="0" containsString="0" containsNumber="1" containsInteger="1" minValue="0" maxValue="4"/>
    </cacheField>
    <cacheField name="Occurrence5" numFmtId="0">
      <sharedItems containsSemiMixedTypes="0" containsString="0" containsNumber="1" containsInteger="1" minValue="0" maxValue="1"/>
    </cacheField>
    <cacheField name="Séquence6" numFmtId="0">
      <sharedItems containsSemiMixedTypes="0" containsString="0" containsNumber="1" containsInteger="1" minValue="0" maxValue="4"/>
    </cacheField>
    <cacheField name="Occurrence6" numFmtId="0">
      <sharedItems containsSemiMixedTypes="0" containsString="0" containsNumber="1" containsInteger="1" minValue="0" maxValue="1"/>
    </cacheField>
    <cacheField name="Séquence7" numFmtId="0">
      <sharedItems containsSemiMixedTypes="0" containsString="0" containsNumber="1" containsInteger="1" minValue="0" maxValue="4"/>
    </cacheField>
    <cacheField name="Occurrence7" numFmtId="0">
      <sharedItems containsSemiMixedTypes="0" containsString="0" containsNumber="1" containsInteger="1" minValue="0" maxValue="1"/>
    </cacheField>
    <cacheField name="Séquence8" numFmtId="0">
      <sharedItems containsSemiMixedTypes="0" containsString="0" containsNumber="1" containsInteger="1" minValue="0" maxValue="5"/>
    </cacheField>
    <cacheField name="Occurrence8" numFmtId="0">
      <sharedItems containsSemiMixedTypes="0" containsString="0" containsNumber="1" containsInteger="1" minValue="0" maxValue="1"/>
    </cacheField>
    <cacheField name="Séquence9" numFmtId="0">
      <sharedItems containsSemiMixedTypes="0" containsString="0" containsNumber="1" containsInteger="1" minValue="0" maxValue="4"/>
    </cacheField>
    <cacheField name="Occurrence9" numFmtId="0">
      <sharedItems containsSemiMixedTypes="0" containsString="0" containsNumber="1" containsInteger="1" minValue="0" maxValue="1"/>
    </cacheField>
    <cacheField name="Séquence10" numFmtId="0">
      <sharedItems containsSemiMixedTypes="0" containsString="0" containsNumber="1" containsInteger="1" minValue="0" maxValue="4"/>
    </cacheField>
    <cacheField name="Occurrence10" numFmtId="0">
      <sharedItems containsSemiMixedTypes="0" containsString="0" containsNumber="1" containsInteger="1" minValue="0" maxValue="1"/>
    </cacheField>
    <cacheField name="Séquence11" numFmtId="0">
      <sharedItems containsSemiMixedTypes="0" containsString="0" containsNumber="1" containsInteger="1" minValue="0" maxValue="5"/>
    </cacheField>
    <cacheField name="Occurrence11" numFmtId="0">
      <sharedItems containsSemiMixedTypes="0" containsString="0" containsNumber="1" containsInteger="1" minValue="0" maxValue="1"/>
    </cacheField>
    <cacheField name="Séquence12" numFmtId="0">
      <sharedItems containsSemiMixedTypes="0" containsString="0" containsNumber="1" containsInteger="1" minValue="0" maxValue="4"/>
    </cacheField>
    <cacheField name="Occurrence12" numFmtId="0">
      <sharedItems containsSemiMixedTypes="0" containsString="0" containsNumber="1" containsInteger="1" minValue="0" maxValue="1"/>
    </cacheField>
    <cacheField name="Séquence13" numFmtId="0">
      <sharedItems containsSemiMixedTypes="0" containsString="0" containsNumber="1" containsInteger="1" minValue="0" maxValue="4"/>
    </cacheField>
    <cacheField name="Occurrence13" numFmtId="0">
      <sharedItems containsSemiMixedTypes="0" containsString="0" containsNumber="1" containsInteger="1" minValue="0" maxValue="1"/>
    </cacheField>
    <cacheField name="Séquence14" numFmtId="0">
      <sharedItems containsSemiMixedTypes="0" containsString="0" containsNumber="1" containsInteger="1" minValue="0" maxValue="4"/>
    </cacheField>
    <cacheField name="Occurrence14" numFmtId="0">
      <sharedItems containsSemiMixedTypes="0" containsString="0" containsNumber="1" containsInteger="1" minValue="0" maxValue="1"/>
    </cacheField>
    <cacheField name="Séquence15" numFmtId="0">
      <sharedItems containsSemiMixedTypes="0" containsString="0" containsNumber="1" containsInteger="1" minValue="0" maxValue="3"/>
    </cacheField>
    <cacheField name="Occurrence15" numFmtId="0">
      <sharedItems containsSemiMixedTypes="0" containsString="0" containsNumber="1" containsInteger="1" minValue="0" maxValue="1"/>
    </cacheField>
    <cacheField name="Séquence16" numFmtId="0">
      <sharedItems containsString="0" containsBlank="1" containsNumber="1" containsInteger="1" minValue="0" maxValue="4"/>
    </cacheField>
    <cacheField name="Occurrence16" numFmtId="0">
      <sharedItems containsSemiMixedTypes="0" containsString="0" containsNumber="1" containsInteger="1" minValue="0" maxValue="1"/>
    </cacheField>
    <cacheField name="Séquence17" numFmtId="0">
      <sharedItems containsSemiMixedTypes="0" containsString="0" containsNumber="1" containsInteger="1" minValue="0" maxValue="4"/>
    </cacheField>
    <cacheField name="Occurrence17" numFmtId="0">
      <sharedItems containsSemiMixedTypes="0" containsString="0" containsNumber="1" containsInteger="1" minValue="0" maxValue="1"/>
    </cacheField>
    <cacheField name="Séquence18" numFmtId="0">
      <sharedItems containsSemiMixedTypes="0" containsString="0" containsNumber="1" containsInteger="1" minValue="0" maxValue="4"/>
    </cacheField>
    <cacheField name="Occurrence18" numFmtId="0">
      <sharedItems containsSemiMixedTypes="0" containsString="0" containsNumber="1" containsInteger="1" minValue="0" maxValue="1"/>
    </cacheField>
    <cacheField name="Séquence19" numFmtId="0">
      <sharedItems containsSemiMixedTypes="0" containsString="0" containsNumber="1" containsInteger="1" minValue="0" maxValue="4"/>
    </cacheField>
    <cacheField name="Occurrence19" numFmtId="0">
      <sharedItems containsSemiMixedTypes="0" containsString="0" containsNumber="1" containsInteger="1" minValue="0" maxValue="1"/>
    </cacheField>
    <cacheField name="Séquence20" numFmtId="0">
      <sharedItems containsSemiMixedTypes="0" containsString="0" containsNumber="1" containsInteger="1" minValue="0" maxValue="4"/>
    </cacheField>
    <cacheField name="Occurrence20" numFmtId="0">
      <sharedItems containsSemiMixedTypes="0" containsString="0" containsNumber="1" containsInteger="1" minValue="0" maxValue="1"/>
    </cacheField>
    <cacheField name="Séquence21" numFmtId="0">
      <sharedItems containsSemiMixedTypes="0" containsString="0" containsNumber="1" containsInteger="1" minValue="0" maxValue="4"/>
    </cacheField>
    <cacheField name="Occurrence21" numFmtId="0">
      <sharedItems containsSemiMixedTypes="0" containsString="0" containsNumber="1" containsInteger="1" minValue="0" maxValue="1"/>
    </cacheField>
    <cacheField name="Séquence22" numFmtId="0">
      <sharedItems containsSemiMixedTypes="0" containsString="0" containsNumber="1" containsInteger="1" minValue="0" maxValue="4"/>
    </cacheField>
    <cacheField name="Occurrence22" numFmtId="0">
      <sharedItems containsSemiMixedTypes="0" containsString="0" containsNumber="1" containsInteger="1" minValue="0" maxValue="1"/>
    </cacheField>
    <cacheField name="Séquence23" numFmtId="0">
      <sharedItems containsSemiMixedTypes="0" containsString="0" containsNumber="1" containsInteger="1" minValue="0" maxValue="4"/>
    </cacheField>
    <cacheField name="Occurrence23" numFmtId="0">
      <sharedItems containsSemiMixedTypes="0" containsString="0" containsNumber="1" containsInteger="1" minValue="0" maxValue="1"/>
    </cacheField>
    <cacheField name="Séquence24" numFmtId="0">
      <sharedItems containsSemiMixedTypes="0" containsString="0" containsNumber="1" containsInteger="1" minValue="0" maxValue="4"/>
    </cacheField>
    <cacheField name="Occurrence24" numFmtId="0">
      <sharedItems containsSemiMixedTypes="0" containsString="0" containsNumber="1" containsInteger="1" minValue="0" maxValue="1"/>
    </cacheField>
    <cacheField name="Séquence25" numFmtId="0">
      <sharedItems containsSemiMixedTypes="0" containsString="0" containsNumber="1" containsInteger="1" minValue="0" maxValue="5"/>
    </cacheField>
    <cacheField name="Occurrence25" numFmtId="0">
      <sharedItems containsSemiMixedTypes="0" containsString="0" containsNumber="1" containsInteger="1" minValue="0" maxValue="1"/>
    </cacheField>
    <cacheField name="Séquence26" numFmtId="0">
      <sharedItems containsSemiMixedTypes="0" containsString="0" containsNumber="1" containsInteger="1" minValue="0" maxValue="4"/>
    </cacheField>
    <cacheField name="Occurrence26" numFmtId="0">
      <sharedItems containsSemiMixedTypes="0" containsString="0" containsNumber="1" containsInteger="1" minValue="0" maxValue="1"/>
    </cacheField>
    <cacheField name="Séquence27" numFmtId="0">
      <sharedItems containsSemiMixedTypes="0" containsString="0" containsNumber="1" containsInteger="1" minValue="0" maxValue="3"/>
    </cacheField>
    <cacheField name="Occurrence27" numFmtId="0">
      <sharedItems containsSemiMixedTypes="0" containsString="0" containsNumber="1" containsInteger="1" minValue="0" maxValue="1"/>
    </cacheField>
    <cacheField name="Séquence28" numFmtId="0">
      <sharedItems containsSemiMixedTypes="0" containsString="0" containsNumber="1" containsInteger="1" minValue="0" maxValue="4"/>
    </cacheField>
    <cacheField name="Occurrence28" numFmtId="0">
      <sharedItems containsSemiMixedTypes="0" containsString="0" containsNumber="1" containsInteger="1" minValue="0" maxValue="1"/>
    </cacheField>
    <cacheField name="Séquence29" numFmtId="0">
      <sharedItems containsSemiMixedTypes="0" containsString="0" containsNumber="1" containsInteger="1" minValue="0" maxValue="3"/>
    </cacheField>
    <cacheField name="Occurrence29" numFmtId="0">
      <sharedItems containsSemiMixedTypes="0" containsString="0" containsNumber="1" containsInteger="1" minValue="0" maxValue="1"/>
    </cacheField>
    <cacheField name="Séquence30" numFmtId="0">
      <sharedItems containsSemiMixedTypes="0" containsString="0" containsNumber="1" containsInteger="1" minValue="0" maxValue="4"/>
    </cacheField>
    <cacheField name="Occurrence30" numFmtId="0">
      <sharedItems containsSemiMixedTypes="0" containsString="0" containsNumber="1" containsInteger="1" minValue="0" maxValue="1"/>
    </cacheField>
    <cacheField name="Séquence31" numFmtId="0">
      <sharedItems containsSemiMixedTypes="0" containsString="0" containsNumber="1" containsInteger="1" minValue="0" maxValue="4"/>
    </cacheField>
    <cacheField name="Occurrence31" numFmtId="0">
      <sharedItems containsSemiMixedTypes="0" containsString="0" containsNumber="1" containsInteger="1" minValue="0" maxValue="1"/>
    </cacheField>
    <cacheField name="Séquence32" numFmtId="0">
      <sharedItems containsSemiMixedTypes="0" containsString="0" containsNumber="1" containsInteger="1" minValue="0" maxValue="3"/>
    </cacheField>
    <cacheField name="Occurrence32" numFmtId="0">
      <sharedItems containsSemiMixedTypes="0" containsString="0" containsNumber="1" containsInteger="1" minValue="0" maxValue="1"/>
    </cacheField>
    <cacheField name="Séquence33" numFmtId="0">
      <sharedItems containsSemiMixedTypes="0" containsString="0" containsNumber="1" containsInteger="1" minValue="0" maxValue="4"/>
    </cacheField>
    <cacheField name="Occurrence33" numFmtId="0">
      <sharedItems containsSemiMixedTypes="0" containsString="0" containsNumber="1" containsInteger="1" minValue="0" maxValue="1"/>
    </cacheField>
    <cacheField name="Séquence34" numFmtId="0">
      <sharedItems containsSemiMixedTypes="0" containsString="0" containsNumber="1" containsInteger="1" minValue="0" maxValue="3"/>
    </cacheField>
    <cacheField name="Occurrence34" numFmtId="0">
      <sharedItems containsSemiMixedTypes="0" containsString="0" containsNumber="1" containsInteger="1" minValue="0" maxValue="1"/>
    </cacheField>
    <cacheField name="Séquence35" numFmtId="0">
      <sharedItems containsSemiMixedTypes="0" containsString="0" containsNumber="1" containsInteger="1" minValue="0" maxValue="5"/>
    </cacheField>
    <cacheField name="Occurrence35" numFmtId="0">
      <sharedItems containsSemiMixedTypes="0" containsString="0" containsNumber="1" containsInteger="1" minValue="0" maxValue="1"/>
    </cacheField>
    <cacheField name="Séquence36" numFmtId="0">
      <sharedItems containsSemiMixedTypes="0" containsString="0" containsNumber="1" containsInteger="1" minValue="0" maxValue="2"/>
    </cacheField>
    <cacheField name="Occurrence36" numFmtId="0">
      <sharedItems containsSemiMixedTypes="0" containsString="0" containsNumber="1" containsInteger="1" minValue="0" maxValue="1"/>
    </cacheField>
    <cacheField name="Séquence37" numFmtId="0">
      <sharedItems containsSemiMixedTypes="0" containsString="0" containsNumber="1" containsInteger="1" minValue="0" maxValue="3"/>
    </cacheField>
    <cacheField name="Occurrence37" numFmtId="0">
      <sharedItems containsSemiMixedTypes="0" containsString="0" containsNumber="1" containsInteger="1" minValue="0" maxValue="1"/>
    </cacheField>
    <cacheField name="Séquence38" numFmtId="0">
      <sharedItems containsSemiMixedTypes="0" containsString="0" containsNumber="1" containsInteger="1" minValue="0" maxValue="4"/>
    </cacheField>
    <cacheField name="Occurrence38" numFmtId="0">
      <sharedItems containsSemiMixedTypes="0" containsString="0" containsNumber="1" containsInteger="1" minValue="0" maxValue="1"/>
    </cacheField>
    <cacheField name="Séquence39" numFmtId="0">
      <sharedItems containsSemiMixedTypes="0" containsString="0" containsNumber="1" containsInteger="1" minValue="0" maxValue="4"/>
    </cacheField>
    <cacheField name="Occurrence39" numFmtId="0">
      <sharedItems containsSemiMixedTypes="0" containsString="0" containsNumber="1" containsInteger="1" minValue="0" maxValue="1"/>
    </cacheField>
    <cacheField name="Séquence40" numFmtId="0">
      <sharedItems containsSemiMixedTypes="0" containsString="0" containsNumber="1" containsInteger="1" minValue="0" maxValue="3"/>
    </cacheField>
    <cacheField name="Occurrence40" numFmtId="0">
      <sharedItems containsSemiMixedTypes="0" containsString="0" containsNumber="1" containsInteger="1" minValue="0" maxValue="1"/>
    </cacheField>
    <cacheField name="Séquence41" numFmtId="0">
      <sharedItems containsSemiMixedTypes="0" containsString="0" containsNumber="1" containsInteger="1" minValue="0" maxValue="4"/>
    </cacheField>
    <cacheField name="Occurrence41" numFmtId="0">
      <sharedItems containsSemiMixedTypes="0" containsString="0" containsNumber="1" containsInteger="1" minValue="0" maxValue="1"/>
    </cacheField>
    <cacheField name="Séquence42" numFmtId="0">
      <sharedItems containsSemiMixedTypes="0" containsString="0" containsNumber="1" containsInteger="1" minValue="0" maxValue="4"/>
    </cacheField>
    <cacheField name="Occurrence42" numFmtId="0">
      <sharedItems containsSemiMixedTypes="0" containsString="0" containsNumber="1" containsInteger="1" minValue="0" maxValue="1"/>
    </cacheField>
    <cacheField name="Séquence43" numFmtId="0">
      <sharedItems containsSemiMixedTypes="0" containsString="0" containsNumber="1" containsInteger="1" minValue="0" maxValue="4"/>
    </cacheField>
    <cacheField name="Occurrence43" numFmtId="0">
      <sharedItems containsSemiMixedTypes="0" containsString="0" containsNumber="1" containsInteger="1" minValue="0" maxValue="1"/>
    </cacheField>
    <cacheField name="Séquence44" numFmtId="0">
      <sharedItems containsSemiMixedTypes="0" containsString="0" containsNumber="1" containsInteger="1" minValue="0" maxValue="4"/>
    </cacheField>
    <cacheField name="Occurrence44" numFmtId="0">
      <sharedItems containsSemiMixedTypes="0" containsString="0" containsNumber="1" containsInteger="1" minValue="0" maxValue="1"/>
    </cacheField>
    <cacheField name="Séquence45" numFmtId="0">
      <sharedItems containsSemiMixedTypes="0" containsString="0" containsNumber="1" containsInteger="1" minValue="0" maxValue="4"/>
    </cacheField>
    <cacheField name="Occurrence45" numFmtId="0">
      <sharedItems containsSemiMixedTypes="0" containsString="0" containsNumber="1" containsInteger="1" minValue="0" maxValue="1"/>
    </cacheField>
    <cacheField name="Séquence46" numFmtId="0">
      <sharedItems containsSemiMixedTypes="0" containsString="0" containsNumber="1" containsInteger="1" minValue="0" maxValue="4"/>
    </cacheField>
    <cacheField name="Occurrence46" numFmtId="0">
      <sharedItems containsSemiMixedTypes="0" containsString="0" containsNumber="1" containsInteger="1" minValue="0" maxValue="1"/>
    </cacheField>
    <cacheField name="Séquence47" numFmtId="0">
      <sharedItems containsSemiMixedTypes="0" containsString="0" containsNumber="1" containsInteger="1" minValue="0" maxValue="4"/>
    </cacheField>
    <cacheField name="Occurrence47" numFmtId="0">
      <sharedItems containsSemiMixedTypes="0" containsString="0" containsNumber="1" containsInteger="1" minValue="0" maxValue="1"/>
    </cacheField>
    <cacheField name="Séquence48" numFmtId="0">
      <sharedItems containsSemiMixedTypes="0" containsString="0" containsNumber="1" containsInteger="1" minValue="0" maxValue="3"/>
    </cacheField>
    <cacheField name="Occurrence48" numFmtId="0">
      <sharedItems containsSemiMixedTypes="0" containsString="0" containsNumber="1" containsInteger="1" minValue="0" maxValue="1"/>
    </cacheField>
    <cacheField name="Séquence49" numFmtId="0">
      <sharedItems containsSemiMixedTypes="0" containsString="0" containsNumber="1" containsInteger="1" minValue="0" maxValue="4"/>
    </cacheField>
    <cacheField name="Occurrence49" numFmtId="0">
      <sharedItems containsString="0" containsBlank="1" containsNumber="1" containsInteger="1" minValue="0" maxValue="0"/>
    </cacheField>
    <cacheField name="Séquence50" numFmtId="0">
      <sharedItems containsString="0" containsBlank="1" containsNumber="1" containsInteger="1" minValue="0" maxValue="0"/>
    </cacheField>
    <cacheField name="Occurrence" numFmtId="0">
      <sharedItems containsSemiMixedTypes="0" containsString="0" containsNumber="1" containsInteger="1" minValue="0" maxValue="1"/>
    </cacheField>
    <cacheField name="Séquence" numFmtId="0">
      <sharedItems containsSemiMixedTypes="0" containsString="0" containsNumber="1" containsInteger="1" minValue="0" maxValue="16"/>
    </cacheField>
    <cacheField name="Chambres" numFmtId="0">
      <sharedItems containsMixedTypes="1" containsNumber="1" containsInteger="1" minValue="0" maxValue="0"/>
    </cacheField>
    <cacheField name="Colonne4" numFmtId="0">
      <sharedItems containsString="0" containsBlank="1" containsNumber="1" containsInteger="1" minValue="0" maxValue="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8">
  <r>
    <x v="0"/>
    <x v="0"/>
    <s v="21/06/2000"/>
    <s v="17"/>
    <x v="0"/>
    <s v="INT"/>
    <s v="F"/>
    <s v=""/>
    <s v=""/>
    <s v=""/>
    <s v="Non"/>
    <s v="171"/>
    <x v="0"/>
    <s v=""/>
    <s v=""/>
    <s v=""/>
    <s v=""/>
    <s v=""/>
    <s v="0626501512"/>
    <s v=""/>
    <m/>
    <s v=""/>
    <s v=""/>
    <s v=""/>
    <s v=""/>
    <s v=""/>
    <s v=""/>
    <s v=""/>
    <s v=""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1"/>
    <b v="0"/>
    <b v="1"/>
    <b v="0"/>
    <s v=""/>
    <b v="0"/>
    <b v="0"/>
    <s v=""/>
    <b v="1"/>
    <b v="1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b v="0"/>
    <b v="0"/>
    <s v=""/>
    <b v="0"/>
    <b v="0"/>
    <b v="0"/>
    <b v="0"/>
    <m/>
    <s v=""/>
    <s v=""/>
    <s v=""/>
    <s v=""/>
    <s v=""/>
    <m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s v="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x v="1"/>
    <x v="1"/>
    <s v="16/12/1998"/>
    <s v="18"/>
    <x v="1"/>
    <s v="DP"/>
    <s v="G"/>
    <m/>
    <s v=""/>
    <s v=""/>
    <s v=""/>
    <m/>
    <x v="1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0"/>
    <b v="0"/>
    <b v="0"/>
    <b v="0"/>
    <b v="0"/>
    <b v="0"/>
    <b v="0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b v="0"/>
    <b v="0"/>
    <s v=""/>
    <b v="0"/>
    <b v="0"/>
    <b v="0"/>
    <b v="0"/>
    <m/>
    <s v=""/>
    <s v=""/>
    <s v=""/>
    <s v=""/>
    <s v=""/>
    <m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s v="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"/>
    <x v="2"/>
    <d v="2001-03-21T00:00:00"/>
    <n v="16"/>
    <x v="2"/>
    <s v="INT"/>
    <s v="F"/>
    <m/>
    <m/>
    <s v=""/>
    <m/>
    <n v="167"/>
    <x v="2"/>
    <s v=""/>
    <s v=""/>
    <s v=""/>
    <s v=""/>
    <s v=""/>
    <n v="683673195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7"/>
    <m/>
  </r>
  <r>
    <x v="3"/>
    <x v="3"/>
    <d v="2000-05-14T00:00:00"/>
    <n v="17"/>
    <x v="1"/>
    <s v="INT"/>
    <s v="F"/>
    <m/>
    <m/>
    <m/>
    <m/>
    <m/>
    <x v="3"/>
    <m/>
    <m/>
    <m/>
    <m/>
    <m/>
    <n v="761931201"/>
    <m/>
    <n v="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4"/>
    <m/>
  </r>
  <r>
    <x v="4"/>
    <x v="4"/>
    <d v="1999-08-09T00:00:00"/>
    <n v="18"/>
    <x v="3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5"/>
    <x v="5"/>
    <d v="1998-03-01T00:00:00"/>
    <n v="19"/>
    <x v="4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6"/>
    <x v="6"/>
    <d v="2002-01-23T00:00:00"/>
    <n v="15"/>
    <x v="5"/>
    <s v="INT"/>
    <s v="G"/>
    <m/>
    <m/>
    <s v=""/>
    <m/>
    <m/>
    <x v="5"/>
    <s v=""/>
    <s v=""/>
    <s v=""/>
    <s v=""/>
    <s v=""/>
    <n v="778180040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5"/>
    <m/>
  </r>
  <r>
    <x v="7"/>
    <x v="7"/>
    <d v="2000-08-17T00:00:00"/>
    <n v="17"/>
    <x v="1"/>
    <s v="INT"/>
    <s v="F"/>
    <m/>
    <m/>
    <m/>
    <m/>
    <n v="179"/>
    <x v="6"/>
    <m/>
    <m/>
    <m/>
    <m/>
    <m/>
    <n v="617305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9"/>
    <m/>
  </r>
  <r>
    <x v="8"/>
    <x v="8"/>
    <d v="2001-12-02T00:00:00"/>
    <n v="15"/>
    <x v="6"/>
    <s v="INT"/>
    <s v="G"/>
    <m/>
    <m/>
    <s v=""/>
    <m/>
    <m/>
    <x v="7"/>
    <s v=""/>
    <s v=""/>
    <s v=""/>
    <s v=""/>
    <s v=""/>
    <n v="695686060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m/>
    <m/>
    <n v="0"/>
    <n v="0"/>
    <s v="110"/>
    <m/>
  </r>
  <r>
    <x v="9"/>
    <x v="9"/>
    <d v="2001-12-03T00:00:00"/>
    <n v="15"/>
    <x v="6"/>
    <s v="INT"/>
    <s v="G"/>
    <m/>
    <m/>
    <s v=""/>
    <m/>
    <m/>
    <x v="8"/>
    <s v=""/>
    <s v=""/>
    <s v=""/>
    <s v=""/>
    <s v=""/>
    <n v="789427991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3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3"/>
    <m/>
  </r>
  <r>
    <x v="10"/>
    <x v="10"/>
    <d v="2002-10-02T00:00:00"/>
    <n v="15"/>
    <x v="7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1"/>
    <x v="11"/>
    <d v="2001-06-14T00:00:00"/>
    <n v="16"/>
    <x v="8"/>
    <s v="INT"/>
    <s v="F"/>
    <m/>
    <m/>
    <s v=""/>
    <m/>
    <n v="170"/>
    <x v="9"/>
    <s v=""/>
    <s v=""/>
    <s v=""/>
    <s v=""/>
    <s v=""/>
    <n v="656852459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0"/>
    <m/>
  </r>
  <r>
    <x v="12"/>
    <x v="12"/>
    <d v="2000-09-01T00:00:00"/>
    <n v="17"/>
    <x v="9"/>
    <s v="DP"/>
    <s v="G"/>
    <m/>
    <m/>
    <m/>
    <m/>
    <m/>
    <x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3"/>
    <x v="13"/>
    <d v="1998-05-13T00:00:00"/>
    <n v="19"/>
    <x v="4"/>
    <s v="DP"/>
    <s v="F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4"/>
    <x v="14"/>
    <d v="2001-08-21T00:00:00"/>
    <n v="16"/>
    <x v="6"/>
    <s v="INT"/>
    <s v="G"/>
    <m/>
    <m/>
    <m/>
    <m/>
    <m/>
    <x v="11"/>
    <m/>
    <m/>
    <m/>
    <m/>
    <m/>
    <n v="769113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3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3"/>
    <m/>
  </r>
  <r>
    <x v="15"/>
    <x v="15"/>
    <d v="2000-02-16T00:00:00"/>
    <n v="17"/>
    <x v="10"/>
    <s v="INT"/>
    <s v="G"/>
    <m/>
    <m/>
    <s v=""/>
    <m/>
    <m/>
    <x v="12"/>
    <s v=""/>
    <s v=""/>
    <s v=""/>
    <s v=""/>
    <s v=""/>
    <n v="783640002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m/>
    <m/>
    <n v="0"/>
    <n v="0"/>
    <s v="110"/>
    <m/>
  </r>
  <r>
    <x v="16"/>
    <x v="16"/>
    <d v="2002-01-03T00:00:00"/>
    <n v="15"/>
    <x v="11"/>
    <s v="INT"/>
    <s v="F"/>
    <m/>
    <m/>
    <s v=""/>
    <m/>
    <m/>
    <x v="13"/>
    <s v=""/>
    <s v=""/>
    <s v=""/>
    <s v=""/>
    <s v=""/>
    <n v="677073070"/>
    <s v=""/>
    <n v="143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1"/>
    <s v="143"/>
    <m/>
  </r>
  <r>
    <x v="17"/>
    <x v="5"/>
    <d v="2001-12-20T00:00:00"/>
    <n v="15"/>
    <x v="7"/>
    <s v="INT"/>
    <s v="F"/>
    <m/>
    <m/>
    <s v=""/>
    <m/>
    <n v="169"/>
    <x v="14"/>
    <s v=""/>
    <s v=""/>
    <s v=""/>
    <s v=""/>
    <s v=""/>
    <n v="658182757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9"/>
    <m/>
  </r>
  <r>
    <x v="18"/>
    <x v="17"/>
    <d v="2000-11-12T00:00:00"/>
    <n v="16"/>
    <x v="10"/>
    <s v="INT"/>
    <s v="F"/>
    <m/>
    <m/>
    <m/>
    <m/>
    <n v="167"/>
    <x v="15"/>
    <m/>
    <m/>
    <m/>
    <m/>
    <m/>
    <n v="751661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7"/>
    <m/>
  </r>
  <r>
    <x v="19"/>
    <x v="18"/>
    <d v="2001-10-04T00:00:00"/>
    <n v="16"/>
    <x v="10"/>
    <s v="INT"/>
    <s v="F"/>
    <m/>
    <m/>
    <s v=""/>
    <m/>
    <n v="160"/>
    <x v="16"/>
    <s v=""/>
    <s v=""/>
    <s v=""/>
    <s v=""/>
    <s v=""/>
    <n v="768958984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0"/>
    <m/>
  </r>
  <r>
    <x v="20"/>
    <x v="19"/>
    <d v="1999-06-23T00:00:00"/>
    <n v="18"/>
    <x v="9"/>
    <s v="INT"/>
    <s v="F"/>
    <m/>
    <m/>
    <m/>
    <m/>
    <n v="172"/>
    <x v="17"/>
    <m/>
    <m/>
    <m/>
    <m/>
    <m/>
    <n v="629101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2"/>
    <m/>
  </r>
  <r>
    <x v="21"/>
    <x v="20"/>
    <d v="2001-09-04T00:00:00"/>
    <n v="16"/>
    <x v="6"/>
    <s v="DP"/>
    <s v="G"/>
    <m/>
    <m/>
    <m/>
    <m/>
    <m/>
    <x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1"/>
    <x v="21"/>
    <d v="2000-09-19T00:00:00"/>
    <n v="17"/>
    <x v="0"/>
    <s v="INT"/>
    <s v="F"/>
    <m/>
    <m/>
    <m/>
    <m/>
    <n v="171"/>
    <x v="19"/>
    <m/>
    <m/>
    <m/>
    <m/>
    <m/>
    <n v="760466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1"/>
    <m/>
  </r>
  <r>
    <x v="22"/>
    <x v="22"/>
    <d v="1999-07-17T00:00:00"/>
    <n v="18"/>
    <x v="3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3"/>
    <x v="23"/>
    <d v="2001-03-14T00:00:00"/>
    <n v="16"/>
    <x v="6"/>
    <s v="INT"/>
    <s v="F"/>
    <m/>
    <m/>
    <m/>
    <m/>
    <m/>
    <x v="20"/>
    <m/>
    <m/>
    <m/>
    <m/>
    <m/>
    <n v="669792015"/>
    <m/>
    <n v="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4"/>
    <m/>
  </r>
  <r>
    <x v="24"/>
    <x v="24"/>
    <d v="1997-07-28T00:00:00"/>
    <n v="20"/>
    <x v="4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5"/>
    <x v="25"/>
    <d v="2002-06-26T00:00:00"/>
    <n v="15"/>
    <x v="2"/>
    <s v="INT"/>
    <s v="F"/>
    <m/>
    <m/>
    <s v=""/>
    <m/>
    <n v="158"/>
    <x v="21"/>
    <s v=""/>
    <s v=""/>
    <s v=""/>
    <s v=""/>
    <s v=""/>
    <n v="641887369"/>
    <s v=""/>
    <m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8"/>
    <m/>
  </r>
  <r>
    <x v="26"/>
    <x v="26"/>
    <d v="2001-01-30T00:00:00"/>
    <n v="16"/>
    <x v="8"/>
    <s v="INT"/>
    <s v="G"/>
    <m/>
    <m/>
    <s v=""/>
    <m/>
    <m/>
    <x v="22"/>
    <s v=""/>
    <s v=""/>
    <s v=""/>
    <s v=""/>
    <s v=""/>
    <n v="647281282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m/>
    <m/>
    <n v="0"/>
    <n v="0"/>
    <s v="127"/>
    <m/>
  </r>
  <r>
    <x v="27"/>
    <x v="27"/>
    <d v="2003-05-26T00:00:00"/>
    <n v="14"/>
    <x v="12"/>
    <s v="INT"/>
    <s v="F"/>
    <m/>
    <m/>
    <s v=""/>
    <m/>
    <m/>
    <x v="23"/>
    <s v=""/>
    <s v=""/>
    <s v=""/>
    <s v=""/>
    <s v=""/>
    <n v="642966171"/>
    <s v=""/>
    <n v="143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3"/>
    <m/>
  </r>
  <r>
    <x v="28"/>
    <x v="28"/>
    <d v="2000-09-21T00:00:00"/>
    <n v="17"/>
    <x v="13"/>
    <s v="INT"/>
    <s v="F"/>
    <m/>
    <m/>
    <m/>
    <m/>
    <n v="178"/>
    <x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8"/>
    <m/>
  </r>
  <r>
    <x v="29"/>
    <x v="29"/>
    <d v="1999-05-12T00:00:00"/>
    <n v="18"/>
    <x v="13"/>
    <s v="DP"/>
    <s v="F"/>
    <m/>
    <m/>
    <m/>
    <m/>
    <m/>
    <x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30"/>
    <x v="19"/>
    <d v="2000-09-11T00:00:00"/>
    <n v="17"/>
    <x v="9"/>
    <s v="INT"/>
    <s v="F"/>
    <m/>
    <m/>
    <m/>
    <m/>
    <n v="172"/>
    <x v="26"/>
    <m/>
    <m/>
    <m/>
    <m/>
    <m/>
    <n v="637654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2"/>
    <m/>
  </r>
  <r>
    <x v="31"/>
    <x v="30"/>
    <s v="17/06/1999"/>
    <s v="18"/>
    <x v="0"/>
    <s v="INT"/>
    <s v="G"/>
    <m/>
    <m/>
    <m/>
    <m/>
    <m/>
    <x v="27"/>
    <m/>
    <m/>
    <m/>
    <m/>
    <m/>
    <s v="648864872"/>
    <m/>
    <m/>
    <m/>
    <m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s v="126"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m/>
    <m/>
    <n v="0"/>
    <n v="0"/>
    <s v="126"/>
    <m/>
  </r>
  <r>
    <x v="32"/>
    <x v="31"/>
    <d v="2001-12-21T00:00:00"/>
    <n v="15"/>
    <x v="6"/>
    <s v="INT"/>
    <s v="G"/>
    <m/>
    <m/>
    <m/>
    <m/>
    <m/>
    <x v="28"/>
    <m/>
    <m/>
    <m/>
    <m/>
    <m/>
    <n v="6849540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46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6"/>
    <m/>
  </r>
  <r>
    <x v="33"/>
    <x v="32"/>
    <d v="2001-02-14T00:00:00"/>
    <n v="16"/>
    <x v="2"/>
    <s v="INT"/>
    <s v="F"/>
    <m/>
    <m/>
    <s v=""/>
    <m/>
    <m/>
    <x v="4"/>
    <s v=""/>
    <s v=""/>
    <s v=""/>
    <s v=""/>
    <s v=""/>
    <s v=""/>
    <s v=""/>
    <n v="141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1"/>
    <m/>
  </r>
  <r>
    <x v="34"/>
    <x v="33"/>
    <d v="2002-03-10T00:00:00"/>
    <n v="15"/>
    <x v="7"/>
    <s v="INT"/>
    <s v="G"/>
    <m/>
    <m/>
    <m/>
    <m/>
    <m/>
    <x v="29"/>
    <m/>
    <m/>
    <m/>
    <m/>
    <m/>
    <n v="677202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47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7"/>
    <m/>
  </r>
  <r>
    <x v="35"/>
    <x v="34"/>
    <d v="2001-02-28T00:00:00"/>
    <n v="16"/>
    <x v="7"/>
    <s v="INT"/>
    <s v="G"/>
    <m/>
    <m/>
    <s v=""/>
    <m/>
    <m/>
    <x v="30"/>
    <s v=""/>
    <s v=""/>
    <s v=""/>
    <s v=""/>
    <s v=""/>
    <n v="789323836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47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7"/>
    <m/>
  </r>
  <r>
    <x v="36"/>
    <x v="35"/>
    <d v="1999-06-09T00:00:00"/>
    <n v="18"/>
    <x v="13"/>
    <s v="INT"/>
    <s v="F"/>
    <m/>
    <m/>
    <m/>
    <m/>
    <n v="177"/>
    <x v="31"/>
    <m/>
    <m/>
    <m/>
    <m/>
    <m/>
    <n v="620670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7"/>
    <m/>
  </r>
  <r>
    <x v="37"/>
    <x v="36"/>
    <d v="2000-08-24T00:00:00"/>
    <n v="17"/>
    <x v="9"/>
    <s v="DP"/>
    <s v="G"/>
    <m/>
    <m/>
    <m/>
    <m/>
    <m/>
    <x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38"/>
    <x v="33"/>
    <d v="2001-08-04T00:00:00"/>
    <n v="16"/>
    <x v="8"/>
    <s v="INT"/>
    <s v="G"/>
    <m/>
    <m/>
    <m/>
    <m/>
    <m/>
    <x v="33"/>
    <m/>
    <m/>
    <m/>
    <m/>
    <m/>
    <n v="751689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m/>
    <m/>
    <n v="0"/>
    <n v="0"/>
    <s v="118"/>
    <m/>
  </r>
  <r>
    <x v="39"/>
    <x v="37"/>
    <d v="2002-10-07T00:00:00"/>
    <n v="15"/>
    <x v="5"/>
    <s v="DP"/>
    <s v="F"/>
    <m/>
    <m/>
    <s v=""/>
    <m/>
    <m/>
    <x v="3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40"/>
    <x v="38"/>
    <d v="2001-04-10T00:00:00"/>
    <n v="16"/>
    <x v="6"/>
    <s v="INT"/>
    <s v="G"/>
    <m/>
    <m/>
    <m/>
    <m/>
    <m/>
    <x v="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3"/>
    <m/>
  </r>
  <r>
    <x v="41"/>
    <x v="4"/>
    <d v="1999-12-27T00:00:00"/>
    <n v="17"/>
    <x v="3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42"/>
    <x v="39"/>
    <d v="2001-03-15T00:00:00"/>
    <n v="16"/>
    <x v="5"/>
    <s v="INT"/>
    <s v="F"/>
    <m/>
    <m/>
    <s v=""/>
    <m/>
    <m/>
    <x v="36"/>
    <s v=""/>
    <s v=""/>
    <s v=""/>
    <s v=""/>
    <s v=""/>
    <n v="627594824"/>
    <s v=""/>
    <n v="133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3"/>
    <m/>
  </r>
  <r>
    <x v="43"/>
    <x v="40"/>
    <d v="2000-02-05T00:00:00"/>
    <n v="17"/>
    <x v="14"/>
    <s v="INT"/>
    <s v="F"/>
    <m/>
    <m/>
    <m/>
    <m/>
    <n v="166"/>
    <x v="37"/>
    <s v=""/>
    <s v=""/>
    <s v=""/>
    <s v=""/>
    <s v=""/>
    <n v="665265495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6"/>
    <m/>
  </r>
  <r>
    <x v="44"/>
    <x v="41"/>
    <d v="2000-11-19T00:00:00"/>
    <n v="16"/>
    <x v="0"/>
    <s v="DP"/>
    <s v="G"/>
    <m/>
    <m/>
    <m/>
    <m/>
    <m/>
    <x v="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45"/>
    <x v="2"/>
    <d v="2002-07-18T00:00:00"/>
    <n v="15"/>
    <x v="5"/>
    <s v="INT"/>
    <s v="F"/>
    <m/>
    <m/>
    <s v=""/>
    <m/>
    <m/>
    <x v="39"/>
    <s v=""/>
    <s v=""/>
    <s v=""/>
    <s v=""/>
    <s v=""/>
    <n v="769236198"/>
    <s v=""/>
    <n v="133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3"/>
    <m/>
  </r>
  <r>
    <x v="46"/>
    <x v="42"/>
    <d v="1999-07-20T00:00:00"/>
    <n v="18"/>
    <x v="0"/>
    <s v="INT"/>
    <s v="F"/>
    <m/>
    <m/>
    <m/>
    <m/>
    <m/>
    <x v="40"/>
    <m/>
    <m/>
    <m/>
    <m/>
    <m/>
    <m/>
    <m/>
    <n v="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4"/>
    <m/>
  </r>
  <r>
    <x v="47"/>
    <x v="43"/>
    <d v="2000-06-22T00:00:00"/>
    <n v="17"/>
    <x v="6"/>
    <s v="INT"/>
    <s v="F"/>
    <m/>
    <m/>
    <m/>
    <m/>
    <m/>
    <x v="41"/>
    <m/>
    <m/>
    <m/>
    <m/>
    <m/>
    <n v="761209338"/>
    <m/>
    <n v="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2"/>
    <m/>
  </r>
  <r>
    <x v="48"/>
    <x v="44"/>
    <d v="1999-12-05T00:00:00"/>
    <n v="17"/>
    <x v="0"/>
    <s v="INT"/>
    <s v="F"/>
    <m/>
    <m/>
    <m/>
    <m/>
    <n v="179"/>
    <x v="42"/>
    <m/>
    <m/>
    <m/>
    <m/>
    <m/>
    <n v="785443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9"/>
    <m/>
  </r>
  <r>
    <x v="49"/>
    <x v="42"/>
    <d v="1999-12-13T00:00:00"/>
    <n v="17"/>
    <x v="3"/>
    <s v="DP"/>
    <s v="F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50"/>
    <x v="45"/>
    <d v="2000-04-20T00:00:00"/>
    <n v="17"/>
    <x v="9"/>
    <s v="INT"/>
    <s v="G"/>
    <m/>
    <m/>
    <m/>
    <m/>
    <m/>
    <x v="43"/>
    <m/>
    <m/>
    <m/>
    <m/>
    <m/>
    <n v="787506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m/>
    <m/>
    <n v="0"/>
    <n v="0"/>
    <s v="117"/>
    <m/>
  </r>
  <r>
    <x v="51"/>
    <x v="46"/>
    <d v="2001-05-29T00:00:00"/>
    <n v="16"/>
    <x v="6"/>
    <s v="INT"/>
    <s v="G"/>
    <m/>
    <m/>
    <s v=""/>
    <m/>
    <m/>
    <x v="4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3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3"/>
    <m/>
  </r>
  <r>
    <x v="52"/>
    <x v="47"/>
    <d v="1999-09-01T00:00:00"/>
    <n v="18"/>
    <x v="3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53"/>
    <x v="48"/>
    <d v="2001-04-20T00:00:00"/>
    <n v="16"/>
    <x v="11"/>
    <s v="INT"/>
    <s v="F"/>
    <m/>
    <m/>
    <m/>
    <m/>
    <m/>
    <x v="45"/>
    <m/>
    <m/>
    <m/>
    <m/>
    <m/>
    <m/>
    <m/>
    <n v="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2"/>
    <s v="143"/>
    <m/>
  </r>
  <r>
    <x v="54"/>
    <x v="18"/>
    <d v="2001-07-23T00:00:00"/>
    <n v="16"/>
    <x v="8"/>
    <s v="INT"/>
    <s v="F"/>
    <m/>
    <m/>
    <m/>
    <m/>
    <n v="169"/>
    <x v="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9"/>
    <m/>
  </r>
  <r>
    <x v="54"/>
    <x v="49"/>
    <d v="2002-08-31T00:00:00"/>
    <n v="15"/>
    <x v="5"/>
    <s v="DP"/>
    <s v="F"/>
    <m/>
    <m/>
    <m/>
    <m/>
    <m/>
    <x v="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55"/>
    <x v="50"/>
    <d v="2001-08-12T00:00:00"/>
    <n v="16"/>
    <x v="8"/>
    <s v="INT"/>
    <s v="F"/>
    <m/>
    <m/>
    <m/>
    <m/>
    <m/>
    <x v="48"/>
    <m/>
    <m/>
    <m/>
    <m/>
    <m/>
    <m/>
    <m/>
    <n v="1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2"/>
    <m/>
  </r>
  <r>
    <x v="56"/>
    <x v="51"/>
    <d v="2002-08-07T00:00:00"/>
    <n v="15"/>
    <x v="7"/>
    <s v="DP"/>
    <s v="G"/>
    <m/>
    <m/>
    <s v=""/>
    <m/>
    <m/>
    <x v="4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57"/>
    <x v="52"/>
    <d v="2002-12-19T00:00:00"/>
    <n v="14"/>
    <x v="11"/>
    <s v="DP"/>
    <s v="F"/>
    <m/>
    <m/>
    <m/>
    <m/>
    <m/>
    <x v="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3"/>
    <s v=""/>
    <m/>
  </r>
  <r>
    <x v="58"/>
    <x v="53"/>
    <d v="2001-11-16T00:00:00"/>
    <n v="15"/>
    <x v="5"/>
    <s v="DP"/>
    <s v="F"/>
    <m/>
    <m/>
    <m/>
    <m/>
    <m/>
    <x v="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59"/>
    <x v="54"/>
    <d v="1999-12-04T00:00:00"/>
    <n v="17"/>
    <x v="3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60"/>
    <x v="55"/>
    <d v="1998-10-24T00:00:00"/>
    <n v="19"/>
    <x v="1"/>
    <s v="DP"/>
    <s v="G"/>
    <m/>
    <m/>
    <m/>
    <m/>
    <m/>
    <x v="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61"/>
    <x v="56"/>
    <d v="1999-04-11T00:00:00"/>
    <n v="18"/>
    <x v="9"/>
    <s v="INT"/>
    <s v="G"/>
    <m/>
    <m/>
    <m/>
    <m/>
    <m/>
    <x v="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4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4"/>
    <m/>
  </r>
  <r>
    <x v="62"/>
    <x v="43"/>
    <d v="2000-10-18T00:00:00"/>
    <n v="17"/>
    <x v="2"/>
    <s v="DP"/>
    <s v="F"/>
    <m/>
    <m/>
    <s v=""/>
    <m/>
    <m/>
    <x v="5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63"/>
    <x v="57"/>
    <d v="2001-09-27T00:00:00"/>
    <n v="16"/>
    <x v="8"/>
    <s v="INT"/>
    <s v="F"/>
    <m/>
    <m/>
    <m/>
    <m/>
    <m/>
    <x v="55"/>
    <m/>
    <m/>
    <m/>
    <m/>
    <m/>
    <m/>
    <m/>
    <n v="1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2"/>
    <m/>
  </r>
  <r>
    <x v="64"/>
    <x v="58"/>
    <d v="1997-10-21T00:00:00"/>
    <n v="20"/>
    <x v="4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65"/>
    <x v="59"/>
    <d v="2000-05-18T00:00:00"/>
    <n v="17"/>
    <x v="9"/>
    <s v="INT"/>
    <s v="G"/>
    <m/>
    <m/>
    <m/>
    <m/>
    <m/>
    <x v="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06"/>
    <m/>
  </r>
  <r>
    <x v="66"/>
    <x v="60"/>
    <d v="2002-07-19T00:00:00"/>
    <n v="15"/>
    <x v="7"/>
    <s v="DP"/>
    <s v="G"/>
    <m/>
    <m/>
    <m/>
    <m/>
    <m/>
    <x v="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67"/>
    <x v="39"/>
    <d v="2002-10-31T00:00:00"/>
    <n v="15"/>
    <x v="11"/>
    <s v="INT"/>
    <s v="F"/>
    <m/>
    <m/>
    <s v=""/>
    <m/>
    <n v="164"/>
    <x v="58"/>
    <s v=""/>
    <s v=""/>
    <s v=""/>
    <s v=""/>
    <s v=""/>
    <s v=""/>
    <s v=""/>
    <m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4"/>
    <s v="164"/>
    <m/>
  </r>
  <r>
    <x v="68"/>
    <x v="26"/>
    <d v="2001-04-19T00:00:00"/>
    <n v="16"/>
    <x v="8"/>
    <s v="DP"/>
    <s v="G"/>
    <m/>
    <m/>
    <s v=""/>
    <m/>
    <m/>
    <x v="5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69"/>
    <x v="61"/>
    <d v="2001-11-28T00:00:00"/>
    <n v="15"/>
    <x v="14"/>
    <s v="DP"/>
    <s v="F"/>
    <m/>
    <m/>
    <m/>
    <m/>
    <m/>
    <x v="60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70"/>
    <x v="60"/>
    <d v="2001-11-22T00:00:00"/>
    <n v="15"/>
    <x v="14"/>
    <s v="INT"/>
    <s v="G"/>
    <m/>
    <m/>
    <m/>
    <m/>
    <m/>
    <x v="61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m/>
    <m/>
    <n v="0"/>
    <n v="0"/>
    <s v="110"/>
    <m/>
  </r>
  <r>
    <x v="71"/>
    <x v="62"/>
    <d v="1999-05-10T00:00:00"/>
    <n v="18"/>
    <x v="9"/>
    <s v="INT"/>
    <s v="G"/>
    <m/>
    <m/>
    <m/>
    <m/>
    <m/>
    <x v="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4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4"/>
    <m/>
  </r>
  <r>
    <x v="72"/>
    <x v="43"/>
    <d v="2002-06-06T00:00:00"/>
    <n v="15"/>
    <x v="2"/>
    <s v="INT"/>
    <s v="F"/>
    <m/>
    <m/>
    <s v=""/>
    <m/>
    <n v="158"/>
    <x v="63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8"/>
    <m/>
  </r>
  <r>
    <x v="73"/>
    <x v="63"/>
    <d v="2000-03-28T00:00:00"/>
    <n v="17"/>
    <x v="0"/>
    <s v="INT"/>
    <s v="F"/>
    <m/>
    <m/>
    <m/>
    <m/>
    <n v="177"/>
    <x v="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7"/>
    <m/>
  </r>
  <r>
    <x v="74"/>
    <x v="64"/>
    <d v="1999-10-14T00:00:00"/>
    <n v="18"/>
    <x v="3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75"/>
    <x v="15"/>
    <d v="2001-04-09T00:00:00"/>
    <n v="16"/>
    <x v="7"/>
    <s v="INT"/>
    <s v="G"/>
    <m/>
    <m/>
    <s v=""/>
    <m/>
    <m/>
    <x v="65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2"/>
    <m/>
  </r>
  <r>
    <x v="76"/>
    <x v="65"/>
    <d v="2001-09-17T00:00:00"/>
    <n v="16"/>
    <x v="14"/>
    <s v="INT"/>
    <s v="F"/>
    <m/>
    <m/>
    <m/>
    <m/>
    <n v="170"/>
    <x v="66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0"/>
    <m/>
  </r>
  <r>
    <x v="77"/>
    <x v="66"/>
    <d v="2001-08-18T00:00:00"/>
    <n v="16"/>
    <x v="6"/>
    <s v="INT"/>
    <s v="F"/>
    <m/>
    <m/>
    <s v=""/>
    <m/>
    <m/>
    <x v="67"/>
    <s v=""/>
    <s v=""/>
    <s v=""/>
    <s v=""/>
    <s v=""/>
    <s v=""/>
    <s v=""/>
    <n v="142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2"/>
    <m/>
  </r>
  <r>
    <x v="78"/>
    <x v="67"/>
    <d v="1997-06-17T00:00:00"/>
    <n v="20"/>
    <x v="4"/>
    <s v="EXT"/>
    <s v="F"/>
    <m/>
    <m/>
    <s v=""/>
    <m/>
    <m/>
    <x v="4"/>
    <m/>
    <m/>
    <m/>
    <m/>
    <m/>
    <m/>
    <s v=""/>
    <m/>
    <m/>
    <m/>
    <m/>
    <m/>
    <m/>
    <m/>
    <m/>
    <m/>
    <s v=""/>
    <m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79"/>
    <x v="20"/>
    <d v="2001-11-22T00:00:00"/>
    <n v="15"/>
    <x v="6"/>
    <s v="INT"/>
    <s v="G"/>
    <m/>
    <m/>
    <m/>
    <m/>
    <m/>
    <x v="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46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6"/>
    <m/>
  </r>
  <r>
    <x v="80"/>
    <x v="68"/>
    <d v="2000-01-28T00:00:00"/>
    <n v="17"/>
    <x v="13"/>
    <s v="INT"/>
    <s v="G"/>
    <m/>
    <m/>
    <m/>
    <m/>
    <m/>
    <x v="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m/>
    <m/>
    <n v="0"/>
    <n v="0"/>
    <s v="124"/>
    <m/>
  </r>
  <r>
    <x v="81"/>
    <x v="10"/>
    <s v="29/03/1999"/>
    <s v="18"/>
    <x v="0"/>
    <s v="INT"/>
    <s v="G"/>
    <m/>
    <m/>
    <m/>
    <m/>
    <m/>
    <x v="70"/>
    <m/>
    <m/>
    <m/>
    <m/>
    <m/>
    <m/>
    <m/>
    <m/>
    <m/>
    <m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1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s v="126"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m/>
    <m/>
    <n v="0"/>
    <n v="0"/>
    <s v="126"/>
    <m/>
  </r>
  <r>
    <x v="81"/>
    <x v="69"/>
    <d v="1999-01-04T00:00:00"/>
    <n v="18"/>
    <x v="13"/>
    <s v="INT"/>
    <s v="F"/>
    <m/>
    <m/>
    <m/>
    <m/>
    <m/>
    <x v="71"/>
    <m/>
    <m/>
    <m/>
    <m/>
    <m/>
    <m/>
    <m/>
    <n v="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4"/>
    <m/>
  </r>
  <r>
    <x v="82"/>
    <x v="70"/>
    <d v="2002-04-17T00:00:00"/>
    <n v="15"/>
    <x v="7"/>
    <s v="INT"/>
    <s v="G"/>
    <m/>
    <m/>
    <m/>
    <m/>
    <m/>
    <x v="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47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7"/>
    <m/>
  </r>
  <r>
    <x v="83"/>
    <x v="71"/>
    <d v="2002-03-14T00:00:00"/>
    <n v="15"/>
    <x v="7"/>
    <s v="INT"/>
    <s v="F"/>
    <m/>
    <m/>
    <s v=""/>
    <m/>
    <n v="159"/>
    <x v="73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9"/>
    <m/>
  </r>
  <r>
    <x v="84"/>
    <x v="72"/>
    <d v="2002-10-02T00:00:00"/>
    <n v="15"/>
    <x v="2"/>
    <s v="INT"/>
    <s v="F"/>
    <m/>
    <m/>
    <m/>
    <m/>
    <m/>
    <x v="74"/>
    <m/>
    <m/>
    <m/>
    <m/>
    <m/>
    <m/>
    <m/>
    <n v="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1"/>
    <m/>
  </r>
  <r>
    <x v="85"/>
    <x v="73"/>
    <d v="2002-09-05T00:00:00"/>
    <n v="15"/>
    <x v="5"/>
    <s v="INT"/>
    <s v="G"/>
    <m/>
    <m/>
    <m/>
    <m/>
    <m/>
    <x v="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5"/>
    <m/>
  </r>
  <r>
    <x v="86"/>
    <x v="74"/>
    <d v="2000-07-04T00:00:00"/>
    <n v="17"/>
    <x v="9"/>
    <s v="INT"/>
    <s v="G"/>
    <m/>
    <m/>
    <m/>
    <m/>
    <m/>
    <x v="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06"/>
    <m/>
  </r>
  <r>
    <x v="87"/>
    <x v="55"/>
    <d v="1997-05-09T00:00:00"/>
    <n v="20"/>
    <x v="3"/>
    <s v="DP"/>
    <s v="G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88"/>
    <x v="55"/>
    <d v="2002-09-25T00:00:00"/>
    <n v="15"/>
    <x v="7"/>
    <s v="INT"/>
    <s v="G"/>
    <m/>
    <m/>
    <m/>
    <m/>
    <m/>
    <x v="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2"/>
    <m/>
  </r>
  <r>
    <x v="89"/>
    <x v="75"/>
    <d v="2000-03-03T00:00:00"/>
    <n v="17"/>
    <x v="1"/>
    <s v="INT"/>
    <s v="F"/>
    <m/>
    <m/>
    <m/>
    <m/>
    <n v="163"/>
    <x v="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3"/>
    <m/>
  </r>
  <r>
    <x v="90"/>
    <x v="58"/>
    <d v="2001-07-16T00:00:00"/>
    <n v="16"/>
    <x v="6"/>
    <s v="INT"/>
    <s v="F"/>
    <m/>
    <m/>
    <m/>
    <m/>
    <m/>
    <x v="79"/>
    <m/>
    <m/>
    <m/>
    <m/>
    <m/>
    <m/>
    <m/>
    <n v="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2"/>
    <m/>
  </r>
  <r>
    <x v="91"/>
    <x v="76"/>
    <d v="2000-06-17T00:00:00"/>
    <n v="17"/>
    <x v="6"/>
    <s v="DP"/>
    <s v="F"/>
    <m/>
    <m/>
    <m/>
    <m/>
    <m/>
    <x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91"/>
    <x v="77"/>
    <d v="2002-02-17T00:00:00"/>
    <n v="15"/>
    <x v="11"/>
    <s v="INT"/>
    <s v="F"/>
    <m/>
    <m/>
    <m/>
    <m/>
    <n v="164"/>
    <x v="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5"/>
    <s v="164"/>
    <m/>
  </r>
  <r>
    <x v="92"/>
    <x v="78"/>
    <d v="2001-10-05T00:00:00"/>
    <n v="16"/>
    <x v="2"/>
    <s v="INT"/>
    <s v="F"/>
    <m/>
    <m/>
    <s v=""/>
    <m/>
    <n v="158"/>
    <x v="82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8"/>
    <m/>
  </r>
  <r>
    <x v="93"/>
    <x v="79"/>
    <d v="2000-03-15T00:00:00"/>
    <n v="17"/>
    <x v="0"/>
    <s v="INT"/>
    <s v="F"/>
    <m/>
    <m/>
    <m/>
    <m/>
    <n v="163"/>
    <x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3"/>
    <m/>
  </r>
  <r>
    <x v="94"/>
    <x v="26"/>
    <d v="2003-10-16T00:00:00"/>
    <n v="14"/>
    <x v="12"/>
    <s v="INT"/>
    <s v="G"/>
    <m/>
    <m/>
    <m/>
    <m/>
    <m/>
    <x v="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05"/>
    <m/>
  </r>
  <r>
    <x v="95"/>
    <x v="80"/>
    <d v="2001-05-28T00:00:00"/>
    <n v="16"/>
    <x v="11"/>
    <s v="DP"/>
    <s v="F"/>
    <m/>
    <m/>
    <s v=""/>
    <m/>
    <m/>
    <x v="2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6"/>
    <s v=""/>
    <m/>
  </r>
  <r>
    <x v="96"/>
    <x v="81"/>
    <d v="2002-11-18T00:00:00"/>
    <n v="14"/>
    <x v="5"/>
    <s v="DP"/>
    <s v="G"/>
    <m/>
    <m/>
    <m/>
    <m/>
    <m/>
    <x v="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97"/>
    <x v="82"/>
    <s v="16/09/2001"/>
    <s v="16"/>
    <x v="7"/>
    <s v="INT"/>
    <s v="G"/>
    <m/>
    <m/>
    <m/>
    <m/>
    <m/>
    <x v="86"/>
    <m/>
    <m/>
    <m/>
    <m/>
    <m/>
    <m/>
    <m/>
    <m/>
    <m/>
    <m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m/>
    <m/>
    <m/>
    <m/>
    <m/>
    <m/>
    <s v="145"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5"/>
    <m/>
  </r>
  <r>
    <x v="98"/>
    <x v="39"/>
    <d v="2000-05-27T00:00:00"/>
    <n v="17"/>
    <x v="9"/>
    <s v="INT"/>
    <s v="F"/>
    <m/>
    <m/>
    <m/>
    <m/>
    <m/>
    <x v="87"/>
    <m/>
    <m/>
    <m/>
    <m/>
    <m/>
    <m/>
    <m/>
    <n v="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8"/>
    <m/>
  </r>
  <r>
    <x v="99"/>
    <x v="83"/>
    <d v="2003-09-18T00:00:00"/>
    <n v="14"/>
    <x v="12"/>
    <s v="INT"/>
    <s v="G"/>
    <m/>
    <m/>
    <s v=""/>
    <m/>
    <m/>
    <x v="88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05"/>
    <m/>
  </r>
  <r>
    <x v="100"/>
    <x v="84"/>
    <d v="2002-08-16T00:00:00"/>
    <n v="15"/>
    <x v="5"/>
    <s v="DP"/>
    <s v="G"/>
    <m/>
    <m/>
    <m/>
    <m/>
    <m/>
    <x v="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01"/>
    <x v="85"/>
    <d v="2002-09-01T00:00:00"/>
    <n v="15"/>
    <x v="5"/>
    <s v="INT"/>
    <s v="F"/>
    <m/>
    <m/>
    <m/>
    <m/>
    <n v="164"/>
    <x v="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4"/>
    <m/>
  </r>
  <r>
    <x v="102"/>
    <x v="63"/>
    <d v="2000-10-17T00:00:00"/>
    <n v="17"/>
    <x v="1"/>
    <s v="DP"/>
    <s v="F"/>
    <m/>
    <m/>
    <m/>
    <m/>
    <m/>
    <x v="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03"/>
    <x v="86"/>
    <d v="2002-04-13T00:00:00"/>
    <n v="15"/>
    <x v="2"/>
    <s v="INT"/>
    <s v="F"/>
    <m/>
    <m/>
    <s v=""/>
    <m/>
    <m/>
    <x v="92"/>
    <s v=""/>
    <s v=""/>
    <s v=""/>
    <s v=""/>
    <s v=""/>
    <s v=""/>
    <s v=""/>
    <n v="132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2"/>
    <m/>
  </r>
  <r>
    <x v="104"/>
    <x v="58"/>
    <d v="2001-11-11T00:00:00"/>
    <n v="16"/>
    <x v="14"/>
    <s v="INT"/>
    <s v="F"/>
    <m/>
    <m/>
    <m/>
    <m/>
    <n v="160"/>
    <x v="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0"/>
    <m/>
  </r>
  <r>
    <x v="105"/>
    <x v="87"/>
    <d v="2000-08-23T00:00:00"/>
    <n v="17"/>
    <x v="14"/>
    <s v="INT"/>
    <s v="G"/>
    <m/>
    <m/>
    <m/>
    <m/>
    <m/>
    <x v="9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m/>
    <m/>
    <n v="0"/>
    <n v="0"/>
    <s v="116"/>
    <m/>
  </r>
  <r>
    <x v="106"/>
    <x v="88"/>
    <d v="2000-11-06T00:00:00"/>
    <n v="17"/>
    <x v="9"/>
    <s v="DP"/>
    <s v="G"/>
    <m/>
    <m/>
    <m/>
    <m/>
    <m/>
    <x v="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07"/>
    <x v="89"/>
    <d v="2000-08-28T00:00:00"/>
    <n v="17"/>
    <x v="13"/>
    <s v="DP"/>
    <s v="F"/>
    <m/>
    <m/>
    <m/>
    <m/>
    <m/>
    <x v="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08"/>
    <x v="90"/>
    <d v="2000-01-31T00:00:00"/>
    <n v="17"/>
    <x v="14"/>
    <s v="INT"/>
    <s v="F"/>
    <m/>
    <m/>
    <m/>
    <m/>
    <n v="166"/>
    <x v="97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6"/>
    <m/>
  </r>
  <r>
    <x v="109"/>
    <x v="91"/>
    <d v="2002-10-25T00:00:00"/>
    <n v="15"/>
    <x v="5"/>
    <s v="INT"/>
    <s v="F"/>
    <m/>
    <m/>
    <m/>
    <m/>
    <n v="169"/>
    <x v="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9"/>
    <m/>
  </r>
  <r>
    <x v="110"/>
    <x v="92"/>
    <d v="2002-12-21T00:00:00"/>
    <n v="14"/>
    <x v="5"/>
    <s v="INT"/>
    <s v="G"/>
    <m/>
    <m/>
    <s v=""/>
    <m/>
    <m/>
    <x v="9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m/>
    <m/>
    <n v="0"/>
    <n v="0"/>
    <s v="111"/>
    <m/>
  </r>
  <r>
    <x v="111"/>
    <x v="93"/>
    <d v="1998-03-31T00:00:00"/>
    <n v="19"/>
    <x v="3"/>
    <s v="DP"/>
    <s v="F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12"/>
    <x v="94"/>
    <d v="2000-10-31T00:00:00"/>
    <n v="17"/>
    <x v="13"/>
    <s v="DP"/>
    <s v="F"/>
    <m/>
    <m/>
    <m/>
    <m/>
    <m/>
    <x v="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13"/>
    <x v="58"/>
    <d v="1999-12-17T00:00:00"/>
    <n v="17"/>
    <x v="3"/>
    <s v="DP"/>
    <s v="F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14"/>
    <x v="8"/>
    <s v="06/01/2000"/>
    <s v="17"/>
    <x v="0"/>
    <s v="INT"/>
    <s v="G"/>
    <m/>
    <m/>
    <m/>
    <m/>
    <m/>
    <x v="101"/>
    <m/>
    <m/>
    <m/>
    <m/>
    <m/>
    <m/>
    <m/>
    <m/>
    <m/>
    <m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1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s v="126"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m/>
    <m/>
    <n v="0"/>
    <n v="0"/>
    <s v="126"/>
    <m/>
  </r>
  <r>
    <x v="115"/>
    <x v="95"/>
    <d v="1998-07-28T00:00:00"/>
    <n v="19"/>
    <x v="10"/>
    <s v="INT"/>
    <s v="G"/>
    <m/>
    <m/>
    <m/>
    <m/>
    <m/>
    <x v="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m/>
    <m/>
    <n v="0"/>
    <n v="0"/>
    <s v="117"/>
    <m/>
  </r>
  <r>
    <x v="116"/>
    <x v="96"/>
    <d v="2002-03-01T00:00:00"/>
    <n v="15"/>
    <x v="7"/>
    <s v="DP"/>
    <s v="F"/>
    <m/>
    <m/>
    <m/>
    <m/>
    <m/>
    <x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17"/>
    <x v="97"/>
    <d v="1998-05-15T00:00:00"/>
    <n v="19"/>
    <x v="1"/>
    <s v="INT"/>
    <s v="G"/>
    <m/>
    <m/>
    <m/>
    <m/>
    <m/>
    <x v="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m/>
    <m/>
    <n v="0"/>
    <n v="0"/>
    <s v="127"/>
    <m/>
  </r>
  <r>
    <x v="118"/>
    <x v="98"/>
    <d v="2002-02-26T00:00:00"/>
    <n v="15"/>
    <x v="11"/>
    <s v="INT"/>
    <s v="F"/>
    <m/>
    <m/>
    <m/>
    <m/>
    <n v="158"/>
    <x v="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7"/>
    <s v="158"/>
    <m/>
  </r>
  <r>
    <x v="119"/>
    <x v="8"/>
    <s v="24/01/2002"/>
    <s v="15"/>
    <x v="12"/>
    <s v="INT"/>
    <s v="G"/>
    <s v=""/>
    <s v=""/>
    <s v=""/>
    <s v=""/>
    <m/>
    <x v="105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2"/>
    <b v="0"/>
    <b v="0"/>
    <b v="1"/>
    <b v="0"/>
    <b v="1"/>
    <b v="0"/>
    <b v="1"/>
    <b v="1"/>
    <b v="0"/>
    <s v=""/>
    <b v="0"/>
    <b v="0"/>
    <s v=""/>
    <b v="1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b v="0"/>
    <b v="0"/>
    <s v=""/>
    <b v="0"/>
    <b v="0"/>
    <b v="0"/>
    <b v="0"/>
    <n v="105"/>
    <s v=""/>
    <s v=""/>
    <s v=""/>
    <s v=""/>
    <s v=""/>
    <m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s v="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05"/>
    <m/>
  </r>
  <r>
    <x v="120"/>
    <x v="76"/>
    <d v="2000-08-04T00:00:00"/>
    <n v="17"/>
    <x v="10"/>
    <s v="INT"/>
    <s v="F"/>
    <m/>
    <m/>
    <s v=""/>
    <m/>
    <m/>
    <x v="106"/>
    <s v=""/>
    <s v=""/>
    <s v=""/>
    <s v=""/>
    <s v=""/>
    <s v=""/>
    <s v=""/>
    <n v="149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9"/>
    <m/>
  </r>
  <r>
    <x v="121"/>
    <x v="85"/>
    <d v="2003-06-30T00:00:00"/>
    <n v="14"/>
    <x v="12"/>
    <s v="INT"/>
    <s v="F"/>
    <m/>
    <m/>
    <m/>
    <m/>
    <n v="164"/>
    <x v="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4"/>
    <m/>
  </r>
  <r>
    <x v="122"/>
    <x v="24"/>
    <d v="2000-09-25T00:00:00"/>
    <n v="17"/>
    <x v="0"/>
    <s v="DP"/>
    <s v="G"/>
    <m/>
    <m/>
    <m/>
    <m/>
    <m/>
    <x v="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23"/>
    <x v="99"/>
    <d v="2001-12-06T00:00:00"/>
    <n v="15"/>
    <x v="8"/>
    <s v="INT"/>
    <s v="G"/>
    <m/>
    <m/>
    <s v=""/>
    <m/>
    <m/>
    <x v="10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m/>
    <m/>
    <n v="0"/>
    <n v="0"/>
    <s v="118"/>
    <m/>
  </r>
  <r>
    <x v="124"/>
    <x v="100"/>
    <d v="1998-03-10T00:00:00"/>
    <n v="19"/>
    <x v="3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25"/>
    <x v="101"/>
    <d v="2001-09-15T00:00:00"/>
    <n v="16"/>
    <x v="8"/>
    <s v="INT"/>
    <s v="F"/>
    <m/>
    <m/>
    <s v=""/>
    <m/>
    <n v="169"/>
    <x v="110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9"/>
    <m/>
  </r>
  <r>
    <x v="126"/>
    <x v="102"/>
    <d v="2001-04-28T00:00:00"/>
    <n v="16"/>
    <x v="10"/>
    <s v="INT"/>
    <s v="F"/>
    <m/>
    <m/>
    <m/>
    <m/>
    <n v="171"/>
    <x v="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1"/>
    <m/>
  </r>
  <r>
    <x v="127"/>
    <x v="103"/>
    <d v="2002-08-20T00:00:00"/>
    <n v="15"/>
    <x v="7"/>
    <s v="INT"/>
    <s v="G"/>
    <m/>
    <m/>
    <m/>
    <m/>
    <m/>
    <x v="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2"/>
    <b v="0"/>
    <b v="0"/>
    <b v="1"/>
    <b v="0"/>
    <b v="1"/>
    <b v="0"/>
    <b v="1"/>
    <b v="1"/>
    <b v="0"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2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2"/>
    <m/>
  </r>
  <r>
    <x v="128"/>
    <x v="40"/>
    <d v="2002-09-20T00:00:00"/>
    <n v="15"/>
    <x v="12"/>
    <s v="DP"/>
    <s v="F"/>
    <m/>
    <m/>
    <s v=""/>
    <m/>
    <m/>
    <x v="113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29"/>
    <x v="65"/>
    <d v="2001-08-06T00:00:00"/>
    <n v="16"/>
    <x v="10"/>
    <s v="INT"/>
    <s v="F"/>
    <m/>
    <m/>
    <m/>
    <m/>
    <m/>
    <x v="114"/>
    <m/>
    <m/>
    <m/>
    <m/>
    <m/>
    <m/>
    <m/>
    <n v="1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9"/>
    <m/>
  </r>
  <r>
    <x v="130"/>
    <x v="60"/>
    <d v="2001-07-12T00:00:00"/>
    <n v="16"/>
    <x v="7"/>
    <s v="INT"/>
    <s v="G"/>
    <m/>
    <m/>
    <m/>
    <m/>
    <m/>
    <x v="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2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2"/>
    <m/>
  </r>
  <r>
    <x v="131"/>
    <x v="104"/>
    <d v="1997-02-06T00:00:00"/>
    <n v="20"/>
    <x v="4"/>
    <s v="EXT"/>
    <s v="F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32"/>
    <x v="105"/>
    <d v="1996-11-03T00:00:00"/>
    <n v="21"/>
    <x v="3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33"/>
    <x v="106"/>
    <d v="2002-11-15T00:00:00"/>
    <n v="14"/>
    <x v="2"/>
    <s v="INT"/>
    <s v="F"/>
    <m/>
    <m/>
    <s v=""/>
    <m/>
    <m/>
    <x v="116"/>
    <s v=""/>
    <s v=""/>
    <s v=""/>
    <s v=""/>
    <s v=""/>
    <s v=""/>
    <s v=""/>
    <n v="132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2"/>
    <m/>
  </r>
  <r>
    <x v="134"/>
    <x v="107"/>
    <d v="2000-10-19T00:00:00"/>
    <n v="17"/>
    <x v="13"/>
    <s v="INT"/>
    <s v="F"/>
    <m/>
    <m/>
    <m/>
    <m/>
    <n v="179"/>
    <x v="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9"/>
    <m/>
  </r>
  <r>
    <x v="135"/>
    <x v="64"/>
    <d v="1999-02-27T00:00:00"/>
    <n v="18"/>
    <x v="3"/>
    <s v="DP"/>
    <s v="F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36"/>
    <x v="108"/>
    <d v="2002-09-19T00:00:00"/>
    <n v="15"/>
    <x v="5"/>
    <s v="INT"/>
    <s v="G"/>
    <m/>
    <m/>
    <m/>
    <m/>
    <m/>
    <x v="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m/>
    <m/>
    <n v="0"/>
    <n v="0"/>
    <s v="111"/>
    <m/>
  </r>
  <r>
    <x v="137"/>
    <x v="33"/>
    <d v="2002-05-16T00:00:00"/>
    <n v="15"/>
    <x v="5"/>
    <s v="INT"/>
    <s v="G"/>
    <m/>
    <m/>
    <m/>
    <m/>
    <m/>
    <x v="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m/>
    <m/>
    <n v="0"/>
    <n v="0"/>
    <s v="111"/>
    <m/>
  </r>
  <r>
    <x v="138"/>
    <x v="109"/>
    <s v="18/11/2002"/>
    <s v="14"/>
    <x v="12"/>
    <s v="INT"/>
    <s v="G"/>
    <m/>
    <m/>
    <s v=""/>
    <m/>
    <m/>
    <x v="120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s v="114"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4"/>
    <m/>
  </r>
  <r>
    <x v="139"/>
    <x v="110"/>
    <d v="2002-01-16T00:00:00"/>
    <n v="15"/>
    <x v="5"/>
    <s v="DP"/>
    <s v="F"/>
    <m/>
    <m/>
    <m/>
    <m/>
    <m/>
    <x v="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39"/>
    <x v="111"/>
    <d v="2000-03-16T00:00:00"/>
    <n v="17"/>
    <x v="13"/>
    <s v="DP"/>
    <s v="F"/>
    <m/>
    <m/>
    <m/>
    <m/>
    <m/>
    <x v="1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40"/>
    <x v="112"/>
    <d v="1998-12-24T00:00:00"/>
    <n v="18"/>
    <x v="4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41"/>
    <x v="113"/>
    <d v="2001-07-26T00:00:00"/>
    <n v="16"/>
    <x v="6"/>
    <s v="INT"/>
    <s v="G"/>
    <m/>
    <m/>
    <s v=""/>
    <m/>
    <m/>
    <x v="123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3"/>
    <m/>
  </r>
  <r>
    <x v="142"/>
    <x v="114"/>
    <d v="1999-01-22T00:00:00"/>
    <n v="18"/>
    <x v="13"/>
    <s v="INT"/>
    <s v="F"/>
    <m/>
    <m/>
    <m/>
    <m/>
    <n v="177"/>
    <x v="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7"/>
    <m/>
  </r>
  <r>
    <x v="143"/>
    <x v="115"/>
    <d v="2002-03-12T00:00:00"/>
    <n v="15"/>
    <x v="5"/>
    <s v="INT"/>
    <s v="F"/>
    <m/>
    <m/>
    <m/>
    <m/>
    <n v="159"/>
    <x v="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9"/>
    <m/>
  </r>
  <r>
    <x v="144"/>
    <x v="116"/>
    <d v="2001-12-20T00:00:00"/>
    <n v="15"/>
    <x v="6"/>
    <s v="INT"/>
    <s v="F"/>
    <m/>
    <m/>
    <m/>
    <m/>
    <n v="172"/>
    <x v="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2"/>
    <m/>
  </r>
  <r>
    <x v="145"/>
    <x v="117"/>
    <d v="2000-09-21T00:00:00"/>
    <n v="17"/>
    <x v="14"/>
    <s v="INT"/>
    <s v="F"/>
    <m/>
    <m/>
    <m/>
    <m/>
    <n v="167"/>
    <x v="1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7"/>
    <m/>
  </r>
  <r>
    <x v="146"/>
    <x v="118"/>
    <d v="2001-10-29T00:00:00"/>
    <n v="16"/>
    <x v="10"/>
    <s v="INT"/>
    <s v="F"/>
    <m/>
    <m/>
    <s v=""/>
    <m/>
    <n v="178"/>
    <x v="128"/>
    <s v=""/>
    <s v=""/>
    <s v=""/>
    <s v=""/>
    <s v=""/>
    <s v=""/>
    <s v=""/>
    <m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8"/>
    <m/>
  </r>
  <r>
    <x v="147"/>
    <x v="116"/>
    <d v="2002-11-08T00:00:00"/>
    <n v="15"/>
    <x v="2"/>
    <s v="INT"/>
    <s v="F"/>
    <m/>
    <m/>
    <s v=""/>
    <m/>
    <n v="168"/>
    <x v="12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8"/>
    <m/>
  </r>
  <r>
    <x v="148"/>
    <x v="119"/>
    <s v="21/01/2003"/>
    <s v="14"/>
    <x v="12"/>
    <s v="INT"/>
    <s v="G"/>
    <m/>
    <m/>
    <s v=""/>
    <m/>
    <m/>
    <x v="130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1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s v="114"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4"/>
    <m/>
  </r>
  <r>
    <x v="149"/>
    <x v="120"/>
    <d v="1997-03-14T00:00:00"/>
    <n v="20"/>
    <x v="4"/>
    <s v="EXT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50"/>
    <x v="121"/>
    <s v="07/10/2003"/>
    <s v="14"/>
    <x v="12"/>
    <s v="INT"/>
    <s v="G"/>
    <m/>
    <m/>
    <s v=""/>
    <m/>
    <m/>
    <x v="131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s v="114"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4"/>
    <m/>
  </r>
  <r>
    <x v="151"/>
    <x v="122"/>
    <d v="1999-06-28T00:00:00"/>
    <n v="18"/>
    <x v="3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52"/>
    <x v="60"/>
    <d v="2000-10-03T00:00:00"/>
    <n v="17"/>
    <x v="9"/>
    <s v="DP"/>
    <s v="G"/>
    <m/>
    <m/>
    <m/>
    <m/>
    <m/>
    <x v="1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53"/>
    <x v="71"/>
    <d v="2001-01-15T00:00:00"/>
    <n v="16"/>
    <x v="11"/>
    <s v="INT"/>
    <s v="F"/>
    <m/>
    <m/>
    <s v=""/>
    <m/>
    <n v="178"/>
    <x v="133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8"/>
    <s v="178"/>
    <m/>
  </r>
  <r>
    <x v="154"/>
    <x v="123"/>
    <d v="1998-01-11T00:00:00"/>
    <n v="19"/>
    <x v="3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55"/>
    <x v="8"/>
    <d v="2002-10-12T00:00:00"/>
    <n v="15"/>
    <x v="11"/>
    <s v="INT"/>
    <s v="G"/>
    <m/>
    <m/>
    <m/>
    <m/>
    <m/>
    <x v="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9"/>
    <s v="104"/>
    <m/>
  </r>
  <r>
    <x v="156"/>
    <x v="124"/>
    <d v="1997-04-16T00:00:00"/>
    <n v="20"/>
    <x v="4"/>
    <s v="EXT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57"/>
    <x v="39"/>
    <d v="2002-04-01T00:00:00"/>
    <n v="15"/>
    <x v="7"/>
    <s v="INT"/>
    <s v="F"/>
    <m/>
    <m/>
    <m/>
    <m/>
    <n v="159"/>
    <x v="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9"/>
    <m/>
  </r>
  <r>
    <x v="158"/>
    <x v="80"/>
    <d v="2001-10-23T00:00:00"/>
    <n v="16"/>
    <x v="10"/>
    <s v="INT"/>
    <s v="F"/>
    <m/>
    <m/>
    <m/>
    <m/>
    <m/>
    <x v="136"/>
    <m/>
    <m/>
    <m/>
    <m/>
    <m/>
    <m/>
    <m/>
    <n v="1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9"/>
    <m/>
  </r>
  <r>
    <x v="159"/>
    <x v="125"/>
    <d v="1996-11-13T00:00:00"/>
    <n v="20"/>
    <x v="4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60"/>
    <x v="126"/>
    <d v="2001-08-09T00:00:00"/>
    <n v="16"/>
    <x v="8"/>
    <s v="DP"/>
    <s v="G"/>
    <m/>
    <m/>
    <m/>
    <m/>
    <m/>
    <x v="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61"/>
    <x v="112"/>
    <d v="2002-10-15T00:00:00"/>
    <n v="15"/>
    <x v="5"/>
    <s v="INT"/>
    <s v="F"/>
    <m/>
    <m/>
    <s v=""/>
    <m/>
    <n v="159"/>
    <x v="138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2"/>
    <b v="0"/>
    <b v="0"/>
    <b v="1"/>
    <b v="0"/>
    <b v="1"/>
    <b v="0"/>
    <b v="1"/>
    <b v="1"/>
    <b v="0"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9"/>
    <m/>
  </r>
  <r>
    <x v="162"/>
    <x v="58"/>
    <d v="1998-06-02T00:00:00"/>
    <n v="19"/>
    <x v="4"/>
    <s v="EXT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63"/>
    <x v="107"/>
    <d v="2002-06-21T00:00:00"/>
    <n v="15"/>
    <x v="2"/>
    <s v="DP"/>
    <s v="F"/>
    <m/>
    <m/>
    <m/>
    <m/>
    <m/>
    <x v="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64"/>
    <x v="45"/>
    <d v="2001-06-19T00:00:00"/>
    <n v="16"/>
    <x v="8"/>
    <s v="INT"/>
    <s v="G"/>
    <m/>
    <m/>
    <s v=""/>
    <m/>
    <m/>
    <x v="140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m/>
    <m/>
    <n v="0"/>
    <n v="0"/>
    <s v="118"/>
    <m/>
  </r>
  <r>
    <x v="165"/>
    <x v="127"/>
    <d v="2001-09-30T00:00:00"/>
    <n v="16"/>
    <x v="8"/>
    <s v="INT"/>
    <s v="G"/>
    <m/>
    <m/>
    <m/>
    <m/>
    <m/>
    <x v="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m/>
    <m/>
    <n v="0"/>
    <n v="0"/>
    <s v="118"/>
    <m/>
  </r>
  <r>
    <x v="166"/>
    <x v="128"/>
    <s v="29/09/2000"/>
    <s v="17"/>
    <x v="0"/>
    <s v="INT"/>
    <s v="G"/>
    <m/>
    <m/>
    <m/>
    <m/>
    <m/>
    <x v="142"/>
    <m/>
    <m/>
    <m/>
    <m/>
    <m/>
    <m/>
    <m/>
    <m/>
    <m/>
    <m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1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s v="126"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m/>
    <m/>
    <n v="0"/>
    <n v="0"/>
    <s v="126"/>
    <m/>
  </r>
  <r>
    <x v="167"/>
    <x v="4"/>
    <d v="2000-10-18T00:00:00"/>
    <n v="17"/>
    <x v="1"/>
    <s v="INT"/>
    <s v="G"/>
    <m/>
    <m/>
    <m/>
    <m/>
    <m/>
    <x v="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m/>
    <m/>
    <n v="0"/>
    <n v="0"/>
    <s v="117"/>
    <m/>
  </r>
  <r>
    <x v="168"/>
    <x v="92"/>
    <d v="2002-07-14T00:00:00"/>
    <n v="15"/>
    <x v="7"/>
    <s v="INT"/>
    <s v="G"/>
    <m/>
    <m/>
    <m/>
    <m/>
    <m/>
    <x v="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2"/>
    <m/>
  </r>
  <r>
    <x v="169"/>
    <x v="30"/>
    <d v="2001-09-10T00:00:00"/>
    <n v="16"/>
    <x v="11"/>
    <s v="INT"/>
    <s v="G"/>
    <m/>
    <m/>
    <s v=""/>
    <m/>
    <m/>
    <x v="145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m/>
    <m/>
    <n v="1"/>
    <n v="10"/>
    <s v="110"/>
    <m/>
  </r>
  <r>
    <x v="170"/>
    <x v="129"/>
    <d v="1999-07-27T00:00:00"/>
    <n v="18"/>
    <x v="3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71"/>
    <x v="130"/>
    <d v="1998-08-30T00:00:00"/>
    <n v="19"/>
    <x v="4"/>
    <s v="EXT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72"/>
    <x v="91"/>
    <d v="2001-11-03T00:00:00"/>
    <n v="16"/>
    <x v="2"/>
    <s v="INT"/>
    <s v="F"/>
    <m/>
    <m/>
    <m/>
    <m/>
    <n v="168"/>
    <x v="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8"/>
    <m/>
  </r>
  <r>
    <x v="173"/>
    <x v="33"/>
    <d v="2000-08-29T00:00:00"/>
    <n v="17"/>
    <x v="6"/>
    <s v="INT"/>
    <s v="G"/>
    <m/>
    <m/>
    <m/>
    <m/>
    <m/>
    <x v="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06"/>
    <m/>
  </r>
  <r>
    <x v="174"/>
    <x v="131"/>
    <d v="2003-02-20T00:00:00"/>
    <n v="14"/>
    <x v="12"/>
    <s v="INT"/>
    <s v="F"/>
    <m/>
    <m/>
    <s v=""/>
    <m/>
    <n v="167"/>
    <x v="148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7"/>
    <m/>
  </r>
  <r>
    <x v="175"/>
    <x v="132"/>
    <d v="2001-09-24T00:00:00"/>
    <n v="16"/>
    <x v="11"/>
    <s v="INT"/>
    <s v="F"/>
    <m/>
    <m/>
    <s v=""/>
    <m/>
    <m/>
    <x v="149"/>
    <s v=""/>
    <s v=""/>
    <s v=""/>
    <s v=""/>
    <s v=""/>
    <s v=""/>
    <s v=""/>
    <n v="141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11"/>
    <s v="141"/>
    <m/>
  </r>
  <r>
    <x v="176"/>
    <x v="133"/>
    <d v="1998-10-07T00:00:00"/>
    <n v="19"/>
    <x v="4"/>
    <s v="EXT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77"/>
    <x v="134"/>
    <d v="2006-12-29T00:00:00"/>
    <n v="10"/>
    <x v="5"/>
    <s v="DP"/>
    <s v="G"/>
    <m/>
    <m/>
    <s v=""/>
    <m/>
    <m/>
    <x v="150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78"/>
    <x v="119"/>
    <d v="2001-09-13T00:00:00"/>
    <n v="16"/>
    <x v="2"/>
    <s v="INT"/>
    <s v="G"/>
    <m/>
    <m/>
    <m/>
    <m/>
    <m/>
    <x v="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5"/>
    <m/>
  </r>
  <r>
    <x v="179"/>
    <x v="4"/>
    <d v="2000-04-20T00:00:00"/>
    <n v="17"/>
    <x v="14"/>
    <s v="INT"/>
    <s v="G"/>
    <m/>
    <m/>
    <m/>
    <m/>
    <m/>
    <x v="1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m/>
    <m/>
    <n v="0"/>
    <n v="0"/>
    <s v="116"/>
    <m/>
  </r>
  <r>
    <x v="180"/>
    <x v="135"/>
    <d v="1999-05-30T00:00:00"/>
    <n v="18"/>
    <x v="3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81"/>
    <x v="8"/>
    <d v="2000-06-27T00:00:00"/>
    <n v="17"/>
    <x v="13"/>
    <s v="INT"/>
    <s v="G"/>
    <m/>
    <m/>
    <m/>
    <m/>
    <m/>
    <x v="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m/>
    <m/>
    <n v="0"/>
    <n v="0"/>
    <s v="124"/>
    <m/>
  </r>
  <r>
    <x v="182"/>
    <x v="136"/>
    <d v="2000-09-11T00:00:00"/>
    <n v="17"/>
    <x v="10"/>
    <s v="DP"/>
    <s v="F"/>
    <m/>
    <m/>
    <m/>
    <m/>
    <m/>
    <x v="1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83"/>
    <x v="137"/>
    <d v="1995-10-08T00:00:00"/>
    <n v="22"/>
    <x v="4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84"/>
    <x v="138"/>
    <d v="2001-10-24T00:00:00"/>
    <n v="16"/>
    <x v="10"/>
    <s v="INT"/>
    <s v="G"/>
    <m/>
    <m/>
    <s v=""/>
    <m/>
    <m/>
    <x v="155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m/>
    <m/>
    <n v="0"/>
    <n v="0"/>
    <s v="116"/>
    <m/>
  </r>
  <r>
    <x v="185"/>
    <x v="139"/>
    <d v="2000-01-16T00:00:00"/>
    <n v="17"/>
    <x v="9"/>
    <s v="INT"/>
    <s v="G"/>
    <m/>
    <m/>
    <m/>
    <m/>
    <m/>
    <x v="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4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4"/>
    <m/>
  </r>
  <r>
    <x v="186"/>
    <x v="92"/>
    <s v="21/09/2001"/>
    <s v="16"/>
    <x v="6"/>
    <s v="INT"/>
    <s v="G"/>
    <m/>
    <m/>
    <m/>
    <m/>
    <m/>
    <x v="157"/>
    <m/>
    <m/>
    <m/>
    <m/>
    <m/>
    <m/>
    <m/>
    <m/>
    <m/>
    <m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m/>
    <m/>
    <m/>
    <m/>
    <m/>
    <m/>
    <s v="145"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5"/>
    <m/>
  </r>
  <r>
    <x v="186"/>
    <x v="77"/>
    <d v="2002-01-03T00:00:00"/>
    <n v="15"/>
    <x v="5"/>
    <s v="INT"/>
    <s v="F"/>
    <m/>
    <m/>
    <s v=""/>
    <m/>
    <n v="166"/>
    <x v="158"/>
    <m/>
    <m/>
    <m/>
    <m/>
    <m/>
    <m/>
    <m/>
    <m/>
    <m/>
    <m/>
    <m/>
    <m/>
    <m/>
    <m/>
    <m/>
    <m/>
    <s v=""/>
    <m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6"/>
    <m/>
  </r>
  <r>
    <x v="186"/>
    <x v="10"/>
    <d v="1999-11-01T00:00:00"/>
    <n v="18"/>
    <x v="13"/>
    <s v="INT"/>
    <s v="G"/>
    <m/>
    <m/>
    <m/>
    <m/>
    <m/>
    <x v="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3"/>
    <m/>
  </r>
  <r>
    <x v="187"/>
    <x v="140"/>
    <d v="2000-10-24T00:00:00"/>
    <n v="17"/>
    <x v="8"/>
    <s v="INT"/>
    <s v="F"/>
    <m/>
    <m/>
    <s v=""/>
    <m/>
    <m/>
    <x v="160"/>
    <s v=""/>
    <s v=""/>
    <s v=""/>
    <s v=""/>
    <s v=""/>
    <s v=""/>
    <s v=""/>
    <n v="148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8"/>
    <m/>
  </r>
  <r>
    <x v="188"/>
    <x v="63"/>
    <d v="2001-05-11T00:00:00"/>
    <n v="16"/>
    <x v="11"/>
    <s v="INT"/>
    <s v="F"/>
    <m/>
    <m/>
    <m/>
    <m/>
    <n v="158"/>
    <x v="1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12"/>
    <s v="158"/>
    <m/>
  </r>
  <r>
    <x v="189"/>
    <x v="141"/>
    <d v="2002-01-01T00:00:00"/>
    <n v="15"/>
    <x v="2"/>
    <s v="INT"/>
    <s v="F"/>
    <m/>
    <m/>
    <s v=""/>
    <m/>
    <n v="168"/>
    <x v="162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8"/>
    <m/>
  </r>
  <r>
    <x v="189"/>
    <x v="142"/>
    <d v="2000-11-21T00:00:00"/>
    <n v="16"/>
    <x v="7"/>
    <s v="DP"/>
    <s v="F"/>
    <m/>
    <m/>
    <s v=""/>
    <m/>
    <m/>
    <x v="163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89"/>
    <x v="4"/>
    <d v="2000-08-01T00:00:00"/>
    <n v="17"/>
    <x v="9"/>
    <s v="INT"/>
    <s v="G"/>
    <m/>
    <m/>
    <m/>
    <m/>
    <m/>
    <x v="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06"/>
    <m/>
  </r>
  <r>
    <x v="190"/>
    <x v="55"/>
    <d v="2002-12-05T00:00:00"/>
    <n v="14"/>
    <x v="7"/>
    <s v="DP"/>
    <s v="G"/>
    <m/>
    <m/>
    <m/>
    <m/>
    <m/>
    <x v="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91"/>
    <x v="116"/>
    <d v="1997-08-20T00:00:00"/>
    <n v="20"/>
    <x v="14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92"/>
    <x v="143"/>
    <d v="2001-12-08T00:00:00"/>
    <n v="15"/>
    <x v="6"/>
    <s v="INT"/>
    <s v="G"/>
    <m/>
    <m/>
    <m/>
    <m/>
    <m/>
    <x v="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3"/>
    <m/>
  </r>
  <r>
    <x v="193"/>
    <x v="144"/>
    <d v="2001-12-24T00:00:00"/>
    <n v="15"/>
    <x v="8"/>
    <s v="INT"/>
    <s v="F"/>
    <m/>
    <m/>
    <s v=""/>
    <m/>
    <n v="170"/>
    <x v="167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0"/>
    <m/>
  </r>
  <r>
    <x v="194"/>
    <x v="145"/>
    <d v="2000-02-29T00:00:00"/>
    <n v="17"/>
    <x v="7"/>
    <s v="INT"/>
    <s v="G"/>
    <m/>
    <m/>
    <m/>
    <m/>
    <m/>
    <x v="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9"/>
    <m/>
  </r>
  <r>
    <x v="195"/>
    <x v="18"/>
    <d v="2001-12-29T00:00:00"/>
    <n v="15"/>
    <x v="6"/>
    <s v="INT"/>
    <s v="F"/>
    <m/>
    <m/>
    <m/>
    <m/>
    <m/>
    <x v="169"/>
    <m/>
    <m/>
    <m/>
    <m/>
    <m/>
    <m/>
    <m/>
    <n v="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4"/>
    <m/>
  </r>
  <r>
    <x v="196"/>
    <x v="121"/>
    <d v="2000-03-06T00:00:00"/>
    <n v="17"/>
    <x v="13"/>
    <s v="INT"/>
    <s v="G"/>
    <m/>
    <m/>
    <m/>
    <m/>
    <m/>
    <x v="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m/>
    <m/>
    <n v="0"/>
    <n v="0"/>
    <s v="124"/>
    <m/>
  </r>
  <r>
    <x v="197"/>
    <x v="146"/>
    <d v="2002-06-03T00:00:00"/>
    <n v="15"/>
    <x v="2"/>
    <s v="INT"/>
    <s v="G"/>
    <m/>
    <m/>
    <s v=""/>
    <m/>
    <m/>
    <x v="171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2"/>
    <b v="0"/>
    <b v="0"/>
    <b v="1"/>
    <b v="0"/>
    <b v="1"/>
    <b v="0"/>
    <b v="1"/>
    <b v="1"/>
    <b v="0"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5"/>
    <m/>
  </r>
  <r>
    <x v="198"/>
    <x v="147"/>
    <d v="1999-12-12T00:00:00"/>
    <n v="17"/>
    <x v="14"/>
    <s v="DP"/>
    <s v="G"/>
    <m/>
    <m/>
    <m/>
    <m/>
    <m/>
    <x v="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199"/>
    <x v="123"/>
    <d v="1998-09-07T00:00:00"/>
    <n v="19"/>
    <x v="4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00"/>
    <x v="148"/>
    <d v="2002-11-30T00:00:00"/>
    <n v="14"/>
    <x v="7"/>
    <s v="INT"/>
    <s v="G"/>
    <m/>
    <m/>
    <m/>
    <m/>
    <m/>
    <x v="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2"/>
    <m/>
  </r>
  <r>
    <x v="200"/>
    <x v="149"/>
    <d v="1999-09-28T00:00:00"/>
    <n v="18"/>
    <x v="13"/>
    <s v="INT"/>
    <s v="F"/>
    <m/>
    <m/>
    <m/>
    <m/>
    <n v="180"/>
    <x v="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1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80"/>
    <m/>
  </r>
  <r>
    <x v="201"/>
    <x v="112"/>
    <d v="2001-01-08T00:00:00"/>
    <n v="16"/>
    <x v="11"/>
    <s v="INT"/>
    <s v="F"/>
    <m/>
    <m/>
    <m/>
    <m/>
    <m/>
    <x v="175"/>
    <m/>
    <m/>
    <m/>
    <m/>
    <m/>
    <m/>
    <m/>
    <n v="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13"/>
    <s v="141"/>
    <m/>
  </r>
  <r>
    <x v="202"/>
    <x v="121"/>
    <d v="1999-06-12T00:00:00"/>
    <n v="18"/>
    <x v="0"/>
    <s v="DP"/>
    <s v="G"/>
    <m/>
    <m/>
    <m/>
    <m/>
    <m/>
    <x v="1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03"/>
    <x v="150"/>
    <d v="2000-07-13T00:00:00"/>
    <n v="17"/>
    <x v="14"/>
    <s v="INT"/>
    <s v="F"/>
    <m/>
    <m/>
    <m/>
    <m/>
    <n v="180"/>
    <x v="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80"/>
    <m/>
  </r>
  <r>
    <x v="204"/>
    <x v="151"/>
    <d v="2001-05-08T00:00:00"/>
    <n v="16"/>
    <x v="8"/>
    <s v="INT"/>
    <s v="F"/>
    <m/>
    <m/>
    <s v=""/>
    <m/>
    <n v="170"/>
    <x v="178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0"/>
    <m/>
  </r>
  <r>
    <x v="205"/>
    <x v="58"/>
    <d v="2001-12-12T00:00:00"/>
    <n v="15"/>
    <x v="14"/>
    <s v="INT"/>
    <s v="F"/>
    <m/>
    <m/>
    <m/>
    <m/>
    <n v="160"/>
    <x v="17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0"/>
    <m/>
  </r>
  <r>
    <x v="206"/>
    <x v="152"/>
    <d v="1999-07-22T00:00:00"/>
    <n v="18"/>
    <x v="3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07"/>
    <x v="153"/>
    <d v="1998-08-02T00:00:00"/>
    <n v="19"/>
    <x v="4"/>
    <s v="DP"/>
    <s v="G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08"/>
    <x v="58"/>
    <d v="2001-11-04T00:00:00"/>
    <n v="16"/>
    <x v="8"/>
    <s v="INT"/>
    <s v="F"/>
    <m/>
    <m/>
    <m/>
    <m/>
    <n v="179"/>
    <x v="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9"/>
    <m/>
  </r>
  <r>
    <x v="209"/>
    <x v="139"/>
    <d v="2002-12-10T00:00:00"/>
    <n v="14"/>
    <x v="5"/>
    <s v="DP"/>
    <s v="G"/>
    <m/>
    <m/>
    <s v=""/>
    <m/>
    <m/>
    <x v="181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09"/>
    <x v="154"/>
    <d v="2002-04-25T00:00:00"/>
    <n v="15"/>
    <x v="5"/>
    <s v="DP"/>
    <s v="F"/>
    <m/>
    <m/>
    <m/>
    <m/>
    <m/>
    <x v="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10"/>
    <x v="121"/>
    <d v="2000-04-07T00:00:00"/>
    <n v="17"/>
    <x v="8"/>
    <s v="DP"/>
    <s v="G"/>
    <m/>
    <m/>
    <m/>
    <m/>
    <m/>
    <x v="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11"/>
    <x v="155"/>
    <d v="1996-12-06T00:00:00"/>
    <n v="20"/>
    <x v="4"/>
    <s v="EXT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12"/>
    <x v="156"/>
    <d v="2000-03-09T00:00:00"/>
    <n v="17"/>
    <x v="0"/>
    <s v="INT"/>
    <s v="F"/>
    <m/>
    <m/>
    <m/>
    <m/>
    <n v="163"/>
    <x v="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3"/>
    <m/>
  </r>
  <r>
    <x v="213"/>
    <x v="157"/>
    <d v="1999-11-02T00:00:00"/>
    <n v="18"/>
    <x v="1"/>
    <s v="INT"/>
    <s v="F"/>
    <m/>
    <m/>
    <m/>
    <m/>
    <n v="163"/>
    <x v="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3"/>
    <m/>
  </r>
  <r>
    <x v="214"/>
    <x v="101"/>
    <d v="2001-01-10T00:00:00"/>
    <n v="16"/>
    <x v="10"/>
    <s v="INT"/>
    <s v="F"/>
    <m/>
    <m/>
    <s v=""/>
    <m/>
    <n v="166"/>
    <x v="186"/>
    <s v=""/>
    <s v=""/>
    <s v=""/>
    <s v=""/>
    <s v=""/>
    <s v=""/>
    <s v=""/>
    <m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6"/>
    <m/>
  </r>
  <r>
    <x v="215"/>
    <x v="158"/>
    <d v="2001-11-16T00:00:00"/>
    <n v="15"/>
    <x v="6"/>
    <s v="INT"/>
    <s v="F"/>
    <m/>
    <m/>
    <s v=""/>
    <m/>
    <m/>
    <x v="187"/>
    <s v=""/>
    <s v=""/>
    <s v=""/>
    <s v=""/>
    <s v=""/>
    <s v=""/>
    <s v=""/>
    <n v="134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4"/>
    <m/>
  </r>
  <r>
    <x v="216"/>
    <x v="159"/>
    <d v="1995-03-18T00:00:00"/>
    <n v="22"/>
    <x v="4"/>
    <s v="EXT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17"/>
    <x v="107"/>
    <d v="1999-04-14T00:00:00"/>
    <n v="18"/>
    <x v="13"/>
    <s v="DP"/>
    <s v="F"/>
    <m/>
    <m/>
    <m/>
    <m/>
    <m/>
    <x v="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18"/>
    <x v="119"/>
    <d v="2001-09-27T00:00:00"/>
    <n v="16"/>
    <x v="6"/>
    <s v="INT"/>
    <s v="G"/>
    <m/>
    <m/>
    <m/>
    <m/>
    <m/>
    <x v="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3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3"/>
    <m/>
  </r>
  <r>
    <x v="219"/>
    <x v="160"/>
    <d v="1999-10-25T00:00:00"/>
    <n v="18"/>
    <x v="3"/>
    <s v="DP"/>
    <s v="F"/>
    <m/>
    <m/>
    <s v=""/>
    <m/>
    <m/>
    <x v="4"/>
    <m/>
    <m/>
    <m/>
    <m/>
    <m/>
    <m/>
    <m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20"/>
    <x v="127"/>
    <d v="2002-09-13T00:00:00"/>
    <n v="15"/>
    <x v="7"/>
    <s v="INT"/>
    <s v="G"/>
    <m/>
    <m/>
    <m/>
    <m/>
    <m/>
    <x v="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2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2"/>
    <m/>
  </r>
  <r>
    <x v="221"/>
    <x v="161"/>
    <d v="2001-07-09T00:00:00"/>
    <n v="16"/>
    <x v="6"/>
    <s v="INT"/>
    <s v="F"/>
    <m/>
    <m/>
    <m/>
    <m/>
    <m/>
    <x v="191"/>
    <m/>
    <m/>
    <m/>
    <m/>
    <m/>
    <m/>
    <m/>
    <n v="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2"/>
    <m/>
  </r>
  <r>
    <x v="222"/>
    <x v="162"/>
    <d v="2000-09-14T00:00:00"/>
    <n v="17"/>
    <x v="6"/>
    <s v="INT"/>
    <s v="F"/>
    <m/>
    <m/>
    <m/>
    <m/>
    <n v="172"/>
    <x v="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2"/>
    <m/>
  </r>
  <r>
    <x v="223"/>
    <x v="127"/>
    <d v="2000-05-16T00:00:00"/>
    <n v="17"/>
    <x v="9"/>
    <s v="INT"/>
    <s v="G"/>
    <m/>
    <m/>
    <m/>
    <m/>
    <m/>
    <x v="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4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54"/>
    <m/>
  </r>
  <r>
    <x v="224"/>
    <x v="163"/>
    <s v="09/01/2001"/>
    <s v="16"/>
    <x v="6"/>
    <s v="INT"/>
    <s v="G"/>
    <m/>
    <m/>
    <m/>
    <m/>
    <m/>
    <x v="194"/>
    <m/>
    <m/>
    <m/>
    <m/>
    <m/>
    <m/>
    <m/>
    <m/>
    <m/>
    <m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m/>
    <m/>
    <m/>
    <m/>
    <m/>
    <m/>
    <s v="145"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5"/>
    <m/>
  </r>
  <r>
    <x v="225"/>
    <x v="164"/>
    <d v="1999-11-14T00:00:00"/>
    <n v="17"/>
    <x v="0"/>
    <s v="INT"/>
    <s v="F"/>
    <m/>
    <m/>
    <m/>
    <m/>
    <n v="171"/>
    <x v="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1"/>
    <m/>
  </r>
  <r>
    <x v="226"/>
    <x v="165"/>
    <d v="2000-01-13T00:00:00"/>
    <n v="17"/>
    <x v="1"/>
    <s v="INT"/>
    <s v="F"/>
    <m/>
    <m/>
    <m/>
    <m/>
    <m/>
    <x v="196"/>
    <m/>
    <m/>
    <m/>
    <m/>
    <m/>
    <m/>
    <m/>
    <n v="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4"/>
    <m/>
  </r>
  <r>
    <x v="227"/>
    <x v="20"/>
    <d v="2000-05-03T00:00:00"/>
    <n v="17"/>
    <x v="1"/>
    <s v="INT"/>
    <s v="G"/>
    <m/>
    <m/>
    <m/>
    <m/>
    <m/>
    <x v="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m/>
    <m/>
    <n v="0"/>
    <n v="0"/>
    <s v="117"/>
    <m/>
  </r>
  <r>
    <x v="228"/>
    <x v="166"/>
    <s v="09/09/1999"/>
    <s v="18"/>
    <x v="6"/>
    <s v="INT"/>
    <s v="G"/>
    <m/>
    <m/>
    <m/>
    <m/>
    <m/>
    <x v="198"/>
    <m/>
    <m/>
    <m/>
    <m/>
    <m/>
    <m/>
    <m/>
    <m/>
    <m/>
    <m/>
    <m/>
    <m/>
    <m/>
    <m/>
    <m/>
    <m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0"/>
    <b v="1"/>
    <b v="0"/>
    <b v="0"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m/>
    <b v="0"/>
    <b v="0"/>
    <b v="0"/>
    <b v="0"/>
    <m/>
    <b v="0"/>
    <b v="0"/>
    <b v="0"/>
    <b v="0"/>
    <m/>
    <m/>
    <m/>
    <m/>
    <m/>
    <m/>
    <s v="145"/>
    <m/>
    <m/>
    <m/>
    <m/>
    <m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5"/>
    <m/>
  </r>
  <r>
    <x v="229"/>
    <x v="75"/>
    <d v="2000-08-30T00:00:00"/>
    <n v="17"/>
    <x v="13"/>
    <s v="INT"/>
    <s v="G"/>
    <m/>
    <m/>
    <m/>
    <m/>
    <m/>
    <x v="199"/>
    <m/>
    <m/>
    <m/>
    <m/>
    <m/>
    <m/>
    <m/>
    <n v="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8"/>
    <m/>
  </r>
  <r>
    <x v="230"/>
    <x v="167"/>
    <d v="1998-12-15T00:00:00"/>
    <n v="18"/>
    <x v="13"/>
    <s v="INT"/>
    <s v="F"/>
    <m/>
    <m/>
    <m/>
    <m/>
    <n v="177"/>
    <x v="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7"/>
    <m/>
  </r>
  <r>
    <x v="231"/>
    <x v="168"/>
    <s v="01/11/2002"/>
    <s v="15"/>
    <x v="7"/>
    <s v="INT"/>
    <s v="G"/>
    <s v=""/>
    <s v=""/>
    <s v=""/>
    <s v=""/>
    <m/>
    <x v="201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x v="0"/>
    <b v="1"/>
    <b v="1"/>
    <b v="0"/>
    <b v="1"/>
    <b v="0"/>
    <b v="0"/>
    <b v="0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s v=""/>
    <b v="0"/>
    <b v="0"/>
    <b v="0"/>
    <b v="0"/>
    <s v=""/>
    <b v="0"/>
    <b v="0"/>
    <b v="0"/>
    <b v="0"/>
    <n v="119"/>
    <s v=""/>
    <s v=""/>
    <s v=""/>
    <s v=""/>
    <s v=""/>
    <m/>
    <s v=""/>
    <s v=""/>
    <s v=""/>
    <s v=""/>
    <s v="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b v="0"/>
    <s v="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9"/>
    <m/>
  </r>
  <r>
    <x v="232"/>
    <x v="169"/>
    <d v="2000-09-24T00:00:00"/>
    <n v="17"/>
    <x v="9"/>
    <s v="DP"/>
    <s v="G"/>
    <m/>
    <m/>
    <m/>
    <m/>
    <m/>
    <x v="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33"/>
    <x v="58"/>
    <d v="2000-03-10T00:00:00"/>
    <n v="17"/>
    <x v="0"/>
    <s v="EXT"/>
    <s v="F"/>
    <m/>
    <m/>
    <m/>
    <m/>
    <m/>
    <x v="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34"/>
    <x v="170"/>
    <d v="1999-08-26T00:00:00"/>
    <n v="18"/>
    <x v="3"/>
    <s v="DP"/>
    <s v="F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35"/>
    <x v="108"/>
    <d v="1999-04-30T00:00:00"/>
    <n v="18"/>
    <x v="9"/>
    <s v="DP"/>
    <s v="G"/>
    <m/>
    <m/>
    <m/>
    <m/>
    <m/>
    <x v="2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36"/>
    <x v="171"/>
    <d v="2001-02-23T00:00:00"/>
    <n v="16"/>
    <x v="13"/>
    <s v="INT"/>
    <s v="G"/>
    <m/>
    <m/>
    <m/>
    <m/>
    <m/>
    <x v="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m/>
    <m/>
    <n v="0"/>
    <n v="0"/>
    <s v="127"/>
    <m/>
  </r>
  <r>
    <x v="237"/>
    <x v="9"/>
    <d v="2001-06-11T00:00:00"/>
    <n v="16"/>
    <x v="14"/>
    <s v="DP"/>
    <s v="G"/>
    <m/>
    <m/>
    <m/>
    <m/>
    <m/>
    <x v="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38"/>
    <x v="55"/>
    <d v="2000-09-20T00:00:00"/>
    <n v="17"/>
    <x v="9"/>
    <s v="INT"/>
    <s v="G"/>
    <m/>
    <m/>
    <m/>
    <m/>
    <m/>
    <x v="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06"/>
    <m/>
  </r>
  <r>
    <x v="239"/>
    <x v="172"/>
    <d v="2001-02-01T00:00:00"/>
    <n v="16"/>
    <x v="14"/>
    <s v="INT"/>
    <s v="F"/>
    <m/>
    <m/>
    <m/>
    <m/>
    <n v="160"/>
    <x v="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0"/>
    <m/>
  </r>
  <r>
    <x v="240"/>
    <x v="173"/>
    <d v="2001-07-17T00:00:00"/>
    <n v="16"/>
    <x v="10"/>
    <s v="DP"/>
    <s v="G"/>
    <m/>
    <m/>
    <s v=""/>
    <m/>
    <m/>
    <x v="20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41"/>
    <x v="174"/>
    <d v="2001-06-29T00:00:00"/>
    <n v="16"/>
    <x v="8"/>
    <s v="INT"/>
    <s v="F"/>
    <m/>
    <m/>
    <m/>
    <m/>
    <n v="170"/>
    <x v="2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1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70"/>
    <m/>
  </r>
  <r>
    <x v="242"/>
    <x v="175"/>
    <d v="2000-10-05T00:00:00"/>
    <n v="17"/>
    <x v="6"/>
    <s v="INT"/>
    <s v="G"/>
    <m/>
    <m/>
    <m/>
    <m/>
    <m/>
    <x v="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46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6"/>
    <m/>
  </r>
  <r>
    <x v="243"/>
    <x v="176"/>
    <d v="2000-05-21T00:00:00"/>
    <n v="17"/>
    <x v="14"/>
    <s v="INT"/>
    <s v="F"/>
    <m/>
    <m/>
    <m/>
    <m/>
    <n v="166"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1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6"/>
    <m/>
  </r>
  <r>
    <x v="244"/>
    <x v="133"/>
    <d v="2000-09-07T00:00:00"/>
    <n v="17"/>
    <x v="13"/>
    <s v="INT"/>
    <s v="F"/>
    <m/>
    <m/>
    <m/>
    <m/>
    <n v="180"/>
    <x v="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80"/>
    <m/>
  </r>
  <r>
    <x v="245"/>
    <x v="118"/>
    <d v="2000-07-22T00:00:00"/>
    <n v="17"/>
    <x v="1"/>
    <s v="INT"/>
    <s v="F"/>
    <m/>
    <m/>
    <m/>
    <m/>
    <m/>
    <x v="213"/>
    <m/>
    <m/>
    <m/>
    <m/>
    <m/>
    <m/>
    <m/>
    <n v="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4"/>
    <m/>
  </r>
  <r>
    <x v="246"/>
    <x v="177"/>
    <d v="2000-11-04T00:00:00"/>
    <n v="17"/>
    <x v="9"/>
    <s v="DP"/>
    <s v="F"/>
    <m/>
    <m/>
    <m/>
    <m/>
    <m/>
    <x v="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47"/>
    <x v="178"/>
    <d v="2003-11-10T00:00:00"/>
    <n v="14"/>
    <x v="12"/>
    <s v="DP"/>
    <s v="G"/>
    <m/>
    <m/>
    <s v=""/>
    <m/>
    <m/>
    <x v="215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48"/>
    <x v="179"/>
    <d v="2001-04-01T00:00:00"/>
    <n v="16"/>
    <x v="11"/>
    <s v="DP"/>
    <s v="F"/>
    <m/>
    <m/>
    <m/>
    <m/>
    <m/>
    <x v="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14"/>
    <s v=""/>
    <m/>
  </r>
  <r>
    <x v="249"/>
    <x v="180"/>
    <d v="2002-11-19T00:00:00"/>
    <n v="14"/>
    <x v="7"/>
    <s v="INT"/>
    <s v="G"/>
    <m/>
    <m/>
    <s v=""/>
    <m/>
    <m/>
    <x v="217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19"/>
    <m/>
  </r>
  <r>
    <x v="250"/>
    <x v="176"/>
    <d v="1999-03-16T00:00:00"/>
    <n v="18"/>
    <x v="13"/>
    <s v="INT"/>
    <s v="F"/>
    <m/>
    <m/>
    <m/>
    <m/>
    <n v="180"/>
    <x v="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80"/>
    <m/>
  </r>
  <r>
    <x v="251"/>
    <x v="181"/>
    <d v="2001-10-26T00:00:00"/>
    <n v="16"/>
    <x v="2"/>
    <s v="INT"/>
    <s v="F"/>
    <m/>
    <m/>
    <s v=""/>
    <m/>
    <n v="168"/>
    <x v="21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68"/>
    <m/>
  </r>
  <r>
    <x v="252"/>
    <x v="182"/>
    <d v="2000-09-15T00:00:00"/>
    <n v="17"/>
    <x v="6"/>
    <s v="DP"/>
    <s v="F"/>
    <m/>
    <m/>
    <s v=""/>
    <m/>
    <m/>
    <x v="220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53"/>
    <x v="183"/>
    <d v="2001-06-02T00:00:00"/>
    <n v="16"/>
    <x v="8"/>
    <s v="INT"/>
    <s v="G"/>
    <m/>
    <m/>
    <s v=""/>
    <m/>
    <m/>
    <x v="221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46"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6"/>
    <m/>
  </r>
  <r>
    <x v="254"/>
    <x v="30"/>
    <d v="2000-11-11T00:00:00"/>
    <n v="17"/>
    <x v="13"/>
    <s v="INT"/>
    <s v="G"/>
    <m/>
    <m/>
    <m/>
    <m/>
    <m/>
    <x v="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m/>
    <m/>
    <n v="0"/>
    <n v="0"/>
    <s v="124"/>
    <m/>
  </r>
  <r>
    <x v="255"/>
    <x v="62"/>
    <d v="2001-06-01T00:00:00"/>
    <n v="16"/>
    <x v="14"/>
    <s v="INT"/>
    <s v="G"/>
    <m/>
    <m/>
    <m/>
    <m/>
    <m/>
    <x v="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m/>
    <m/>
    <n v="0"/>
    <n v="0"/>
    <s v="116"/>
    <m/>
  </r>
  <r>
    <x v="256"/>
    <x v="184"/>
    <d v="2002-06-07T00:00:00"/>
    <n v="15"/>
    <x v="11"/>
    <s v="INT"/>
    <s v="G"/>
    <m/>
    <m/>
    <s v=""/>
    <m/>
    <m/>
    <x v="22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15"/>
    <s v="104"/>
    <m/>
  </r>
  <r>
    <x v="257"/>
    <x v="185"/>
    <d v="2001-05-16T00:00:00"/>
    <n v="16"/>
    <x v="6"/>
    <s v="DP"/>
    <s v="G"/>
    <m/>
    <m/>
    <m/>
    <m/>
    <m/>
    <x v="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57"/>
    <x v="12"/>
    <d v="1999-02-14T00:00:00"/>
    <n v="18"/>
    <x v="3"/>
    <s v="DP"/>
    <s v="G"/>
    <m/>
    <m/>
    <s v=""/>
    <m/>
    <m/>
    <x v="4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58"/>
    <x v="159"/>
    <d v="2003-05-09T00:00:00"/>
    <n v="14"/>
    <x v="12"/>
    <s v="INT"/>
    <s v="F"/>
    <m/>
    <m/>
    <m/>
    <m/>
    <m/>
    <x v="226"/>
    <m/>
    <m/>
    <m/>
    <m/>
    <m/>
    <m/>
    <m/>
    <n v="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3"/>
    <m/>
  </r>
  <r>
    <x v="259"/>
    <x v="64"/>
    <d v="2001-01-27T00:00:00"/>
    <n v="16"/>
    <x v="10"/>
    <s v="INT"/>
    <s v="F"/>
    <m/>
    <m/>
    <s v=""/>
    <m/>
    <m/>
    <x v="227"/>
    <s v=""/>
    <s v=""/>
    <s v=""/>
    <s v=""/>
    <s v=""/>
    <s v=""/>
    <s v=""/>
    <n v="149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49"/>
    <m/>
  </r>
  <r>
    <x v="260"/>
    <x v="186"/>
    <d v="1999-11-11T00:00:00"/>
    <n v="18"/>
    <x v="6"/>
    <s v="DP"/>
    <s v="F"/>
    <m/>
    <m/>
    <m/>
    <m/>
    <m/>
    <x v="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  <r>
    <x v="261"/>
    <x v="83"/>
    <d v="2002-11-01T00:00:00"/>
    <n v="15"/>
    <x v="5"/>
    <s v="INT"/>
    <s v="G"/>
    <m/>
    <m/>
    <s v=""/>
    <m/>
    <m/>
    <x v="229"/>
    <s v=""/>
    <s v=""/>
    <s v=""/>
    <s v=""/>
    <s v=""/>
    <s v=""/>
    <s v=""/>
    <m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m/>
    <m/>
    <n v="0"/>
    <n v="0"/>
    <s v="111"/>
    <m/>
  </r>
  <r>
    <x v="262"/>
    <x v="63"/>
    <d v="2002-03-28T00:00:00"/>
    <n v="15"/>
    <x v="11"/>
    <s v="INT"/>
    <s v="F"/>
    <m/>
    <m/>
    <s v=""/>
    <m/>
    <m/>
    <x v="230"/>
    <s v=""/>
    <s v=""/>
    <s v=""/>
    <s v=""/>
    <s v=""/>
    <s v=""/>
    <s v=""/>
    <n v="143"/>
    <s v=""/>
    <s v=""/>
    <s v=""/>
    <s v=""/>
    <s v=""/>
    <s v=""/>
    <s v=""/>
    <s v=""/>
    <s v=""/>
    <s v=""/>
    <s v=""/>
    <s v=""/>
    <s v=""/>
    <m/>
    <m/>
    <m/>
    <m/>
    <m/>
    <m/>
    <m/>
    <m/>
    <m/>
    <m/>
    <m/>
    <m/>
    <m/>
    <m/>
    <m/>
    <m/>
    <m/>
    <m/>
    <m/>
    <m/>
    <x v="2"/>
    <b v="0"/>
    <b v="0"/>
    <b v="1"/>
    <b v="0"/>
    <b v="1"/>
    <b v="0"/>
    <b v="1"/>
    <b v="1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5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1"/>
    <n v="16"/>
    <s v="143"/>
    <m/>
  </r>
  <r>
    <x v="263"/>
    <x v="110"/>
    <d v="2002-03-09T00:00:00"/>
    <n v="15"/>
    <x v="5"/>
    <s v="INT"/>
    <s v="F"/>
    <m/>
    <m/>
    <m/>
    <m/>
    <m/>
    <x v="231"/>
    <m/>
    <m/>
    <m/>
    <m/>
    <m/>
    <m/>
    <m/>
    <n v="1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1"/>
    <b v="0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3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3"/>
    <m/>
  </r>
  <r>
    <x v="264"/>
    <x v="131"/>
    <d v="2002-06-25T00:00:00"/>
    <n v="15"/>
    <x v="5"/>
    <s v="INT"/>
    <s v="F"/>
    <m/>
    <m/>
    <m/>
    <m/>
    <m/>
    <x v="232"/>
    <m/>
    <m/>
    <m/>
    <m/>
    <m/>
    <m/>
    <m/>
    <n v="1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1"/>
    <b v="1"/>
    <b v="0"/>
    <b v="0"/>
    <b v="1"/>
    <m/>
    <m/>
    <m/>
    <m/>
    <m/>
    <m/>
    <m/>
    <m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1"/>
    <n v="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133"/>
    <m/>
  </r>
  <r>
    <x v="265"/>
    <x v="187"/>
    <d v="1999-08-23T00:00:00"/>
    <n v="18"/>
    <x v="3"/>
    <s v="DP"/>
    <s v="F"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b v="0"/>
    <b v="0"/>
    <b v="0"/>
    <b v="0"/>
    <b v="0"/>
    <b v="1"/>
    <b v="0"/>
    <b v="0"/>
    <b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m/>
    <m/>
    <n v="0"/>
    <n v="0"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colGrandTotals="0" itemPrintTitles="1" mergeItem="1" createdVersion="3" indent="0" outline="1" outlineData="1" multipleFieldFilters="0" rowHeaderCaption="Nom" fieldListSortAscending="1">
  <location ref="A4:C9" firstHeaderRow="1" firstDataRow="1" firstDataCol="2" rowPageCount="2" colPageCount="1"/>
  <pivotFields count="237">
    <pivotField axis="axisRow" outline="0" showAll="0" defaultSubtotal="0">
      <items count="26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</items>
    </pivotField>
    <pivotField axis="axisRow" showAll="0">
      <items count="189">
        <item x="186"/>
        <item x="139"/>
        <item x="104"/>
        <item x="71"/>
        <item x="119"/>
        <item x="22"/>
        <item x="99"/>
        <item x="24"/>
        <item x="2"/>
        <item x="95"/>
        <item sd="0" x="40"/>
        <item x="76"/>
        <item x="21"/>
        <item x="127"/>
        <item x="26"/>
        <item x="73"/>
        <item x="27"/>
        <item x="1"/>
        <item x="30"/>
        <item x="77"/>
        <item x="162"/>
        <item x="149"/>
        <item x="28"/>
        <item x="34"/>
        <item x="49"/>
        <item x="62"/>
        <item x="185"/>
        <item x="9"/>
        <item x="166"/>
        <item x="46"/>
        <item x="63"/>
        <item x="177"/>
        <item x="115"/>
        <item x="45"/>
        <item x="152"/>
        <item x="183"/>
        <item x="50"/>
        <item x="43"/>
        <item x="135"/>
        <item x="142"/>
        <item x="102"/>
        <item x="110"/>
        <item x="118"/>
        <item x="44"/>
        <item x="82"/>
        <item x="61"/>
        <item x="75"/>
        <item x="168"/>
        <item x="93"/>
        <item x="117"/>
        <item x="147"/>
        <item x="141"/>
        <item x="7"/>
        <item x="35"/>
        <item x="94"/>
        <item x="112"/>
        <item x="150"/>
        <item x="13"/>
        <item x="130"/>
        <item x="89"/>
        <item x="169"/>
        <item x="96"/>
        <item x="78"/>
        <item x="178"/>
        <item x="6"/>
        <item x="101"/>
        <item x="132"/>
        <item x="116"/>
        <item x="88"/>
        <item x="174"/>
        <item x="33"/>
        <item x="38"/>
        <item x="163"/>
        <item x="54"/>
        <item x="148"/>
        <item x="15"/>
        <item x="153"/>
        <item x="157"/>
        <item x="79"/>
        <item x="165"/>
        <item x="160"/>
        <item x="56"/>
        <item x="32"/>
        <item x="65"/>
        <item x="134"/>
        <item x="145"/>
        <item x="41"/>
        <item x="109"/>
        <item x="74"/>
        <item x="100"/>
        <item x="175"/>
        <item x="66"/>
        <item x="179"/>
        <item x="47"/>
        <item x="85"/>
        <item x="83"/>
        <item x="176"/>
        <item x="151"/>
        <item x="31"/>
        <item x="64"/>
        <item x="170"/>
        <item x="133"/>
        <item x="57"/>
        <item x="52"/>
        <item x="158"/>
        <item x="42"/>
        <item x="81"/>
        <item x="53"/>
        <item x="48"/>
        <item x="87"/>
        <item x="143"/>
        <item x="86"/>
        <item x="111"/>
        <item x="72"/>
        <item x="29"/>
        <item x="84"/>
        <item x="8"/>
        <item x="106"/>
        <item x="25"/>
        <item x="91"/>
        <item x="125"/>
        <item x="126"/>
        <item x="180"/>
        <item x="144"/>
        <item x="17"/>
        <item x="39"/>
        <item x="161"/>
        <item x="58"/>
        <item x="156"/>
        <item x="114"/>
        <item x="18"/>
        <item x="107"/>
        <item x="36"/>
        <item x="60"/>
        <item x="16"/>
        <item x="171"/>
        <item x="92"/>
        <item x="14"/>
        <item x="59"/>
        <item x="3"/>
        <item x="172"/>
        <item x="19"/>
        <item x="0"/>
        <item x="159"/>
        <item x="131"/>
        <item x="23"/>
        <item x="167"/>
        <item x="10"/>
        <item x="20"/>
        <item x="173"/>
        <item x="69"/>
        <item x="120"/>
        <item x="140"/>
        <item x="182"/>
        <item x="11"/>
        <item x="129"/>
        <item x="55"/>
        <item x="5"/>
        <item x="68"/>
        <item x="138"/>
        <item x="113"/>
        <item x="108"/>
        <item x="4"/>
        <item x="70"/>
        <item x="187"/>
        <item x="90"/>
        <item x="164"/>
        <item x="98"/>
        <item x="105"/>
        <item x="121"/>
        <item x="155"/>
        <item x="80"/>
        <item x="122"/>
        <item x="124"/>
        <item x="103"/>
        <item x="12"/>
        <item x="137"/>
        <item x="181"/>
        <item x="136"/>
        <item x="146"/>
        <item x="51"/>
        <item x="154"/>
        <item x="67"/>
        <item x="128"/>
        <item x="123"/>
        <item x="184"/>
        <item x="97"/>
        <item x="37"/>
        <item t="default"/>
      </items>
    </pivotField>
    <pivotField showAll="0"/>
    <pivotField showAll="0"/>
    <pivotField axis="axisPage" multipleItemSelectionAllowed="1" showAll="0">
      <items count="16">
        <item x="14"/>
        <item x="6"/>
        <item x="8"/>
        <item x="10"/>
        <item x="2"/>
        <item x="7"/>
        <item x="5"/>
        <item x="11"/>
        <item x="12"/>
        <item x="3"/>
        <item x="4"/>
        <item x="0"/>
        <item x="9"/>
        <item x="13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>
      <items count="234">
        <item x="14"/>
        <item x="49"/>
        <item x="57"/>
        <item x="65"/>
        <item x="72"/>
        <item x="73"/>
        <item x="77"/>
        <item x="112"/>
        <item x="115"/>
        <item x="135"/>
        <item x="144"/>
        <item x="163"/>
        <item x="165"/>
        <item x="168"/>
        <item x="173"/>
        <item x="190"/>
        <item x="217"/>
        <item x="10"/>
        <item x="17"/>
        <item x="26"/>
        <item x="32"/>
        <item x="43"/>
        <item x="53"/>
        <item x="56"/>
        <item x="62"/>
        <item x="76"/>
        <item x="87"/>
        <item x="95"/>
        <item x="132"/>
        <item x="156"/>
        <item x="164"/>
        <item x="193"/>
        <item x="202"/>
        <item x="204"/>
        <item x="207"/>
        <item x="214"/>
        <item x="7"/>
        <item x="8"/>
        <item x="11"/>
        <item x="18"/>
        <item x="20"/>
        <item x="28"/>
        <item x="35"/>
        <item x="41"/>
        <item x="44"/>
        <item x="67"/>
        <item x="68"/>
        <item x="79"/>
        <item x="80"/>
        <item x="123"/>
        <item x="126"/>
        <item x="147"/>
        <item x="166"/>
        <item x="169"/>
        <item x="187"/>
        <item x="189"/>
        <item x="191"/>
        <item x="192"/>
        <item x="211"/>
        <item x="220"/>
        <item x="225"/>
        <item x="228"/>
        <item x="23"/>
        <item x="84"/>
        <item x="88"/>
        <item x="107"/>
        <item x="113"/>
        <item x="148"/>
        <item x="215"/>
        <item x="226"/>
        <item x="29"/>
        <item x="30"/>
        <item x="9"/>
        <item x="22"/>
        <item x="33"/>
        <item x="46"/>
        <item x="48"/>
        <item x="55"/>
        <item x="59"/>
        <item x="109"/>
        <item x="110"/>
        <item x="137"/>
        <item x="140"/>
        <item x="141"/>
        <item x="160"/>
        <item x="167"/>
        <item x="178"/>
        <item x="180"/>
        <item x="183"/>
        <item x="210"/>
        <item x="221"/>
        <item x="24"/>
        <item x="25"/>
        <item x="31"/>
        <item x="69"/>
        <item x="71"/>
        <item x="96"/>
        <item x="100"/>
        <item x="117"/>
        <item x="122"/>
        <item x="124"/>
        <item x="153"/>
        <item x="159"/>
        <item x="170"/>
        <item x="174"/>
        <item x="188"/>
        <item x="199"/>
        <item x="200"/>
        <item x="205"/>
        <item x="212"/>
        <item x="218"/>
        <item x="222"/>
        <item x="21"/>
        <item x="2"/>
        <item x="54"/>
        <item x="63"/>
        <item x="74"/>
        <item x="82"/>
        <item x="92"/>
        <item x="116"/>
        <item x="129"/>
        <item x="139"/>
        <item x="146"/>
        <item x="151"/>
        <item x="162"/>
        <item x="171"/>
        <item x="219"/>
        <item x="13"/>
        <item x="45"/>
        <item x="50"/>
        <item x="58"/>
        <item x="81"/>
        <item x="104"/>
        <item x="133"/>
        <item x="134"/>
        <item x="145"/>
        <item x="149"/>
        <item x="161"/>
        <item x="175"/>
        <item x="216"/>
        <item x="224"/>
        <item x="230"/>
        <item x="37"/>
        <item x="60"/>
        <item x="61"/>
        <item x="66"/>
        <item x="93"/>
        <item x="94"/>
        <item x="97"/>
        <item x="127"/>
        <item x="152"/>
        <item x="172"/>
        <item x="177"/>
        <item x="179"/>
        <item x="206"/>
        <item x="208"/>
        <item x="223"/>
        <item x="12"/>
        <item x="15"/>
        <item x="16"/>
        <item x="102"/>
        <item x="106"/>
        <item x="111"/>
        <item x="114"/>
        <item x="128"/>
        <item x="136"/>
        <item x="154"/>
        <item x="155"/>
        <item x="186"/>
        <item x="209"/>
        <item x="227"/>
        <item x="19"/>
        <item x="38"/>
        <item x="40"/>
        <item x="42"/>
        <item x="64"/>
        <item x="83"/>
        <item x="108"/>
        <item x="176"/>
        <item x="184"/>
        <item x="195"/>
        <item x="203"/>
        <item x="3"/>
        <item x="6"/>
        <item x="52"/>
        <item x="78"/>
        <item x="91"/>
        <item x="103"/>
        <item x="143"/>
        <item x="185"/>
        <item x="196"/>
        <item x="197"/>
        <item x="213"/>
        <item x="5"/>
        <item x="34"/>
        <item x="36"/>
        <item x="39"/>
        <item x="47"/>
        <item x="51"/>
        <item x="75"/>
        <item x="85"/>
        <item x="89"/>
        <item x="90"/>
        <item x="98"/>
        <item x="99"/>
        <item x="118"/>
        <item x="119"/>
        <item x="121"/>
        <item x="125"/>
        <item x="138"/>
        <item x="150"/>
        <item x="158"/>
        <item x="181"/>
        <item x="182"/>
        <item x="229"/>
        <item x="231"/>
        <item x="232"/>
        <item x="0"/>
        <item x="27"/>
        <item x="70"/>
        <item x="101"/>
        <item x="142"/>
        <item x="1"/>
        <item x="201"/>
        <item x="157"/>
        <item x="194"/>
        <item x="198"/>
        <item x="86"/>
        <item x="105"/>
        <item x="120"/>
        <item x="130"/>
        <item x="131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ame="Pointage Mercredi AM" axis="axisPage" multipleItemSelectionAllowed="1" showAll="0">
      <items count="4">
        <item h="1" x="0"/>
        <item x="2"/>
        <item h="1" x="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5">
    <i>
      <x v="119"/>
      <x v="116"/>
    </i>
    <i>
      <x v="127"/>
      <x v="174"/>
    </i>
    <i>
      <x v="161"/>
      <x v="55"/>
    </i>
    <i>
      <x v="197"/>
      <x v="179"/>
    </i>
    <i>
      <x v="262"/>
      <x v="30"/>
    </i>
  </rowItems>
  <colItems count="1">
    <i/>
  </colItems>
  <pageFields count="2">
    <pageField fld="4" hier="-1"/>
    <pageField fld="54" hier="-1"/>
  </pageFields>
  <dataFields count="1">
    <dataField name="Cochez" fld="55" subtotal="count" baseField="0" baseItem="0"/>
  </dataFields>
  <formats count="6">
    <format dxfId="263">
      <pivotArea dataOnly="0" labelOnly="1" outline="0" axis="axisValues" fieldPosition="0"/>
    </format>
    <format dxfId="262">
      <pivotArea dataOnly="0" labelOnly="1" outline="0" fieldPosition="0">
        <references count="1">
          <reference field="4" count="1">
            <x v="0"/>
          </reference>
        </references>
      </pivotArea>
    </format>
    <format dxfId="261">
      <pivotArea field="4" type="button" dataOnly="0" labelOnly="1" outline="0" axis="axisPage" fieldPosition="0"/>
    </format>
    <format dxfId="260">
      <pivotArea dataOnly="0" labelOnly="1" outline="0" fieldPosition="0">
        <references count="1">
          <reference field="4" count="1">
            <x v="0"/>
          </reference>
        </references>
      </pivotArea>
    </format>
    <format dxfId="259">
      <pivotArea type="all" dataOnly="0" outline="0" fieldPosition="0"/>
    </format>
    <format dxfId="258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listesenfants" displayName="Tableaulistesenfants" ref="A1:IC279" totalsRowShown="0" headerRowDxfId="255" dataDxfId="254">
  <autoFilter ref="A1:IC279">
    <filterColumn colId="4"/>
    <filterColumn colId="5"/>
    <filterColumn colId="54"/>
    <filterColumn colId="188"/>
    <filterColumn colId="189"/>
    <filterColumn colId="190"/>
    <filterColumn colId="191"/>
    <filterColumn colId="192"/>
    <filterColumn colId="193"/>
    <filterColumn colId="194"/>
    <filterColumn colId="195"/>
    <filterColumn colId="196"/>
    <filterColumn colId="197"/>
    <filterColumn colId="198"/>
    <filterColumn colId="199"/>
    <filterColumn colId="200"/>
    <filterColumn colId="201"/>
    <filterColumn colId="202"/>
    <filterColumn colId="203"/>
    <filterColumn colId="204"/>
    <filterColumn colId="205"/>
    <filterColumn colId="206"/>
    <filterColumn colId="207"/>
    <filterColumn colId="208"/>
    <filterColumn colId="209"/>
    <filterColumn colId="210"/>
    <filterColumn colId="211"/>
    <filterColumn colId="212"/>
    <filterColumn colId="213"/>
    <filterColumn colId="214"/>
    <filterColumn colId="215"/>
    <filterColumn colId="216"/>
    <filterColumn colId="217"/>
    <filterColumn colId="218"/>
    <filterColumn colId="219"/>
    <filterColumn colId="220"/>
    <filterColumn colId="221"/>
    <filterColumn colId="222"/>
    <filterColumn colId="223"/>
    <filterColumn colId="224"/>
    <filterColumn colId="225"/>
    <filterColumn colId="226"/>
    <filterColumn colId="227"/>
    <filterColumn colId="228"/>
    <filterColumn colId="229"/>
    <filterColumn colId="230"/>
    <filterColumn colId="231"/>
    <filterColumn colId="232"/>
    <filterColumn colId="233"/>
    <filterColumn colId="234"/>
    <filterColumn colId="236"/>
  </autoFilter>
  <sortState ref="A2:FQ279">
    <sortCondition ref="E1:E279"/>
  </sortState>
  <tableColumns count="237">
    <tableColumn id="2" name="Nom" dataDxfId="253"/>
    <tableColumn id="7" name="Prénom" dataDxfId="252"/>
    <tableColumn id="3" name="Date de naissance" dataDxfId="251"/>
    <tableColumn id="4" name="Age" dataDxfId="250"/>
    <tableColumn id="21" name="Classe" dataDxfId="249"/>
    <tableColumn id="12" name="Régime" dataDxfId="248"/>
    <tableColumn id="13" name="Genre" dataDxfId="247"/>
    <tableColumn id="25" name="a venir" dataDxfId="246"/>
    <tableColumn id="26" name="a venir2" dataDxfId="245"/>
    <tableColumn id="27" name="Colonne3" dataDxfId="244"/>
    <tableColumn id="31" name="Dossier Complet ?" dataDxfId="243"/>
    <tableColumn id="28" name="Chambre" dataDxfId="242"/>
    <tableColumn id="11" name="N° de Casier" dataDxfId="241"/>
    <tableColumn id="10" name="Prénom Rep Légal 1" dataDxfId="240"/>
    <tableColumn id="9" name="Adresse 1" dataDxfId="239"/>
    <tableColumn id="14" name="Code Postal 1" dataDxfId="238"/>
    <tableColumn id="16" name="Ville 1" dataDxfId="237"/>
    <tableColumn id="15" name="Tel fixe 1" dataDxfId="236"/>
    <tableColumn id="6" name="Tel Mob 1" dataDxfId="235"/>
    <tableColumn id="5" name="E.Mail 1" dataDxfId="234"/>
    <tableColumn id="1" name="Chambre2" dataDxfId="233"/>
    <tableColumn id="29" name="Civilité 2" dataDxfId="232"/>
    <tableColumn id="17" name="Nom Rep Légal 2" dataDxfId="231"/>
    <tableColumn id="19" name="Prénom Rep Légal 2" dataDxfId="230"/>
    <tableColumn id="18" name="Adresse 2" dataDxfId="229"/>
    <tableColumn id="24" name="Code Postal 2" dataDxfId="228"/>
    <tableColumn id="23" name="Ville 2" dataDxfId="227"/>
    <tableColumn id="22" name="Tel Fixe 2" dataDxfId="226"/>
    <tableColumn id="30" name="Tel Mobile 2" dataDxfId="225"/>
    <tableColumn id="20" name="E Mail 2 " dataDxfId="224"/>
    <tableColumn id="8" name="Lien Parenté 2" dataDxfId="223"/>
    <tableColumn id="32" name="Validation" dataDxfId="222"/>
    <tableColumn id="33" name="Colonne1" dataDxfId="221"/>
    <tableColumn id="34" name="Colonne2" dataDxfId="220"/>
    <tableColumn id="35" name="Septembre" dataDxfId="219"/>
    <tableColumn id="36" name="Octobre" dataDxfId="218"/>
    <tableColumn id="37" name="Novembre" dataDxfId="217"/>
    <tableColumn id="38" name="Décembre" dataDxfId="216"/>
    <tableColumn id="39" name="Janvier" dataDxfId="215"/>
    <tableColumn id="40" name="Février" dataDxfId="214"/>
    <tableColumn id="41" name="Mars" dataDxfId="213"/>
    <tableColumn id="42" name="Avril" dataDxfId="212"/>
    <tableColumn id="43" name="Mai" dataDxfId="211"/>
    <tableColumn id="44" name="Juin" dataDxfId="210"/>
    <tableColumn id="45" name="Juillet" dataDxfId="209"/>
    <tableColumn id="46" name="Vacances de la Toussaint" dataDxfId="208"/>
    <tableColumn id="47" name="Vacances de Noël" dataDxfId="207"/>
    <tableColumn id="48" name="Vacances d'Hivers" dataDxfId="206"/>
    <tableColumn id="49" name="Vacances de Päques" dataDxfId="205"/>
    <tableColumn id="50" name="Vacances d'été" dataDxfId="204"/>
    <tableColumn id="51" name="Camp 1" dataDxfId="203"/>
    <tableColumn id="52" name="Camp 2" dataDxfId="202"/>
    <tableColumn id="53" name="Camp 3" dataDxfId="201"/>
    <tableColumn id="55" name="Camp4" dataDxfId="200"/>
    <tableColumn id="64" name="reste mercredi" dataDxfId="199"/>
    <tableColumn id="63" name="reste mercredi2" dataDxfId="198"/>
    <tableColumn id="62" name="sortie mercredi pm" dataDxfId="197"/>
    <tableColumn id="61" name="sortie mercredi pm4" dataDxfId="196"/>
    <tableColumn id="60" name="Mercredi" dataDxfId="195"/>
    <tableColumn id="118" name="Mercredi1" dataDxfId="194"/>
    <tableColumn id="119" name="sortie EDT" dataDxfId="193"/>
    <tableColumn id="120" name="sortie edt2" dataDxfId="192"/>
    <tableColumn id="121" name="sortie sco" dataDxfId="191"/>
    <tableColumn id="122" name="sortie sco2" dataDxfId="190"/>
    <tableColumn id="59" name="Remarque" dataDxfId="189"/>
    <tableColumn id="131" name="Diphtérie" dataDxfId="188"/>
    <tableColumn id="145" name="Diphtérie2" dataDxfId="187"/>
    <tableColumn id="146" name="Date" dataDxfId="186"/>
    <tableColumn id="147" name="Dimanche" dataDxfId="185"/>
    <tableColumn id="148" name="lundi" dataDxfId="184"/>
    <tableColumn id="149" name="Date2" dataDxfId="183"/>
    <tableColumn id="150" name="5 jours" dataDxfId="182"/>
    <tableColumn id="151" name="4 jours" dataDxfId="181"/>
    <tableColumn id="152" name="Date3" dataDxfId="180"/>
    <tableColumn id="153" name="DT polio" dataDxfId="179"/>
    <tableColumn id="154" name="DT polio2" dataDxfId="178"/>
    <tableColumn id="155" name="Date4" dataDxfId="177"/>
    <tableColumn id="156" name="Tétracoq" dataDxfId="176"/>
    <tableColumn id="157" name="Tétracoq2" dataDxfId="175"/>
    <tableColumn id="158" name="Date5" dataDxfId="174"/>
    <tableColumn id="159" name="BCG" dataDxfId="173"/>
    <tableColumn id="160" name="BCG2" dataDxfId="172"/>
    <tableColumn id="161" name="Date6" dataDxfId="171"/>
    <tableColumn id="162" name="Hépatite B" dataDxfId="170"/>
    <tableColumn id="163" name="Hépatite B2" dataDxfId="169"/>
    <tableColumn id="164" name="Date7" dataDxfId="168"/>
    <tableColumn id="165" name="Rubéole-" dataDxfId="167"/>
    <tableColumn id="166" name="Rubéole-2" dataDxfId="166"/>
    <tableColumn id="167" name="Date8" dataDxfId="165"/>
    <tableColumn id="168" name="Coqueluche" dataDxfId="164"/>
    <tableColumn id="169" name="Coqueluche2" dataDxfId="163"/>
    <tableColumn id="170" name="Date9" dataDxfId="162"/>
    <tableColumn id="171" name="Autres (préciser)" dataDxfId="161"/>
    <tableColumn id="172" name="Autres (préciser)2" dataDxfId="160"/>
    <tableColumn id="173" name="Date10" dataDxfId="159"/>
    <tableColumn id="97" name="Allergies Médicamenteuses" dataDxfId="158"/>
    <tableColumn id="123" name="Allergies Médicamenteuses1" dataDxfId="157"/>
    <tableColumn id="96" name="asthme" dataDxfId="156"/>
    <tableColumn id="95" name="asthme1" dataDxfId="155"/>
    <tableColumn id="124" name="Précisez la cause" dataDxfId="154"/>
    <tableColumn id="94" name="Végétarien" dataDxfId="153"/>
    <tableColumn id="93" name="Végétalien" dataDxfId="152"/>
    <tableColumn id="125" name="Sans Porc" dataDxfId="151"/>
    <tableColumn id="92" name="Sans Aïl, Oignon, Echalote, Champignon" dataDxfId="150"/>
    <tableColumn id="91" name="chambre3" dataDxfId="149"/>
    <tableColumn id="126" name="Allergies Alimentaires2" dataDxfId="148"/>
    <tableColumn id="90" name="Allergies Alimentaires3" dataDxfId="147"/>
    <tableColumn id="89" name="Allergies Alimentaires4" dataDxfId="146"/>
    <tableColumn id="127" name="Allergies Alimentaires5" dataDxfId="145"/>
    <tableColumn id="88" name="Allergies Alimentaires6" dataDxfId="144"/>
    <tableColumn id="87" name="chambre4" dataDxfId="143"/>
    <tableColumn id="128" name="Autres Allergies 2" dataDxfId="142"/>
    <tableColumn id="86" name="Autres Allergies 3" dataDxfId="141"/>
    <tableColumn id="85" name="Autres Allergies 4" dataDxfId="140"/>
    <tableColumn id="129" name="Autres Allergies 5" dataDxfId="139"/>
    <tableColumn id="84" name="Autres Allergies 6" dataDxfId="138"/>
    <tableColumn id="83" name="traitement médical " dataDxfId="137"/>
    <tableColumn id="130" name="traitement médical 2" dataDxfId="136"/>
    <tableColumn id="82" name="RUBÉOLE   " dataDxfId="135"/>
    <tableColumn id="81" name="RUBÉOLE   2" dataDxfId="134"/>
    <tableColumn id="80" name="VARICELLE   " dataDxfId="133"/>
    <tableColumn id="79" name="VARICELLE   2" dataDxfId="132"/>
    <tableColumn id="132" name="ANGINE   " dataDxfId="131"/>
    <tableColumn id="105" name="ANGINE   2" dataDxfId="130"/>
    <tableColumn id="78" name="SCARLATINE   " dataDxfId="129"/>
    <tableColumn id="77" name="SCARLATINE   2" dataDxfId="128"/>
    <tableColumn id="58" name="COQUELUCHE   " dataDxfId="127"/>
    <tableColumn id="57" name="COQUELUCHE   2" dataDxfId="126"/>
    <tableColumn id="56" name="ROUGEOLE   " dataDxfId="125"/>
    <tableColumn id="72" name="ROUGEOLE   2" dataDxfId="124"/>
    <tableColumn id="71" name="OREILLONS   " dataDxfId="123"/>
    <tableColumn id="70" name="OREILLONS   2" dataDxfId="122"/>
    <tableColumn id="69" name="OTITE     " dataDxfId="121"/>
    <tableColumn id="68" name="OTITE     2" dataDxfId="120"/>
    <tableColumn id="67" name="RHUMATISME " dataDxfId="119"/>
    <tableColumn id="66" name="RHUMATISME 2" dataDxfId="118"/>
    <tableColumn id="65" name="Difficultés de santé" dataDxfId="117"/>
    <tableColumn id="74" name="Occurrence2" dataDxfId="116">
      <calculatedColumnFormula>IF([Chambre]*1='CHAMBRES FILLES 2e ETAGE'!$A$5,1,0)</calculatedColumnFormula>
    </tableColumn>
    <tableColumn id="75" name="Séquence3" dataDxfId="115">
      <calculatedColumnFormula>IF([Occurrence2]=0,0,SUM($EH$2:EH2))</calculatedColumnFormula>
    </tableColumn>
    <tableColumn id="99" name="Occurrence3" dataDxfId="114">
      <calculatedColumnFormula>IF([Chambre]*1='CHAMBRES FILLES 2e ETAGE'!$A$11,1,0)</calculatedColumnFormula>
    </tableColumn>
    <tableColumn id="98" name="Séquence4" dataDxfId="113">
      <calculatedColumnFormula>IF([Occurrence3]=0,0,SUM($EJ$2:EJ2))</calculatedColumnFormula>
    </tableColumn>
    <tableColumn id="133" name="Occurrence4" dataDxfId="112">
      <calculatedColumnFormula>IF([Chambre]*1='CHAMBRES FILLES 2e ETAGE'!$A$17,1,0)</calculatedColumnFormula>
    </tableColumn>
    <tableColumn id="76" name="Séquence5" dataDxfId="111">
      <calculatedColumnFormula>IF([Occurrence4]=0,0,SUM($EL$2:EL2))</calculatedColumnFormula>
    </tableColumn>
    <tableColumn id="134" name="Occurrence5" dataDxfId="110">
      <calculatedColumnFormula>IF([Chambre]*1='CHAMBRES FILLES 2e ETAGE'!$A$23,1,0)</calculatedColumnFormula>
    </tableColumn>
    <tableColumn id="100" name="Séquence6" dataDxfId="109">
      <calculatedColumnFormula>IF([Occurrence5]=0,0,SUM($EN$2:EN2))</calculatedColumnFormula>
    </tableColumn>
    <tableColumn id="104" name="Occurrence6" dataDxfId="108">
      <calculatedColumnFormula>IF([Chambre]*1='CHAMBRES FILLES 2e ETAGE'!$A$29,1,0)</calculatedColumnFormula>
    </tableColumn>
    <tableColumn id="135" name="Séquence7" dataDxfId="107">
      <calculatedColumnFormula>IF([Occurrence6]=0,0,SUM($EP$2:EP2))</calculatedColumnFormula>
    </tableColumn>
    <tableColumn id="103" name="Occurrence7" dataDxfId="106">
      <calculatedColumnFormula>IF([Chambre]*1='CHAMBRES FILLES 2e ETAGE'!$A$35,1,0)</calculatedColumnFormula>
    </tableColumn>
    <tableColumn id="136" name="Séquence8" dataDxfId="105">
      <calculatedColumnFormula>IF([Occurrence7]=0,0,SUM($ER$2:ER2))</calculatedColumnFormula>
    </tableColumn>
    <tableColumn id="102" name="Occurrence8" dataDxfId="104">
      <calculatedColumnFormula>IF([Chambre]*1='CHAMBRES FILLES 2e ETAGE'!$A$41,1,0)</calculatedColumnFormula>
    </tableColumn>
    <tableColumn id="137" name="Séquence9" dataDxfId="103">
      <calculatedColumnFormula>IF([Occurrence8]=0,0,SUM($ET$2:ET2))</calculatedColumnFormula>
    </tableColumn>
    <tableColumn id="101" name="Occurrence9" dataDxfId="102">
      <calculatedColumnFormula>IF([Chambre]*1='CHAMBRES FILLES 2e ETAGE'!$A$47,1,0)</calculatedColumnFormula>
    </tableColumn>
    <tableColumn id="138" name="Séquence10" dataDxfId="101">
      <calculatedColumnFormula>IF([Occurrence9]=0,0,SUM($EV$2:EV2))</calculatedColumnFormula>
    </tableColumn>
    <tableColumn id="106" name="Occurrence10" dataDxfId="100">
      <calculatedColumnFormula>IF([Chambre]*1='CHAMBRES FILLES 2e ETAGE'!$A$53,1,0)</calculatedColumnFormula>
    </tableColumn>
    <tableColumn id="139" name="Séquence11" dataDxfId="99">
      <calculatedColumnFormula>IF([Occurrence10]=0,0,SUM($EX$2:EX2))</calculatedColumnFormula>
    </tableColumn>
    <tableColumn id="111" name="Occurrence11" dataDxfId="98">
      <calculatedColumnFormula>IF([Chambre]*1='CHAMBRES FILLES 2e ETAGE'!$A$59,1,0)</calculatedColumnFormula>
    </tableColumn>
    <tableColumn id="140" name="Séquence12" dataDxfId="97">
      <calculatedColumnFormula>IF([Occurrence11]=0,0,SUM($EZ$2:EZ2))</calculatedColumnFormula>
    </tableColumn>
    <tableColumn id="110" name="Occurrence12" dataDxfId="96">
      <calculatedColumnFormula>IF([Chambre]*1='CHAMBRES FILLES 2e ETAGE'!$A$65,1,0)</calculatedColumnFormula>
    </tableColumn>
    <tableColumn id="141" name="Séquence13" dataDxfId="95">
      <calculatedColumnFormula>IF([Occurrence12]=0,0,SUM($FB$2:FB2))</calculatedColumnFormula>
    </tableColumn>
    <tableColumn id="109" name="Occurrence13" dataDxfId="94">
      <calculatedColumnFormula>IF([Chambre]*1='CHAMBRES FILLES 2e ETAGE'!$A$71,1,0)</calculatedColumnFormula>
    </tableColumn>
    <tableColumn id="142" name="Séquence14" dataDxfId="93">
      <calculatedColumnFormula>IF([Occurrence13]=0,0,SUM($FD$2:FD2))</calculatedColumnFormula>
    </tableColumn>
    <tableColumn id="108" name="Occurrence14" dataDxfId="92">
      <calculatedColumnFormula>IF([Chambre]*1='CHAMBRES FILLES 2e ETAGE'!$A$77,1,0)</calculatedColumnFormula>
    </tableColumn>
    <tableColumn id="143" name="Séquence15" dataDxfId="91">
      <calculatedColumnFormula>IF([Occurrence14]=0,0,SUM($FF$2:FF2))</calculatedColumnFormula>
    </tableColumn>
    <tableColumn id="107" name="Occurrence15" dataDxfId="90">
      <calculatedColumnFormula>IF([Chambre]*1='CHAMBRES FILLES 2e ETAGE'!$A$83,1,0)</calculatedColumnFormula>
    </tableColumn>
    <tableColumn id="144" name="Séquence16" dataDxfId="89"/>
    <tableColumn id="73" name="Occurrence16" dataDxfId="88">
      <calculatedColumnFormula>IF([Chambre]*1='CHAMBRES FILLES 2e ETAGE'!$A$89,1,0)</calculatedColumnFormula>
    </tableColumn>
    <tableColumn id="117" name="Séquence17" dataDxfId="87">
      <calculatedColumnFormula>IF([Occurrence16]=0,0,SUM($FJ$2:FJ2))</calculatedColumnFormula>
    </tableColumn>
    <tableColumn id="116" name="Occurrence17" dataDxfId="86">
      <calculatedColumnFormula>IF([Chambre]*1='CHAMBRES FILLES 2e ETAGE'!$A$95,1,0)</calculatedColumnFormula>
    </tableColumn>
    <tableColumn id="115" name="Séquence18" dataDxfId="85">
      <calculatedColumnFormula>IF([Occurrence17]=0,0,SUM($FL$2:FL2))</calculatedColumnFormula>
    </tableColumn>
    <tableColumn id="114" name="Occurrence18" dataDxfId="84">
      <calculatedColumnFormula>IF([Chambre2]*1='CHAMBRES FILLES 1e ETAGE'!$A$5,1,0)</calculatedColumnFormula>
    </tableColumn>
    <tableColumn id="113" name="Séquence19" dataDxfId="83">
      <calculatedColumnFormula>IF([Occurrence18]=0,0,SUM($FN$2:FN2))</calculatedColumnFormula>
    </tableColumn>
    <tableColumn id="112" name="Occurrence19" dataDxfId="82">
      <calculatedColumnFormula>IF([Chambre2]*1='CHAMBRES FILLES 1e ETAGE'!$A$11,1,0)</calculatedColumnFormula>
    </tableColumn>
    <tableColumn id="54" name="Séquence20" dataDxfId="81">
      <calculatedColumnFormula>IF([Occurrence19]=0,0,SUM($FP$2:FP2))</calculatedColumnFormula>
    </tableColumn>
    <tableColumn id="174" name="Occurrence20" dataDxfId="80">
      <calculatedColumnFormula>IF([Chambre2]*1='CHAMBRES FILLES 1e ETAGE'!$A$17,1,0)</calculatedColumnFormula>
    </tableColumn>
    <tableColumn id="175" name="Séquence21" dataDxfId="79">
      <calculatedColumnFormula>IF([Occurrence20]=0,0,SUM($FR$2:FR2))</calculatedColumnFormula>
    </tableColumn>
    <tableColumn id="176" name="Occurrence21" dataDxfId="78">
      <calculatedColumnFormula>IF([Chambre2]*1='CHAMBRES FILLES 1e ETAGE'!$A$23,1,0)</calculatedColumnFormula>
    </tableColumn>
    <tableColumn id="177" name="Séquence22" dataDxfId="77">
      <calculatedColumnFormula>IF([Occurrence21]=0,0,SUM($FT$2:FT2))</calculatedColumnFormula>
    </tableColumn>
    <tableColumn id="178" name="Occurrence22" dataDxfId="76">
      <calculatedColumnFormula>IF([Chambre2]*1='CHAMBRES FILLES 1e ETAGE'!$A$29,1,0)</calculatedColumnFormula>
    </tableColumn>
    <tableColumn id="179" name="Séquence23" dataDxfId="75">
      <calculatedColumnFormula>IF([Occurrence22]=0,0,SUM($FV$2:FV2))</calculatedColumnFormula>
    </tableColumn>
    <tableColumn id="180" name="Occurrence23" dataDxfId="74">
      <calculatedColumnFormula>IF([Chambre2]*1='CHAMBRES FILLES 1e ETAGE'!$A$35,1,0)</calculatedColumnFormula>
    </tableColumn>
    <tableColumn id="181" name="Séquence24" dataDxfId="73">
      <calculatedColumnFormula>IF([Occurrence23]=0,0,SUM($FX$2:FX2))</calculatedColumnFormula>
    </tableColumn>
    <tableColumn id="182" name="Occurrence24" dataDxfId="72">
      <calculatedColumnFormula>IF([Chambre2]*1='CHAMBRES FILLES 1e ETAGE'!$A$41,1,0)</calculatedColumnFormula>
    </tableColumn>
    <tableColumn id="183" name="Séquence25" dataDxfId="71">
      <calculatedColumnFormula>IF([Occurrence24]=0,0,SUM($FZ$2:FZ2))</calculatedColumnFormula>
    </tableColumn>
    <tableColumn id="184" name="Occurrence25" dataDxfId="70">
      <calculatedColumnFormula>IF([Chambre2]*1='CHAMBRES FILLES 1e ETAGE'!$A$47,1,0)</calculatedColumnFormula>
    </tableColumn>
    <tableColumn id="185" name="Séquence26" dataDxfId="69">
      <calculatedColumnFormula>IF([Occurrence25]=0,0,SUM($GB$2:GB2))</calculatedColumnFormula>
    </tableColumn>
    <tableColumn id="186" name="Occurrence26" dataDxfId="68">
      <calculatedColumnFormula>IF([Chambre2]*1='CHAMBRES FILLES 1e ETAGE'!$A$53,1,0)</calculatedColumnFormula>
    </tableColumn>
    <tableColumn id="188" name="Séquence27" dataDxfId="67">
      <calculatedColumnFormula>IF([Occurrence26]=0,0,SUM($GD$2:GD2))</calculatedColumnFormula>
    </tableColumn>
    <tableColumn id="189" name="Occurrence27" dataDxfId="66">
      <calculatedColumnFormula>IF([chambre4]*1='CHAMBRES GARCONS 1e ETAGE'!$A$5,1,0)</calculatedColumnFormula>
    </tableColumn>
    <tableColumn id="235" name="Séquence28" dataDxfId="65">
      <calculatedColumnFormula>IF([Occurrence27]=0,0,SUM($GF$2:GF2))</calculatedColumnFormula>
    </tableColumn>
    <tableColumn id="234" name="Occurrence28" dataDxfId="64">
      <calculatedColumnFormula>IF([chambre4]*1='CHAMBRES GARCONS 1e ETAGE'!$A$11,1,0)</calculatedColumnFormula>
    </tableColumn>
    <tableColumn id="233" name="Séquence29" dataDxfId="63">
      <calculatedColumnFormula>IF([Occurrence28]=0,0,SUM($GH$2:GH2))</calculatedColumnFormula>
    </tableColumn>
    <tableColumn id="232" name="Occurrence29" dataDxfId="62">
      <calculatedColumnFormula>IF([chambre4]*1='CHAMBRES GARCONS 1e ETAGE'!$A$17,1,0)</calculatedColumnFormula>
    </tableColumn>
    <tableColumn id="231" name="Séquence30" dataDxfId="61">
      <calculatedColumnFormula>IF([Occurrence29]=0,0,SUM($GJ$2:GJ2))</calculatedColumnFormula>
    </tableColumn>
    <tableColumn id="230" name="Occurrence30" dataDxfId="60">
      <calculatedColumnFormula>IF([chambre4]*1='CHAMBRES GARCONS 1e ETAGE'!$A$23,1,0)</calculatedColumnFormula>
    </tableColumn>
    <tableColumn id="229" name="Séquence31" dataDxfId="59">
      <calculatedColumnFormula>IF([Occurrence30]=0,0,SUM($GL$2:GL2))</calculatedColumnFormula>
    </tableColumn>
    <tableColumn id="228" name="Occurrence31" dataDxfId="58">
      <calculatedColumnFormula>IF([chambre4]*1='CHAMBRES GARCONS 1e ETAGE'!$A$29,1,0)</calculatedColumnFormula>
    </tableColumn>
    <tableColumn id="227" name="Séquence32" dataDxfId="57">
      <calculatedColumnFormula>IF([Occurrence31]=0,0,SUM($GN$2:GN2))</calculatedColumnFormula>
    </tableColumn>
    <tableColumn id="226" name="Occurrence32" dataDxfId="56">
      <calculatedColumnFormula>IF([chambre4]*1='CHAMBRES GARCONS 1e ETAGE'!$A$35,1,0)</calculatedColumnFormula>
    </tableColumn>
    <tableColumn id="225" name="Séquence33" dataDxfId="55">
      <calculatedColumnFormula>IF([Occurrence32]=0,0,SUM($GP$2:GP2))</calculatedColumnFormula>
    </tableColumn>
    <tableColumn id="224" name="Occurrence33" dataDxfId="54">
      <calculatedColumnFormula>IF([chambre3]*1='CHAMBRES GARCONS RDC'!$A$5,1,0)</calculatedColumnFormula>
    </tableColumn>
    <tableColumn id="223" name="Séquence34" dataDxfId="53">
      <calculatedColumnFormula>IF([Occurrence33]=0,0,SUM($GR$2:GR2))</calculatedColumnFormula>
    </tableColumn>
    <tableColumn id="222" name="Occurrence34" dataDxfId="52">
      <calculatedColumnFormula>IF([chambre3]*1='CHAMBRES GARCONS RDC'!$A$11,1,0)</calculatedColumnFormula>
    </tableColumn>
    <tableColumn id="221" name="Séquence35" dataDxfId="51">
      <calculatedColumnFormula>IF([Occurrence34]=0,0,SUM($GT$2:GT2))</calculatedColumnFormula>
    </tableColumn>
    <tableColumn id="220" name="Occurrence35" dataDxfId="50">
      <calculatedColumnFormula>IF([chambre3]*1='CHAMBRES GARCONS RDC'!$A$17,1,0)</calculatedColumnFormula>
    </tableColumn>
    <tableColumn id="219" name="Séquence36" dataDxfId="49">
      <calculatedColumnFormula>IF([Occurrence35]=0,0,SUM($GV$2:GV2))</calculatedColumnFormula>
    </tableColumn>
    <tableColumn id="218" name="Occurrence36" dataDxfId="48">
      <calculatedColumnFormula>IF([chambre3]*1='CHAMBRES GARCONS RDC'!$A$23,1,0)</calculatedColumnFormula>
    </tableColumn>
    <tableColumn id="217" name="Séquence37" dataDxfId="47">
      <calculatedColumnFormula>IF([Occurrence36]=0,0,SUM($GX$2:GX2))</calculatedColumnFormula>
    </tableColumn>
    <tableColumn id="216" name="Occurrence37" dataDxfId="46">
      <calculatedColumnFormula>IF([chambre3]*1='CHAMBRES GARCONS RDC'!$A$29,1,0)</calculatedColumnFormula>
    </tableColumn>
    <tableColumn id="215" name="Séquence38" dataDxfId="45">
      <calculatedColumnFormula>IF([Occurrence37]=0,0,SUM($GZ$2:GZ2))</calculatedColumnFormula>
    </tableColumn>
    <tableColumn id="214" name="Occurrence38" dataDxfId="44">
      <calculatedColumnFormula>IF([chambre3]*1='CHAMBRES GARCONS RDC'!$A$35,1,0)</calculatedColumnFormula>
    </tableColumn>
    <tableColumn id="213" name="Séquence39" dataDxfId="43">
      <calculatedColumnFormula>IF([Occurrence38]=0,0,SUM($HB$2:HB2))</calculatedColumnFormula>
    </tableColumn>
    <tableColumn id="212" name="Occurrence39" dataDxfId="42">
      <calculatedColumnFormula>IF([chambre3]*1='CHAMBRES GARCONS RDC'!$A$41,1,0)</calculatedColumnFormula>
    </tableColumn>
    <tableColumn id="211" name="Séquence40" dataDxfId="41">
      <calculatedColumnFormula>IF([Occurrence39]=0,0,SUM($HD$2:HD2))</calculatedColumnFormula>
    </tableColumn>
    <tableColumn id="210" name="Occurrence40" dataDxfId="40">
      <calculatedColumnFormula>IF([chambre3]*1='CHAMBRES GARCONS RDC'!$A$47,1,0)</calculatedColumnFormula>
    </tableColumn>
    <tableColumn id="209" name="Séquence41" dataDxfId="39">
      <calculatedColumnFormula>IF([Occurrence40]=0,0,SUM($HF$2:HF2))</calculatedColumnFormula>
    </tableColumn>
    <tableColumn id="208" name="Occurrence41" dataDxfId="38">
      <calculatedColumnFormula>IF([chambre3]*1='CHAMBRES GARCONS RDC'!$A$53,1,0)</calculatedColumnFormula>
    </tableColumn>
    <tableColumn id="207" name="Séquence42" dataDxfId="37">
      <calculatedColumnFormula>IF([Occurrence41]=0,0,SUM($HH$2:HH2))</calculatedColumnFormula>
    </tableColumn>
    <tableColumn id="206" name="Occurrence42" dataDxfId="36">
      <calculatedColumnFormula>IF([chambre3]*1='CHAMBRES GARCONS RDC'!$A$59,1,0)</calculatedColumnFormula>
    </tableColumn>
    <tableColumn id="205" name="Séquence43" dataDxfId="35">
      <calculatedColumnFormula>IF([Occurrence42]=0,0,SUM($HJ$2:HJ2))</calculatedColumnFormula>
    </tableColumn>
    <tableColumn id="204" name="Occurrence43" dataDxfId="34">
      <calculatedColumnFormula>IF([chambre3]*1='CHAMBRES GARCONS RDC'!$A$65,1,0)</calculatedColumnFormula>
    </tableColumn>
    <tableColumn id="203" name="Séquence44" dataDxfId="33">
      <calculatedColumnFormula>IF([Occurrence43]=0,0,SUM($HL$2:HL2))</calculatedColumnFormula>
    </tableColumn>
    <tableColumn id="202" name="Occurrence44" dataDxfId="32">
      <calculatedColumnFormula>IF([chambre3]*1='CHAMBRES GARCONS RDC'!$A$71,1,0)</calculatedColumnFormula>
    </tableColumn>
    <tableColumn id="201" name="Séquence45" dataDxfId="31">
      <calculatedColumnFormula>IF([Occurrence44]=0,0,SUM($HN$2:HN2))</calculatedColumnFormula>
    </tableColumn>
    <tableColumn id="200" name="Occurrence45" dataDxfId="30">
      <calculatedColumnFormula>IF([chambre3]*1='CHAMBRES GARCONS RDC'!$A$77,1,0)</calculatedColumnFormula>
    </tableColumn>
    <tableColumn id="199" name="Séquence46" dataDxfId="29">
      <calculatedColumnFormula>IF([Occurrence45]=0,0,SUM($HP$2:HP2))</calculatedColumnFormula>
    </tableColumn>
    <tableColumn id="198" name="Occurrence46" dataDxfId="28">
      <calculatedColumnFormula>IF([chambre3]*1='CHAMBRES GARCONS RDC'!$A$83,1,0)</calculatedColumnFormula>
    </tableColumn>
    <tableColumn id="197" name="Séquence47" dataDxfId="27">
      <calculatedColumnFormula>IF([Occurrence46]=0,0,SUM($HR$2:HR2))</calculatedColumnFormula>
    </tableColumn>
    <tableColumn id="196" name="Occurrence47" dataDxfId="26">
      <calculatedColumnFormula>IF([chambre3]*1='CHAMBRES GARCONS RDC'!$A$89,1,0)</calculatedColumnFormula>
    </tableColumn>
    <tableColumn id="195" name="Séquence48" dataDxfId="25">
      <calculatedColumnFormula>IF([Occurrence47]=0,0,SUM($HT$2:HT2))</calculatedColumnFormula>
    </tableColumn>
    <tableColumn id="194" name="Occurrence48" dataDxfId="24">
      <calculatedColumnFormula>IF([chambre3]*1='CHAMBRES GARCONS RDC'!$A$95,1,0)</calculatedColumnFormula>
    </tableColumn>
    <tableColumn id="193" name="Séquence49" dataDxfId="23">
      <calculatedColumnFormula>IF([Occurrence48]=0,0,SUM($HV$2:HV2))</calculatedColumnFormula>
    </tableColumn>
    <tableColumn id="192" name="Occurrence49" dataDxfId="22"/>
    <tableColumn id="191" name="Séquence50" dataDxfId="21"/>
    <tableColumn id="236" name="Occurrence" dataDxfId="20">
      <calculatedColumnFormula>IF([Classe]='Liste élève par classes'!$B$5,1,0)</calculatedColumnFormula>
    </tableColumn>
    <tableColumn id="190" name="Séquence" dataDxfId="19">
      <calculatedColumnFormula>IF([Occurrence]=0,0,SUM($HZ$2:HZ2))</calculatedColumnFormula>
    </tableColumn>
    <tableColumn id="187" name="Chambres" dataDxfId="18">
      <calculatedColumnFormula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calculatedColumnFormula>
    </tableColumn>
    <tableColumn id="237" name="Colonne4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76" totalsRowShown="0" headerRowDxfId="16" headerRowBorderDxfId="15" tableBorderDxfId="14">
  <autoFilter ref="A1:K76"/>
  <tableColumns count="11">
    <tableColumn id="1" name="Classes" dataDxfId="13"/>
    <tableColumn id="2" name="Jours" dataDxfId="12"/>
    <tableColumn id="3" name="08h30" dataDxfId="11"/>
    <tableColumn id="4" name="09h20" dataDxfId="10"/>
    <tableColumn id="5" name="10h25" dataDxfId="9"/>
    <tableColumn id="6" name="11h20" dataDxfId="8"/>
    <tableColumn id="7" name="12h15" dataDxfId="7"/>
    <tableColumn id="8" name="13h35" dataDxfId="6"/>
    <tableColumn id="9" name="14h30" dataDxfId="5"/>
    <tableColumn id="10" name="15h30" dataDxfId="4"/>
    <tableColumn id="11" name="16h30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5" Type="http://schemas.openxmlformats.org/officeDocument/2006/relationships/control" Target="../activeX/activeX2.xml"/><Relationship Id="rId10" Type="http://schemas.openxmlformats.org/officeDocument/2006/relationships/control" Target="../activeX/activeX7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TB220"/>
  <sheetViews>
    <sheetView showGridLines="0" showRowColHeaders="0" tabSelected="1" workbookViewId="0">
      <selection activeCell="C8" sqref="C8"/>
    </sheetView>
  </sheetViews>
  <sheetFormatPr baseColWidth="10" defaultRowHeight="15"/>
  <cols>
    <col min="9" max="9" width="11.42578125" style="30"/>
    <col min="12" max="12" width="15" customWidth="1"/>
    <col min="13" max="13" width="9.7109375" customWidth="1"/>
  </cols>
  <sheetData>
    <row r="1" spans="1:522" ht="15" customHeight="1">
      <c r="A1" s="32"/>
      <c r="B1" s="32"/>
      <c r="C1" s="32"/>
      <c r="D1" s="32"/>
      <c r="E1" s="187"/>
      <c r="F1" s="32"/>
      <c r="G1" s="32"/>
      <c r="H1" s="32"/>
      <c r="I1" s="33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TB1" t="s">
        <v>810</v>
      </c>
    </row>
    <row r="2" spans="1:522" ht="15" customHeight="1">
      <c r="A2" s="32"/>
      <c r="B2" s="36"/>
      <c r="C2" s="36"/>
      <c r="D2" s="36"/>
      <c r="E2" s="36"/>
      <c r="F2" s="36"/>
      <c r="G2" s="36"/>
      <c r="H2" s="36"/>
      <c r="I2" s="33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TB2" t="s">
        <v>810</v>
      </c>
    </row>
    <row r="3" spans="1:522" ht="15" customHeight="1">
      <c r="A3" s="32"/>
      <c r="B3" s="36"/>
      <c r="C3" s="36"/>
      <c r="D3" s="36"/>
      <c r="E3" s="36"/>
      <c r="F3" s="36"/>
      <c r="G3" s="36"/>
      <c r="H3" s="36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TB3" t="s">
        <v>810</v>
      </c>
    </row>
    <row r="4" spans="1:522" ht="15" customHeight="1">
      <c r="A4" s="32"/>
      <c r="B4" s="37"/>
      <c r="C4" s="37"/>
      <c r="D4" s="37"/>
      <c r="E4" s="37"/>
      <c r="F4" s="37"/>
      <c r="G4" s="37"/>
      <c r="H4" s="37"/>
      <c r="I4" s="33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TB4" t="s">
        <v>810</v>
      </c>
    </row>
    <row r="5" spans="1:522" ht="15" customHeight="1">
      <c r="A5" s="32"/>
      <c r="B5" s="37"/>
      <c r="C5" s="37"/>
      <c r="D5" s="37"/>
      <c r="E5" s="37"/>
      <c r="F5" s="37"/>
      <c r="G5" s="37"/>
      <c r="H5" s="37"/>
      <c r="I5" s="33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TB5" t="s">
        <v>810</v>
      </c>
    </row>
    <row r="6" spans="1:522" ht="15" customHeight="1">
      <c r="A6" s="32"/>
      <c r="B6" s="37"/>
      <c r="C6" s="37"/>
      <c r="D6" s="37"/>
      <c r="E6" s="37"/>
      <c r="F6" s="37"/>
      <c r="G6" s="37"/>
      <c r="H6" s="37"/>
      <c r="I6" s="33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TB6" t="s">
        <v>810</v>
      </c>
    </row>
    <row r="7" spans="1:522" ht="15" customHeight="1">
      <c r="A7" s="32"/>
      <c r="B7" s="37"/>
      <c r="C7" s="37"/>
      <c r="D7" s="37"/>
      <c r="E7" s="37"/>
      <c r="F7" s="37"/>
      <c r="G7" s="37"/>
      <c r="H7" s="37"/>
      <c r="I7" s="3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TB7" t="s">
        <v>810</v>
      </c>
    </row>
    <row r="8" spans="1:522" ht="15.75" customHeight="1">
      <c r="A8" s="32"/>
      <c r="B8" s="37"/>
      <c r="C8" s="37"/>
      <c r="D8" s="37"/>
      <c r="E8" s="37"/>
      <c r="F8" s="37"/>
      <c r="G8" s="37"/>
      <c r="H8" s="37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TB8" t="s">
        <v>810</v>
      </c>
    </row>
    <row r="9" spans="1:522" ht="15" customHeight="1">
      <c r="A9" s="32"/>
      <c r="B9" s="37"/>
      <c r="C9" s="37"/>
      <c r="D9" s="37"/>
      <c r="E9" s="37"/>
      <c r="F9" s="37"/>
      <c r="G9" s="37"/>
      <c r="H9" s="37"/>
      <c r="I9" s="33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TB9" t="s">
        <v>810</v>
      </c>
    </row>
    <row r="10" spans="1:522" ht="15" customHeight="1">
      <c r="A10" s="32"/>
      <c r="B10" s="37"/>
      <c r="C10" s="37"/>
      <c r="D10" s="37"/>
      <c r="E10" s="37"/>
      <c r="F10" s="37"/>
      <c r="G10" s="37"/>
      <c r="H10" s="37"/>
      <c r="I10" s="33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TB10" t="s">
        <v>810</v>
      </c>
    </row>
    <row r="11" spans="1:522" ht="15" customHeight="1">
      <c r="A11" s="32"/>
      <c r="B11" s="37"/>
      <c r="C11" s="37"/>
      <c r="D11" s="37"/>
      <c r="E11" s="37"/>
      <c r="F11" s="37"/>
      <c r="G11" s="37"/>
      <c r="H11" s="37"/>
      <c r="I11" s="33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TB11" t="s">
        <v>810</v>
      </c>
    </row>
    <row r="12" spans="1:522" ht="15" customHeight="1">
      <c r="A12" s="32"/>
      <c r="B12" s="37"/>
      <c r="C12" s="37"/>
      <c r="D12" s="37"/>
      <c r="E12" s="37"/>
      <c r="F12" s="37"/>
      <c r="G12" s="37"/>
      <c r="H12" s="37"/>
      <c r="I12" s="33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TB12" t="s">
        <v>810</v>
      </c>
    </row>
    <row r="13" spans="1:522" ht="15" customHeight="1">
      <c r="A13" s="32"/>
      <c r="B13" s="37"/>
      <c r="C13" s="37"/>
      <c r="D13" s="37"/>
      <c r="E13" s="37"/>
      <c r="F13" s="37"/>
      <c r="G13" s="37"/>
      <c r="H13" s="37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TB13" t="s">
        <v>810</v>
      </c>
    </row>
    <row r="14" spans="1:522" ht="15" customHeight="1">
      <c r="A14" s="32"/>
      <c r="B14" s="32"/>
      <c r="C14" s="32"/>
      <c r="D14" s="32"/>
      <c r="E14" s="32"/>
      <c r="F14" s="32"/>
      <c r="G14" s="32"/>
      <c r="H14" s="32"/>
      <c r="I14" s="33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TB14" t="s">
        <v>810</v>
      </c>
    </row>
    <row r="15" spans="1:522" ht="15" customHeight="1">
      <c r="A15" s="32"/>
      <c r="B15" s="32"/>
      <c r="C15" s="32"/>
      <c r="D15" s="32"/>
      <c r="E15" s="34"/>
      <c r="F15" s="34"/>
      <c r="G15" s="34"/>
      <c r="H15" s="34"/>
      <c r="I15" s="33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TB15" t="s">
        <v>810</v>
      </c>
    </row>
    <row r="16" spans="1:522" ht="23.25" customHeight="1">
      <c r="A16" s="32"/>
      <c r="B16" s="36"/>
      <c r="C16" s="36"/>
      <c r="D16" s="36"/>
      <c r="E16" s="34"/>
      <c r="F16" s="34"/>
      <c r="G16" s="34"/>
      <c r="H16" s="34"/>
      <c r="I16" s="33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TB16" t="s">
        <v>810</v>
      </c>
    </row>
    <row r="17" spans="1:522" ht="15" customHeight="1">
      <c r="A17" s="32"/>
      <c r="B17" s="34"/>
      <c r="C17" s="34"/>
      <c r="D17" s="36"/>
      <c r="E17" s="34"/>
      <c r="F17" s="34"/>
      <c r="G17" s="34"/>
      <c r="H17" s="34"/>
      <c r="I17" s="37"/>
      <c r="J17" s="37"/>
      <c r="K17" s="37"/>
      <c r="L17" s="37"/>
      <c r="M17" s="33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TB17" t="s">
        <v>810</v>
      </c>
    </row>
    <row r="18" spans="1:522" ht="21" customHeight="1">
      <c r="A18" s="32"/>
      <c r="B18" s="38"/>
      <c r="C18" s="38">
        <v>2017</v>
      </c>
      <c r="D18" s="39" t="str">
        <f>" / "&amp;C18+1</f>
        <v xml:space="preserve"> / 2018</v>
      </c>
      <c r="E18" s="34"/>
      <c r="F18" s="34"/>
      <c r="G18" s="34"/>
      <c r="H18" s="34"/>
      <c r="I18" s="37"/>
      <c r="J18" s="37"/>
      <c r="K18" s="37"/>
      <c r="L18" s="37"/>
      <c r="M18" s="33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TB18" t="s">
        <v>810</v>
      </c>
    </row>
    <row r="19" spans="1:522" ht="15" customHeight="1">
      <c r="A19" s="32"/>
      <c r="B19" s="32"/>
      <c r="C19" s="32"/>
      <c r="D19" s="32"/>
      <c r="E19" s="34"/>
      <c r="F19" s="34"/>
      <c r="G19" s="34"/>
      <c r="H19" s="34"/>
      <c r="I19" s="37"/>
      <c r="J19" s="37"/>
      <c r="K19" s="37"/>
      <c r="L19" s="37"/>
      <c r="M19" s="33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TB19" t="s">
        <v>810</v>
      </c>
    </row>
    <row r="20" spans="1:522" ht="15.75" customHeight="1">
      <c r="A20" s="34"/>
      <c r="B20" s="34"/>
      <c r="C20" s="34"/>
      <c r="D20" s="34"/>
      <c r="E20" s="34"/>
      <c r="F20" s="34"/>
      <c r="G20" s="34"/>
      <c r="H20" s="34"/>
      <c r="I20" s="37"/>
      <c r="J20" s="37"/>
      <c r="K20" s="37"/>
      <c r="L20" s="37"/>
      <c r="M20" s="33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TB20" t="s">
        <v>810</v>
      </c>
    </row>
    <row r="21" spans="1:522" ht="15" customHeight="1">
      <c r="A21" s="34"/>
      <c r="B21" s="34"/>
      <c r="C21" s="34"/>
      <c r="D21" s="34"/>
      <c r="E21" s="34"/>
      <c r="F21" s="34"/>
      <c r="G21" s="34"/>
      <c r="H21" s="34"/>
      <c r="I21" s="37"/>
      <c r="J21" s="37"/>
      <c r="K21" s="37"/>
      <c r="L21" s="37"/>
      <c r="M21" s="33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TB21" t="s">
        <v>810</v>
      </c>
    </row>
    <row r="22" spans="1:522" ht="15" customHeight="1">
      <c r="A22" s="34"/>
      <c r="B22" s="34"/>
      <c r="C22" s="34"/>
      <c r="D22" s="34"/>
      <c r="E22" s="34"/>
      <c r="F22" s="34"/>
      <c r="G22" s="34"/>
      <c r="H22" s="34"/>
      <c r="I22" s="37"/>
      <c r="J22" s="37"/>
      <c r="K22" s="37"/>
      <c r="L22" s="37"/>
      <c r="M22" s="33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TB22" t="s">
        <v>810</v>
      </c>
    </row>
    <row r="23" spans="1:522" ht="15" customHeight="1">
      <c r="A23" s="34"/>
      <c r="B23" s="34"/>
      <c r="C23" s="34"/>
      <c r="D23" s="34"/>
      <c r="E23" s="34"/>
      <c r="F23" s="34"/>
      <c r="G23" s="34"/>
      <c r="H23" s="34"/>
      <c r="I23" s="33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TB23" t="s">
        <v>810</v>
      </c>
    </row>
    <row r="24" spans="1:522" ht="15" customHeight="1">
      <c r="A24" s="34"/>
      <c r="B24" s="34"/>
      <c r="C24" s="34"/>
      <c r="D24" s="34"/>
      <c r="E24" s="34"/>
      <c r="F24" s="34"/>
      <c r="G24" s="34"/>
      <c r="H24" s="34"/>
      <c r="I24" s="33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TB24" t="s">
        <v>810</v>
      </c>
    </row>
    <row r="25" spans="1:522" ht="15.75" customHeight="1">
      <c r="A25" s="34"/>
      <c r="B25" s="34"/>
      <c r="C25" s="34"/>
      <c r="D25" s="34"/>
      <c r="E25" s="34"/>
      <c r="F25" s="34"/>
      <c r="G25" s="34"/>
      <c r="H25" s="34"/>
      <c r="I25" s="33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TB25" t="s">
        <v>810</v>
      </c>
    </row>
    <row r="26" spans="1:522" ht="15" customHeight="1">
      <c r="A26" s="34"/>
      <c r="B26" s="34"/>
      <c r="C26" s="34"/>
      <c r="D26" s="34"/>
      <c r="E26" s="34"/>
      <c r="F26" s="34"/>
      <c r="G26" s="34"/>
      <c r="H26" s="34"/>
      <c r="I26" s="33"/>
      <c r="J26" s="34"/>
      <c r="K26" s="34"/>
      <c r="L26" s="34"/>
      <c r="M26" s="34"/>
      <c r="N26" s="34"/>
      <c r="O26" s="34"/>
      <c r="P26" s="34"/>
      <c r="Q26" s="32"/>
      <c r="R26" s="32"/>
      <c r="S26" s="34"/>
      <c r="T26" s="34"/>
      <c r="U26" s="34"/>
      <c r="V26" s="34"/>
      <c r="W26" s="34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TB26" t="s">
        <v>810</v>
      </c>
    </row>
    <row r="27" spans="1:522" ht="15" customHeight="1">
      <c r="A27" s="34"/>
      <c r="B27" s="34"/>
      <c r="C27" s="34"/>
      <c r="D27" s="34"/>
      <c r="E27" s="34"/>
      <c r="F27" s="34"/>
      <c r="G27" s="34"/>
      <c r="H27" s="34"/>
      <c r="I27" s="33"/>
      <c r="J27" s="34"/>
      <c r="K27" s="34"/>
      <c r="L27" s="34"/>
      <c r="M27" s="34"/>
      <c r="N27" s="34"/>
      <c r="O27" s="34"/>
      <c r="P27" s="34"/>
      <c r="Q27" s="32"/>
      <c r="R27" s="32"/>
      <c r="S27" s="34"/>
      <c r="T27" s="34"/>
      <c r="U27" s="34"/>
      <c r="V27" s="34"/>
      <c r="W27" s="34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TB27" t="s">
        <v>810</v>
      </c>
    </row>
    <row r="28" spans="1:522" ht="15" customHeight="1">
      <c r="A28" s="34"/>
      <c r="B28" s="34"/>
      <c r="C28" s="34"/>
      <c r="D28" s="34"/>
      <c r="E28" s="34"/>
      <c r="F28" s="34"/>
      <c r="G28" s="34"/>
      <c r="H28" s="34"/>
      <c r="I28" s="33"/>
      <c r="J28" s="34"/>
      <c r="K28" s="34"/>
      <c r="L28" s="34"/>
      <c r="M28" s="34"/>
      <c r="N28" s="34"/>
      <c r="O28" s="34"/>
      <c r="P28" s="34"/>
      <c r="Q28" s="296"/>
      <c r="R28" s="296"/>
      <c r="S28" s="296"/>
      <c r="T28" s="34"/>
      <c r="U28" s="34"/>
      <c r="V28" s="34"/>
      <c r="W28" s="34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TB28" t="s">
        <v>810</v>
      </c>
    </row>
    <row r="29" spans="1:522" ht="15.75" customHeight="1">
      <c r="A29" s="34"/>
      <c r="B29" s="34"/>
      <c r="C29" s="34"/>
      <c r="D29" s="34"/>
      <c r="E29" s="34"/>
      <c r="F29" s="34"/>
      <c r="G29" s="34"/>
      <c r="H29" s="34"/>
      <c r="I29" s="33"/>
      <c r="J29" s="34"/>
      <c r="K29" s="34"/>
      <c r="L29" s="34"/>
      <c r="M29" s="34"/>
      <c r="N29" s="34"/>
      <c r="O29" s="34"/>
      <c r="P29" s="34"/>
      <c r="Q29" s="296"/>
      <c r="R29" s="296"/>
      <c r="S29" s="296"/>
      <c r="T29" s="34"/>
      <c r="U29" s="34"/>
      <c r="V29" s="34"/>
      <c r="W29" s="34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TB29" t="s">
        <v>810</v>
      </c>
    </row>
    <row r="30" spans="1:522" ht="15.75" customHeight="1">
      <c r="A30" s="34"/>
      <c r="B30" s="34"/>
      <c r="C30" s="34"/>
      <c r="D30" s="34"/>
      <c r="E30" s="34"/>
      <c r="F30" s="34"/>
      <c r="G30" s="34"/>
      <c r="H30" s="34"/>
      <c r="I30" s="33"/>
      <c r="J30" s="34"/>
      <c r="K30" s="34"/>
      <c r="L30" s="34"/>
      <c r="M30" s="34"/>
      <c r="N30" s="34"/>
      <c r="O30" s="34"/>
      <c r="P30" s="34"/>
      <c r="Q30" s="296"/>
      <c r="R30" s="296"/>
      <c r="S30" s="296"/>
      <c r="T30" s="34"/>
      <c r="U30" s="34"/>
      <c r="V30" s="34"/>
      <c r="W30" s="34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TB30" t="s">
        <v>810</v>
      </c>
    </row>
    <row r="31" spans="1:522" ht="15" customHeight="1">
      <c r="A31" s="34"/>
      <c r="B31" s="34"/>
      <c r="C31" s="34"/>
      <c r="D31" s="34"/>
      <c r="E31" s="34"/>
      <c r="F31" s="34"/>
      <c r="G31" s="34"/>
      <c r="H31" s="34"/>
      <c r="I31" s="33"/>
      <c r="J31" s="34"/>
      <c r="K31" s="34"/>
      <c r="L31" s="34"/>
      <c r="M31" s="34"/>
      <c r="N31" s="34"/>
      <c r="O31" s="34"/>
      <c r="P31" s="34"/>
      <c r="Q31" s="296"/>
      <c r="R31" s="296"/>
      <c r="S31" s="296"/>
      <c r="T31" s="34"/>
      <c r="U31" s="34"/>
      <c r="V31" s="34"/>
      <c r="W31" s="34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TB31" t="s">
        <v>810</v>
      </c>
    </row>
    <row r="32" spans="1:522" ht="15" customHeight="1">
      <c r="A32" s="34"/>
      <c r="B32" s="34"/>
      <c r="C32" s="34"/>
      <c r="D32" s="34"/>
      <c r="E32" s="34"/>
      <c r="F32" s="34"/>
      <c r="G32" s="34"/>
      <c r="H32" s="34"/>
      <c r="I32" s="33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TB32" t="s">
        <v>810</v>
      </c>
    </row>
    <row r="33" spans="1:522" ht="15" customHeight="1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TB33" t="s">
        <v>810</v>
      </c>
    </row>
    <row r="34" spans="1:522" ht="15" customHeight="1">
      <c r="A34" s="34"/>
      <c r="B34" s="34"/>
      <c r="C34" s="34"/>
      <c r="D34" s="34"/>
      <c r="E34" s="34"/>
      <c r="F34" s="40"/>
      <c r="G34" s="34"/>
      <c r="H34" s="34"/>
      <c r="I34" s="34"/>
      <c r="J34" s="34"/>
      <c r="K34" s="34"/>
      <c r="L34" s="41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TB34" t="s">
        <v>810</v>
      </c>
    </row>
    <row r="35" spans="1:522" ht="15" customHeight="1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TB35" t="s">
        <v>810</v>
      </c>
    </row>
    <row r="36" spans="1:522">
      <c r="A36" s="34"/>
      <c r="B36" s="34"/>
      <c r="C36" s="34"/>
      <c r="D36" s="34"/>
      <c r="E36" s="34"/>
      <c r="F36" s="34"/>
      <c r="G36" s="42"/>
      <c r="H36" s="42"/>
      <c r="I36" s="43"/>
      <c r="J36" s="44"/>
      <c r="K36" s="44"/>
      <c r="L36" s="44"/>
      <c r="M36" s="44"/>
      <c r="N36" s="44"/>
      <c r="O36" s="44"/>
      <c r="P36" s="34"/>
      <c r="Q36" s="34"/>
      <c r="R36" s="34"/>
      <c r="S36" s="34"/>
      <c r="T36" s="34"/>
      <c r="U36" s="34"/>
      <c r="V36" s="34"/>
      <c r="W36" s="34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TB36" t="s">
        <v>810</v>
      </c>
    </row>
    <row r="37" spans="1:522">
      <c r="A37" s="34"/>
      <c r="B37" s="34"/>
      <c r="C37" s="34"/>
      <c r="D37" s="34"/>
      <c r="E37" s="34"/>
      <c r="F37" s="34"/>
      <c r="G37" s="42"/>
      <c r="H37" s="42"/>
      <c r="I37" s="43"/>
      <c r="J37" s="44"/>
      <c r="K37" s="44"/>
      <c r="L37" s="44"/>
      <c r="M37" s="44"/>
      <c r="N37" s="44"/>
      <c r="O37" s="44"/>
      <c r="P37" s="34"/>
      <c r="Q37" s="34"/>
      <c r="R37" s="34"/>
      <c r="S37" s="34"/>
      <c r="T37" s="34"/>
      <c r="U37" s="34"/>
      <c r="V37" s="34"/>
      <c r="W37" s="34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TB37" t="s">
        <v>810</v>
      </c>
    </row>
    <row r="38" spans="1:522">
      <c r="A38" s="34"/>
      <c r="B38" s="34"/>
      <c r="C38" s="34"/>
      <c r="D38" s="34"/>
      <c r="E38" s="34"/>
      <c r="F38" s="34"/>
      <c r="G38" s="42"/>
      <c r="H38" s="42"/>
      <c r="I38" s="43"/>
      <c r="J38" s="44"/>
      <c r="K38" s="44"/>
      <c r="L38" s="44"/>
      <c r="M38" s="44"/>
      <c r="N38" s="44"/>
      <c r="O38" s="44"/>
      <c r="P38" s="34"/>
      <c r="Q38" s="34"/>
      <c r="R38" s="34"/>
      <c r="S38" s="34"/>
      <c r="T38" s="34"/>
      <c r="U38" s="34"/>
      <c r="V38" s="34"/>
      <c r="W38" s="34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TB38" t="s">
        <v>810</v>
      </c>
    </row>
    <row r="39" spans="1:522">
      <c r="A39" s="34"/>
      <c r="B39" s="34"/>
      <c r="C39" s="34"/>
      <c r="D39" s="34"/>
      <c r="E39" s="34"/>
      <c r="F39" s="34"/>
      <c r="G39" s="42"/>
      <c r="H39" s="42"/>
      <c r="I39" s="43"/>
      <c r="J39" s="44"/>
      <c r="K39" s="44"/>
      <c r="L39" s="44"/>
      <c r="M39" s="44"/>
      <c r="N39" s="44"/>
      <c r="O39" s="44"/>
      <c r="P39" s="34"/>
      <c r="Q39" s="34"/>
      <c r="R39" s="34"/>
      <c r="S39" s="34"/>
      <c r="T39" s="34"/>
      <c r="U39" s="34"/>
      <c r="V39" s="34"/>
      <c r="W39" s="34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TB39" t="s">
        <v>810</v>
      </c>
    </row>
    <row r="40" spans="1:522">
      <c r="A40" s="34"/>
      <c r="B40" s="34"/>
      <c r="C40" s="34"/>
      <c r="D40" s="34"/>
      <c r="E40" s="34"/>
      <c r="F40" s="34"/>
      <c r="G40" s="42"/>
      <c r="H40" s="42"/>
      <c r="I40" s="43"/>
      <c r="J40" s="44"/>
      <c r="K40" s="44"/>
      <c r="L40" s="44"/>
      <c r="M40" s="44"/>
      <c r="N40" s="44"/>
      <c r="O40" s="44"/>
      <c r="P40" s="34"/>
      <c r="Q40" s="34"/>
      <c r="R40" s="34"/>
      <c r="S40" s="34"/>
      <c r="T40" s="34"/>
      <c r="U40" s="34"/>
      <c r="V40" s="34"/>
      <c r="W40" s="34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TB40" t="s">
        <v>810</v>
      </c>
    </row>
    <row r="41" spans="1:522">
      <c r="A41" s="34"/>
      <c r="B41" s="34"/>
      <c r="C41" s="34"/>
      <c r="D41" s="34"/>
      <c r="E41" s="34"/>
      <c r="F41" s="34"/>
      <c r="G41" s="42"/>
      <c r="H41" s="42"/>
      <c r="I41" s="43"/>
      <c r="J41" s="44"/>
      <c r="K41" s="44"/>
      <c r="L41" s="44"/>
      <c r="M41" s="44"/>
      <c r="N41" s="44"/>
      <c r="O41" s="44"/>
      <c r="P41" s="34"/>
      <c r="Q41" s="34"/>
      <c r="R41" s="34"/>
      <c r="S41" s="34"/>
      <c r="T41" s="34"/>
      <c r="U41" s="34"/>
      <c r="V41" s="34"/>
      <c r="W41" s="34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TB41" t="s">
        <v>810</v>
      </c>
    </row>
    <row r="42" spans="1:522">
      <c r="A42" s="34"/>
      <c r="B42" s="34"/>
      <c r="C42" s="34"/>
      <c r="D42" s="34"/>
      <c r="E42" s="34"/>
      <c r="F42" s="34"/>
      <c r="G42" s="34"/>
      <c r="H42" s="34"/>
      <c r="I42" s="33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TB42" t="s">
        <v>810</v>
      </c>
    </row>
    <row r="43" spans="1:522">
      <c r="A43" s="34"/>
      <c r="B43" s="34"/>
      <c r="C43" s="34"/>
      <c r="D43" s="34"/>
      <c r="E43" s="34"/>
      <c r="F43" s="34"/>
      <c r="G43" s="34"/>
      <c r="H43" s="34"/>
      <c r="I43" s="33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TB43" t="s">
        <v>810</v>
      </c>
    </row>
    <row r="44" spans="1:522">
      <c r="A44" s="34"/>
      <c r="B44" s="34"/>
      <c r="C44" s="34"/>
      <c r="D44" s="34"/>
      <c r="E44" s="34"/>
      <c r="F44" s="34"/>
      <c r="G44" s="34"/>
      <c r="H44" s="34"/>
      <c r="I44" s="33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TB44" t="s">
        <v>810</v>
      </c>
    </row>
    <row r="45" spans="1:522">
      <c r="A45" s="34"/>
      <c r="B45" s="34"/>
      <c r="C45" s="34"/>
      <c r="D45" s="34"/>
      <c r="E45" s="34"/>
      <c r="F45" s="34"/>
      <c r="G45" s="34"/>
      <c r="H45" s="34"/>
      <c r="I45" s="33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TB45" t="s">
        <v>810</v>
      </c>
    </row>
    <row r="46" spans="1:522">
      <c r="A46" s="34"/>
      <c r="B46" s="34"/>
      <c r="C46" s="34"/>
      <c r="D46" s="34"/>
      <c r="E46" s="34"/>
      <c r="F46" s="34"/>
      <c r="G46" s="34"/>
      <c r="H46" s="34"/>
      <c r="I46" s="33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TB46" t="s">
        <v>810</v>
      </c>
    </row>
    <row r="47" spans="1:522">
      <c r="A47" s="34"/>
      <c r="B47" s="34"/>
      <c r="C47" s="34"/>
      <c r="D47" s="34"/>
      <c r="E47" s="34"/>
      <c r="F47" s="34"/>
      <c r="G47" s="34"/>
      <c r="H47" s="34"/>
      <c r="I47" s="33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TB47" t="s">
        <v>810</v>
      </c>
    </row>
    <row r="48" spans="1:522">
      <c r="A48" s="34"/>
      <c r="B48" s="34"/>
      <c r="C48" s="34"/>
      <c r="D48" s="34"/>
      <c r="E48" s="34"/>
      <c r="F48" s="34"/>
      <c r="G48" s="34"/>
      <c r="H48" s="34"/>
      <c r="I48" s="33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TB48" t="s">
        <v>810</v>
      </c>
    </row>
    <row r="49" spans="1:522">
      <c r="A49" s="34"/>
      <c r="B49" s="34"/>
      <c r="C49" s="34"/>
      <c r="D49" s="34"/>
      <c r="E49" s="34"/>
      <c r="F49" s="34"/>
      <c r="G49" s="34"/>
      <c r="H49" s="34"/>
      <c r="I49" s="33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TB49" t="s">
        <v>810</v>
      </c>
    </row>
    <row r="50" spans="1:522">
      <c r="A50" s="34"/>
      <c r="B50" s="34"/>
      <c r="C50" s="34"/>
      <c r="D50" s="34"/>
      <c r="E50" s="34"/>
      <c r="F50" s="34"/>
      <c r="G50" s="34"/>
      <c r="H50" s="34"/>
      <c r="I50" s="33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TB50" t="s">
        <v>810</v>
      </c>
    </row>
    <row r="51" spans="1:522">
      <c r="A51" s="34"/>
      <c r="B51" s="34"/>
      <c r="C51" s="34"/>
      <c r="D51" s="34"/>
      <c r="E51" s="34"/>
      <c r="F51" s="34"/>
      <c r="G51" s="34"/>
      <c r="H51" s="34"/>
      <c r="I51" s="33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TB51" t="s">
        <v>810</v>
      </c>
    </row>
    <row r="52" spans="1:522">
      <c r="A52" s="34"/>
      <c r="B52" s="34"/>
      <c r="C52" s="34"/>
      <c r="D52" s="34"/>
      <c r="E52" s="34"/>
      <c r="F52" s="34"/>
      <c r="G52" s="34"/>
      <c r="H52" s="34"/>
      <c r="I52" s="33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TB52" t="s">
        <v>810</v>
      </c>
    </row>
    <row r="53" spans="1:522">
      <c r="A53" s="34"/>
      <c r="B53" s="34"/>
      <c r="C53" s="34"/>
      <c r="D53" s="34"/>
      <c r="E53" s="34"/>
      <c r="F53" s="34"/>
      <c r="G53" s="34"/>
      <c r="H53" s="34"/>
      <c r="I53" s="33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TB53" t="s">
        <v>810</v>
      </c>
    </row>
    <row r="54" spans="1:522">
      <c r="A54" s="34"/>
      <c r="B54" s="34"/>
      <c r="C54" s="34"/>
      <c r="D54" s="34"/>
      <c r="E54" s="34"/>
      <c r="F54" s="34"/>
      <c r="G54" s="34"/>
      <c r="H54" s="34"/>
      <c r="I54" s="33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TB54" t="s">
        <v>810</v>
      </c>
    </row>
    <row r="55" spans="1:522">
      <c r="A55" s="35"/>
      <c r="B55" s="35"/>
      <c r="C55" s="35"/>
      <c r="D55" s="35"/>
      <c r="E55" s="35"/>
      <c r="F55" s="35"/>
      <c r="G55" s="35"/>
      <c r="H55" s="35"/>
      <c r="I55" s="4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TB55" t="s">
        <v>810</v>
      </c>
    </row>
    <row r="56" spans="1:522">
      <c r="A56" s="35"/>
      <c r="B56" s="35"/>
      <c r="C56" s="35"/>
      <c r="D56" s="35"/>
      <c r="E56" s="35"/>
      <c r="F56" s="35"/>
      <c r="G56" s="35"/>
      <c r="H56" s="35"/>
      <c r="I56" s="4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TB56" t="s">
        <v>810</v>
      </c>
    </row>
    <row r="57" spans="1:522">
      <c r="A57" s="35"/>
      <c r="B57" s="35"/>
      <c r="C57" s="35"/>
      <c r="D57" s="35"/>
      <c r="E57" s="35"/>
      <c r="F57" s="35"/>
      <c r="G57" s="35"/>
      <c r="H57" s="35"/>
      <c r="I57" s="4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TB57" t="s">
        <v>810</v>
      </c>
    </row>
    <row r="58" spans="1:522">
      <c r="A58" s="35"/>
      <c r="B58" s="35"/>
      <c r="C58" s="35"/>
      <c r="D58" s="35"/>
      <c r="E58" s="35"/>
      <c r="F58" s="35"/>
      <c r="G58" s="35"/>
      <c r="H58" s="35"/>
      <c r="I58" s="4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TB58" t="s">
        <v>810</v>
      </c>
    </row>
    <row r="59" spans="1:522">
      <c r="A59" s="35"/>
      <c r="B59" s="35"/>
      <c r="C59" s="35"/>
      <c r="D59" s="35"/>
      <c r="E59" s="35"/>
      <c r="F59" s="35"/>
      <c r="G59" s="35"/>
      <c r="H59" s="35"/>
      <c r="I59" s="4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TB59" t="s">
        <v>810</v>
      </c>
    </row>
    <row r="60" spans="1:522">
      <c r="A60" s="35"/>
      <c r="B60" s="35"/>
      <c r="C60" s="35"/>
      <c r="D60" s="35"/>
      <c r="E60" s="35"/>
      <c r="F60" s="35"/>
      <c r="G60" s="35"/>
      <c r="H60" s="35"/>
      <c r="I60" s="4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TB60" t="s">
        <v>810</v>
      </c>
    </row>
    <row r="61" spans="1:522">
      <c r="A61" s="35"/>
      <c r="B61" s="35"/>
      <c r="C61" s="35"/>
      <c r="D61" s="35"/>
      <c r="E61" s="35"/>
      <c r="F61" s="35"/>
      <c r="G61" s="35"/>
      <c r="H61" s="35"/>
      <c r="I61" s="4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TB61" t="s">
        <v>810</v>
      </c>
    </row>
    <row r="62" spans="1:522">
      <c r="A62" s="35"/>
      <c r="B62" s="35"/>
      <c r="C62" s="35"/>
      <c r="D62" s="35"/>
      <c r="E62" s="35"/>
      <c r="F62" s="35"/>
      <c r="G62" s="35"/>
      <c r="H62" s="35"/>
      <c r="I62" s="4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TB62" t="s">
        <v>810</v>
      </c>
    </row>
    <row r="63" spans="1:522">
      <c r="A63" s="35"/>
      <c r="B63" s="35"/>
      <c r="C63" s="35"/>
      <c r="D63" s="35"/>
      <c r="E63" s="35"/>
      <c r="F63" s="35"/>
      <c r="G63" s="35"/>
      <c r="H63" s="35"/>
      <c r="I63" s="4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TB63" t="s">
        <v>810</v>
      </c>
    </row>
    <row r="64" spans="1:522">
      <c r="A64" s="35"/>
      <c r="B64" s="35"/>
      <c r="C64" s="35"/>
      <c r="D64" s="35"/>
      <c r="E64" s="35"/>
      <c r="F64" s="35"/>
      <c r="G64" s="35"/>
      <c r="H64" s="35"/>
      <c r="I64" s="4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TB64" t="s">
        <v>810</v>
      </c>
    </row>
    <row r="65" spans="1:522">
      <c r="A65" s="35"/>
      <c r="B65" s="35"/>
      <c r="C65" s="35"/>
      <c r="D65" s="35"/>
      <c r="E65" s="35"/>
      <c r="F65" s="35"/>
      <c r="G65" s="35"/>
      <c r="H65" s="35"/>
      <c r="I65" s="4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TB65" t="s">
        <v>810</v>
      </c>
    </row>
    <row r="66" spans="1:522">
      <c r="A66" s="35"/>
      <c r="B66" s="35"/>
      <c r="C66" s="35"/>
      <c r="D66" s="35"/>
      <c r="E66" s="35"/>
      <c r="F66" s="35"/>
      <c r="G66" s="35"/>
      <c r="H66" s="35"/>
      <c r="I66" s="4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TB66" t="s">
        <v>810</v>
      </c>
    </row>
    <row r="67" spans="1:522">
      <c r="A67" s="35"/>
      <c r="B67" s="35"/>
      <c r="C67" s="35"/>
      <c r="D67" s="35"/>
      <c r="E67" s="35"/>
      <c r="F67" s="35"/>
      <c r="G67" s="35"/>
      <c r="H67" s="35"/>
      <c r="I67" s="4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TB67" t="s">
        <v>810</v>
      </c>
    </row>
    <row r="68" spans="1:522">
      <c r="A68" s="35"/>
      <c r="B68" s="35"/>
      <c r="C68" s="35"/>
      <c r="D68" s="35"/>
      <c r="E68" s="35"/>
      <c r="F68" s="35"/>
      <c r="G68" s="35"/>
      <c r="H68" s="35"/>
      <c r="I68" s="4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TB68" t="s">
        <v>810</v>
      </c>
    </row>
    <row r="69" spans="1:522">
      <c r="A69" s="35"/>
      <c r="B69" s="35"/>
      <c r="C69" s="35"/>
      <c r="D69" s="35"/>
      <c r="E69" s="35"/>
      <c r="F69" s="35"/>
      <c r="G69" s="35"/>
      <c r="H69" s="35"/>
      <c r="I69" s="4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TB69" t="s">
        <v>810</v>
      </c>
    </row>
    <row r="70" spans="1:522">
      <c r="A70" s="35"/>
      <c r="B70" s="35"/>
      <c r="C70" s="35"/>
      <c r="D70" s="35"/>
      <c r="E70" s="35"/>
      <c r="F70" s="35"/>
      <c r="G70" s="35"/>
      <c r="H70" s="35"/>
      <c r="I70" s="4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TB70" t="s">
        <v>810</v>
      </c>
    </row>
    <row r="71" spans="1:522">
      <c r="A71" s="35"/>
      <c r="B71" s="35"/>
      <c r="C71" s="35"/>
      <c r="D71" s="35"/>
      <c r="E71" s="35"/>
      <c r="F71" s="35"/>
      <c r="G71" s="35"/>
      <c r="H71" s="35"/>
      <c r="I71" s="4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TB71" t="s">
        <v>810</v>
      </c>
    </row>
    <row r="72" spans="1:522">
      <c r="A72" s="35"/>
      <c r="B72" s="35"/>
      <c r="C72" s="35"/>
      <c r="D72" s="35"/>
      <c r="E72" s="35"/>
      <c r="F72" s="35"/>
      <c r="G72" s="35"/>
      <c r="H72" s="35"/>
      <c r="I72" s="4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TB72" t="s">
        <v>810</v>
      </c>
    </row>
    <row r="73" spans="1:522">
      <c r="A73" s="35"/>
      <c r="B73" s="35"/>
      <c r="C73" s="35"/>
      <c r="D73" s="35"/>
      <c r="E73" s="35"/>
      <c r="F73" s="35"/>
      <c r="G73" s="35"/>
      <c r="H73" s="35"/>
      <c r="I73" s="4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TB73" t="s">
        <v>810</v>
      </c>
    </row>
    <row r="74" spans="1:522">
      <c r="A74" s="35"/>
      <c r="B74" s="35"/>
      <c r="C74" s="35"/>
      <c r="D74" s="35"/>
      <c r="E74" s="35"/>
      <c r="F74" s="35"/>
      <c r="G74" s="35"/>
      <c r="H74" s="35"/>
      <c r="I74" s="4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TB74" t="s">
        <v>810</v>
      </c>
    </row>
    <row r="75" spans="1:522">
      <c r="A75" s="35"/>
      <c r="B75" s="35"/>
      <c r="C75" s="35"/>
      <c r="D75" s="35"/>
      <c r="E75" s="35"/>
      <c r="F75" s="35"/>
      <c r="G75" s="35"/>
      <c r="H75" s="35"/>
      <c r="I75" s="4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TB75" t="s">
        <v>810</v>
      </c>
    </row>
    <row r="76" spans="1:522">
      <c r="A76" s="35"/>
      <c r="B76" s="35"/>
      <c r="C76" s="35"/>
      <c r="D76" s="35"/>
      <c r="E76" s="35"/>
      <c r="F76" s="35"/>
      <c r="G76" s="35"/>
      <c r="H76" s="35"/>
      <c r="I76" s="4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TB76" t="s">
        <v>810</v>
      </c>
    </row>
    <row r="77" spans="1:522">
      <c r="A77" s="35"/>
      <c r="B77" s="35"/>
      <c r="C77" s="35"/>
      <c r="D77" s="35"/>
      <c r="E77" s="35"/>
      <c r="F77" s="35"/>
      <c r="G77" s="35"/>
      <c r="H77" s="35"/>
      <c r="I77" s="4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TB77" t="s">
        <v>810</v>
      </c>
    </row>
    <row r="78" spans="1:522">
      <c r="A78" s="35"/>
      <c r="B78" s="35"/>
      <c r="C78" s="35"/>
      <c r="D78" s="35"/>
      <c r="E78" s="35"/>
      <c r="F78" s="35"/>
      <c r="G78" s="35"/>
      <c r="H78" s="35"/>
      <c r="I78" s="4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TB78" t="s">
        <v>810</v>
      </c>
    </row>
    <row r="79" spans="1:522">
      <c r="A79" s="35"/>
      <c r="B79" s="35"/>
      <c r="C79" s="35"/>
      <c r="D79" s="35"/>
      <c r="E79" s="35"/>
      <c r="F79" s="35"/>
      <c r="G79" s="35"/>
      <c r="H79" s="35"/>
      <c r="I79" s="4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TB79" t="s">
        <v>810</v>
      </c>
    </row>
    <row r="80" spans="1:522">
      <c r="A80" s="35"/>
      <c r="B80" s="35"/>
      <c r="C80" s="35"/>
      <c r="D80" s="35"/>
      <c r="E80" s="35"/>
      <c r="F80" s="35"/>
      <c r="G80" s="35"/>
      <c r="H80" s="35"/>
      <c r="I80" s="4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TB80" t="s">
        <v>810</v>
      </c>
    </row>
    <row r="81" spans="1:522">
      <c r="A81" s="35"/>
      <c r="B81" s="35"/>
      <c r="C81" s="35"/>
      <c r="D81" s="35"/>
      <c r="E81" s="35"/>
      <c r="F81" s="35"/>
      <c r="G81" s="35"/>
      <c r="H81" s="35"/>
      <c r="I81" s="4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TB81" t="s">
        <v>810</v>
      </c>
    </row>
    <row r="82" spans="1:522">
      <c r="A82" s="35"/>
      <c r="B82" s="35"/>
      <c r="C82" s="35"/>
      <c r="D82" s="35"/>
      <c r="E82" s="35"/>
      <c r="F82" s="35"/>
      <c r="G82" s="35"/>
      <c r="H82" s="35"/>
      <c r="I82" s="4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TB82" t="s">
        <v>810</v>
      </c>
    </row>
    <row r="83" spans="1:522">
      <c r="A83" s="35"/>
      <c r="B83" s="35"/>
      <c r="C83" s="35"/>
      <c r="D83" s="35"/>
      <c r="E83" s="35"/>
      <c r="F83" s="35"/>
      <c r="G83" s="35"/>
      <c r="H83" s="35"/>
      <c r="I83" s="4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TB83" t="s">
        <v>810</v>
      </c>
    </row>
    <row r="84" spans="1:522">
      <c r="A84" s="35"/>
      <c r="B84" s="35"/>
      <c r="C84" s="35"/>
      <c r="D84" s="35"/>
      <c r="E84" s="35"/>
      <c r="F84" s="35"/>
      <c r="G84" s="35"/>
      <c r="H84" s="35"/>
      <c r="I84" s="4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TB84" t="s">
        <v>810</v>
      </c>
    </row>
    <row r="85" spans="1:522">
      <c r="A85" s="35"/>
      <c r="B85" s="35"/>
      <c r="C85" s="35"/>
      <c r="D85" s="35"/>
      <c r="E85" s="35"/>
      <c r="F85" s="35"/>
      <c r="G85" s="35"/>
      <c r="H85" s="35"/>
      <c r="I85" s="4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TB85" t="s">
        <v>810</v>
      </c>
    </row>
    <row r="86" spans="1:522">
      <c r="A86" s="35"/>
      <c r="B86" s="35"/>
      <c r="C86" s="35"/>
      <c r="D86" s="35"/>
      <c r="E86" s="35"/>
      <c r="F86" s="35"/>
      <c r="G86" s="35"/>
      <c r="H86" s="35"/>
      <c r="I86" s="4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TB86" t="s">
        <v>810</v>
      </c>
    </row>
    <row r="87" spans="1:522">
      <c r="A87" s="35"/>
      <c r="B87" s="35"/>
      <c r="C87" s="35"/>
      <c r="D87" s="35"/>
      <c r="E87" s="35"/>
      <c r="F87" s="35"/>
      <c r="G87" s="35"/>
      <c r="H87" s="35"/>
      <c r="I87" s="4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TB87" t="s">
        <v>810</v>
      </c>
    </row>
    <row r="88" spans="1:522">
      <c r="A88" s="35"/>
      <c r="B88" s="35"/>
      <c r="C88" s="35"/>
      <c r="D88" s="35"/>
      <c r="E88" s="35"/>
      <c r="F88" s="35"/>
      <c r="G88" s="35"/>
      <c r="H88" s="35"/>
      <c r="I88" s="4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TB88" t="s">
        <v>810</v>
      </c>
    </row>
    <row r="89" spans="1:522">
      <c r="A89" s="35"/>
      <c r="B89" s="35"/>
      <c r="C89" s="35"/>
      <c r="D89" s="35"/>
      <c r="E89" s="35"/>
      <c r="F89" s="35"/>
      <c r="G89" s="35"/>
      <c r="H89" s="35"/>
      <c r="I89" s="4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TB89" t="s">
        <v>810</v>
      </c>
    </row>
    <row r="90" spans="1:522">
      <c r="A90" s="35"/>
      <c r="B90" s="35"/>
      <c r="C90" s="35"/>
      <c r="D90" s="35"/>
      <c r="E90" s="35"/>
      <c r="F90" s="35"/>
      <c r="G90" s="35"/>
      <c r="H90" s="35"/>
      <c r="I90" s="4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TB90" t="s">
        <v>810</v>
      </c>
    </row>
    <row r="91" spans="1:522">
      <c r="A91" s="35"/>
      <c r="B91" s="35"/>
      <c r="C91" s="35"/>
      <c r="D91" s="35"/>
      <c r="E91" s="35"/>
      <c r="F91" s="35"/>
      <c r="G91" s="35"/>
      <c r="H91" s="35"/>
      <c r="I91" s="4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TB91" t="s">
        <v>810</v>
      </c>
    </row>
    <row r="92" spans="1:522">
      <c r="A92" s="35"/>
      <c r="B92" s="35"/>
      <c r="C92" s="35"/>
      <c r="D92" s="35"/>
      <c r="E92" s="35"/>
      <c r="F92" s="35"/>
      <c r="G92" s="35"/>
      <c r="H92" s="35"/>
      <c r="I92" s="4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TB92" t="s">
        <v>810</v>
      </c>
    </row>
    <row r="93" spans="1:522">
      <c r="A93" s="35"/>
      <c r="B93" s="35"/>
      <c r="C93" s="35"/>
      <c r="D93" s="35"/>
      <c r="E93" s="35"/>
      <c r="F93" s="35"/>
      <c r="G93" s="35"/>
      <c r="H93" s="35"/>
      <c r="I93" s="4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TB93" t="s">
        <v>810</v>
      </c>
    </row>
    <row r="94" spans="1:522">
      <c r="A94" s="35"/>
      <c r="B94" s="35"/>
      <c r="C94" s="35"/>
      <c r="D94" s="35"/>
      <c r="E94" s="35"/>
      <c r="F94" s="35"/>
      <c r="G94" s="35"/>
      <c r="H94" s="35"/>
      <c r="I94" s="4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TB94" t="s">
        <v>810</v>
      </c>
    </row>
    <row r="95" spans="1:522">
      <c r="A95" s="35"/>
      <c r="B95" s="35"/>
      <c r="C95" s="35"/>
      <c r="D95" s="35"/>
      <c r="E95" s="35"/>
      <c r="F95" s="35"/>
      <c r="G95" s="35"/>
      <c r="H95" s="35"/>
      <c r="I95" s="4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TB95" t="s">
        <v>810</v>
      </c>
    </row>
    <row r="96" spans="1:522">
      <c r="A96" s="35"/>
      <c r="B96" s="35"/>
      <c r="C96" s="35"/>
      <c r="D96" s="35"/>
      <c r="E96" s="35"/>
      <c r="F96" s="35"/>
      <c r="G96" s="35"/>
      <c r="H96" s="35"/>
      <c r="I96" s="4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TB96" t="s">
        <v>810</v>
      </c>
    </row>
    <row r="97" spans="1:522">
      <c r="A97" s="35"/>
      <c r="B97" s="35"/>
      <c r="C97" s="35"/>
      <c r="D97" s="35"/>
      <c r="E97" s="35"/>
      <c r="F97" s="35"/>
      <c r="G97" s="35"/>
      <c r="H97" s="35"/>
      <c r="I97" s="4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TB97" t="s">
        <v>810</v>
      </c>
    </row>
    <row r="98" spans="1:522">
      <c r="A98" s="35"/>
      <c r="B98" s="35"/>
      <c r="C98" s="35"/>
      <c r="D98" s="35"/>
      <c r="E98" s="35"/>
      <c r="F98" s="35"/>
      <c r="G98" s="35"/>
      <c r="H98" s="35"/>
      <c r="I98" s="4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TB98" t="s">
        <v>810</v>
      </c>
    </row>
    <row r="99" spans="1:522">
      <c r="A99" s="35"/>
      <c r="B99" s="35"/>
      <c r="C99" s="35"/>
      <c r="D99" s="35"/>
      <c r="E99" s="35"/>
      <c r="F99" s="35"/>
      <c r="G99" s="35"/>
      <c r="H99" s="35"/>
      <c r="I99" s="4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TB99" t="s">
        <v>810</v>
      </c>
    </row>
    <row r="100" spans="1:522">
      <c r="A100" s="35"/>
      <c r="B100" s="35"/>
      <c r="C100" s="35"/>
      <c r="D100" s="35"/>
      <c r="E100" s="35"/>
      <c r="F100" s="35"/>
      <c r="G100" s="35"/>
      <c r="H100" s="35"/>
      <c r="I100" s="4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TB100" t="s">
        <v>810</v>
      </c>
    </row>
    <row r="101" spans="1:522">
      <c r="A101" s="35"/>
      <c r="B101" s="35"/>
      <c r="C101" s="35"/>
      <c r="D101" s="35"/>
      <c r="E101" s="35"/>
      <c r="F101" s="35"/>
      <c r="G101" s="35"/>
      <c r="H101" s="35"/>
      <c r="I101" s="4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TB101" t="s">
        <v>810</v>
      </c>
    </row>
    <row r="102" spans="1:522">
      <c r="A102" s="35"/>
      <c r="B102" s="35"/>
      <c r="C102" s="35"/>
      <c r="D102" s="35"/>
      <c r="E102" s="35"/>
      <c r="F102" s="35"/>
      <c r="G102" s="35"/>
      <c r="H102" s="35"/>
      <c r="I102" s="4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TB102" t="s">
        <v>810</v>
      </c>
    </row>
    <row r="103" spans="1:522">
      <c r="A103" s="35"/>
      <c r="B103" s="35"/>
      <c r="C103" s="35"/>
      <c r="D103" s="35"/>
      <c r="E103" s="35"/>
      <c r="F103" s="35"/>
      <c r="G103" s="35"/>
      <c r="H103" s="35"/>
      <c r="I103" s="4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TB103" t="s">
        <v>810</v>
      </c>
    </row>
    <row r="104" spans="1:522">
      <c r="A104" s="35"/>
      <c r="B104" s="35"/>
      <c r="C104" s="35"/>
      <c r="D104" s="35"/>
      <c r="E104" s="35"/>
      <c r="F104" s="35"/>
      <c r="G104" s="35"/>
      <c r="H104" s="35"/>
      <c r="I104" s="4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TB104" t="s">
        <v>810</v>
      </c>
    </row>
    <row r="105" spans="1:522">
      <c r="A105" s="35"/>
      <c r="B105" s="35"/>
      <c r="C105" s="35"/>
      <c r="D105" s="35"/>
      <c r="E105" s="35"/>
      <c r="F105" s="35"/>
      <c r="G105" s="35"/>
      <c r="H105" s="35"/>
      <c r="I105" s="4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TB105" t="s">
        <v>810</v>
      </c>
    </row>
    <row r="106" spans="1:522">
      <c r="A106" s="35"/>
      <c r="B106" s="35"/>
      <c r="C106" s="35"/>
      <c r="D106" s="35"/>
      <c r="E106" s="35"/>
      <c r="F106" s="35"/>
      <c r="G106" s="35"/>
      <c r="H106" s="35"/>
      <c r="I106" s="4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TB106" t="s">
        <v>810</v>
      </c>
    </row>
    <row r="107" spans="1:522">
      <c r="A107" s="35"/>
      <c r="B107" s="35"/>
      <c r="C107" s="35"/>
      <c r="D107" s="35"/>
      <c r="E107" s="35"/>
      <c r="F107" s="35"/>
      <c r="G107" s="35"/>
      <c r="H107" s="35"/>
      <c r="I107" s="4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TB107" t="s">
        <v>810</v>
      </c>
    </row>
    <row r="108" spans="1:522">
      <c r="A108" s="35"/>
      <c r="B108" s="35"/>
      <c r="C108" s="35"/>
      <c r="D108" s="35"/>
      <c r="E108" s="35"/>
      <c r="F108" s="35"/>
      <c r="G108" s="35"/>
      <c r="H108" s="35"/>
      <c r="I108" s="4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TB108" t="s">
        <v>810</v>
      </c>
    </row>
    <row r="109" spans="1:522">
      <c r="A109" s="35"/>
      <c r="B109" s="35"/>
      <c r="C109" s="35"/>
      <c r="D109" s="35"/>
      <c r="E109" s="35"/>
      <c r="F109" s="35"/>
      <c r="G109" s="35"/>
      <c r="H109" s="35"/>
      <c r="I109" s="4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TB109" t="s">
        <v>810</v>
      </c>
    </row>
    <row r="110" spans="1:522">
      <c r="A110" s="35"/>
      <c r="B110" s="35"/>
      <c r="C110" s="35"/>
      <c r="D110" s="35"/>
      <c r="E110" s="35"/>
      <c r="F110" s="35"/>
      <c r="G110" s="35"/>
      <c r="H110" s="35"/>
      <c r="I110" s="4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TB110" t="s">
        <v>810</v>
      </c>
    </row>
    <row r="111" spans="1:522">
      <c r="A111" s="35"/>
      <c r="B111" s="35"/>
      <c r="C111" s="35"/>
      <c r="D111" s="35"/>
      <c r="E111" s="35"/>
      <c r="F111" s="35"/>
      <c r="G111" s="35"/>
      <c r="H111" s="35"/>
      <c r="I111" s="4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TB111" t="s">
        <v>810</v>
      </c>
    </row>
    <row r="112" spans="1:522">
      <c r="A112" s="35"/>
      <c r="B112" s="35"/>
      <c r="C112" s="35"/>
      <c r="D112" s="35"/>
      <c r="E112" s="35"/>
      <c r="F112" s="35"/>
      <c r="G112" s="35"/>
      <c r="H112" s="35"/>
      <c r="I112" s="4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TB112" t="s">
        <v>810</v>
      </c>
    </row>
    <row r="113" spans="1:522">
      <c r="A113" s="35"/>
      <c r="B113" s="35"/>
      <c r="C113" s="35"/>
      <c r="D113" s="35"/>
      <c r="E113" s="35"/>
      <c r="F113" s="35"/>
      <c r="G113" s="35"/>
      <c r="H113" s="35"/>
      <c r="I113" s="4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TB113" t="s">
        <v>810</v>
      </c>
    </row>
    <row r="114" spans="1:522">
      <c r="A114" s="35"/>
      <c r="B114" s="35"/>
      <c r="C114" s="35"/>
      <c r="D114" s="35"/>
      <c r="E114" s="35"/>
      <c r="F114" s="35"/>
      <c r="G114" s="35"/>
      <c r="H114" s="35"/>
      <c r="I114" s="4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TB114" t="s">
        <v>810</v>
      </c>
    </row>
    <row r="115" spans="1:522">
      <c r="A115" s="35"/>
      <c r="B115" s="35"/>
      <c r="C115" s="35"/>
      <c r="D115" s="35"/>
      <c r="E115" s="35"/>
      <c r="F115" s="35"/>
      <c r="G115" s="35"/>
      <c r="H115" s="35"/>
      <c r="I115" s="4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TB115" t="s">
        <v>810</v>
      </c>
    </row>
    <row r="116" spans="1:522">
      <c r="A116" s="35"/>
      <c r="B116" s="35"/>
      <c r="C116" s="35"/>
      <c r="D116" s="35"/>
      <c r="E116" s="35"/>
      <c r="F116" s="35"/>
      <c r="G116" s="35"/>
      <c r="H116" s="35"/>
      <c r="I116" s="4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TB116" t="s">
        <v>810</v>
      </c>
    </row>
    <row r="117" spans="1:522">
      <c r="A117" s="35"/>
      <c r="B117" s="35"/>
      <c r="C117" s="35"/>
      <c r="D117" s="35"/>
      <c r="E117" s="35"/>
      <c r="F117" s="35"/>
      <c r="G117" s="35"/>
      <c r="H117" s="35"/>
      <c r="I117" s="4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TB117" t="s">
        <v>810</v>
      </c>
    </row>
    <row r="118" spans="1:522">
      <c r="A118" s="35"/>
      <c r="B118" s="35"/>
      <c r="C118" s="35"/>
      <c r="D118" s="35"/>
      <c r="E118" s="35"/>
      <c r="F118" s="35"/>
      <c r="G118" s="35"/>
      <c r="H118" s="35"/>
      <c r="I118" s="4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TB118" t="s">
        <v>810</v>
      </c>
    </row>
    <row r="119" spans="1:522">
      <c r="A119" s="35"/>
      <c r="B119" s="35"/>
      <c r="C119" s="35"/>
      <c r="D119" s="35"/>
      <c r="E119" s="35"/>
      <c r="F119" s="35"/>
      <c r="G119" s="35"/>
      <c r="H119" s="35"/>
      <c r="I119" s="4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TB119" t="s">
        <v>810</v>
      </c>
    </row>
    <row r="120" spans="1:522">
      <c r="A120" s="35"/>
      <c r="B120" s="35"/>
      <c r="C120" s="35"/>
      <c r="D120" s="35"/>
      <c r="E120" s="35"/>
      <c r="F120" s="35"/>
      <c r="G120" s="35"/>
      <c r="H120" s="35"/>
      <c r="I120" s="4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TB120" t="s">
        <v>810</v>
      </c>
    </row>
    <row r="121" spans="1:522">
      <c r="A121" s="35"/>
      <c r="B121" s="35"/>
      <c r="C121" s="35"/>
      <c r="D121" s="35"/>
      <c r="E121" s="35"/>
      <c r="F121" s="35"/>
      <c r="G121" s="35"/>
      <c r="H121" s="35"/>
      <c r="I121" s="4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TB121" t="s">
        <v>810</v>
      </c>
    </row>
    <row r="122" spans="1:522">
      <c r="A122" s="35"/>
      <c r="B122" s="35"/>
      <c r="C122" s="35"/>
      <c r="D122" s="35"/>
      <c r="E122" s="35"/>
      <c r="F122" s="35"/>
      <c r="G122" s="35"/>
      <c r="H122" s="35"/>
      <c r="I122" s="4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TB122" t="s">
        <v>810</v>
      </c>
    </row>
    <row r="123" spans="1:522">
      <c r="A123" s="35"/>
      <c r="B123" s="35"/>
      <c r="C123" s="35"/>
      <c r="D123" s="35"/>
      <c r="E123" s="35"/>
      <c r="F123" s="35"/>
      <c r="G123" s="35"/>
      <c r="H123" s="35"/>
      <c r="I123" s="4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TB123" t="s">
        <v>810</v>
      </c>
    </row>
    <row r="124" spans="1:522">
      <c r="A124" s="35"/>
      <c r="B124" s="35"/>
      <c r="C124" s="35"/>
      <c r="D124" s="35"/>
      <c r="E124" s="35"/>
      <c r="F124" s="35"/>
      <c r="G124" s="35"/>
      <c r="H124" s="35"/>
      <c r="I124" s="4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TB124" t="s">
        <v>810</v>
      </c>
    </row>
    <row r="125" spans="1:522">
      <c r="A125" s="35"/>
      <c r="B125" s="35"/>
      <c r="C125" s="35"/>
      <c r="D125" s="35"/>
      <c r="E125" s="35"/>
      <c r="F125" s="35"/>
      <c r="G125" s="35"/>
      <c r="H125" s="35"/>
      <c r="I125" s="4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TB125" t="s">
        <v>810</v>
      </c>
    </row>
    <row r="126" spans="1:522">
      <c r="A126" s="35"/>
      <c r="B126" s="35"/>
      <c r="C126" s="35"/>
      <c r="D126" s="35"/>
      <c r="E126" s="35"/>
      <c r="F126" s="35"/>
      <c r="G126" s="35"/>
      <c r="H126" s="35"/>
      <c r="I126" s="4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TB126" t="s">
        <v>810</v>
      </c>
    </row>
    <row r="127" spans="1:522">
      <c r="A127" s="35"/>
      <c r="B127" s="35"/>
      <c r="C127" s="35"/>
      <c r="D127" s="35"/>
      <c r="E127" s="35"/>
      <c r="F127" s="35"/>
      <c r="G127" s="35"/>
      <c r="H127" s="35"/>
      <c r="I127" s="4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TB127" t="s">
        <v>810</v>
      </c>
    </row>
    <row r="128" spans="1:522">
      <c r="A128" s="35"/>
      <c r="B128" s="35"/>
      <c r="C128" s="35"/>
      <c r="D128" s="35"/>
      <c r="E128" s="35"/>
      <c r="F128" s="35"/>
      <c r="G128" s="35"/>
      <c r="H128" s="35"/>
      <c r="I128" s="4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TB128" t="s">
        <v>810</v>
      </c>
    </row>
    <row r="129" spans="1:522">
      <c r="A129" s="35"/>
      <c r="B129" s="35"/>
      <c r="C129" s="35"/>
      <c r="D129" s="35"/>
      <c r="E129" s="35"/>
      <c r="F129" s="35"/>
      <c r="G129" s="35"/>
      <c r="H129" s="35"/>
      <c r="I129" s="4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TB129" t="s">
        <v>810</v>
      </c>
    </row>
    <row r="130" spans="1:522">
      <c r="A130" s="35"/>
      <c r="B130" s="35"/>
      <c r="C130" s="35"/>
      <c r="D130" s="35"/>
      <c r="E130" s="35"/>
      <c r="F130" s="35"/>
      <c r="G130" s="35"/>
      <c r="H130" s="35"/>
      <c r="I130" s="4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TB130" t="s">
        <v>810</v>
      </c>
    </row>
    <row r="131" spans="1:522">
      <c r="A131" s="35"/>
      <c r="B131" s="35"/>
      <c r="C131" s="35"/>
      <c r="D131" s="35"/>
      <c r="E131" s="35"/>
      <c r="F131" s="35"/>
      <c r="G131" s="35"/>
      <c r="H131" s="35"/>
      <c r="I131" s="4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TB131" t="s">
        <v>810</v>
      </c>
    </row>
    <row r="132" spans="1:522">
      <c r="A132" s="35"/>
      <c r="B132" s="35"/>
      <c r="C132" s="35"/>
      <c r="D132" s="35"/>
      <c r="E132" s="35"/>
      <c r="F132" s="35"/>
      <c r="G132" s="35"/>
      <c r="H132" s="35"/>
      <c r="I132" s="4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TB132" t="s">
        <v>810</v>
      </c>
    </row>
    <row r="133" spans="1:522">
      <c r="A133" s="35"/>
      <c r="B133" s="35"/>
      <c r="C133" s="35"/>
      <c r="D133" s="35"/>
      <c r="E133" s="35"/>
      <c r="F133" s="35"/>
      <c r="G133" s="35"/>
      <c r="H133" s="35"/>
      <c r="I133" s="4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TB133" t="s">
        <v>810</v>
      </c>
    </row>
    <row r="134" spans="1:522">
      <c r="A134" s="35"/>
      <c r="B134" s="35"/>
      <c r="C134" s="35"/>
      <c r="D134" s="35"/>
      <c r="E134" s="35"/>
      <c r="F134" s="35"/>
      <c r="G134" s="35"/>
      <c r="H134" s="35"/>
      <c r="I134" s="4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TB134" t="s">
        <v>810</v>
      </c>
    </row>
    <row r="135" spans="1:522">
      <c r="A135" s="35"/>
      <c r="B135" s="35"/>
      <c r="C135" s="35"/>
      <c r="D135" s="35"/>
      <c r="E135" s="35"/>
      <c r="F135" s="35"/>
      <c r="G135" s="35"/>
      <c r="H135" s="35"/>
      <c r="I135" s="4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TB135" t="s">
        <v>810</v>
      </c>
    </row>
    <row r="136" spans="1:522">
      <c r="A136" s="35"/>
      <c r="B136" s="35"/>
      <c r="C136" s="35"/>
      <c r="D136" s="35"/>
      <c r="E136" s="35"/>
      <c r="F136" s="35"/>
      <c r="G136" s="35"/>
      <c r="H136" s="35"/>
      <c r="I136" s="4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TB136" t="s">
        <v>810</v>
      </c>
    </row>
    <row r="137" spans="1:522">
      <c r="A137" s="35"/>
      <c r="B137" s="35"/>
      <c r="C137" s="35"/>
      <c r="D137" s="35"/>
      <c r="E137" s="35"/>
      <c r="F137" s="35"/>
      <c r="G137" s="35"/>
      <c r="H137" s="35"/>
      <c r="I137" s="4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</row>
    <row r="138" spans="1:522">
      <c r="A138" s="35"/>
      <c r="B138" s="35"/>
      <c r="C138" s="35"/>
      <c r="D138" s="35"/>
      <c r="E138" s="35"/>
      <c r="F138" s="35"/>
      <c r="G138" s="35"/>
      <c r="H138" s="35"/>
      <c r="I138" s="4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</row>
    <row r="139" spans="1:522">
      <c r="A139" s="35"/>
      <c r="B139" s="35"/>
      <c r="C139" s="35"/>
      <c r="D139" s="35"/>
      <c r="E139" s="35"/>
      <c r="F139" s="35"/>
      <c r="G139" s="35"/>
      <c r="H139" s="35"/>
      <c r="I139" s="4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</row>
    <row r="140" spans="1:522">
      <c r="A140" s="35"/>
      <c r="B140" s="35"/>
      <c r="C140" s="35"/>
      <c r="D140" s="35"/>
      <c r="E140" s="35"/>
      <c r="F140" s="35"/>
      <c r="G140" s="35"/>
      <c r="H140" s="35"/>
      <c r="I140" s="4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</row>
    <row r="141" spans="1:522">
      <c r="A141" s="35"/>
      <c r="B141" s="35"/>
      <c r="C141" s="35"/>
      <c r="D141" s="35"/>
      <c r="E141" s="35"/>
      <c r="F141" s="35"/>
      <c r="G141" s="35"/>
      <c r="H141" s="35"/>
      <c r="I141" s="4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</row>
    <row r="142" spans="1:522">
      <c r="A142" s="35"/>
      <c r="B142" s="35"/>
      <c r="C142" s="35"/>
      <c r="D142" s="35"/>
      <c r="E142" s="35"/>
      <c r="F142" s="35"/>
      <c r="G142" s="35"/>
      <c r="H142" s="35"/>
      <c r="I142" s="4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</row>
    <row r="143" spans="1:522">
      <c r="A143" s="35"/>
      <c r="B143" s="35"/>
      <c r="C143" s="35"/>
      <c r="D143" s="35"/>
      <c r="E143" s="35"/>
      <c r="F143" s="35"/>
      <c r="G143" s="35"/>
      <c r="H143" s="35"/>
      <c r="I143" s="4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</row>
    <row r="144" spans="1:522">
      <c r="A144" s="35"/>
      <c r="B144" s="35"/>
      <c r="C144" s="35"/>
      <c r="D144" s="35"/>
      <c r="E144" s="35"/>
      <c r="F144" s="35"/>
      <c r="G144" s="35"/>
      <c r="H144" s="35"/>
      <c r="I144" s="4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</row>
    <row r="145" spans="1:35">
      <c r="A145" s="35"/>
      <c r="B145" s="35"/>
      <c r="C145" s="35"/>
      <c r="D145" s="35"/>
      <c r="E145" s="35"/>
      <c r="F145" s="35"/>
      <c r="G145" s="35"/>
      <c r="H145" s="35"/>
      <c r="I145" s="4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</row>
    <row r="146" spans="1:35">
      <c r="A146" s="35"/>
      <c r="B146" s="35"/>
      <c r="C146" s="35"/>
      <c r="D146" s="35"/>
      <c r="E146" s="35"/>
      <c r="F146" s="35"/>
      <c r="G146" s="35"/>
      <c r="H146" s="35"/>
      <c r="I146" s="4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</row>
    <row r="147" spans="1:35">
      <c r="A147" s="35"/>
      <c r="B147" s="35"/>
      <c r="C147" s="35"/>
      <c r="D147" s="35"/>
      <c r="E147" s="35"/>
      <c r="F147" s="35"/>
      <c r="G147" s="35"/>
      <c r="H147" s="35"/>
      <c r="I147" s="4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</row>
    <row r="148" spans="1:35">
      <c r="A148" s="35"/>
      <c r="B148" s="35"/>
      <c r="C148" s="35"/>
      <c r="D148" s="35"/>
      <c r="E148" s="35"/>
      <c r="F148" s="35"/>
      <c r="G148" s="35"/>
      <c r="H148" s="35"/>
      <c r="I148" s="4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</row>
    <row r="149" spans="1:35">
      <c r="A149" s="35"/>
      <c r="B149" s="35"/>
      <c r="C149" s="35"/>
      <c r="D149" s="35"/>
      <c r="E149" s="35"/>
      <c r="F149" s="35"/>
      <c r="G149" s="35"/>
      <c r="H149" s="35"/>
      <c r="I149" s="4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</row>
    <row r="150" spans="1:35">
      <c r="A150" s="35"/>
      <c r="B150" s="35"/>
      <c r="C150" s="35"/>
      <c r="D150" s="35"/>
      <c r="E150" s="35"/>
      <c r="F150" s="35"/>
      <c r="G150" s="35"/>
      <c r="H150" s="35"/>
      <c r="I150" s="4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</row>
    <row r="151" spans="1:35">
      <c r="A151" s="35"/>
      <c r="B151" s="35"/>
      <c r="C151" s="35"/>
      <c r="D151" s="35"/>
      <c r="E151" s="35"/>
      <c r="F151" s="35"/>
      <c r="G151" s="35"/>
      <c r="H151" s="35"/>
      <c r="I151" s="4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</row>
    <row r="152" spans="1:35">
      <c r="A152" s="35"/>
      <c r="B152" s="35"/>
      <c r="C152" s="35"/>
      <c r="D152" s="35"/>
      <c r="E152" s="35"/>
      <c r="F152" s="35"/>
      <c r="G152" s="35"/>
      <c r="H152" s="35"/>
      <c r="I152" s="4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</row>
    <row r="153" spans="1:35">
      <c r="A153" s="35"/>
      <c r="B153" s="35"/>
      <c r="C153" s="35"/>
      <c r="D153" s="35"/>
      <c r="E153" s="35"/>
      <c r="F153" s="35"/>
      <c r="G153" s="35"/>
      <c r="H153" s="35"/>
      <c r="I153" s="4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</row>
    <row r="154" spans="1:35">
      <c r="A154" s="35"/>
      <c r="B154" s="35"/>
      <c r="C154" s="35"/>
      <c r="D154" s="35"/>
      <c r="E154" s="35"/>
      <c r="F154" s="35"/>
      <c r="G154" s="35"/>
      <c r="H154" s="35"/>
      <c r="I154" s="4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</row>
    <row r="155" spans="1:35">
      <c r="A155" s="35"/>
      <c r="B155" s="35"/>
      <c r="C155" s="35"/>
      <c r="D155" s="35"/>
      <c r="E155" s="35"/>
      <c r="F155" s="35"/>
      <c r="G155" s="35"/>
      <c r="H155" s="35"/>
      <c r="I155" s="4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</row>
    <row r="156" spans="1:35">
      <c r="A156" s="35"/>
      <c r="B156" s="35"/>
      <c r="C156" s="35"/>
      <c r="D156" s="35"/>
      <c r="E156" s="35"/>
      <c r="F156" s="35"/>
      <c r="G156" s="35"/>
      <c r="H156" s="35"/>
      <c r="I156" s="4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</row>
    <row r="157" spans="1:35">
      <c r="A157" s="35"/>
      <c r="B157" s="35"/>
      <c r="C157" s="35"/>
      <c r="D157" s="35"/>
      <c r="E157" s="35"/>
      <c r="F157" s="35"/>
      <c r="G157" s="35"/>
      <c r="H157" s="35"/>
      <c r="I157" s="4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</row>
    <row r="158" spans="1:35">
      <c r="A158" s="35"/>
      <c r="B158" s="35"/>
      <c r="C158" s="35"/>
      <c r="D158" s="35"/>
      <c r="E158" s="35"/>
      <c r="F158" s="35"/>
      <c r="G158" s="35"/>
      <c r="H158" s="35"/>
      <c r="I158" s="4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</row>
    <row r="159" spans="1:35">
      <c r="A159" s="35"/>
      <c r="B159" s="35"/>
      <c r="C159" s="35"/>
      <c r="D159" s="35"/>
      <c r="E159" s="35"/>
      <c r="F159" s="35"/>
      <c r="G159" s="35"/>
      <c r="H159" s="35"/>
      <c r="I159" s="4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</row>
    <row r="160" spans="1:35">
      <c r="A160" s="35"/>
      <c r="B160" s="35"/>
      <c r="C160" s="35"/>
      <c r="D160" s="35"/>
      <c r="E160" s="35"/>
      <c r="F160" s="35"/>
      <c r="G160" s="35"/>
      <c r="H160" s="35"/>
      <c r="I160" s="4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</row>
    <row r="161" spans="1:35">
      <c r="A161" s="35"/>
      <c r="B161" s="35"/>
      <c r="C161" s="35"/>
      <c r="D161" s="35"/>
      <c r="E161" s="35"/>
      <c r="F161" s="35"/>
      <c r="G161" s="35"/>
      <c r="H161" s="35"/>
      <c r="I161" s="4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</row>
    <row r="162" spans="1:35">
      <c r="A162" s="35"/>
      <c r="B162" s="35"/>
      <c r="C162" s="35"/>
      <c r="D162" s="35"/>
      <c r="E162" s="35"/>
      <c r="F162" s="35"/>
      <c r="G162" s="35"/>
      <c r="H162" s="35"/>
      <c r="I162" s="4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</row>
    <row r="163" spans="1:35">
      <c r="A163" s="35"/>
      <c r="B163" s="35"/>
      <c r="C163" s="35"/>
      <c r="D163" s="35"/>
      <c r="E163" s="35"/>
      <c r="F163" s="35"/>
      <c r="G163" s="35"/>
      <c r="H163" s="35"/>
      <c r="I163" s="4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</row>
    <row r="164" spans="1:35">
      <c r="A164" s="35"/>
      <c r="B164" s="35"/>
      <c r="C164" s="35"/>
      <c r="D164" s="35"/>
      <c r="E164" s="35"/>
      <c r="F164" s="35"/>
      <c r="G164" s="35"/>
      <c r="H164" s="35"/>
      <c r="I164" s="4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</row>
    <row r="165" spans="1:35">
      <c r="A165" s="35"/>
      <c r="B165" s="35"/>
      <c r="C165" s="35"/>
      <c r="D165" s="35"/>
      <c r="E165" s="35"/>
      <c r="F165" s="35"/>
      <c r="G165" s="35"/>
      <c r="H165" s="35"/>
      <c r="I165" s="4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</row>
    <row r="166" spans="1:35">
      <c r="A166" s="35"/>
      <c r="B166" s="35"/>
      <c r="C166" s="35"/>
      <c r="D166" s="35"/>
      <c r="E166" s="35"/>
      <c r="F166" s="35"/>
      <c r="G166" s="35"/>
      <c r="H166" s="35"/>
      <c r="I166" s="4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</row>
    <row r="167" spans="1:35">
      <c r="A167" s="35"/>
      <c r="B167" s="35"/>
      <c r="C167" s="35"/>
      <c r="D167" s="35"/>
      <c r="E167" s="35"/>
      <c r="F167" s="35"/>
      <c r="G167" s="35"/>
      <c r="H167" s="35"/>
      <c r="I167" s="4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</row>
    <row r="168" spans="1:35">
      <c r="A168" s="35"/>
      <c r="B168" s="35"/>
      <c r="C168" s="35"/>
      <c r="D168" s="35"/>
      <c r="E168" s="35"/>
      <c r="F168" s="35"/>
      <c r="G168" s="35"/>
      <c r="H168" s="35"/>
      <c r="I168" s="4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</row>
    <row r="169" spans="1:35">
      <c r="A169" s="35"/>
      <c r="B169" s="35"/>
      <c r="C169" s="35"/>
      <c r="D169" s="35"/>
      <c r="E169" s="35"/>
      <c r="F169" s="35"/>
      <c r="G169" s="35"/>
      <c r="H169" s="35"/>
      <c r="I169" s="4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</row>
    <row r="170" spans="1:35">
      <c r="A170" s="35"/>
      <c r="B170" s="35"/>
      <c r="C170" s="35"/>
      <c r="D170" s="35"/>
      <c r="E170" s="35"/>
      <c r="F170" s="35"/>
      <c r="G170" s="35"/>
      <c r="H170" s="35"/>
      <c r="I170" s="4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</row>
    <row r="171" spans="1:35">
      <c r="A171" s="35"/>
      <c r="B171" s="35"/>
      <c r="C171" s="35"/>
      <c r="D171" s="35"/>
      <c r="E171" s="35"/>
      <c r="F171" s="35"/>
      <c r="G171" s="35"/>
      <c r="H171" s="35"/>
      <c r="I171" s="4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</row>
    <row r="172" spans="1:35">
      <c r="A172" s="35"/>
      <c r="B172" s="35"/>
      <c r="C172" s="35"/>
      <c r="D172" s="35"/>
      <c r="E172" s="35"/>
      <c r="F172" s="35"/>
      <c r="G172" s="35"/>
      <c r="H172" s="35"/>
      <c r="I172" s="4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</row>
    <row r="173" spans="1:35">
      <c r="A173" s="35"/>
      <c r="B173" s="35"/>
      <c r="C173" s="35"/>
      <c r="D173" s="35"/>
      <c r="E173" s="35"/>
      <c r="F173" s="35"/>
      <c r="G173" s="35"/>
      <c r="H173" s="35"/>
      <c r="I173" s="4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</row>
    <row r="174" spans="1:35">
      <c r="A174" s="35"/>
      <c r="B174" s="35"/>
      <c r="C174" s="35"/>
      <c r="D174" s="35"/>
      <c r="E174" s="35"/>
      <c r="F174" s="35"/>
      <c r="G174" s="35"/>
      <c r="H174" s="35"/>
      <c r="I174" s="4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</row>
    <row r="175" spans="1:35">
      <c r="A175" s="35"/>
      <c r="B175" s="35"/>
      <c r="C175" s="35"/>
      <c r="D175" s="35"/>
      <c r="E175" s="35"/>
      <c r="F175" s="35"/>
      <c r="G175" s="35"/>
      <c r="H175" s="35"/>
      <c r="I175" s="4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</row>
    <row r="176" spans="1:35">
      <c r="A176" s="35"/>
      <c r="B176" s="35"/>
      <c r="C176" s="35"/>
      <c r="D176" s="35"/>
      <c r="E176" s="35"/>
      <c r="F176" s="35"/>
      <c r="G176" s="35"/>
      <c r="H176" s="35"/>
      <c r="I176" s="4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</row>
    <row r="177" spans="1:35">
      <c r="A177" s="35"/>
      <c r="B177" s="35"/>
      <c r="C177" s="35"/>
      <c r="D177" s="35"/>
      <c r="E177" s="35"/>
      <c r="F177" s="35"/>
      <c r="G177" s="35"/>
      <c r="H177" s="35"/>
      <c r="I177" s="4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</row>
    <row r="178" spans="1:35">
      <c r="A178" s="35"/>
      <c r="B178" s="35"/>
      <c r="C178" s="35"/>
      <c r="D178" s="35"/>
      <c r="E178" s="35"/>
      <c r="F178" s="35"/>
      <c r="G178" s="35"/>
      <c r="H178" s="35"/>
      <c r="I178" s="4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</row>
    <row r="179" spans="1:35">
      <c r="A179" s="35"/>
      <c r="B179" s="35"/>
      <c r="C179" s="35"/>
      <c r="D179" s="35"/>
      <c r="E179" s="35"/>
      <c r="F179" s="35"/>
      <c r="G179" s="35"/>
      <c r="H179" s="35"/>
      <c r="I179" s="4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</row>
    <row r="180" spans="1:35">
      <c r="A180" s="35"/>
      <c r="B180" s="35"/>
      <c r="C180" s="35"/>
      <c r="D180" s="35"/>
      <c r="E180" s="35"/>
      <c r="F180" s="35"/>
      <c r="G180" s="35"/>
      <c r="H180" s="35"/>
      <c r="I180" s="4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</row>
    <row r="181" spans="1:35">
      <c r="A181" s="35"/>
      <c r="B181" s="35"/>
      <c r="C181" s="35"/>
      <c r="D181" s="35"/>
      <c r="E181" s="35"/>
      <c r="F181" s="35"/>
      <c r="G181" s="35"/>
      <c r="H181" s="35"/>
      <c r="I181" s="4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</row>
    <row r="182" spans="1:35">
      <c r="A182" s="35"/>
      <c r="B182" s="35"/>
      <c r="C182" s="35"/>
      <c r="D182" s="35"/>
      <c r="E182" s="35"/>
      <c r="F182" s="35"/>
      <c r="G182" s="35"/>
      <c r="H182" s="35"/>
      <c r="I182" s="4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</row>
    <row r="183" spans="1:35">
      <c r="A183" s="35"/>
      <c r="B183" s="35"/>
      <c r="C183" s="35"/>
      <c r="D183" s="35"/>
      <c r="E183" s="35"/>
      <c r="F183" s="35"/>
      <c r="G183" s="35"/>
      <c r="H183" s="35"/>
      <c r="I183" s="4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</row>
    <row r="184" spans="1:35">
      <c r="A184" s="35"/>
      <c r="B184" s="35"/>
      <c r="C184" s="35"/>
      <c r="D184" s="35"/>
      <c r="E184" s="35"/>
      <c r="F184" s="35"/>
      <c r="G184" s="35"/>
      <c r="H184" s="35"/>
      <c r="I184" s="4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</row>
    <row r="185" spans="1:35">
      <c r="A185" s="35"/>
      <c r="B185" s="35"/>
      <c r="C185" s="35"/>
      <c r="D185" s="35"/>
      <c r="E185" s="35"/>
      <c r="F185" s="35"/>
      <c r="G185" s="35"/>
      <c r="H185" s="35"/>
      <c r="I185" s="4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</row>
    <row r="186" spans="1:35">
      <c r="A186" s="35"/>
      <c r="B186" s="35"/>
      <c r="C186" s="35"/>
      <c r="D186" s="35"/>
      <c r="E186" s="35"/>
      <c r="F186" s="35"/>
      <c r="G186" s="35"/>
      <c r="H186" s="35"/>
      <c r="I186" s="4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</row>
    <row r="187" spans="1:35">
      <c r="A187" s="35"/>
      <c r="B187" s="35"/>
      <c r="C187" s="35"/>
      <c r="D187" s="35"/>
      <c r="E187" s="35"/>
      <c r="F187" s="35"/>
      <c r="G187" s="35"/>
      <c r="H187" s="35"/>
      <c r="I187" s="4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</row>
    <row r="188" spans="1:35">
      <c r="A188" s="35"/>
      <c r="B188" s="35"/>
      <c r="C188" s="35"/>
      <c r="D188" s="35"/>
      <c r="E188" s="35"/>
      <c r="F188" s="35"/>
      <c r="G188" s="35"/>
      <c r="H188" s="35"/>
      <c r="I188" s="4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</row>
    <row r="189" spans="1:35">
      <c r="A189" s="35"/>
      <c r="B189" s="35"/>
      <c r="C189" s="35"/>
      <c r="D189" s="35"/>
      <c r="E189" s="35"/>
      <c r="F189" s="35"/>
      <c r="G189" s="35"/>
      <c r="H189" s="35"/>
      <c r="I189" s="4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</row>
    <row r="190" spans="1:35">
      <c r="A190" s="35"/>
      <c r="B190" s="35"/>
      <c r="C190" s="35"/>
      <c r="D190" s="35"/>
      <c r="E190" s="35"/>
      <c r="F190" s="35"/>
      <c r="G190" s="35"/>
      <c r="H190" s="35"/>
      <c r="I190" s="4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</row>
    <row r="191" spans="1:35">
      <c r="A191" s="35"/>
      <c r="B191" s="35"/>
      <c r="C191" s="35"/>
      <c r="D191" s="35"/>
      <c r="E191" s="35"/>
      <c r="F191" s="35"/>
      <c r="G191" s="35"/>
      <c r="H191" s="35"/>
      <c r="I191" s="4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</row>
    <row r="192" spans="1:35">
      <c r="A192" s="35"/>
      <c r="B192" s="35"/>
      <c r="C192" s="35"/>
      <c r="D192" s="35"/>
      <c r="E192" s="35"/>
      <c r="F192" s="35"/>
      <c r="G192" s="35"/>
      <c r="H192" s="35"/>
      <c r="I192" s="4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</row>
    <row r="193" spans="1:35">
      <c r="A193" s="35"/>
      <c r="B193" s="35"/>
      <c r="C193" s="35"/>
      <c r="D193" s="35"/>
      <c r="E193" s="35"/>
      <c r="F193" s="35"/>
      <c r="G193" s="35"/>
      <c r="H193" s="35"/>
      <c r="I193" s="4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</row>
    <row r="194" spans="1:35">
      <c r="A194" s="35"/>
      <c r="B194" s="35"/>
      <c r="C194" s="35"/>
      <c r="D194" s="35"/>
      <c r="E194" s="35"/>
      <c r="F194" s="35"/>
      <c r="G194" s="35"/>
      <c r="H194" s="35"/>
      <c r="I194" s="4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</row>
    <row r="195" spans="1:35">
      <c r="A195" s="35"/>
      <c r="B195" s="35"/>
      <c r="C195" s="35"/>
      <c r="D195" s="35"/>
      <c r="E195" s="35"/>
      <c r="F195" s="35"/>
      <c r="G195" s="35"/>
      <c r="H195" s="35"/>
      <c r="I195" s="4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</row>
    <row r="196" spans="1:35">
      <c r="A196" s="35"/>
      <c r="B196" s="35"/>
      <c r="C196" s="35"/>
      <c r="D196" s="35"/>
      <c r="E196" s="35"/>
      <c r="F196" s="35"/>
      <c r="G196" s="35"/>
      <c r="H196" s="35"/>
      <c r="I196" s="4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</row>
    <row r="197" spans="1:35">
      <c r="A197" s="35"/>
      <c r="B197" s="35"/>
      <c r="C197" s="35"/>
      <c r="D197" s="35"/>
      <c r="E197" s="35"/>
      <c r="F197" s="35"/>
      <c r="G197" s="35"/>
      <c r="H197" s="35"/>
      <c r="I197" s="4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</row>
    <row r="198" spans="1:35">
      <c r="A198" s="35"/>
      <c r="B198" s="35"/>
      <c r="C198" s="35"/>
      <c r="D198" s="35"/>
      <c r="E198" s="35"/>
      <c r="F198" s="35"/>
      <c r="G198" s="35"/>
      <c r="H198" s="35"/>
      <c r="I198" s="4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</row>
    <row r="199" spans="1:35">
      <c r="A199" s="35"/>
      <c r="B199" s="35"/>
      <c r="C199" s="35"/>
      <c r="D199" s="35"/>
      <c r="E199" s="35"/>
      <c r="F199" s="35"/>
      <c r="G199" s="35"/>
      <c r="H199" s="35"/>
      <c r="I199" s="4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</row>
    <row r="200" spans="1:35">
      <c r="A200" s="35"/>
      <c r="B200" s="35"/>
      <c r="C200" s="35"/>
      <c r="D200" s="35"/>
      <c r="E200" s="35"/>
      <c r="F200" s="35"/>
      <c r="G200" s="35"/>
      <c r="H200" s="35"/>
      <c r="I200" s="4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</row>
    <row r="201" spans="1:35">
      <c r="A201" s="35"/>
      <c r="B201" s="35"/>
      <c r="C201" s="35"/>
      <c r="D201" s="35"/>
      <c r="E201" s="35"/>
      <c r="F201" s="35"/>
      <c r="G201" s="35"/>
      <c r="H201" s="35"/>
      <c r="I201" s="4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</row>
    <row r="202" spans="1:35">
      <c r="A202" s="35"/>
      <c r="B202" s="35"/>
      <c r="C202" s="35"/>
      <c r="D202" s="35"/>
      <c r="E202" s="35"/>
      <c r="F202" s="35"/>
      <c r="G202" s="35"/>
      <c r="H202" s="35"/>
      <c r="I202" s="4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</row>
    <row r="203" spans="1:35">
      <c r="A203" s="35"/>
      <c r="B203" s="35"/>
      <c r="C203" s="35"/>
      <c r="D203" s="35"/>
      <c r="E203" s="35"/>
      <c r="F203" s="35"/>
      <c r="G203" s="35"/>
      <c r="H203" s="35"/>
      <c r="I203" s="4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</row>
    <row r="204" spans="1:35">
      <c r="A204" s="35"/>
      <c r="B204" s="35"/>
      <c r="C204" s="35"/>
      <c r="D204" s="35"/>
      <c r="E204" s="35"/>
      <c r="F204" s="35"/>
      <c r="G204" s="35"/>
      <c r="H204" s="35"/>
      <c r="I204" s="4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</row>
    <row r="205" spans="1:35">
      <c r="A205" s="35"/>
      <c r="B205" s="35"/>
      <c r="C205" s="35"/>
      <c r="D205" s="35"/>
      <c r="E205" s="35"/>
      <c r="F205" s="35"/>
      <c r="G205" s="35"/>
      <c r="H205" s="35"/>
      <c r="I205" s="4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</row>
    <row r="206" spans="1:35">
      <c r="A206" s="35"/>
      <c r="B206" s="35"/>
      <c r="C206" s="35"/>
      <c r="D206" s="35"/>
      <c r="E206" s="35"/>
      <c r="F206" s="35"/>
      <c r="G206" s="35"/>
      <c r="H206" s="35"/>
      <c r="I206" s="4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</row>
    <row r="207" spans="1:35">
      <c r="A207" s="35"/>
      <c r="B207" s="35"/>
      <c r="C207" s="35"/>
      <c r="D207" s="35"/>
      <c r="E207" s="35"/>
      <c r="F207" s="35"/>
      <c r="G207" s="35"/>
      <c r="H207" s="35"/>
      <c r="I207" s="4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</row>
    <row r="208" spans="1:35">
      <c r="A208" s="35"/>
      <c r="B208" s="35"/>
      <c r="C208" s="35"/>
      <c r="D208" s="35"/>
      <c r="E208" s="35"/>
      <c r="F208" s="35"/>
      <c r="G208" s="35"/>
      <c r="H208" s="35"/>
      <c r="I208" s="4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</row>
    <row r="209" spans="1:35">
      <c r="A209" s="35"/>
      <c r="B209" s="35"/>
      <c r="C209" s="35"/>
      <c r="D209" s="35"/>
      <c r="E209" s="35"/>
      <c r="F209" s="35"/>
      <c r="G209" s="35"/>
      <c r="H209" s="35"/>
      <c r="I209" s="4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</row>
    <row r="210" spans="1:35">
      <c r="A210" s="35"/>
      <c r="B210" s="35"/>
      <c r="C210" s="35"/>
      <c r="D210" s="35"/>
      <c r="E210" s="35"/>
      <c r="F210" s="35"/>
      <c r="G210" s="35"/>
      <c r="H210" s="35"/>
      <c r="I210" s="4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  <c r="AI210" s="35"/>
    </row>
    <row r="211" spans="1:35">
      <c r="A211" s="35"/>
      <c r="B211" s="35"/>
      <c r="C211" s="35"/>
      <c r="D211" s="35"/>
      <c r="E211" s="35"/>
      <c r="F211" s="35"/>
      <c r="G211" s="35"/>
      <c r="H211" s="35"/>
      <c r="I211" s="4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  <c r="AI211" s="35"/>
    </row>
    <row r="212" spans="1:35">
      <c r="A212" s="35"/>
      <c r="B212" s="35"/>
      <c r="C212" s="35"/>
      <c r="D212" s="35"/>
      <c r="E212" s="35"/>
      <c r="F212" s="35"/>
      <c r="G212" s="35"/>
      <c r="H212" s="35"/>
      <c r="I212" s="4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</row>
    <row r="213" spans="1:35">
      <c r="A213" s="35"/>
      <c r="B213" s="35"/>
      <c r="C213" s="35"/>
      <c r="D213" s="35"/>
      <c r="E213" s="35"/>
      <c r="F213" s="35"/>
      <c r="G213" s="35"/>
      <c r="H213" s="35"/>
      <c r="I213" s="4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  <c r="AI213" s="35"/>
    </row>
    <row r="214" spans="1:35">
      <c r="A214" s="35"/>
      <c r="B214" s="35"/>
      <c r="C214" s="35"/>
      <c r="D214" s="35"/>
      <c r="E214" s="35"/>
      <c r="F214" s="35"/>
      <c r="G214" s="35"/>
      <c r="H214" s="35"/>
      <c r="I214" s="4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  <c r="AI214" s="35"/>
    </row>
    <row r="215" spans="1:35">
      <c r="A215" s="35"/>
      <c r="B215" s="35"/>
      <c r="C215" s="35"/>
      <c r="D215" s="35"/>
      <c r="E215" s="35"/>
      <c r="F215" s="35"/>
      <c r="G215" s="35"/>
      <c r="H215" s="35"/>
      <c r="I215" s="4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  <c r="AI215" s="35"/>
    </row>
    <row r="216" spans="1:35">
      <c r="A216" s="35"/>
      <c r="B216" s="35"/>
      <c r="C216" s="35"/>
      <c r="D216" s="35"/>
      <c r="E216" s="35"/>
      <c r="F216" s="35"/>
      <c r="G216" s="35"/>
      <c r="H216" s="35"/>
      <c r="I216" s="4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</row>
    <row r="217" spans="1:35">
      <c r="A217" s="35"/>
      <c r="B217" s="35"/>
      <c r="C217" s="35"/>
      <c r="D217" s="35"/>
      <c r="E217" s="35"/>
      <c r="F217" s="35"/>
      <c r="G217" s="35"/>
      <c r="H217" s="35"/>
      <c r="I217" s="4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5"/>
      <c r="AI217" s="35"/>
    </row>
    <row r="218" spans="1:35">
      <c r="A218" s="35"/>
      <c r="B218" s="35"/>
      <c r="C218" s="35"/>
      <c r="D218" s="35"/>
      <c r="E218" s="35"/>
      <c r="F218" s="35"/>
      <c r="G218" s="35"/>
      <c r="H218" s="35"/>
      <c r="I218" s="4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  <c r="AI218" s="35"/>
    </row>
    <row r="219" spans="1:35">
      <c r="A219" s="35"/>
      <c r="B219" s="35"/>
      <c r="C219" s="35"/>
      <c r="D219" s="35"/>
      <c r="E219" s="35"/>
      <c r="F219" s="35"/>
      <c r="G219" s="35"/>
      <c r="H219" s="35"/>
      <c r="I219" s="4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  <c r="AI219" s="35"/>
    </row>
    <row r="220" spans="1:35">
      <c r="A220" s="35"/>
      <c r="B220" s="35"/>
      <c r="C220" s="35"/>
      <c r="D220" s="35"/>
      <c r="E220" s="35"/>
      <c r="F220" s="35"/>
      <c r="G220" s="35"/>
      <c r="H220" s="35"/>
      <c r="I220" s="4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35"/>
      <c r="AH220" s="35"/>
      <c r="AI220" s="35"/>
    </row>
  </sheetData>
  <mergeCells count="1">
    <mergeCell ref="Q28:S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/>
  <dimension ref="A1:R41"/>
  <sheetViews>
    <sheetView showGridLines="0" showRowColHeaders="0" workbookViewId="0">
      <selection activeCell="B21" sqref="B21"/>
    </sheetView>
  </sheetViews>
  <sheetFormatPr baseColWidth="10" defaultRowHeight="15"/>
  <cols>
    <col min="1" max="1" width="20.85546875" customWidth="1"/>
    <col min="2" max="2" width="12.5703125" customWidth="1"/>
    <col min="3" max="3" width="7.28515625" customWidth="1"/>
    <col min="4" max="16" width="4" customWidth="1"/>
    <col min="17" max="18" width="12.5703125" customWidth="1"/>
    <col min="19" max="266" width="23.85546875" bestFit="1" customWidth="1"/>
    <col min="267" max="267" width="12.5703125" bestFit="1" customWidth="1"/>
  </cols>
  <sheetData>
    <row r="1" spans="1:18">
      <c r="A1" s="226" t="s">
        <v>69</v>
      </c>
      <c r="B1" s="227" t="s">
        <v>814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</row>
    <row r="2" spans="1:18">
      <c r="A2" s="228" t="s">
        <v>813</v>
      </c>
      <c r="B2" s="227" t="s">
        <v>811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</row>
    <row r="3" spans="1:18" hidden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</row>
    <row r="4" spans="1:18">
      <c r="A4" s="225" t="s">
        <v>65</v>
      </c>
      <c r="B4" s="225" t="s">
        <v>66</v>
      </c>
      <c r="C4" s="219" t="s">
        <v>812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</row>
    <row r="5" spans="1:18">
      <c r="A5" s="231" t="s">
        <v>462</v>
      </c>
      <c r="B5" s="231" t="s">
        <v>261</v>
      </c>
      <c r="C5" s="232">
        <v>1</v>
      </c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</row>
    <row r="6" spans="1:18">
      <c r="A6" s="231" t="s">
        <v>474</v>
      </c>
      <c r="B6" s="231" t="s">
        <v>475</v>
      </c>
      <c r="C6" s="232">
        <v>1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</row>
    <row r="7" spans="1:18">
      <c r="A7" s="231" t="s">
        <v>532</v>
      </c>
      <c r="B7" s="231" t="s">
        <v>497</v>
      </c>
      <c r="C7" s="232">
        <v>1</v>
      </c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</row>
    <row r="8" spans="1:18">
      <c r="A8" s="231" t="s">
        <v>587</v>
      </c>
      <c r="B8" s="231" t="s">
        <v>588</v>
      </c>
      <c r="C8" s="232">
        <v>1</v>
      </c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</row>
    <row r="9" spans="1:18">
      <c r="A9" s="229" t="s">
        <v>693</v>
      </c>
      <c r="B9" s="229" t="s">
        <v>381</v>
      </c>
      <c r="C9" s="230">
        <v>1</v>
      </c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</row>
    <row r="10" spans="1:18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</row>
    <row r="11" spans="1:18">
      <c r="A11" s="78"/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</row>
    <row r="12" spans="1:18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</row>
    <row r="13" spans="1:18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</row>
    <row r="14" spans="1:18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</row>
    <row r="15" spans="1:18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</row>
    <row r="16" spans="1:18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</row>
    <row r="17" spans="1:18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</row>
    <row r="18" spans="1:18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</row>
    <row r="19" spans="1:18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</row>
    <row r="20" spans="1:18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</row>
    <row r="21" spans="1:18">
      <c r="A21" s="78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</row>
    <row r="22" spans="1:18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</row>
    <row r="23" spans="1:18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</row>
    <row r="24" spans="1:18"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</row>
    <row r="25" spans="1:18"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</row>
    <row r="26" spans="1:18"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</row>
    <row r="27" spans="1:18"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</row>
    <row r="28" spans="1:18"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</row>
    <row r="29" spans="1:18"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</row>
    <row r="30" spans="1:18"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</row>
    <row r="31" spans="1:18"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</row>
    <row r="32" spans="1:18"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</row>
    <row r="33" spans="2:18"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</row>
    <row r="34" spans="2:18"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</row>
    <row r="35" spans="2:18"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</row>
    <row r="36" spans="2:18"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</row>
    <row r="37" spans="2:18"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</row>
    <row r="38" spans="2:18"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</row>
    <row r="39" spans="2:18"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</row>
    <row r="40" spans="2:18"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</row>
    <row r="41" spans="2:18"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BO109"/>
  <sheetViews>
    <sheetView showGridLines="0" showRowColHeaders="0" topLeftCell="A2" zoomScale="83" zoomScaleNormal="83" workbookViewId="0">
      <selection activeCell="F30" sqref="F30"/>
    </sheetView>
  </sheetViews>
  <sheetFormatPr baseColWidth="10" defaultRowHeight="15"/>
  <cols>
    <col min="1" max="1" width="10.85546875" customWidth="1"/>
    <col min="2" max="2" width="17.85546875" customWidth="1"/>
    <col min="3" max="3" width="11.28515625" hidden="1" customWidth="1"/>
    <col min="4" max="4" width="11.42578125" hidden="1" customWidth="1"/>
    <col min="5" max="5" width="22.42578125" customWidth="1"/>
    <col min="6" max="6" width="13.85546875" customWidth="1"/>
    <col min="7" max="7" width="8.7109375" hidden="1" customWidth="1"/>
    <col min="8" max="8" width="10.5703125" customWidth="1"/>
    <col min="9" max="9" width="10.7109375" customWidth="1"/>
    <col min="10" max="10" width="9.7109375" customWidth="1"/>
    <col min="11" max="11" width="11.42578125" customWidth="1"/>
    <col min="12" max="12" width="11.42578125" hidden="1" customWidth="1"/>
    <col min="13" max="14" width="11.42578125" customWidth="1"/>
    <col min="15" max="15" width="19.7109375" customWidth="1"/>
    <col min="16" max="17" width="14.7109375" customWidth="1"/>
    <col min="18" max="18" width="16.140625" customWidth="1"/>
  </cols>
  <sheetData>
    <row r="1" spans="1:67" s="195" customFormat="1" ht="15.75" hidden="1">
      <c r="A1" s="192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4"/>
      <c r="N1" s="194"/>
      <c r="O1" s="194"/>
      <c r="P1" s="194"/>
      <c r="Q1" s="194"/>
      <c r="R1" s="194"/>
      <c r="S1" s="194"/>
      <c r="T1" s="194"/>
      <c r="U1" s="194"/>
      <c r="V1" s="194"/>
      <c r="W1" s="194"/>
      <c r="X1" s="194"/>
      <c r="Y1" s="194"/>
      <c r="Z1" s="194"/>
      <c r="AA1" s="19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  <c r="AU1" s="194"/>
      <c r="AV1" s="194"/>
      <c r="AW1" s="194"/>
      <c r="AX1" s="194"/>
      <c r="AY1" s="194"/>
      <c r="AZ1" s="194"/>
      <c r="BA1" s="194"/>
      <c r="BB1" s="194"/>
      <c r="BC1" s="194"/>
      <c r="BD1" s="194"/>
      <c r="BE1" s="194"/>
      <c r="BF1" s="194"/>
      <c r="BG1" s="194"/>
      <c r="BH1" s="194"/>
      <c r="BI1" s="194"/>
      <c r="BJ1" s="194"/>
      <c r="BK1" s="194"/>
      <c r="BL1" s="194"/>
      <c r="BM1" s="194"/>
      <c r="BN1" s="194"/>
      <c r="BO1" s="194"/>
    </row>
    <row r="2" spans="1:67" s="196" customFormat="1" ht="19.5" thickBot="1">
      <c r="A2" s="91"/>
      <c r="B2" s="109"/>
      <c r="C2" s="200"/>
      <c r="D2" s="201"/>
      <c r="E2" s="218" t="str">
        <f>"      Année   :" &amp; Accueil!C18</f>
        <v xml:space="preserve">      Année   :2017</v>
      </c>
      <c r="F2" s="205" t="str">
        <f>Accueil!D18</f>
        <v xml:space="preserve"> / 2018</v>
      </c>
      <c r="G2" s="109"/>
      <c r="H2" s="109"/>
      <c r="I2" s="109"/>
      <c r="J2" s="91"/>
      <c r="K2" s="297" t="s">
        <v>725</v>
      </c>
      <c r="L2" s="297"/>
      <c r="M2" s="297"/>
      <c r="N2" s="217" t="s">
        <v>802</v>
      </c>
      <c r="O2" s="217" t="s">
        <v>804</v>
      </c>
      <c r="P2" s="217" t="s">
        <v>806</v>
      </c>
      <c r="Q2" s="217" t="s">
        <v>808</v>
      </c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  <c r="BM2" s="78"/>
      <c r="BN2" s="78"/>
      <c r="BO2" s="78"/>
    </row>
    <row r="3" spans="1:67" s="196" customFormat="1" ht="15.75" hidden="1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</row>
    <row r="4" spans="1:67" s="196" customFormat="1" ht="15.75" hidden="1">
      <c r="A4" s="91"/>
      <c r="B4" s="91"/>
      <c r="C4" s="91"/>
      <c r="D4" s="91"/>
      <c r="E4" s="91"/>
      <c r="F4" s="91"/>
      <c r="G4" s="91"/>
      <c r="H4" s="91"/>
      <c r="I4" s="78"/>
      <c r="J4" s="91"/>
      <c r="K4" s="91"/>
      <c r="L4" s="91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</row>
    <row r="5" spans="1:67" s="196" customFormat="1" ht="24" customHeight="1" thickBot="1">
      <c r="A5" s="197" t="s">
        <v>69</v>
      </c>
      <c r="B5" s="206" t="s">
        <v>8</v>
      </c>
      <c r="C5" s="209" t="s">
        <v>698</v>
      </c>
      <c r="D5" s="209" t="s">
        <v>69</v>
      </c>
      <c r="E5" s="203" t="s">
        <v>65</v>
      </c>
      <c r="F5" s="203" t="s">
        <v>66</v>
      </c>
      <c r="G5" s="203" t="s">
        <v>68</v>
      </c>
      <c r="H5" s="203" t="s">
        <v>35</v>
      </c>
      <c r="I5" s="203" t="s">
        <v>73</v>
      </c>
      <c r="J5" s="203" t="s">
        <v>699</v>
      </c>
      <c r="K5" s="203" t="s">
        <v>57</v>
      </c>
      <c r="L5" s="203" t="s">
        <v>26</v>
      </c>
      <c r="M5" s="207" t="s">
        <v>28</v>
      </c>
      <c r="N5" s="207" t="s">
        <v>28</v>
      </c>
      <c r="O5" s="207" t="s">
        <v>803</v>
      </c>
      <c r="P5" s="207" t="s">
        <v>805</v>
      </c>
      <c r="Q5" s="207" t="s">
        <v>809</v>
      </c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</row>
    <row r="6" spans="1:67" ht="15.75">
      <c r="A6" s="198" t="s">
        <v>700</v>
      </c>
      <c r="B6" s="204">
        <f>SUM(Tableaulistesenfants[Occurrence])</f>
        <v>19</v>
      </c>
      <c r="C6" s="220">
        <f>IF(ROW()-5&lt;=$B$6,ROW()-5,"")</f>
        <v>1</v>
      </c>
      <c r="D6" s="221" t="str">
        <f t="shared" ref="D6:D37" si="0">IF(C6="","",$B$5)</f>
        <v>1e STAV</v>
      </c>
      <c r="E6" s="221" t="str">
        <f>IF(D6="","",INDEX(Tableaulistesenfants[Nom],MATCH(C6,Tableaulistesenfants[Séquence],0),))</f>
        <v>BARREAU</v>
      </c>
      <c r="F6" s="221" t="str">
        <f>IF(D6="","",INDEX(Tableaulistesenfants[Prénom],MATCH(C6,Tableaulistesenfants[Séquence],0),))</f>
        <v>Pauline</v>
      </c>
      <c r="G6" s="220">
        <f ca="1">IF(D6="","",INDEX(Tableaulistesenfants[Age],MATCH(C6,Tableaulistesenfants[Séquence],0),))</f>
        <v>16</v>
      </c>
      <c r="H6" s="220" t="str">
        <f>IF(D6="","",INDEX(Tableaulistesenfants[Régime],MATCH(C6,Tableaulistesenfants[Séquence],0),))</f>
        <v>INT</v>
      </c>
      <c r="I6" s="222" t="str">
        <f>IF(D6="","",INDEX(Tableaulistesenfants[Chambres],MATCH(C6,Tableaulistesenfants[Séquence],0),))</f>
        <v>170</v>
      </c>
      <c r="J6" s="222">
        <f>IF(D6="","",INDEX(Tableaulistesenfants[N° de Casier],MATCH(C6,Tableaulistesenfants[Séquence],0),))</f>
        <v>95</v>
      </c>
      <c r="K6" s="222" t="b">
        <f>IF(E6="","",INDEX(Tableaulistesenfants[Dimanche],MATCH(C6,Tableaulistesenfants[Séquence],0),))</f>
        <v>0</v>
      </c>
      <c r="L6" s="222">
        <f>IF(F6="","",INDEX(Tableaulistesenfants[lundi],MATCH(C6,Tableaulistesenfants[Séquence],0),))</f>
        <v>0</v>
      </c>
      <c r="M6" s="222" t="b">
        <f>IF(F6="","",INDEX(Tableaulistesenfants[reste mercredi2],MATCH(C6,Tableaulistesenfants[Séquence],0),))</f>
        <v>1</v>
      </c>
      <c r="N6" s="222" t="b">
        <f ca="1">IF(G6="","",INDEX(Tableaulistesenfants[reste mercredi],MATCH(C6,Tableaulistesenfants[Séquence],0),))</f>
        <v>0</v>
      </c>
      <c r="O6" s="222">
        <f>IF(H6="","",INDEX(Tableaulistesenfants[sortie EDT],MATCH(C6,Tableaulistesenfants[Séquence],0),))</f>
        <v>0</v>
      </c>
      <c r="P6" s="223"/>
      <c r="Q6" s="224">
        <f>IF(D6="","",INDEX(Tableaulistesenfants[Dossier Complet ?],MATCH(C6,Tableaulistesenfants[Séquence],0),))</f>
        <v>0</v>
      </c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</row>
    <row r="7" spans="1:67" ht="15.75">
      <c r="A7" s="91"/>
      <c r="B7" s="199"/>
      <c r="C7" s="220">
        <f t="shared" ref="C7:C44" si="1">IF(ROW()-5&lt;=$B$6,ROW()-5,"")</f>
        <v>2</v>
      </c>
      <c r="D7" s="221" t="str">
        <f t="shared" si="0"/>
        <v>1e STAV</v>
      </c>
      <c r="E7" s="221" t="str">
        <f>IF(D7="","",INDEX(Tableaulistesenfants[Nom],MATCH(C7,Tableaulistesenfants[Séquence],0),))</f>
        <v>BOISSARIE</v>
      </c>
      <c r="F7" s="221" t="str">
        <f>IF(D7="","",INDEX(Tableaulistesenfants[Prénom],MATCH(C7,Tableaulistesenfants[Séquence],0),))</f>
        <v>Antoine</v>
      </c>
      <c r="G7" s="220">
        <f ca="1">IF(D7="","",INDEX(Tableaulistesenfants[Age],MATCH(C7,Tableaulistesenfants[Séquence],0),))</f>
        <v>16</v>
      </c>
      <c r="H7" s="220" t="str">
        <f>IF(D7="","",INDEX(Tableaulistesenfants[Régime],MATCH(C7,Tableaulistesenfants[Séquence],0),))</f>
        <v>INT</v>
      </c>
      <c r="I7" s="222" t="str">
        <f>IF(D7="","",INDEX(Tableaulistesenfants[Chambres],MATCH(C7,Tableaulistesenfants[Séquence],0),))</f>
        <v>127</v>
      </c>
      <c r="J7" s="222">
        <f>IF(D7="","",INDEX(Tableaulistesenfants[N° de Casier],MATCH(C7,Tableaulistesenfants[Séquence],0),))</f>
        <v>96</v>
      </c>
      <c r="K7" s="222" t="b">
        <f>IF(E7="","",INDEX(Tableaulistesenfants[Dimanche],MATCH(C7,Tableaulistesenfants[Séquence],0),))</f>
        <v>1</v>
      </c>
      <c r="L7" s="222">
        <f>IF(F7="","",INDEX(Tableaulistesenfants[lundi],MATCH(C7,Tableaulistesenfants[Séquence],0),))</f>
        <v>0</v>
      </c>
      <c r="M7" s="222" t="b">
        <f>IF(F7="","",INDEX(Tableaulistesenfants[reste mercredi2],MATCH(C7,Tableaulistesenfants[Séquence],0),))</f>
        <v>1</v>
      </c>
      <c r="N7" s="222" t="b">
        <f ca="1">IF(G7="","",INDEX(Tableaulistesenfants[reste mercredi],MATCH(C7,Tableaulistesenfants[Séquence],0),))</f>
        <v>0</v>
      </c>
      <c r="O7" s="222">
        <f>IF(H7="","",INDEX(Tableaulistesenfants[sortie EDT],MATCH(C7,Tableaulistesenfants[Séquence],0),))</f>
        <v>0</v>
      </c>
      <c r="P7" s="223"/>
      <c r="Q7" s="224">
        <f>IF(D7="","",INDEX(Tableaulistesenfants[Dossier Complet ?],MATCH(C7,Tableaulistesenfants[Séquence],0),))</f>
        <v>0</v>
      </c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</row>
    <row r="8" spans="1:67" ht="15.75">
      <c r="A8" s="91"/>
      <c r="B8" s="91"/>
      <c r="C8" s="220">
        <f t="shared" si="1"/>
        <v>3</v>
      </c>
      <c r="D8" s="221" t="str">
        <f t="shared" si="0"/>
        <v>1e STAV</v>
      </c>
      <c r="E8" s="221" t="str">
        <f>IF(D8="","",INDEX(Tableaulistesenfants[Nom],MATCH(C8,Tableaulistesenfants[Séquence],0),))</f>
        <v>CALMETTES</v>
      </c>
      <c r="F8" s="221" t="str">
        <f>IF(D8="","",INDEX(Tableaulistesenfants[Prénom],MATCH(C8,Tableaulistesenfants[Séquence],0),))</f>
        <v>Florian</v>
      </c>
      <c r="G8" s="220">
        <f ca="1">IF(D8="","",INDEX(Tableaulistesenfants[Age],MATCH(C8,Tableaulistesenfants[Séquence],0),))</f>
        <v>16</v>
      </c>
      <c r="H8" s="220" t="str">
        <f>IF(D8="","",INDEX(Tableaulistesenfants[Régime],MATCH(C8,Tableaulistesenfants[Séquence],0),))</f>
        <v>INT</v>
      </c>
      <c r="I8" s="222" t="str">
        <f>IF(D8="","",INDEX(Tableaulistesenfants[Chambres],MATCH(C8,Tableaulistesenfants[Séquence],0),))</f>
        <v>118</v>
      </c>
      <c r="J8" s="222">
        <f>IF(D8="","",INDEX(Tableaulistesenfants[N° de Casier],MATCH(C8,Tableaulistesenfants[Séquence],0),))</f>
        <v>97</v>
      </c>
      <c r="K8" s="222" t="b">
        <f>IF(E8="","",INDEX(Tableaulistesenfants[Dimanche],MATCH(C8,Tableaulistesenfants[Séquence],0),))</f>
        <v>0</v>
      </c>
      <c r="L8" s="222">
        <f>IF(F8="","",INDEX(Tableaulistesenfants[lundi],MATCH(C8,Tableaulistesenfants[Séquence],0),))</f>
        <v>0</v>
      </c>
      <c r="M8" s="222" t="b">
        <f>IF(F8="","",INDEX(Tableaulistesenfants[reste mercredi2],MATCH(C8,Tableaulistesenfants[Séquence],0),))</f>
        <v>1</v>
      </c>
      <c r="N8" s="222" t="b">
        <f ca="1">IF(G8="","",INDEX(Tableaulistesenfants[reste mercredi],MATCH(C8,Tableaulistesenfants[Séquence],0),))</f>
        <v>0</v>
      </c>
      <c r="O8" s="222">
        <f>IF(H8="","",INDEX(Tableaulistesenfants[sortie EDT],MATCH(C8,Tableaulistesenfants[Séquence],0),))</f>
        <v>0</v>
      </c>
      <c r="P8" s="223"/>
      <c r="Q8" s="224">
        <f>IF(D8="","",INDEX(Tableaulistesenfants[Dossier Complet ?],MATCH(C8,Tableaulistesenfants[Séquence],0),))</f>
        <v>0</v>
      </c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</row>
    <row r="9" spans="1:67" ht="15.75">
      <c r="A9" s="91"/>
      <c r="B9" s="91"/>
      <c r="C9" s="220">
        <f t="shared" si="1"/>
        <v>4</v>
      </c>
      <c r="D9" s="221" t="str">
        <f t="shared" si="0"/>
        <v>1e STAV</v>
      </c>
      <c r="E9" s="221" t="str">
        <f>IF(D9="","",INDEX(Tableaulistesenfants[Nom],MATCH(C9,Tableaulistesenfants[Séquence],0),))</f>
        <v>CAVAIGNAC</v>
      </c>
      <c r="F9" s="221" t="str">
        <f>IF(D9="","",INDEX(Tableaulistesenfants[Prénom],MATCH(C9,Tableaulistesenfants[Séquence],0),))</f>
        <v>Marie</v>
      </c>
      <c r="G9" s="220">
        <f ca="1">IF(D9="","",INDEX(Tableaulistesenfants[Age],MATCH(C9,Tableaulistesenfants[Séquence],0),))</f>
        <v>16</v>
      </c>
      <c r="H9" s="220" t="str">
        <f>IF(D9="","",INDEX(Tableaulistesenfants[Régime],MATCH(C9,Tableaulistesenfants[Séquence],0),))</f>
        <v>INT</v>
      </c>
      <c r="I9" s="222" t="str">
        <f>IF(D9="","",INDEX(Tableaulistesenfants[Chambres],MATCH(C9,Tableaulistesenfants[Séquence],0),))</f>
        <v>169</v>
      </c>
      <c r="J9" s="222">
        <f>IF(D9="","",INDEX(Tableaulistesenfants[N° de Casier],MATCH(C9,Tableaulistesenfants[Séquence],0),))</f>
        <v>98</v>
      </c>
      <c r="K9" s="222" t="b">
        <f>IF(E9="","",INDEX(Tableaulistesenfants[Dimanche],MATCH(C9,Tableaulistesenfants[Séquence],0),))</f>
        <v>0</v>
      </c>
      <c r="L9" s="222">
        <f>IF(F9="","",INDEX(Tableaulistesenfants[lundi],MATCH(C9,Tableaulistesenfants[Séquence],0),))</f>
        <v>0</v>
      </c>
      <c r="M9" s="222" t="b">
        <f>IF(F9="","",INDEX(Tableaulistesenfants[reste mercredi2],MATCH(C9,Tableaulistesenfants[Séquence],0),))</f>
        <v>1</v>
      </c>
      <c r="N9" s="222" t="b">
        <f ca="1">IF(G9="","",INDEX(Tableaulistesenfants[reste mercredi],MATCH(C9,Tableaulistesenfants[Séquence],0),))</f>
        <v>0</v>
      </c>
      <c r="O9" s="222">
        <f>IF(H9="","",INDEX(Tableaulistesenfants[sortie EDT],MATCH(C9,Tableaulistesenfants[Séquence],0),))</f>
        <v>0</v>
      </c>
      <c r="P9" s="223"/>
      <c r="Q9" s="224">
        <f>IF(D9="","",INDEX(Tableaulistesenfants[Dossier Complet ?],MATCH(C9,Tableaulistesenfants[Séquence],0),))</f>
        <v>0</v>
      </c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</row>
    <row r="10" spans="1:67" ht="15.75">
      <c r="A10" s="91"/>
      <c r="B10" s="91"/>
      <c r="C10" s="220">
        <f t="shared" si="1"/>
        <v>5</v>
      </c>
      <c r="D10" s="221" t="str">
        <f t="shared" si="0"/>
        <v>1e STAV</v>
      </c>
      <c r="E10" s="221" t="str">
        <f>IF(D10="","",INDEX(Tableaulistesenfants[Nom],MATCH(C10,Tableaulistesenfants[Séquence],0),))</f>
        <v>CAYRE</v>
      </c>
      <c r="F10" s="221" t="str">
        <f>IF(D10="","",INDEX(Tableaulistesenfants[Prénom],MATCH(C10,Tableaulistesenfants[Séquence],0),))</f>
        <v>Charlotte</v>
      </c>
      <c r="G10" s="220">
        <f ca="1">IF(D10="","",INDEX(Tableaulistesenfants[Age],MATCH(C10,Tableaulistesenfants[Séquence],0),))</f>
        <v>16</v>
      </c>
      <c r="H10" s="220" t="str">
        <f>IF(D10="","",INDEX(Tableaulistesenfants[Régime],MATCH(C10,Tableaulistesenfants[Séquence],0),))</f>
        <v>INT</v>
      </c>
      <c r="I10" s="222" t="str">
        <f>IF(D10="","",INDEX(Tableaulistesenfants[Chambres],MATCH(C10,Tableaulistesenfants[Séquence],0),))</f>
        <v>132</v>
      </c>
      <c r="J10" s="222">
        <f>IF(D10="","",INDEX(Tableaulistesenfants[N° de Casier],MATCH(C10,Tableaulistesenfants[Séquence],0),))</f>
        <v>99</v>
      </c>
      <c r="K10" s="222" t="b">
        <f>IF(E10="","",INDEX(Tableaulistesenfants[Dimanche],MATCH(C10,Tableaulistesenfants[Séquence],0),))</f>
        <v>0</v>
      </c>
      <c r="L10" s="222">
        <f>IF(F10="","",INDEX(Tableaulistesenfants[lundi],MATCH(C10,Tableaulistesenfants[Séquence],0),))</f>
        <v>0</v>
      </c>
      <c r="M10" s="222" t="b">
        <f>IF(F10="","",INDEX(Tableaulistesenfants[reste mercredi2],MATCH(C10,Tableaulistesenfants[Séquence],0),))</f>
        <v>1</v>
      </c>
      <c r="N10" s="222" t="b">
        <f ca="1">IF(G10="","",INDEX(Tableaulistesenfants[reste mercredi],MATCH(C10,Tableaulistesenfants[Séquence],0),))</f>
        <v>0</v>
      </c>
      <c r="O10" s="222">
        <f>IF(H10="","",INDEX(Tableaulistesenfants[sortie EDT],MATCH(C10,Tableaulistesenfants[Séquence],0),))</f>
        <v>0</v>
      </c>
      <c r="P10" s="223"/>
      <c r="Q10" s="224">
        <f>IF(D10="","",INDEX(Tableaulistesenfants[Dossier Complet ?],MATCH(C10,Tableaulistesenfants[Séquence],0),))</f>
        <v>0</v>
      </c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</row>
    <row r="11" spans="1:67" ht="15.75">
      <c r="A11" s="91"/>
      <c r="B11" s="91"/>
      <c r="C11" s="220">
        <f t="shared" si="1"/>
        <v>6</v>
      </c>
      <c r="D11" s="221" t="str">
        <f t="shared" si="0"/>
        <v>1e STAV</v>
      </c>
      <c r="E11" s="221" t="str">
        <f>IF(D11="","",INDEX(Tableaulistesenfants[Nom],MATCH(C11,Tableaulistesenfants[Séquence],0),))</f>
        <v>COSTE</v>
      </c>
      <c r="F11" s="221" t="str">
        <f>IF(D11="","",INDEX(Tableaulistesenfants[Prénom],MATCH(C11,Tableaulistesenfants[Séquence],0),))</f>
        <v>Laurine</v>
      </c>
      <c r="G11" s="220">
        <f ca="1">IF(D11="","",INDEX(Tableaulistesenfants[Age],MATCH(C11,Tableaulistesenfants[Séquence],0),))</f>
        <v>16</v>
      </c>
      <c r="H11" s="220" t="str">
        <f>IF(D11="","",INDEX(Tableaulistesenfants[Régime],MATCH(C11,Tableaulistesenfants[Séquence],0),))</f>
        <v>INT</v>
      </c>
      <c r="I11" s="222" t="str">
        <f>IF(D11="","",INDEX(Tableaulistesenfants[Chambres],MATCH(C11,Tableaulistesenfants[Séquence],0),))</f>
        <v>132</v>
      </c>
      <c r="J11" s="222">
        <f>IF(D11="","",INDEX(Tableaulistesenfants[N° de Casier],MATCH(C11,Tableaulistesenfants[Séquence],0),))</f>
        <v>100</v>
      </c>
      <c r="K11" s="222" t="b">
        <f>IF(E11="","",INDEX(Tableaulistesenfants[Dimanche],MATCH(C11,Tableaulistesenfants[Séquence],0),))</f>
        <v>0</v>
      </c>
      <c r="L11" s="222">
        <f>IF(F11="","",INDEX(Tableaulistesenfants[lundi],MATCH(C11,Tableaulistesenfants[Séquence],0),))</f>
        <v>0</v>
      </c>
      <c r="M11" s="222" t="b">
        <f>IF(F11="","",INDEX(Tableaulistesenfants[reste mercredi2],MATCH(C11,Tableaulistesenfants[Séquence],0),))</f>
        <v>1</v>
      </c>
      <c r="N11" s="222" t="b">
        <f ca="1">IF(G11="","",INDEX(Tableaulistesenfants[reste mercredi],MATCH(C11,Tableaulistesenfants[Séquence],0),))</f>
        <v>0</v>
      </c>
      <c r="O11" s="222">
        <f>IF(H11="","",INDEX(Tableaulistesenfants[sortie EDT],MATCH(C11,Tableaulistesenfants[Séquence],0),))</f>
        <v>0</v>
      </c>
      <c r="P11" s="223"/>
      <c r="Q11" s="224">
        <f>IF(D11="","",INDEX(Tableaulistesenfants[Dossier Complet ?],MATCH(C11,Tableaulistesenfants[Séquence],0),))</f>
        <v>0</v>
      </c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</row>
    <row r="12" spans="1:67" ht="15.75">
      <c r="A12" s="91"/>
      <c r="B12" s="91"/>
      <c r="C12" s="220">
        <f t="shared" si="1"/>
        <v>7</v>
      </c>
      <c r="D12" s="221" t="str">
        <f t="shared" si="0"/>
        <v>1e STAV</v>
      </c>
      <c r="E12" s="221" t="str">
        <f>IF(D12="","",INDEX(Tableaulistesenfants[Nom],MATCH(C12,Tableaulistesenfants[Séquence],0),))</f>
        <v>COUTEL</v>
      </c>
      <c r="F12" s="221" t="str">
        <f>IF(D12="","",INDEX(Tableaulistesenfants[Prénom],MATCH(C12,Tableaulistesenfants[Séquence],0),))</f>
        <v>Antoine</v>
      </c>
      <c r="G12" s="220">
        <f ca="1">IF(D12="","",INDEX(Tableaulistesenfants[Age],MATCH(C12,Tableaulistesenfants[Séquence],0),))</f>
        <v>16</v>
      </c>
      <c r="H12" s="220" t="str">
        <f>IF(D12="","",INDEX(Tableaulistesenfants[Régime],MATCH(C12,Tableaulistesenfants[Séquence],0),))</f>
        <v>DP</v>
      </c>
      <c r="I12" s="222" t="str">
        <f>IF(D12="","",INDEX(Tableaulistesenfants[Chambres],MATCH(C12,Tableaulistesenfants[Séquence],0),))</f>
        <v/>
      </c>
      <c r="J12" s="222">
        <f>IF(D12="","",INDEX(Tableaulistesenfants[N° de Casier],MATCH(C12,Tableaulistesenfants[Séquence],0),))</f>
        <v>101</v>
      </c>
      <c r="K12" s="222">
        <f>IF(E12="","",INDEX(Tableaulistesenfants[Dimanche],MATCH(C12,Tableaulistesenfants[Séquence],0),))</f>
        <v>0</v>
      </c>
      <c r="L12" s="222">
        <f>IF(F12="","",INDEX(Tableaulistesenfants[lundi],MATCH(C12,Tableaulistesenfants[Séquence],0),))</f>
        <v>0</v>
      </c>
      <c r="M12" s="222">
        <f>IF(F12="","",INDEX(Tableaulistesenfants[reste mercredi2],MATCH(C12,Tableaulistesenfants[Séquence],0),))</f>
        <v>0</v>
      </c>
      <c r="N12" s="222">
        <f ca="1">IF(G12="","",INDEX(Tableaulistesenfants[reste mercredi],MATCH(C12,Tableaulistesenfants[Séquence],0),))</f>
        <v>0</v>
      </c>
      <c r="O12" s="222">
        <f>IF(H12="","",INDEX(Tableaulistesenfants[sortie EDT],MATCH(C12,Tableaulistesenfants[Séquence],0),))</f>
        <v>0</v>
      </c>
      <c r="P12" s="223"/>
      <c r="Q12" s="224">
        <f>IF(D12="","",INDEX(Tableaulistesenfants[Dossier Complet ?],MATCH(C12,Tableaulistesenfants[Séquence],0),))</f>
        <v>0</v>
      </c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</row>
    <row r="13" spans="1:67" ht="15.75">
      <c r="A13" s="91"/>
      <c r="B13" s="78"/>
      <c r="C13" s="220">
        <f t="shared" si="1"/>
        <v>8</v>
      </c>
      <c r="D13" s="221" t="str">
        <f t="shared" si="0"/>
        <v>1e STAV</v>
      </c>
      <c r="E13" s="221" t="str">
        <f>IF(D13="","",INDEX(Tableaulistesenfants[Nom],MATCH(C13,Tableaulistesenfants[Séquence],0),))</f>
        <v>IZQUIERDO</v>
      </c>
      <c r="F13" s="221" t="str">
        <f>IF(D13="","",INDEX(Tableaulistesenfants[Prénom],MATCH(C13,Tableaulistesenfants[Séquence],0),))</f>
        <v>Alexian</v>
      </c>
      <c r="G13" s="220">
        <f ca="1">IF(D13="","",INDEX(Tableaulistesenfants[Age],MATCH(C13,Tableaulistesenfants[Séquence],0),))</f>
        <v>15</v>
      </c>
      <c r="H13" s="220" t="str">
        <f>IF(D13="","",INDEX(Tableaulistesenfants[Régime],MATCH(C13,Tableaulistesenfants[Séquence],0),))</f>
        <v>INT</v>
      </c>
      <c r="I13" s="222" t="str">
        <f>IF(D13="","",INDEX(Tableaulistesenfants[Chambres],MATCH(C13,Tableaulistesenfants[Séquence],0),))</f>
        <v>118</v>
      </c>
      <c r="J13" s="222">
        <f>IF(D13="","",INDEX(Tableaulistesenfants[N° de Casier],MATCH(C13,Tableaulistesenfants[Séquence],0),))</f>
        <v>102</v>
      </c>
      <c r="K13" s="222" t="b">
        <f>IF(E13="","",INDEX(Tableaulistesenfants[Dimanche],MATCH(C13,Tableaulistesenfants[Séquence],0),))</f>
        <v>0</v>
      </c>
      <c r="L13" s="222">
        <f>IF(F13="","",INDEX(Tableaulistesenfants[lundi],MATCH(C13,Tableaulistesenfants[Séquence],0),))</f>
        <v>0</v>
      </c>
      <c r="M13" s="222" t="b">
        <f>IF(F13="","",INDEX(Tableaulistesenfants[reste mercredi2],MATCH(C13,Tableaulistesenfants[Séquence],0),))</f>
        <v>1</v>
      </c>
      <c r="N13" s="222" t="b">
        <f ca="1">IF(G13="","",INDEX(Tableaulistesenfants[reste mercredi],MATCH(C13,Tableaulistesenfants[Séquence],0),))</f>
        <v>0</v>
      </c>
      <c r="O13" s="222">
        <f>IF(H13="","",INDEX(Tableaulistesenfants[sortie EDT],MATCH(C13,Tableaulistesenfants[Séquence],0),))</f>
        <v>0</v>
      </c>
      <c r="P13" s="223"/>
      <c r="Q13" s="224">
        <f>IF(D13="","",INDEX(Tableaulistesenfants[Dossier Complet ?],MATCH(C13,Tableaulistesenfants[Séquence],0),))</f>
        <v>0</v>
      </c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</row>
    <row r="14" spans="1:67" ht="15.75">
      <c r="A14" s="91"/>
      <c r="B14" s="91"/>
      <c r="C14" s="220">
        <f t="shared" si="1"/>
        <v>9</v>
      </c>
      <c r="D14" s="221" t="str">
        <f t="shared" si="0"/>
        <v>1e STAV</v>
      </c>
      <c r="E14" s="221" t="str">
        <f>IF(D14="","",INDEX(Tableaulistesenfants[Nom],MATCH(C14,Tableaulistesenfants[Séquence],0),))</f>
        <v>JOIE</v>
      </c>
      <c r="F14" s="221" t="str">
        <f>IF(D14="","",INDEX(Tableaulistesenfants[Prénom],MATCH(C14,Tableaulistesenfants[Séquence],0),))</f>
        <v>Estelle</v>
      </c>
      <c r="G14" s="220">
        <f ca="1">IF(D14="","",INDEX(Tableaulistesenfants[Age],MATCH(C14,Tableaulistesenfants[Séquence],0),))</f>
        <v>16</v>
      </c>
      <c r="H14" s="220" t="str">
        <f>IF(D14="","",INDEX(Tableaulistesenfants[Régime],MATCH(C14,Tableaulistesenfants[Séquence],0),))</f>
        <v>INT</v>
      </c>
      <c r="I14" s="222" t="str">
        <f>IF(D14="","",INDEX(Tableaulistesenfants[Chambres],MATCH(C14,Tableaulistesenfants[Séquence],0),))</f>
        <v>169</v>
      </c>
      <c r="J14" s="222">
        <f>IF(D14="","",INDEX(Tableaulistesenfants[N° de Casier],MATCH(C14,Tableaulistesenfants[Séquence],0),))</f>
        <v>103</v>
      </c>
      <c r="K14" s="222" t="b">
        <f>IF(E14="","",INDEX(Tableaulistesenfants[Dimanche],MATCH(C14,Tableaulistesenfants[Séquence],0),))</f>
        <v>1</v>
      </c>
      <c r="L14" s="222">
        <f>IF(F14="","",INDEX(Tableaulistesenfants[lundi],MATCH(C14,Tableaulistesenfants[Séquence],0),))</f>
        <v>0</v>
      </c>
      <c r="M14" s="222" t="b">
        <f>IF(F14="","",INDEX(Tableaulistesenfants[reste mercredi2],MATCH(C14,Tableaulistesenfants[Séquence],0),))</f>
        <v>1</v>
      </c>
      <c r="N14" s="222" t="b">
        <f ca="1">IF(G14="","",INDEX(Tableaulistesenfants[reste mercredi],MATCH(C14,Tableaulistesenfants[Séquence],0),))</f>
        <v>0</v>
      </c>
      <c r="O14" s="222">
        <f>IF(H14="","",INDEX(Tableaulistesenfants[sortie EDT],MATCH(C14,Tableaulistesenfants[Séquence],0),))</f>
        <v>0</v>
      </c>
      <c r="P14" s="223"/>
      <c r="Q14" s="224">
        <f>IF(D14="","",INDEX(Tableaulistesenfants[Dossier Complet ?],MATCH(C14,Tableaulistesenfants[Séquence],0),))</f>
        <v>0</v>
      </c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</row>
    <row r="15" spans="1:67" ht="15.75">
      <c r="A15" s="91"/>
      <c r="B15" s="91"/>
      <c r="C15" s="220">
        <f t="shared" si="1"/>
        <v>10</v>
      </c>
      <c r="D15" s="221" t="str">
        <f t="shared" si="0"/>
        <v>1e STAV</v>
      </c>
      <c r="E15" s="221" t="str">
        <f>IF(D15="","",INDEX(Tableaulistesenfants[Nom],MATCH(C15,Tableaulistesenfants[Séquence],0),))</f>
        <v>MARMOITON</v>
      </c>
      <c r="F15" s="221" t="str">
        <f>IF(D15="","",INDEX(Tableaulistesenfants[Prénom],MATCH(C15,Tableaulistesenfants[Séquence],0),))</f>
        <v>Lukas</v>
      </c>
      <c r="G15" s="220">
        <f ca="1">IF(D15="","",INDEX(Tableaulistesenfants[Age],MATCH(C15,Tableaulistesenfants[Séquence],0),))</f>
        <v>16</v>
      </c>
      <c r="H15" s="220" t="str">
        <f>IF(D15="","",INDEX(Tableaulistesenfants[Régime],MATCH(C15,Tableaulistesenfants[Séquence],0),))</f>
        <v>DP</v>
      </c>
      <c r="I15" s="222" t="str">
        <f>IF(D15="","",INDEX(Tableaulistesenfants[Chambres],MATCH(C15,Tableaulistesenfants[Séquence],0),))</f>
        <v/>
      </c>
      <c r="J15" s="222">
        <f>IF(D15="","",INDEX(Tableaulistesenfants[N° de Casier],MATCH(C15,Tableaulistesenfants[Séquence],0),))</f>
        <v>104</v>
      </c>
      <c r="K15" s="222">
        <f>IF(E15="","",INDEX(Tableaulistesenfants[Dimanche],MATCH(C15,Tableaulistesenfants[Séquence],0),))</f>
        <v>0</v>
      </c>
      <c r="L15" s="222">
        <f>IF(F15="","",INDEX(Tableaulistesenfants[lundi],MATCH(C15,Tableaulistesenfants[Séquence],0),))</f>
        <v>0</v>
      </c>
      <c r="M15" s="222">
        <f>IF(F15="","",INDEX(Tableaulistesenfants[reste mercredi2],MATCH(C15,Tableaulistesenfants[Séquence],0),))</f>
        <v>0</v>
      </c>
      <c r="N15" s="222">
        <f ca="1">IF(G15="","",INDEX(Tableaulistesenfants[reste mercredi],MATCH(C15,Tableaulistesenfants[Séquence],0),))</f>
        <v>0</v>
      </c>
      <c r="O15" s="222">
        <f>IF(H15="","",INDEX(Tableaulistesenfants[sortie EDT],MATCH(C15,Tableaulistesenfants[Séquence],0),))</f>
        <v>0</v>
      </c>
      <c r="P15" s="223"/>
      <c r="Q15" s="224">
        <f>IF(D15="","",INDEX(Tableaulistesenfants[Dossier Complet ?],MATCH(C15,Tableaulistesenfants[Séquence],0),))</f>
        <v>0</v>
      </c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</row>
    <row r="16" spans="1:67" ht="15.75">
      <c r="A16" s="91"/>
      <c r="B16" s="91"/>
      <c r="C16" s="220">
        <f t="shared" si="1"/>
        <v>11</v>
      </c>
      <c r="D16" s="221" t="str">
        <f t="shared" si="0"/>
        <v>1e STAV</v>
      </c>
      <c r="E16" s="221" t="str">
        <f>IF(D16="","",INDEX(Tableaulistesenfants[Nom],MATCH(C16,Tableaulistesenfants[Séquence],0),))</f>
        <v>MAZARGUIL</v>
      </c>
      <c r="F16" s="221" t="str">
        <f>IF(D16="","",INDEX(Tableaulistesenfants[Prénom],MATCH(C16,Tableaulistesenfants[Séquence],0),))</f>
        <v>Cedric</v>
      </c>
      <c r="G16" s="220">
        <f ca="1">IF(D16="","",INDEX(Tableaulistesenfants[Age],MATCH(C16,Tableaulistesenfants[Séquence],0),))</f>
        <v>16</v>
      </c>
      <c r="H16" s="220" t="str">
        <f>IF(D16="","",INDEX(Tableaulistesenfants[Régime],MATCH(C16,Tableaulistesenfants[Séquence],0),))</f>
        <v>INT</v>
      </c>
      <c r="I16" s="222" t="str">
        <f>IF(D16="","",INDEX(Tableaulistesenfants[Chambres],MATCH(C16,Tableaulistesenfants[Séquence],0),))</f>
        <v>118</v>
      </c>
      <c r="J16" s="222">
        <f>IF(D16="","",INDEX(Tableaulistesenfants[N° de Casier],MATCH(C16,Tableaulistesenfants[Séquence],0),))</f>
        <v>105</v>
      </c>
      <c r="K16" s="222" t="b">
        <f>IF(E16="","",INDEX(Tableaulistesenfants[Dimanche],MATCH(C16,Tableaulistesenfants[Séquence],0),))</f>
        <v>0</v>
      </c>
      <c r="L16" s="222">
        <f>IF(F16="","",INDEX(Tableaulistesenfants[lundi],MATCH(C16,Tableaulistesenfants[Séquence],0),))</f>
        <v>0</v>
      </c>
      <c r="M16" s="222" t="b">
        <f>IF(F16="","",INDEX(Tableaulistesenfants[reste mercredi2],MATCH(C16,Tableaulistesenfants[Séquence],0),))</f>
        <v>1</v>
      </c>
      <c r="N16" s="222" t="b">
        <f ca="1">IF(G16="","",INDEX(Tableaulistesenfants[reste mercredi],MATCH(C16,Tableaulistesenfants[Séquence],0),))</f>
        <v>0</v>
      </c>
      <c r="O16" s="222">
        <f>IF(H16="","",INDEX(Tableaulistesenfants[sortie EDT],MATCH(C16,Tableaulistesenfants[Séquence],0),))</f>
        <v>0</v>
      </c>
      <c r="P16" s="223"/>
      <c r="Q16" s="224">
        <f>IF(D16="","",INDEX(Tableaulistesenfants[Dossier Complet ?],MATCH(C16,Tableaulistesenfants[Séquence],0),))</f>
        <v>0</v>
      </c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</row>
    <row r="17" spans="1:67" ht="15.75">
      <c r="A17" s="91"/>
      <c r="B17" s="91"/>
      <c r="C17" s="220">
        <f t="shared" si="1"/>
        <v>12</v>
      </c>
      <c r="D17" s="221" t="str">
        <f t="shared" si="0"/>
        <v>1e STAV</v>
      </c>
      <c r="E17" s="221" t="str">
        <f>IF(D17="","",INDEX(Tableaulistesenfants[Nom],MATCH(C17,Tableaulistesenfants[Séquence],0),))</f>
        <v>MAZET</v>
      </c>
      <c r="F17" s="221" t="str">
        <f>IF(D17="","",INDEX(Tableaulistesenfants[Prénom],MATCH(C17,Tableaulistesenfants[Séquence],0),))</f>
        <v>Anthony</v>
      </c>
      <c r="G17" s="220">
        <f ca="1">IF(D17="","",INDEX(Tableaulistesenfants[Age],MATCH(C17,Tableaulistesenfants[Séquence],0),))</f>
        <v>16</v>
      </c>
      <c r="H17" s="220" t="str">
        <f>IF(D17="","",INDEX(Tableaulistesenfants[Régime],MATCH(C17,Tableaulistesenfants[Séquence],0),))</f>
        <v>INT</v>
      </c>
      <c r="I17" s="222" t="str">
        <f>IF(D17="","",INDEX(Tableaulistesenfants[Chambres],MATCH(C17,Tableaulistesenfants[Séquence],0),))</f>
        <v>118</v>
      </c>
      <c r="J17" s="222">
        <f>IF(D17="","",INDEX(Tableaulistesenfants[N° de Casier],MATCH(C17,Tableaulistesenfants[Séquence],0),))</f>
        <v>106</v>
      </c>
      <c r="K17" s="222" t="b">
        <f>IF(E17="","",INDEX(Tableaulistesenfants[Dimanche],MATCH(C17,Tableaulistesenfants[Séquence],0),))</f>
        <v>0</v>
      </c>
      <c r="L17" s="222">
        <f>IF(F17="","",INDEX(Tableaulistesenfants[lundi],MATCH(C17,Tableaulistesenfants[Séquence],0),))</f>
        <v>0</v>
      </c>
      <c r="M17" s="222" t="b">
        <f>IF(F17="","",INDEX(Tableaulistesenfants[reste mercredi2],MATCH(C17,Tableaulistesenfants[Séquence],0),))</f>
        <v>1</v>
      </c>
      <c r="N17" s="222" t="b">
        <f ca="1">IF(G17="","",INDEX(Tableaulistesenfants[reste mercredi],MATCH(C17,Tableaulistesenfants[Séquence],0),))</f>
        <v>0</v>
      </c>
      <c r="O17" s="222">
        <f>IF(H17="","",INDEX(Tableaulistesenfants[sortie EDT],MATCH(C17,Tableaulistesenfants[Séquence],0),))</f>
        <v>0</v>
      </c>
      <c r="P17" s="223"/>
      <c r="Q17" s="224">
        <f>IF(D17="","",INDEX(Tableaulistesenfants[Dossier Complet ?],MATCH(C17,Tableaulistesenfants[Séquence],0),))</f>
        <v>0</v>
      </c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</row>
    <row r="18" spans="1:67" ht="15.75">
      <c r="A18" s="91"/>
      <c r="B18" s="91"/>
      <c r="C18" s="220">
        <f t="shared" si="1"/>
        <v>13</v>
      </c>
      <c r="D18" s="221" t="str">
        <f t="shared" si="0"/>
        <v>1e STAV</v>
      </c>
      <c r="E18" s="221" t="str">
        <f>IF(D18="","",INDEX(Tableaulistesenfants[Nom],MATCH(C18,Tableaulistesenfants[Séquence],0),))</f>
        <v>PAJOT</v>
      </c>
      <c r="F18" s="221" t="str">
        <f>IF(D18="","",INDEX(Tableaulistesenfants[Prénom],MATCH(C18,Tableaulistesenfants[Séquence],0),))</f>
        <v>Ophelie</v>
      </c>
      <c r="G18" s="220">
        <f ca="1">IF(D18="","",INDEX(Tableaulistesenfants[Age],MATCH(C18,Tableaulistesenfants[Séquence],0),))</f>
        <v>17</v>
      </c>
      <c r="H18" s="220" t="str">
        <f>IF(D18="","",INDEX(Tableaulistesenfants[Régime],MATCH(C18,Tableaulistesenfants[Séquence],0),))</f>
        <v>INT</v>
      </c>
      <c r="I18" s="222" t="str">
        <f>IF(D18="","",INDEX(Tableaulistesenfants[Chambres],MATCH(C18,Tableaulistesenfants[Séquence],0),))</f>
        <v>148</v>
      </c>
      <c r="J18" s="222">
        <f>IF(D18="","",INDEX(Tableaulistesenfants[N° de Casier],MATCH(C18,Tableaulistesenfants[Séquence],0),))</f>
        <v>107</v>
      </c>
      <c r="K18" s="222" t="b">
        <f>IF(E18="","",INDEX(Tableaulistesenfants[Dimanche],MATCH(C18,Tableaulistesenfants[Séquence],0),))</f>
        <v>0</v>
      </c>
      <c r="L18" s="222">
        <f>IF(F18="","",INDEX(Tableaulistesenfants[lundi],MATCH(C18,Tableaulistesenfants[Séquence],0),))</f>
        <v>0</v>
      </c>
      <c r="M18" s="222" t="b">
        <f>IF(F18="","",INDEX(Tableaulistesenfants[reste mercredi2],MATCH(C18,Tableaulistesenfants[Séquence],0),))</f>
        <v>1</v>
      </c>
      <c r="N18" s="222" t="b">
        <f ca="1">IF(G18="","",INDEX(Tableaulistesenfants[reste mercredi],MATCH(C18,Tableaulistesenfants[Séquence],0),))</f>
        <v>0</v>
      </c>
      <c r="O18" s="222">
        <f>IF(H18="","",INDEX(Tableaulistesenfants[sortie EDT],MATCH(C18,Tableaulistesenfants[Séquence],0),))</f>
        <v>0</v>
      </c>
      <c r="P18" s="223"/>
      <c r="Q18" s="224">
        <f>IF(D18="","",INDEX(Tableaulistesenfants[Dossier Complet ?],MATCH(C18,Tableaulistesenfants[Séquence],0),))</f>
        <v>0</v>
      </c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</row>
    <row r="19" spans="1:67" ht="15.75">
      <c r="A19" s="91"/>
      <c r="B19" s="91"/>
      <c r="C19" s="220">
        <f t="shared" si="1"/>
        <v>14</v>
      </c>
      <c r="D19" s="221" t="str">
        <f t="shared" si="0"/>
        <v>1e STAV</v>
      </c>
      <c r="E19" s="221" t="str">
        <f>IF(D19="","",INDEX(Tableaulistesenfants[Nom],MATCH(C19,Tableaulistesenfants[Séquence],0),))</f>
        <v>PEYRILLES</v>
      </c>
      <c r="F19" s="221" t="str">
        <f>IF(D19="","",INDEX(Tableaulistesenfants[Prénom],MATCH(C19,Tableaulistesenfants[Séquence],0),))</f>
        <v>Maeliss</v>
      </c>
      <c r="G19" s="220">
        <f ca="1">IF(D19="","",INDEX(Tableaulistesenfants[Age],MATCH(C19,Tableaulistesenfants[Séquence],0),))</f>
        <v>15</v>
      </c>
      <c r="H19" s="220" t="str">
        <f>IF(D19="","",INDEX(Tableaulistesenfants[Régime],MATCH(C19,Tableaulistesenfants[Séquence],0),))</f>
        <v>INT</v>
      </c>
      <c r="I19" s="222" t="str">
        <f>IF(D19="","",INDEX(Tableaulistesenfants[Chambres],MATCH(C19,Tableaulistesenfants[Séquence],0),))</f>
        <v>170</v>
      </c>
      <c r="J19" s="222">
        <f>IF(D19="","",INDEX(Tableaulistesenfants[N° de Casier],MATCH(C19,Tableaulistesenfants[Séquence],0),))</f>
        <v>108</v>
      </c>
      <c r="K19" s="222" t="b">
        <f>IF(E19="","",INDEX(Tableaulistesenfants[Dimanche],MATCH(C19,Tableaulistesenfants[Séquence],0),))</f>
        <v>0</v>
      </c>
      <c r="L19" s="222">
        <f>IF(F19="","",INDEX(Tableaulistesenfants[lundi],MATCH(C19,Tableaulistesenfants[Séquence],0),))</f>
        <v>0</v>
      </c>
      <c r="M19" s="222" t="b">
        <f>IF(F19="","",INDEX(Tableaulistesenfants[reste mercredi2],MATCH(C19,Tableaulistesenfants[Séquence],0),))</f>
        <v>1</v>
      </c>
      <c r="N19" s="222" t="b">
        <f ca="1">IF(G19="","",INDEX(Tableaulistesenfants[reste mercredi],MATCH(C19,Tableaulistesenfants[Séquence],0),))</f>
        <v>0</v>
      </c>
      <c r="O19" s="222">
        <f>IF(H19="","",INDEX(Tableaulistesenfants[sortie EDT],MATCH(C19,Tableaulistesenfants[Séquence],0),))</f>
        <v>0</v>
      </c>
      <c r="P19" s="223"/>
      <c r="Q19" s="224">
        <f>IF(D19="","",INDEX(Tableaulistesenfants[Dossier Complet ?],MATCH(C19,Tableaulistesenfants[Séquence],0),))</f>
        <v>0</v>
      </c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</row>
    <row r="20" spans="1:67" ht="15.75">
      <c r="A20" s="91"/>
      <c r="B20" s="91"/>
      <c r="C20" s="220">
        <f t="shared" si="1"/>
        <v>15</v>
      </c>
      <c r="D20" s="221" t="str">
        <f t="shared" si="0"/>
        <v>1e STAV</v>
      </c>
      <c r="E20" s="221" t="str">
        <f>IF(D20="","",INDEX(Tableaulistesenfants[Nom],MATCH(C20,Tableaulistesenfants[Séquence],0),))</f>
        <v>PUECH</v>
      </c>
      <c r="F20" s="221" t="str">
        <f>IF(D20="","",INDEX(Tableaulistesenfants[Prénom],MATCH(C20,Tableaulistesenfants[Séquence],0),))</f>
        <v>Laetitia</v>
      </c>
      <c r="G20" s="220">
        <f ca="1">IF(D20="","",INDEX(Tableaulistesenfants[Age],MATCH(C20,Tableaulistesenfants[Séquence],0),))</f>
        <v>16</v>
      </c>
      <c r="H20" s="220" t="str">
        <f>IF(D20="","",INDEX(Tableaulistesenfants[Régime],MATCH(C20,Tableaulistesenfants[Séquence],0),))</f>
        <v>INT</v>
      </c>
      <c r="I20" s="222" t="str">
        <f>IF(D20="","",INDEX(Tableaulistesenfants[Chambres],MATCH(C20,Tableaulistesenfants[Séquence],0),))</f>
        <v>170</v>
      </c>
      <c r="J20" s="222">
        <f>IF(D20="","",INDEX(Tableaulistesenfants[N° de Casier],MATCH(C20,Tableaulistesenfants[Séquence],0),))</f>
        <v>109</v>
      </c>
      <c r="K20" s="222" t="b">
        <f>IF(E20="","",INDEX(Tableaulistesenfants[Dimanche],MATCH(C20,Tableaulistesenfants[Séquence],0),))</f>
        <v>0</v>
      </c>
      <c r="L20" s="222">
        <f>IF(F20="","",INDEX(Tableaulistesenfants[lundi],MATCH(C20,Tableaulistesenfants[Séquence],0),))</f>
        <v>0</v>
      </c>
      <c r="M20" s="222" t="b">
        <f>IF(F20="","",INDEX(Tableaulistesenfants[reste mercredi2],MATCH(C20,Tableaulistesenfants[Séquence],0),))</f>
        <v>1</v>
      </c>
      <c r="N20" s="222" t="b">
        <f ca="1">IF(G20="","",INDEX(Tableaulistesenfants[reste mercredi],MATCH(C20,Tableaulistesenfants[Séquence],0),))</f>
        <v>0</v>
      </c>
      <c r="O20" s="222">
        <f>IF(H20="","",INDEX(Tableaulistesenfants[sortie EDT],MATCH(C20,Tableaulistesenfants[Séquence],0),))</f>
        <v>0</v>
      </c>
      <c r="P20" s="223"/>
      <c r="Q20" s="224">
        <f>IF(D20="","",INDEX(Tableaulistesenfants[Dossier Complet ?],MATCH(C20,Tableaulistesenfants[Séquence],0),))</f>
        <v>0</v>
      </c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8"/>
      <c r="AV20" s="78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8"/>
      <c r="BM20" s="78"/>
      <c r="BN20" s="78"/>
      <c r="BO20" s="78"/>
    </row>
    <row r="21" spans="1:67" ht="15.75">
      <c r="A21" s="91"/>
      <c r="B21" s="91"/>
      <c r="C21" s="220">
        <f t="shared" si="1"/>
        <v>16</v>
      </c>
      <c r="D21" s="221" t="str">
        <f t="shared" si="0"/>
        <v>1e STAV</v>
      </c>
      <c r="E21" s="221" t="str">
        <f>IF(D21="","",INDEX(Tableaulistesenfants[Nom],MATCH(C21,Tableaulistesenfants[Séquence],0),))</f>
        <v>RAMADIER</v>
      </c>
      <c r="F21" s="221" t="str">
        <f>IF(D21="","",INDEX(Tableaulistesenfants[Prénom],MATCH(C21,Tableaulistesenfants[Séquence],0),))</f>
        <v>Manon</v>
      </c>
      <c r="G21" s="220">
        <f ca="1">IF(D21="","",INDEX(Tableaulistesenfants[Age],MATCH(C21,Tableaulistesenfants[Séquence],0),))</f>
        <v>16</v>
      </c>
      <c r="H21" s="220" t="str">
        <f>IF(D21="","",INDEX(Tableaulistesenfants[Régime],MATCH(C21,Tableaulistesenfants[Séquence],0),))</f>
        <v>INT</v>
      </c>
      <c r="I21" s="222" t="str">
        <f>IF(D21="","",INDEX(Tableaulistesenfants[Chambres],MATCH(C21,Tableaulistesenfants[Séquence],0),))</f>
        <v>179</v>
      </c>
      <c r="J21" s="222">
        <f>IF(D21="","",INDEX(Tableaulistesenfants[N° de Casier],MATCH(C21,Tableaulistesenfants[Séquence],0),))</f>
        <v>110</v>
      </c>
      <c r="K21" s="222" t="b">
        <f>IF(E21="","",INDEX(Tableaulistesenfants[Dimanche],MATCH(C21,Tableaulistesenfants[Séquence],0),))</f>
        <v>1</v>
      </c>
      <c r="L21" s="222">
        <f>IF(F21="","",INDEX(Tableaulistesenfants[lundi],MATCH(C21,Tableaulistesenfants[Séquence],0),))</f>
        <v>0</v>
      </c>
      <c r="M21" s="222" t="b">
        <f>IF(F21="","",INDEX(Tableaulistesenfants[reste mercredi2],MATCH(C21,Tableaulistesenfants[Séquence],0),))</f>
        <v>1</v>
      </c>
      <c r="N21" s="222" t="b">
        <f ca="1">IF(G21="","",INDEX(Tableaulistesenfants[reste mercredi],MATCH(C21,Tableaulistesenfants[Séquence],0),))</f>
        <v>0</v>
      </c>
      <c r="O21" s="222">
        <f>IF(H21="","",INDEX(Tableaulistesenfants[sortie EDT],MATCH(C21,Tableaulistesenfants[Séquence],0),))</f>
        <v>0</v>
      </c>
      <c r="P21" s="223"/>
      <c r="Q21" s="224">
        <f>IF(D21="","",INDEX(Tableaulistesenfants[Dossier Complet ?],MATCH(C21,Tableaulistesenfants[Séquence],0),))</f>
        <v>0</v>
      </c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  <c r="AS21" s="78"/>
      <c r="AT21" s="78"/>
      <c r="AU21" s="78"/>
      <c r="AV21" s="78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8"/>
      <c r="BM21" s="78"/>
      <c r="BN21" s="78"/>
      <c r="BO21" s="78"/>
    </row>
    <row r="22" spans="1:67" ht="15.75">
      <c r="A22" s="91"/>
      <c r="B22" s="91"/>
      <c r="C22" s="220">
        <f t="shared" si="1"/>
        <v>17</v>
      </c>
      <c r="D22" s="221" t="str">
        <f t="shared" si="0"/>
        <v>1e STAV</v>
      </c>
      <c r="E22" s="221" t="str">
        <f>IF(D22="","",INDEX(Tableaulistesenfants[Nom],MATCH(C22,Tableaulistesenfants[Séquence],0),))</f>
        <v>RAUFFET</v>
      </c>
      <c r="F22" s="221" t="str">
        <f>IF(D22="","",INDEX(Tableaulistesenfants[Prénom],MATCH(C22,Tableaulistesenfants[Séquence],0),))</f>
        <v>Simon</v>
      </c>
      <c r="G22" s="220">
        <f ca="1">IF(D22="","",INDEX(Tableaulistesenfants[Age],MATCH(C22,Tableaulistesenfants[Séquence],0),))</f>
        <v>17</v>
      </c>
      <c r="H22" s="220" t="str">
        <f>IF(D22="","",INDEX(Tableaulistesenfants[Régime],MATCH(C22,Tableaulistesenfants[Séquence],0),))</f>
        <v>DP</v>
      </c>
      <c r="I22" s="222" t="str">
        <f>IF(D22="","",INDEX(Tableaulistesenfants[Chambres],MATCH(C22,Tableaulistesenfants[Séquence],0),))</f>
        <v/>
      </c>
      <c r="J22" s="222">
        <f>IF(D22="","",INDEX(Tableaulistesenfants[N° de Casier],MATCH(C22,Tableaulistesenfants[Séquence],0),))</f>
        <v>111</v>
      </c>
      <c r="K22" s="222">
        <f>IF(E22="","",INDEX(Tableaulistesenfants[Dimanche],MATCH(C22,Tableaulistesenfants[Séquence],0),))</f>
        <v>0</v>
      </c>
      <c r="L22" s="222">
        <f>IF(F22="","",INDEX(Tableaulistesenfants[lundi],MATCH(C22,Tableaulistesenfants[Séquence],0),))</f>
        <v>0</v>
      </c>
      <c r="M22" s="222">
        <f>IF(F22="","",INDEX(Tableaulistesenfants[reste mercredi2],MATCH(C22,Tableaulistesenfants[Séquence],0),))</f>
        <v>0</v>
      </c>
      <c r="N22" s="222">
        <f ca="1">IF(G22="","",INDEX(Tableaulistesenfants[reste mercredi],MATCH(C22,Tableaulistesenfants[Séquence],0),))</f>
        <v>0</v>
      </c>
      <c r="O22" s="222">
        <f>IF(H22="","",INDEX(Tableaulistesenfants[sortie EDT],MATCH(C22,Tableaulistesenfants[Séquence],0),))</f>
        <v>0</v>
      </c>
      <c r="P22" s="223"/>
      <c r="Q22" s="224">
        <f>IF(D22="","",INDEX(Tableaulistesenfants[Dossier Complet ?],MATCH(C22,Tableaulistesenfants[Séquence],0),))</f>
        <v>0</v>
      </c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8"/>
      <c r="BM22" s="78"/>
      <c r="BN22" s="78"/>
      <c r="BO22" s="78"/>
    </row>
    <row r="23" spans="1:67" ht="15.75">
      <c r="A23" s="91"/>
      <c r="B23" s="91"/>
      <c r="C23" s="220">
        <f t="shared" si="1"/>
        <v>18</v>
      </c>
      <c r="D23" s="221" t="str">
        <f t="shared" si="0"/>
        <v>1e STAV</v>
      </c>
      <c r="E23" s="221" t="str">
        <f>IF(D23="","",INDEX(Tableaulistesenfants[Nom],MATCH(C23,Tableaulistesenfants[Séquence],0),))</f>
        <v>THAMIE</v>
      </c>
      <c r="F23" s="221" t="str">
        <f>IF(D23="","",INDEX(Tableaulistesenfants[Prénom],MATCH(C23,Tableaulistesenfants[Séquence],0),))</f>
        <v>Flavie</v>
      </c>
      <c r="G23" s="220">
        <f ca="1">IF(D23="","",INDEX(Tableaulistesenfants[Age],MATCH(C23,Tableaulistesenfants[Séquence],0),))</f>
        <v>16</v>
      </c>
      <c r="H23" s="220" t="str">
        <f>IF(D23="","",INDEX(Tableaulistesenfants[Régime],MATCH(C23,Tableaulistesenfants[Séquence],0),))</f>
        <v>INT</v>
      </c>
      <c r="I23" s="222" t="str">
        <f>IF(D23="","",INDEX(Tableaulistesenfants[Chambres],MATCH(C23,Tableaulistesenfants[Séquence],0),))</f>
        <v>170</v>
      </c>
      <c r="J23" s="222">
        <f>IF(D23="","",INDEX(Tableaulistesenfants[N° de Casier],MATCH(C23,Tableaulistesenfants[Séquence],0),))</f>
        <v>112</v>
      </c>
      <c r="K23" s="222" t="b">
        <f>IF(E23="","",INDEX(Tableaulistesenfants[Dimanche],MATCH(C23,Tableaulistesenfants[Séquence],0),))</f>
        <v>0</v>
      </c>
      <c r="L23" s="222">
        <f>IF(F23="","",INDEX(Tableaulistesenfants[lundi],MATCH(C23,Tableaulistesenfants[Séquence],0),))</f>
        <v>0</v>
      </c>
      <c r="M23" s="222" t="b">
        <f>IF(F23="","",INDEX(Tableaulistesenfants[reste mercredi2],MATCH(C23,Tableaulistesenfants[Séquence],0),))</f>
        <v>1</v>
      </c>
      <c r="N23" s="222" t="b">
        <f ca="1">IF(G23="","",INDEX(Tableaulistesenfants[reste mercredi],MATCH(C23,Tableaulistesenfants[Séquence],0),))</f>
        <v>0</v>
      </c>
      <c r="O23" s="222">
        <f>IF(H23="","",INDEX(Tableaulistesenfants[sortie EDT],MATCH(C23,Tableaulistesenfants[Séquence],0),))</f>
        <v>0</v>
      </c>
      <c r="P23" s="223"/>
      <c r="Q23" s="224">
        <f>IF(D23="","",INDEX(Tableaulistesenfants[Dossier Complet ?],MATCH(C23,Tableaulistesenfants[Séquence],0),))</f>
        <v>0</v>
      </c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  <c r="AP23" s="78"/>
      <c r="AQ23" s="78"/>
      <c r="AR23" s="78"/>
      <c r="AS23" s="78"/>
      <c r="AT23" s="78"/>
      <c r="AU23" s="78"/>
      <c r="AV23" s="78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</row>
    <row r="24" spans="1:67" ht="15.75">
      <c r="A24" s="91"/>
      <c r="B24" s="91"/>
      <c r="C24" s="220">
        <f t="shared" si="1"/>
        <v>19</v>
      </c>
      <c r="D24" s="221" t="str">
        <f t="shared" si="0"/>
        <v>1e STAV</v>
      </c>
      <c r="E24" s="221" t="str">
        <f>IF(D24="","",INDEX(Tableaulistesenfants[Nom],MATCH(C24,Tableaulistesenfants[Séquence],0),))</f>
        <v>VAN PARYS</v>
      </c>
      <c r="F24" s="221" t="str">
        <f>IF(D24="","",INDEX(Tableaulistesenfants[Prénom],MATCH(C24,Tableaulistesenfants[Séquence],0),))</f>
        <v>Charles</v>
      </c>
      <c r="G24" s="220">
        <f ca="1">IF(D24="","",INDEX(Tableaulistesenfants[Age],MATCH(C24,Tableaulistesenfants[Séquence],0),))</f>
        <v>16</v>
      </c>
      <c r="H24" s="220" t="str">
        <f>IF(D24="","",INDEX(Tableaulistesenfants[Régime],MATCH(C24,Tableaulistesenfants[Séquence],0),))</f>
        <v>INT</v>
      </c>
      <c r="I24" s="222" t="str">
        <f>IF(D24="","",INDEX(Tableaulistesenfants[Chambres],MATCH(C24,Tableaulistesenfants[Séquence],0),))</f>
        <v>146</v>
      </c>
      <c r="J24" s="222">
        <f>IF(D24="","",INDEX(Tableaulistesenfants[N° de Casier],MATCH(C24,Tableaulistesenfants[Séquence],0),))</f>
        <v>113</v>
      </c>
      <c r="K24" s="222" t="b">
        <f>IF(E24="","",INDEX(Tableaulistesenfants[Dimanche],MATCH(C24,Tableaulistesenfants[Séquence],0),))</f>
        <v>0</v>
      </c>
      <c r="L24" s="222">
        <f>IF(F24="","",INDEX(Tableaulistesenfants[lundi],MATCH(C24,Tableaulistesenfants[Séquence],0),))</f>
        <v>0</v>
      </c>
      <c r="M24" s="222" t="b">
        <f>IF(F24="","",INDEX(Tableaulistesenfants[reste mercredi2],MATCH(C24,Tableaulistesenfants[Séquence],0),))</f>
        <v>1</v>
      </c>
      <c r="N24" s="222" t="b">
        <f ca="1">IF(G24="","",INDEX(Tableaulistesenfants[reste mercredi],MATCH(C24,Tableaulistesenfants[Séquence],0),))</f>
        <v>0</v>
      </c>
      <c r="O24" s="222">
        <f>IF(H24="","",INDEX(Tableaulistesenfants[sortie EDT],MATCH(C24,Tableaulistesenfants[Séquence],0),))</f>
        <v>0</v>
      </c>
      <c r="P24" s="223"/>
      <c r="Q24" s="224">
        <f>IF(D24="","",INDEX(Tableaulistesenfants[Dossier Complet ?],MATCH(C24,Tableaulistesenfants[Séquence],0),))</f>
        <v>0</v>
      </c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8"/>
      <c r="AU24" s="78"/>
      <c r="AV24" s="78"/>
      <c r="AW24" s="78"/>
      <c r="AX24" s="78"/>
      <c r="AY24" s="78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</row>
    <row r="25" spans="1:67" ht="15.75">
      <c r="A25" s="91"/>
      <c r="B25" s="91"/>
      <c r="C25" s="90" t="str">
        <f t="shared" si="1"/>
        <v/>
      </c>
      <c r="D25" s="91" t="str">
        <f t="shared" si="0"/>
        <v/>
      </c>
      <c r="E25" s="91" t="str">
        <f>IF(D25="","",INDEX(Tableaulistesenfants[Nom],MATCH(C25,Tableaulistesenfants[Séquence],0),))</f>
        <v/>
      </c>
      <c r="F25" s="91" t="str">
        <f>IF(D25="","",INDEX(Tableaulistesenfants[Prénom],MATCH(C25,Tableaulistesenfants[Séquence],0),))</f>
        <v/>
      </c>
      <c r="G25" s="90" t="str">
        <f>IF(D25="","",INDEX(Tableaulistesenfants[Age],MATCH(C25,Tableaulistesenfants[Séquence],0),))</f>
        <v/>
      </c>
      <c r="H25" s="90" t="str">
        <f>IF(D25="","",INDEX(Tableaulistesenfants[Régime],MATCH(C25,Tableaulistesenfants[Séquence],0),))</f>
        <v/>
      </c>
      <c r="I25" s="202" t="str">
        <f>IF(D25="","",INDEX(Tableaulistesenfants[Chambres],MATCH(C25,Tableaulistesenfants[Séquence],0),))</f>
        <v/>
      </c>
      <c r="J25" s="202" t="str">
        <f>IF(D25="","",INDEX(Tableaulistesenfants[N° de Casier],MATCH(C25,Tableaulistesenfants[Séquence],0),))</f>
        <v/>
      </c>
      <c r="K25" s="202" t="str">
        <f>IF(E25="","",INDEX(Tableaulistesenfants[Dimanche],MATCH(C25,Tableaulistesenfants[Séquence],0),))</f>
        <v/>
      </c>
      <c r="L25" s="202" t="str">
        <f>IF(F25="","",INDEX(Tableaulistesenfants[lundi],MATCH(C25,Tableaulistesenfants[Séquence],0),))</f>
        <v/>
      </c>
      <c r="M25" s="202" t="str">
        <f>IF(F25="","",INDEX(Tableaulistesenfants[reste mercredi2],MATCH(C25,Tableaulistesenfants[Séquence],0),))</f>
        <v/>
      </c>
      <c r="N25" s="202" t="str">
        <f>IF(G25="","",INDEX(Tableaulistesenfants[reste mercredi],MATCH(C25,Tableaulistesenfants[Séquence],0),))</f>
        <v/>
      </c>
      <c r="O25" s="202" t="str">
        <f>IF(H25="","",INDEX(Tableaulistesenfants[sortie EDT],MATCH(C25,Tableaulistesenfants[Séquence],0),))</f>
        <v/>
      </c>
      <c r="P25" s="78"/>
      <c r="Q25" s="219" t="str">
        <f>IF(D25="","",INDEX(Tableaulistesenfants[Dossier Complet ?],MATCH(C25,Tableaulistesenfants[Séquence],0),))</f>
        <v/>
      </c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  <c r="AR25" s="78"/>
      <c r="AS25" s="78"/>
      <c r="AT25" s="78"/>
      <c r="AU25" s="78"/>
      <c r="AV25" s="78"/>
      <c r="AW25" s="7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8"/>
      <c r="BM25" s="78"/>
      <c r="BN25" s="78"/>
      <c r="BO25" s="78"/>
    </row>
    <row r="26" spans="1:67" ht="15.75">
      <c r="A26" s="91"/>
      <c r="B26" s="91"/>
      <c r="C26" s="90" t="str">
        <f t="shared" si="1"/>
        <v/>
      </c>
      <c r="D26" s="91" t="str">
        <f t="shared" si="0"/>
        <v/>
      </c>
      <c r="E26" s="91" t="str">
        <f>IF(D26="","",INDEX(Tableaulistesenfants[Nom],MATCH(C26,Tableaulistesenfants[Séquence],0),))</f>
        <v/>
      </c>
      <c r="F26" s="91" t="str">
        <f>IF(D26="","",INDEX(Tableaulistesenfants[Prénom],MATCH(C26,Tableaulistesenfants[Séquence],0),))</f>
        <v/>
      </c>
      <c r="G26" s="90" t="str">
        <f>IF(D26="","",INDEX(Tableaulistesenfants[Age],MATCH(C26,Tableaulistesenfants[Séquence],0),))</f>
        <v/>
      </c>
      <c r="H26" s="90" t="str">
        <f>IF(D26="","",INDEX(Tableaulistesenfants[Régime],MATCH(C26,Tableaulistesenfants[Séquence],0),))</f>
        <v/>
      </c>
      <c r="I26" s="202" t="str">
        <f>IF(D26="","",INDEX(Tableaulistesenfants[Chambres],MATCH(C26,Tableaulistesenfants[Séquence],0),))</f>
        <v/>
      </c>
      <c r="J26" s="202" t="str">
        <f>IF(D26="","",INDEX(Tableaulistesenfants[N° de Casier],MATCH(C26,Tableaulistesenfants[Séquence],0),))</f>
        <v/>
      </c>
      <c r="K26" s="202" t="str">
        <f>IF(E26="","",INDEX(Tableaulistesenfants[Dimanche],MATCH(C26,Tableaulistesenfants[Séquence],0),))</f>
        <v/>
      </c>
      <c r="L26" s="202" t="str">
        <f>IF(F26="","",INDEX(Tableaulistesenfants[lundi],MATCH(C26,Tableaulistesenfants[Séquence],0),))</f>
        <v/>
      </c>
      <c r="M26" s="202" t="str">
        <f>IF(F26="","",INDEX(Tableaulistesenfants[reste mercredi2],MATCH(C26,Tableaulistesenfants[Séquence],0),))</f>
        <v/>
      </c>
      <c r="N26" s="202" t="str">
        <f>IF(G26="","",INDEX(Tableaulistesenfants[reste mercredi],MATCH(C26,Tableaulistesenfants[Séquence],0),))</f>
        <v/>
      </c>
      <c r="O26" s="202" t="str">
        <f>IF(H26="","",INDEX(Tableaulistesenfants[sortie EDT],MATCH(C26,Tableaulistesenfants[Séquence],0),))</f>
        <v/>
      </c>
      <c r="P26" s="78"/>
      <c r="Q26" s="219" t="str">
        <f>IF(D26="","",INDEX(Tableaulistesenfants[Dossier Complet ?],MATCH(C26,Tableaulistesenfants[Séquence],0),))</f>
        <v/>
      </c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78"/>
      <c r="AV26" s="78"/>
      <c r="AW26" s="78"/>
      <c r="AX26" s="78"/>
      <c r="AY26" s="78"/>
      <c r="AZ26" s="78"/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8"/>
      <c r="BM26" s="78"/>
      <c r="BN26" s="78"/>
      <c r="BO26" s="78"/>
    </row>
    <row r="27" spans="1:67" ht="15.75">
      <c r="A27" s="91"/>
      <c r="B27" s="91"/>
      <c r="C27" s="90" t="str">
        <f t="shared" si="1"/>
        <v/>
      </c>
      <c r="D27" s="91" t="str">
        <f t="shared" si="0"/>
        <v/>
      </c>
      <c r="E27" s="91" t="str">
        <f>IF(D27="","",INDEX(Tableaulistesenfants[Nom],MATCH(C27,Tableaulistesenfants[Séquence],0),))</f>
        <v/>
      </c>
      <c r="F27" s="91" t="str">
        <f>IF(D27="","",INDEX(Tableaulistesenfants[Prénom],MATCH(C27,Tableaulistesenfants[Séquence],0),))</f>
        <v/>
      </c>
      <c r="G27" s="90" t="str">
        <f>IF(D27="","",INDEX(Tableaulistesenfants[Age],MATCH(C27,Tableaulistesenfants[Séquence],0),))</f>
        <v/>
      </c>
      <c r="H27" s="90" t="str">
        <f>IF(D27="","",INDEX(Tableaulistesenfants[Régime],MATCH(C27,Tableaulistesenfants[Séquence],0),))</f>
        <v/>
      </c>
      <c r="I27" s="202" t="str">
        <f>IF(D27="","",INDEX(Tableaulistesenfants[Chambres],MATCH(C27,Tableaulistesenfants[Séquence],0),))</f>
        <v/>
      </c>
      <c r="J27" s="202" t="str">
        <f>IF(D27="","",INDEX(Tableaulistesenfants[N° de Casier],MATCH(C27,Tableaulistesenfants[Séquence],0),))</f>
        <v/>
      </c>
      <c r="K27" s="202" t="str">
        <f>IF(E27="","",INDEX(Tableaulistesenfants[Dimanche],MATCH(C27,Tableaulistesenfants[Séquence],0),))</f>
        <v/>
      </c>
      <c r="L27" s="202" t="str">
        <f>IF(F27="","",INDEX(Tableaulistesenfants[lundi],MATCH(C27,Tableaulistesenfants[Séquence],0),))</f>
        <v/>
      </c>
      <c r="M27" s="202" t="str">
        <f>IF(F27="","",INDEX(Tableaulistesenfants[reste mercredi2],MATCH(C27,Tableaulistesenfants[Séquence],0),))</f>
        <v/>
      </c>
      <c r="N27" s="202" t="str">
        <f>IF(G27="","",INDEX(Tableaulistesenfants[reste mercredi],MATCH(C27,Tableaulistesenfants[Séquence],0),))</f>
        <v/>
      </c>
      <c r="O27" s="202" t="str">
        <f>IF(H27="","",INDEX(Tableaulistesenfants[sortie EDT],MATCH(C27,Tableaulistesenfants[Séquence],0),))</f>
        <v/>
      </c>
      <c r="P27" s="78"/>
      <c r="Q27" s="219" t="str">
        <f>IF(D27="","",INDEX(Tableaulistesenfants[Dossier Complet ?],MATCH(C27,Tableaulistesenfants[Séquence],0),))</f>
        <v/>
      </c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8"/>
      <c r="AV27" s="78"/>
      <c r="AW27" s="78"/>
      <c r="AX27" s="78"/>
      <c r="AY27" s="78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</row>
    <row r="28" spans="1:67" ht="15.75">
      <c r="A28" s="91"/>
      <c r="B28" s="91"/>
      <c r="C28" s="90" t="str">
        <f t="shared" si="1"/>
        <v/>
      </c>
      <c r="D28" s="91" t="str">
        <f t="shared" si="0"/>
        <v/>
      </c>
      <c r="E28" s="91" t="str">
        <f>IF(D28="","",INDEX(Tableaulistesenfants[Nom],MATCH(C28,Tableaulistesenfants[Séquence],0),))</f>
        <v/>
      </c>
      <c r="F28" s="91" t="str">
        <f>IF(D28="","",INDEX(Tableaulistesenfants[Prénom],MATCH(C28,Tableaulistesenfants[Séquence],0),))</f>
        <v/>
      </c>
      <c r="G28" s="90" t="str">
        <f>IF(D28="","",INDEX(Tableaulistesenfants[Age],MATCH(C28,Tableaulistesenfants[Séquence],0),))</f>
        <v/>
      </c>
      <c r="H28" s="90" t="str">
        <f>IF(D28="","",INDEX(Tableaulistesenfants[Régime],MATCH(C28,Tableaulistesenfants[Séquence],0),))</f>
        <v/>
      </c>
      <c r="I28" s="202" t="str">
        <f>IF(D28="","",INDEX(Tableaulistesenfants[Chambres],MATCH(C28,Tableaulistesenfants[Séquence],0),))</f>
        <v/>
      </c>
      <c r="J28" s="202" t="str">
        <f>IF(D28="","",INDEX(Tableaulistesenfants[N° de Casier],MATCH(C28,Tableaulistesenfants[Séquence],0),))</f>
        <v/>
      </c>
      <c r="K28" s="202" t="str">
        <f>IF(E28="","",INDEX(Tableaulistesenfants[Dimanche],MATCH(C28,Tableaulistesenfants[Séquence],0),))</f>
        <v/>
      </c>
      <c r="L28" s="202" t="str">
        <f>IF(F28="","",INDEX(Tableaulistesenfants[lundi],MATCH(C28,Tableaulistesenfants[Séquence],0),))</f>
        <v/>
      </c>
      <c r="M28" s="202" t="str">
        <f>IF(F28="","",INDEX(Tableaulistesenfants[reste mercredi2],MATCH(C28,Tableaulistesenfants[Séquence],0),))</f>
        <v/>
      </c>
      <c r="N28" s="202" t="str">
        <f>IF(G28="","",INDEX(Tableaulistesenfants[reste mercredi],MATCH(C28,Tableaulistesenfants[Séquence],0),))</f>
        <v/>
      </c>
      <c r="O28" s="202" t="str">
        <f>IF(H28="","",INDEX(Tableaulistesenfants[sortie EDT],MATCH(C28,Tableaulistesenfants[Séquence],0),))</f>
        <v/>
      </c>
      <c r="P28" s="78"/>
      <c r="Q28" s="219" t="str">
        <f>IF(D28="","",INDEX(Tableaulistesenfants[Dossier Complet ?],MATCH(C28,Tableaulistesenfants[Séquence],0),))</f>
        <v/>
      </c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</row>
    <row r="29" spans="1:67" ht="15.75">
      <c r="A29" s="91"/>
      <c r="B29" s="91"/>
      <c r="C29" s="90" t="str">
        <f t="shared" si="1"/>
        <v/>
      </c>
      <c r="D29" s="91" t="str">
        <f t="shared" si="0"/>
        <v/>
      </c>
      <c r="E29" s="91" t="str">
        <f>IF(D29="","",INDEX(Tableaulistesenfants[Nom],MATCH(C29,Tableaulistesenfants[Séquence],0),))</f>
        <v/>
      </c>
      <c r="F29" s="91" t="str">
        <f>IF(D29="","",INDEX(Tableaulistesenfants[Prénom],MATCH(C29,Tableaulistesenfants[Séquence],0),))</f>
        <v/>
      </c>
      <c r="G29" s="90" t="str">
        <f>IF(D29="","",INDEX(Tableaulistesenfants[Age],MATCH(C29,Tableaulistesenfants[Séquence],0),))</f>
        <v/>
      </c>
      <c r="H29" s="90" t="str">
        <f>IF(D29="","",INDEX(Tableaulistesenfants[Régime],MATCH(C29,Tableaulistesenfants[Séquence],0),))</f>
        <v/>
      </c>
      <c r="I29" s="202" t="str">
        <f>IF(D29="","",INDEX(Tableaulistesenfants[Chambres],MATCH(C29,Tableaulistesenfants[Séquence],0),))</f>
        <v/>
      </c>
      <c r="J29" s="202" t="str">
        <f>IF(D29="","",INDEX(Tableaulistesenfants[N° de Casier],MATCH(C29,Tableaulistesenfants[Séquence],0),))</f>
        <v/>
      </c>
      <c r="K29" s="202" t="str">
        <f>IF(E29="","",INDEX(Tableaulistesenfants[Dimanche],MATCH(C29,Tableaulistesenfants[Séquence],0),))</f>
        <v/>
      </c>
      <c r="L29" s="202" t="str">
        <f>IF(F29="","",INDEX(Tableaulistesenfants[lundi],MATCH(C29,Tableaulistesenfants[Séquence],0),))</f>
        <v/>
      </c>
      <c r="M29" s="202" t="str">
        <f>IF(F29="","",INDEX(Tableaulistesenfants[reste mercredi2],MATCH(C29,Tableaulistesenfants[Séquence],0),))</f>
        <v/>
      </c>
      <c r="N29" s="202" t="str">
        <f>IF(G29="","",INDEX(Tableaulistesenfants[reste mercredi],MATCH(C29,Tableaulistesenfants[Séquence],0),))</f>
        <v/>
      </c>
      <c r="O29" s="202" t="str">
        <f>IF(H29="","",INDEX(Tableaulistesenfants[sortie EDT],MATCH(C29,Tableaulistesenfants[Séquence],0),))</f>
        <v/>
      </c>
      <c r="P29" s="78"/>
      <c r="Q29" s="219" t="str">
        <f>IF(D29="","",INDEX(Tableaulistesenfants[Dossier Complet ?],MATCH(C29,Tableaulistesenfants[Séquence],0),))</f>
        <v/>
      </c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</row>
    <row r="30" spans="1:67" ht="15.75">
      <c r="A30" s="91"/>
      <c r="B30" s="91"/>
      <c r="C30" s="90" t="str">
        <f t="shared" si="1"/>
        <v/>
      </c>
      <c r="D30" s="91" t="str">
        <f t="shared" si="0"/>
        <v/>
      </c>
      <c r="E30" s="91" t="str">
        <f>IF(D30="","",INDEX(Tableaulistesenfants[Nom],MATCH(C30,Tableaulistesenfants[Séquence],0),))</f>
        <v/>
      </c>
      <c r="F30" s="91" t="str">
        <f>IF(D30="","",INDEX(Tableaulistesenfants[Prénom],MATCH(C30,Tableaulistesenfants[Séquence],0),))</f>
        <v/>
      </c>
      <c r="G30" s="90" t="str">
        <f>IF(D30="","",INDEX(Tableaulistesenfants[Age],MATCH(C30,Tableaulistesenfants[Séquence],0),))</f>
        <v/>
      </c>
      <c r="H30" s="90" t="str">
        <f>IF(D30="","",INDEX(Tableaulistesenfants[Régime],MATCH(C30,Tableaulistesenfants[Séquence],0),))</f>
        <v/>
      </c>
      <c r="I30" s="202" t="str">
        <f>IF(D30="","",INDEX(Tableaulistesenfants[Chambres],MATCH(C30,Tableaulistesenfants[Séquence],0),))</f>
        <v/>
      </c>
      <c r="J30" s="202" t="str">
        <f>IF(D30="","",INDEX(Tableaulistesenfants[N° de Casier],MATCH(C30,Tableaulistesenfants[Séquence],0),))</f>
        <v/>
      </c>
      <c r="K30" s="202" t="str">
        <f>IF(E30="","",INDEX(Tableaulistesenfants[Dimanche],MATCH(C30,Tableaulistesenfants[Séquence],0),))</f>
        <v/>
      </c>
      <c r="L30" s="202" t="str">
        <f>IF(F30="","",INDEX(Tableaulistesenfants[lundi],MATCH(C30,Tableaulistesenfants[Séquence],0),))</f>
        <v/>
      </c>
      <c r="M30" s="202" t="str">
        <f>IF(F30="","",INDEX(Tableaulistesenfants[reste mercredi2],MATCH(C30,Tableaulistesenfants[Séquence],0),))</f>
        <v/>
      </c>
      <c r="N30" s="202" t="str">
        <f>IF(G30="","",INDEX(Tableaulistesenfants[reste mercredi],MATCH(C30,Tableaulistesenfants[Séquence],0),))</f>
        <v/>
      </c>
      <c r="O30" s="202" t="str">
        <f>IF(H30="","",INDEX(Tableaulistesenfants[sortie EDT],MATCH(C30,Tableaulistesenfants[Séquence],0),))</f>
        <v/>
      </c>
      <c r="P30" s="78"/>
      <c r="Q30" s="219" t="str">
        <f>IF(D30="","",INDEX(Tableaulistesenfants[Dossier Complet ?],MATCH(C30,Tableaulistesenfants[Séquence],0),))</f>
        <v/>
      </c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8"/>
      <c r="AE30" s="78"/>
      <c r="AF30" s="78"/>
      <c r="AG30" s="78"/>
      <c r="AH30" s="78"/>
      <c r="AI30" s="78"/>
      <c r="AJ30" s="78"/>
      <c r="AK30" s="78"/>
      <c r="AL30" s="78"/>
      <c r="AM30" s="78"/>
      <c r="AN30" s="78"/>
      <c r="AO30" s="78"/>
      <c r="AP30" s="78"/>
      <c r="AQ30" s="78"/>
      <c r="AR30" s="78"/>
      <c r="AS30" s="78"/>
      <c r="AT30" s="78"/>
      <c r="AU30" s="78"/>
      <c r="AV30" s="78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8"/>
      <c r="BM30" s="78"/>
      <c r="BN30" s="78"/>
      <c r="BO30" s="78"/>
    </row>
    <row r="31" spans="1:67" ht="15.75">
      <c r="A31" s="91"/>
      <c r="B31" s="91"/>
      <c r="C31" s="90" t="str">
        <f t="shared" si="1"/>
        <v/>
      </c>
      <c r="D31" s="91" t="str">
        <f t="shared" si="0"/>
        <v/>
      </c>
      <c r="E31" s="91" t="str">
        <f>IF(D31="","",INDEX(Tableaulistesenfants[Nom],MATCH(C31,Tableaulistesenfants[Séquence],0),))</f>
        <v/>
      </c>
      <c r="F31" s="91" t="str">
        <f>IF(D31="","",INDEX(Tableaulistesenfants[Prénom],MATCH(C31,Tableaulistesenfants[Séquence],0),))</f>
        <v/>
      </c>
      <c r="G31" s="90" t="str">
        <f>IF(D31="","",INDEX(Tableaulistesenfants[Age],MATCH(C31,Tableaulistesenfants[Séquence],0),))</f>
        <v/>
      </c>
      <c r="H31" s="90" t="str">
        <f>IF(D31="","",INDEX(Tableaulistesenfants[Régime],MATCH(C31,Tableaulistesenfants[Séquence],0),))</f>
        <v/>
      </c>
      <c r="I31" s="202" t="str">
        <f>IF(D31="","",INDEX(Tableaulistesenfants[Chambres],MATCH(C31,Tableaulistesenfants[Séquence],0),))</f>
        <v/>
      </c>
      <c r="J31" s="202" t="str">
        <f>IF(D31="","",INDEX(Tableaulistesenfants[N° de Casier],MATCH(C31,Tableaulistesenfants[Séquence],0),))</f>
        <v/>
      </c>
      <c r="K31" s="202" t="str">
        <f>IF(E31="","",INDEX(Tableaulistesenfants[Dimanche],MATCH(C31,Tableaulistesenfants[Séquence],0),))</f>
        <v/>
      </c>
      <c r="L31" s="202" t="str">
        <f>IF(F31="","",INDEX(Tableaulistesenfants[lundi],MATCH(C31,Tableaulistesenfants[Séquence],0),))</f>
        <v/>
      </c>
      <c r="M31" s="202" t="str">
        <f>IF(F31="","",INDEX(Tableaulistesenfants[reste mercredi2],MATCH(C31,Tableaulistesenfants[Séquence],0),))</f>
        <v/>
      </c>
      <c r="N31" s="202" t="str">
        <f>IF(G31="","",INDEX(Tableaulistesenfants[reste mercredi],MATCH(C31,Tableaulistesenfants[Séquence],0),))</f>
        <v/>
      </c>
      <c r="O31" s="202" t="str">
        <f>IF(H31="","",INDEX(Tableaulistesenfants[sortie EDT],MATCH(C31,Tableaulistesenfants[Séquence],0),))</f>
        <v/>
      </c>
      <c r="P31" s="78"/>
      <c r="Q31" s="219" t="str">
        <f>IF(D31="","",INDEX(Tableaulistesenfants[Dossier Complet ?],MATCH(C31,Tableaulistesenfants[Séquence],0),))</f>
        <v/>
      </c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8"/>
      <c r="BM31" s="78"/>
      <c r="BN31" s="78"/>
      <c r="BO31" s="78"/>
    </row>
    <row r="32" spans="1:67" ht="15.75">
      <c r="A32" s="91"/>
      <c r="B32" s="91"/>
      <c r="C32" s="90" t="str">
        <f t="shared" si="1"/>
        <v/>
      </c>
      <c r="D32" s="91" t="str">
        <f t="shared" si="0"/>
        <v/>
      </c>
      <c r="E32" s="91" t="str">
        <f>IF(D32="","",INDEX(Tableaulistesenfants[Nom],MATCH(C32,Tableaulistesenfants[Séquence],0),))</f>
        <v/>
      </c>
      <c r="F32" s="91" t="str">
        <f>IF(D32="","",INDEX(Tableaulistesenfants[Prénom],MATCH(C32,Tableaulistesenfants[Séquence],0),))</f>
        <v/>
      </c>
      <c r="G32" s="90" t="str">
        <f>IF(D32="","",INDEX(Tableaulistesenfants[Age],MATCH(C32,Tableaulistesenfants[Séquence],0),))</f>
        <v/>
      </c>
      <c r="H32" s="90" t="str">
        <f>IF(D32="","",INDEX(Tableaulistesenfants[Régime],MATCH(C32,Tableaulistesenfants[Séquence],0),))</f>
        <v/>
      </c>
      <c r="I32" s="202" t="str">
        <f>IF(D32="","",INDEX(Tableaulistesenfants[Chambres],MATCH(C32,Tableaulistesenfants[Séquence],0),))</f>
        <v/>
      </c>
      <c r="J32" s="202" t="str">
        <f>IF(D32="","",INDEX(Tableaulistesenfants[N° de Casier],MATCH(C32,Tableaulistesenfants[Séquence],0),))</f>
        <v/>
      </c>
      <c r="K32" s="202" t="str">
        <f>IF(E32="","",INDEX(Tableaulistesenfants[Dimanche],MATCH(C32,Tableaulistesenfants[Séquence],0),))</f>
        <v/>
      </c>
      <c r="L32" s="202" t="str">
        <f>IF(F32="","",INDEX(Tableaulistesenfants[lundi],MATCH(C32,Tableaulistesenfants[Séquence],0),))</f>
        <v/>
      </c>
      <c r="M32" s="202" t="str">
        <f>IF(F32="","",INDEX(Tableaulistesenfants[reste mercredi2],MATCH(C32,Tableaulistesenfants[Séquence],0),))</f>
        <v/>
      </c>
      <c r="N32" s="202" t="str">
        <f>IF(G32="","",INDEX(Tableaulistesenfants[reste mercredi],MATCH(C32,Tableaulistesenfants[Séquence],0),))</f>
        <v/>
      </c>
      <c r="O32" s="202" t="str">
        <f>IF(H32="","",INDEX(Tableaulistesenfants[sortie EDT],MATCH(C32,Tableaulistesenfants[Séquence],0),))</f>
        <v/>
      </c>
      <c r="P32" s="78"/>
      <c r="Q32" s="219" t="str">
        <f>IF(D32="","",INDEX(Tableaulistesenfants[Dossier Complet ?],MATCH(C32,Tableaulistesenfants[Séquence],0),))</f>
        <v/>
      </c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</row>
    <row r="33" spans="1:67" ht="15.75">
      <c r="A33" s="91"/>
      <c r="B33" s="91"/>
      <c r="C33" s="90" t="str">
        <f t="shared" si="1"/>
        <v/>
      </c>
      <c r="D33" s="91" t="str">
        <f t="shared" si="0"/>
        <v/>
      </c>
      <c r="E33" s="91" t="str">
        <f>IF(D33="","",INDEX(Tableaulistesenfants[Nom],MATCH(C33,Tableaulistesenfants[Séquence],0),))</f>
        <v/>
      </c>
      <c r="F33" s="91" t="str">
        <f>IF(D33="","",INDEX(Tableaulistesenfants[Prénom],MATCH(C33,Tableaulistesenfants[Séquence],0),))</f>
        <v/>
      </c>
      <c r="G33" s="90" t="str">
        <f>IF(D33="","",INDEX(Tableaulistesenfants[Age],MATCH(C33,Tableaulistesenfants[Séquence],0),))</f>
        <v/>
      </c>
      <c r="H33" s="90" t="str">
        <f>IF(D33="","",INDEX(Tableaulistesenfants[Régime],MATCH(C33,Tableaulistesenfants[Séquence],0),))</f>
        <v/>
      </c>
      <c r="I33" s="202" t="str">
        <f>IF(D33="","",INDEX(Tableaulistesenfants[Chambres],MATCH(C33,Tableaulistesenfants[Séquence],0),))</f>
        <v/>
      </c>
      <c r="J33" s="202" t="str">
        <f>IF(D33="","",INDEX(Tableaulistesenfants[N° de Casier],MATCH(C33,Tableaulistesenfants[Séquence],0),))</f>
        <v/>
      </c>
      <c r="K33" s="202" t="str">
        <f>IF(E33="","",INDEX(Tableaulistesenfants[Dimanche],MATCH(C33,Tableaulistesenfants[Séquence],0),))</f>
        <v/>
      </c>
      <c r="L33" s="202" t="str">
        <f>IF(F33="","",INDEX(Tableaulistesenfants[lundi],MATCH(C33,Tableaulistesenfants[Séquence],0),))</f>
        <v/>
      </c>
      <c r="M33" s="202" t="str">
        <f>IF(F33="","",INDEX(Tableaulistesenfants[reste mercredi2],MATCH(C33,Tableaulistesenfants[Séquence],0),))</f>
        <v/>
      </c>
      <c r="N33" s="202" t="str">
        <f>IF(G33="","",INDEX(Tableaulistesenfants[reste mercredi],MATCH(C33,Tableaulistesenfants[Séquence],0),))</f>
        <v/>
      </c>
      <c r="O33" s="202" t="str">
        <f>IF(H33="","",INDEX(Tableaulistesenfants[sortie EDT],MATCH(C33,Tableaulistesenfants[Séquence],0),))</f>
        <v/>
      </c>
      <c r="P33" s="78"/>
      <c r="Q33" s="219" t="str">
        <f>IF(D33="","",INDEX(Tableaulistesenfants[Dossier Complet ?],MATCH(C33,Tableaulistesenfants[Séquence],0),))</f>
        <v/>
      </c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78"/>
      <c r="AD33" s="78"/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</row>
    <row r="34" spans="1:67" ht="15.75">
      <c r="A34" s="91"/>
      <c r="B34" s="91"/>
      <c r="C34" s="90" t="str">
        <f t="shared" si="1"/>
        <v/>
      </c>
      <c r="D34" s="91" t="str">
        <f t="shared" si="0"/>
        <v/>
      </c>
      <c r="E34" s="91" t="str">
        <f>IF(D34="","",INDEX(Tableaulistesenfants[Nom],MATCH(C34,Tableaulistesenfants[Séquence],0),))</f>
        <v/>
      </c>
      <c r="F34" s="91" t="str">
        <f>IF(D34="","",INDEX(Tableaulistesenfants[Prénom],MATCH(C34,Tableaulistesenfants[Séquence],0),))</f>
        <v/>
      </c>
      <c r="G34" s="90" t="str">
        <f>IF(D34="","",INDEX(Tableaulistesenfants[Age],MATCH(C34,Tableaulistesenfants[Séquence],0),))</f>
        <v/>
      </c>
      <c r="H34" s="90" t="str">
        <f>IF(D34="","",INDEX(Tableaulistesenfants[Régime],MATCH(C34,Tableaulistesenfants[Séquence],0),))</f>
        <v/>
      </c>
      <c r="I34" s="202" t="str">
        <f>IF(D34="","",INDEX(Tableaulistesenfants[Chambres],MATCH(C34,Tableaulistesenfants[Séquence],0),))</f>
        <v/>
      </c>
      <c r="J34" s="202" t="str">
        <f>IF(D34="","",INDEX(Tableaulistesenfants[N° de Casier],MATCH(C34,Tableaulistesenfants[Séquence],0),))</f>
        <v/>
      </c>
      <c r="K34" s="202" t="str">
        <f>IF(E34="","",INDEX(Tableaulistesenfants[Dimanche],MATCH(C34,Tableaulistesenfants[Séquence],0),))</f>
        <v/>
      </c>
      <c r="L34" s="202" t="str">
        <f>IF(F34="","",INDEX(Tableaulistesenfants[lundi],MATCH(C34,Tableaulistesenfants[Séquence],0),))</f>
        <v/>
      </c>
      <c r="M34" s="202" t="str">
        <f>IF(F34="","",INDEX(Tableaulistesenfants[reste mercredi2],MATCH(C34,Tableaulistesenfants[Séquence],0),))</f>
        <v/>
      </c>
      <c r="N34" s="202" t="str">
        <f>IF(G34="","",INDEX(Tableaulistesenfants[reste mercredi],MATCH(C34,Tableaulistesenfants[Séquence],0),))</f>
        <v/>
      </c>
      <c r="O34" s="202" t="str">
        <f>IF(H34="","",INDEX(Tableaulistesenfants[sortie EDT],MATCH(C34,Tableaulistesenfants[Séquence],0),))</f>
        <v/>
      </c>
      <c r="P34" s="78"/>
      <c r="Q34" s="219" t="str">
        <f>IF(D34="","",INDEX(Tableaulistesenfants[Dossier Complet ?],MATCH(C34,Tableaulistesenfants[Séquence],0),))</f>
        <v/>
      </c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</row>
    <row r="35" spans="1:67" ht="15.75">
      <c r="A35" s="91"/>
      <c r="B35" s="91"/>
      <c r="C35" s="90" t="str">
        <f t="shared" si="1"/>
        <v/>
      </c>
      <c r="D35" s="91" t="str">
        <f t="shared" si="0"/>
        <v/>
      </c>
      <c r="E35" s="91" t="str">
        <f>IF(D35="","",INDEX(Tableaulistesenfants[Nom],MATCH(C35,Tableaulistesenfants[Séquence],0),))</f>
        <v/>
      </c>
      <c r="F35" s="91" t="str">
        <f>IF(D35="","",INDEX(Tableaulistesenfants[Prénom],MATCH(C35,Tableaulistesenfants[Séquence],0),))</f>
        <v/>
      </c>
      <c r="G35" s="90" t="str">
        <f>IF(D35="","",INDEX(Tableaulistesenfants[Age],MATCH(C35,Tableaulistesenfants[Séquence],0),))</f>
        <v/>
      </c>
      <c r="H35" s="90" t="str">
        <f>IF(D35="","",INDEX(Tableaulistesenfants[Régime],MATCH(C35,Tableaulistesenfants[Séquence],0),))</f>
        <v/>
      </c>
      <c r="I35" s="202" t="str">
        <f>IF(D35="","",INDEX(Tableaulistesenfants[Chambres],MATCH(C35,Tableaulistesenfants[Séquence],0),))</f>
        <v/>
      </c>
      <c r="J35" s="202" t="str">
        <f>IF(D35="","",INDEX(Tableaulistesenfants[N° de Casier],MATCH(C35,Tableaulistesenfants[Séquence],0),))</f>
        <v/>
      </c>
      <c r="K35" s="202" t="str">
        <f>IF(E35="","",INDEX(Tableaulistesenfants[Dimanche],MATCH(C35,Tableaulistesenfants[Séquence],0),))</f>
        <v/>
      </c>
      <c r="L35" s="202" t="str">
        <f>IF(F35="","",INDEX(Tableaulistesenfants[lundi],MATCH(C35,Tableaulistesenfants[Séquence],0),))</f>
        <v/>
      </c>
      <c r="M35" s="202" t="str">
        <f>IF(F35="","",INDEX(Tableaulistesenfants[reste mercredi2],MATCH(C35,Tableaulistesenfants[Séquence],0),))</f>
        <v/>
      </c>
      <c r="N35" s="202" t="str">
        <f>IF(G35="","",INDEX(Tableaulistesenfants[reste mercredi],MATCH(C35,Tableaulistesenfants[Séquence],0),))</f>
        <v/>
      </c>
      <c r="O35" s="202" t="str">
        <f>IF(H35="","",INDEX(Tableaulistesenfants[sortie EDT],MATCH(C35,Tableaulistesenfants[Séquence],0),))</f>
        <v/>
      </c>
      <c r="P35" s="78"/>
      <c r="Q35" s="219" t="str">
        <f>IF(D35="","",INDEX(Tableaulistesenfants[Dossier Complet ?],MATCH(C35,Tableaulistesenfants[Séquence],0),))</f>
        <v/>
      </c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8"/>
      <c r="AE35" s="78"/>
      <c r="AF35" s="78"/>
      <c r="AG35" s="78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</row>
    <row r="36" spans="1:67" ht="15.75">
      <c r="A36" s="91"/>
      <c r="B36" s="91"/>
      <c r="C36" s="90" t="str">
        <f t="shared" si="1"/>
        <v/>
      </c>
      <c r="D36" s="91" t="str">
        <f t="shared" si="0"/>
        <v/>
      </c>
      <c r="E36" s="91" t="str">
        <f>IF(D36="","",INDEX(Tableaulistesenfants[Nom],MATCH(C36,Tableaulistesenfants[Séquence],0),))</f>
        <v/>
      </c>
      <c r="F36" s="91" t="str">
        <f>IF(D36="","",INDEX(Tableaulistesenfants[Prénom],MATCH(C36,Tableaulistesenfants[Séquence],0),))</f>
        <v/>
      </c>
      <c r="G36" s="90" t="str">
        <f>IF(D36="","",INDEX(Tableaulistesenfants[Age],MATCH(C36,Tableaulistesenfants[Séquence],0),))</f>
        <v/>
      </c>
      <c r="H36" s="90" t="str">
        <f>IF(D36="","",INDEX(Tableaulistesenfants[Régime],MATCH(C36,Tableaulistesenfants[Séquence],0),))</f>
        <v/>
      </c>
      <c r="I36" s="202" t="str">
        <f>IF(D36="","",INDEX(Tableaulistesenfants[Chambres],MATCH(C36,Tableaulistesenfants[Séquence],0),))</f>
        <v/>
      </c>
      <c r="J36" s="202" t="str">
        <f>IF(D36="","",INDEX(Tableaulistesenfants[N° de Casier],MATCH(C36,Tableaulistesenfants[Séquence],0),))</f>
        <v/>
      </c>
      <c r="K36" s="202" t="str">
        <f>IF(E36="","",INDEX(Tableaulistesenfants[Dimanche],MATCH(C36,Tableaulistesenfants[Séquence],0),))</f>
        <v/>
      </c>
      <c r="L36" s="202" t="str">
        <f>IF(F36="","",INDEX(Tableaulistesenfants[lundi],MATCH(C36,Tableaulistesenfants[Séquence],0),))</f>
        <v/>
      </c>
      <c r="M36" s="202" t="str">
        <f>IF(F36="","",INDEX(Tableaulistesenfants[reste mercredi2],MATCH(C36,Tableaulistesenfants[Séquence],0),))</f>
        <v/>
      </c>
      <c r="N36" s="202" t="str">
        <f>IF(G36="","",INDEX(Tableaulistesenfants[reste mercredi],MATCH(C36,Tableaulistesenfants[Séquence],0),))</f>
        <v/>
      </c>
      <c r="O36" s="202" t="str">
        <f>IF(H36="","",INDEX(Tableaulistesenfants[sortie EDT],MATCH(C36,Tableaulistesenfants[Séquence],0),))</f>
        <v/>
      </c>
      <c r="P36" s="78"/>
      <c r="Q36" s="219" t="str">
        <f>IF(D36="","",INDEX(Tableaulistesenfants[Dossier Complet ?],MATCH(C36,Tableaulistesenfants[Séquence],0),))</f>
        <v/>
      </c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</row>
    <row r="37" spans="1:67" ht="15.75">
      <c r="A37" s="91"/>
      <c r="B37" s="91"/>
      <c r="C37" s="90" t="str">
        <f t="shared" si="1"/>
        <v/>
      </c>
      <c r="D37" s="91" t="str">
        <f t="shared" si="0"/>
        <v/>
      </c>
      <c r="E37" s="91" t="str">
        <f>IF(D37="","",INDEX(Tableaulistesenfants[Nom],MATCH(C37,Tableaulistesenfants[Séquence],0),))</f>
        <v/>
      </c>
      <c r="F37" s="91" t="str">
        <f>IF(D37="","",INDEX(Tableaulistesenfants[Prénom],MATCH(C37,Tableaulistesenfants[Séquence],0),))</f>
        <v/>
      </c>
      <c r="G37" s="90" t="str">
        <f>IF(D37="","",INDEX(Tableaulistesenfants[Age],MATCH(C37,Tableaulistesenfants[Séquence],0),))</f>
        <v/>
      </c>
      <c r="H37" s="90" t="str">
        <f>IF(D37="","",INDEX(Tableaulistesenfants[Régime],MATCH(C37,Tableaulistesenfants[Séquence],0),))</f>
        <v/>
      </c>
      <c r="I37" s="202" t="str">
        <f>IF(D37="","",INDEX(Tableaulistesenfants[Chambres],MATCH(C37,Tableaulistesenfants[Séquence],0),))</f>
        <v/>
      </c>
      <c r="J37" s="202" t="str">
        <f>IF(D37="","",INDEX(Tableaulistesenfants[N° de Casier],MATCH(C37,Tableaulistesenfants[Séquence],0),))</f>
        <v/>
      </c>
      <c r="K37" s="202" t="str">
        <f>IF(E37="","",INDEX(Tableaulistesenfants[Dimanche],MATCH(C37,Tableaulistesenfants[Séquence],0),))</f>
        <v/>
      </c>
      <c r="L37" s="202" t="str">
        <f>IF(F37="","",INDEX(Tableaulistesenfants[lundi],MATCH(C37,Tableaulistesenfants[Séquence],0),))</f>
        <v/>
      </c>
      <c r="M37" s="202" t="str">
        <f>IF(F37="","",INDEX(Tableaulistesenfants[reste mercredi2],MATCH(C37,Tableaulistesenfants[Séquence],0),))</f>
        <v/>
      </c>
      <c r="N37" s="202" t="str">
        <f>IF(G37="","",INDEX(Tableaulistesenfants[reste mercredi],MATCH(C37,Tableaulistesenfants[Séquence],0),))</f>
        <v/>
      </c>
      <c r="O37" s="202" t="str">
        <f>IF(H37="","",INDEX(Tableaulistesenfants[sortie EDT],MATCH(C37,Tableaulistesenfants[Séquence],0),))</f>
        <v/>
      </c>
      <c r="P37" s="78"/>
      <c r="Q37" s="219" t="str">
        <f>IF(D37="","",INDEX(Tableaulistesenfants[Dossier Complet ?],MATCH(C37,Tableaulistesenfants[Séquence],0),))</f>
        <v/>
      </c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8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</row>
    <row r="38" spans="1:67" ht="15.75">
      <c r="A38" s="91"/>
      <c r="B38" s="91"/>
      <c r="C38" s="90" t="str">
        <f t="shared" si="1"/>
        <v/>
      </c>
      <c r="D38" s="91" t="str">
        <f t="shared" ref="D38:D62" si="2">IF(C38="","",$B$5)</f>
        <v/>
      </c>
      <c r="E38" s="91" t="str">
        <f>IF(D38="","",INDEX(Tableaulistesenfants[Nom],MATCH(C38,Tableaulistesenfants[Séquence],0),))</f>
        <v/>
      </c>
      <c r="F38" s="91" t="str">
        <f>IF(D38="","",INDEX(Tableaulistesenfants[Prénom],MATCH(C38,Tableaulistesenfants[Séquence],0),))</f>
        <v/>
      </c>
      <c r="G38" s="90" t="str">
        <f>IF(D38="","",INDEX(Tableaulistesenfants[Age],MATCH(C38,Tableaulistesenfants[Séquence],0),))</f>
        <v/>
      </c>
      <c r="H38" s="90" t="str">
        <f>IF(D38="","",INDEX(Tableaulistesenfants[Régime],MATCH(C38,Tableaulistesenfants[Séquence],0),))</f>
        <v/>
      </c>
      <c r="I38" s="202" t="str">
        <f>IF(D38="","",INDEX(Tableaulistesenfants[Chambres],MATCH(C38,Tableaulistesenfants[Séquence],0),))</f>
        <v/>
      </c>
      <c r="J38" s="202" t="str">
        <f>IF(D38="","",INDEX(Tableaulistesenfants[N° de Casier],MATCH(C38,Tableaulistesenfants[Séquence],0),))</f>
        <v/>
      </c>
      <c r="K38" s="202" t="str">
        <f>IF(E38="","",INDEX(Tableaulistesenfants[Dimanche],MATCH(C38,Tableaulistesenfants[Séquence],0),))</f>
        <v/>
      </c>
      <c r="L38" s="202" t="str">
        <f>IF(F38="","",INDEX(Tableaulistesenfants[lundi],MATCH(C38,Tableaulistesenfants[Séquence],0),))</f>
        <v/>
      </c>
      <c r="M38" s="202" t="str">
        <f>IF(F38="","",INDEX(Tableaulistesenfants[reste mercredi2],MATCH(C38,Tableaulistesenfants[Séquence],0),))</f>
        <v/>
      </c>
      <c r="N38" s="202" t="str">
        <f>IF(G38="","",INDEX(Tableaulistesenfants[reste mercredi],MATCH(C38,Tableaulistesenfants[Séquence],0),))</f>
        <v/>
      </c>
      <c r="O38" s="78"/>
      <c r="P38" s="78"/>
      <c r="Q38" s="219" t="str">
        <f>IF(D38="","",INDEX(Tableaulistesenfants[Dossier Complet ?],MATCH(C38,Tableaulistesenfants[Séquence],0),))</f>
        <v/>
      </c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</row>
    <row r="39" spans="1:67" ht="15.75">
      <c r="A39" s="91"/>
      <c r="B39" s="91"/>
      <c r="C39" s="91" t="str">
        <f t="shared" si="1"/>
        <v/>
      </c>
      <c r="D39" s="91" t="str">
        <f t="shared" si="2"/>
        <v/>
      </c>
      <c r="E39" s="91" t="str">
        <f>IF(D39="","",INDEX(Tableaulistesenfants[Nom],MATCH(C39,Tableaulistesenfants[a venir2],0),))</f>
        <v/>
      </c>
      <c r="F39" s="78"/>
      <c r="G39" s="174"/>
      <c r="H39" s="174"/>
      <c r="I39" s="174"/>
      <c r="J39" s="91"/>
      <c r="K39" s="91"/>
      <c r="L39" s="91"/>
      <c r="M39" s="78"/>
      <c r="N39" s="78"/>
      <c r="O39" s="78"/>
      <c r="P39" s="78"/>
      <c r="Q39" s="219" t="str">
        <f>IF(D39="","",INDEX(Tableaulistesenfants[Dossier Complet ?],MATCH(C39,Tableaulistesenfants[Séquence],0),))</f>
        <v/>
      </c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</row>
    <row r="40" spans="1:67" ht="15.75">
      <c r="A40" s="91"/>
      <c r="B40" s="91"/>
      <c r="C40" s="91" t="str">
        <f t="shared" si="1"/>
        <v/>
      </c>
      <c r="D40" s="91" t="str">
        <f t="shared" si="2"/>
        <v/>
      </c>
      <c r="E40" s="91" t="str">
        <f>IF(D40="","",INDEX(Tableaulistesenfants[Nom],MATCH(C40,Tableaulistesenfants[a venir2],0),))</f>
        <v/>
      </c>
      <c r="F40" s="78"/>
      <c r="G40" s="174"/>
      <c r="H40" s="174"/>
      <c r="I40" s="174"/>
      <c r="J40" s="91"/>
      <c r="K40" s="91"/>
      <c r="L40" s="91"/>
      <c r="M40" s="78"/>
      <c r="N40" s="78"/>
      <c r="O40" s="78"/>
      <c r="P40" s="78"/>
      <c r="Q40" s="219" t="str">
        <f>IF(D40="","",INDEX(Tableaulistesenfants[Dossier Complet ?],MATCH(C40,Tableaulistesenfants[Séquence],0),))</f>
        <v/>
      </c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</row>
    <row r="41" spans="1:67" ht="15.75">
      <c r="A41" s="91"/>
      <c r="B41" s="91"/>
      <c r="C41" s="91" t="str">
        <f t="shared" si="1"/>
        <v/>
      </c>
      <c r="D41" s="91" t="str">
        <f t="shared" si="2"/>
        <v/>
      </c>
      <c r="E41" s="91" t="str">
        <f>IF(D41="","",INDEX(Tableaulistesenfants[Nom],MATCH(C41,Tableaulistesenfants[a venir2],0),))</f>
        <v/>
      </c>
      <c r="F41" s="78"/>
      <c r="G41" s="78"/>
      <c r="H41" s="78"/>
      <c r="I41" s="78"/>
      <c r="J41" s="91"/>
      <c r="K41" s="91"/>
      <c r="L41" s="91"/>
      <c r="M41" s="78"/>
      <c r="N41" s="78"/>
      <c r="O41" s="78"/>
      <c r="P41" s="78"/>
      <c r="Q41" s="219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  <c r="BO41" s="78"/>
    </row>
    <row r="42" spans="1:67" ht="15.75">
      <c r="A42" s="91"/>
      <c r="B42" s="91"/>
      <c r="C42" s="91" t="str">
        <f t="shared" si="1"/>
        <v/>
      </c>
      <c r="D42" s="91" t="str">
        <f t="shared" si="2"/>
        <v/>
      </c>
      <c r="E42" s="91" t="str">
        <f>IF(D42="","",INDEX(Tableaulistesenfants[Nom],MATCH(C42,Tableaulistesenfants[a venir2],0),))</f>
        <v/>
      </c>
      <c r="F42" s="91" t="str">
        <f>IF(D42="","",INDEX(Tableaulistesenfants[Prénom],MATCH(C42,Tableaulistesenfants[a venir2],0),))</f>
        <v/>
      </c>
      <c r="G42" s="91"/>
      <c r="H42" s="91"/>
      <c r="I42" s="91"/>
      <c r="J42" s="91"/>
      <c r="K42" s="91"/>
      <c r="L42" s="91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8"/>
      <c r="BO42" s="78"/>
    </row>
    <row r="43" spans="1:67" ht="15.75">
      <c r="A43" s="91"/>
      <c r="B43" s="91"/>
      <c r="C43" s="91" t="str">
        <f t="shared" si="1"/>
        <v/>
      </c>
      <c r="D43" s="91" t="str">
        <f t="shared" si="2"/>
        <v/>
      </c>
      <c r="E43" s="91" t="str">
        <f>IF(D43="","",INDEX(Tableaulistesenfants[Nom],MATCH(C43,Tableaulistesenfants[a venir2],0),))</f>
        <v/>
      </c>
      <c r="F43" s="91" t="str">
        <f>IF(D43="","",INDEX(Tableaulistesenfants[Prénom],MATCH(C43,Tableaulistesenfants[a venir2],0),))</f>
        <v/>
      </c>
      <c r="G43" s="91"/>
      <c r="H43" s="91"/>
      <c r="I43" s="91"/>
      <c r="J43" s="91"/>
      <c r="K43" s="91"/>
      <c r="L43" s="91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</row>
    <row r="44" spans="1:67" ht="15.75">
      <c r="A44" s="91"/>
      <c r="B44" s="91"/>
      <c r="C44" s="91" t="str">
        <f t="shared" si="1"/>
        <v/>
      </c>
      <c r="D44" s="91" t="str">
        <f t="shared" si="2"/>
        <v/>
      </c>
      <c r="E44" s="91" t="str">
        <f>IF(D44="","",INDEX(Tableaulistesenfants[Nom],MATCH(C44,Tableaulistesenfants[a venir2],0),))</f>
        <v/>
      </c>
      <c r="F44" s="91" t="str">
        <f>IF(D44="","",INDEX(Tableaulistesenfants[Prénom],MATCH(C44,Tableaulistesenfants[a venir2],0),))</f>
        <v/>
      </c>
      <c r="G44" s="91"/>
      <c r="H44" s="91"/>
      <c r="I44" s="91"/>
      <c r="J44" s="91"/>
      <c r="K44" s="91"/>
      <c r="L44" s="91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</row>
    <row r="45" spans="1:67" ht="15.75">
      <c r="A45" s="91"/>
      <c r="B45" s="91"/>
      <c r="C45" s="91"/>
      <c r="D45" s="91" t="str">
        <f t="shared" si="2"/>
        <v/>
      </c>
      <c r="E45" s="91" t="str">
        <f>IF(D45="","",INDEX(Tableaulistesenfants[Nom],MATCH(C45,Tableaulistesenfants[a venir2],0),))</f>
        <v/>
      </c>
      <c r="F45" s="91" t="str">
        <f>IF(D45="","",INDEX(Tableaulistesenfants[Prénom],MATCH(C45,Tableaulistesenfants[a venir2],0),))</f>
        <v/>
      </c>
      <c r="G45" s="91"/>
      <c r="H45" s="91"/>
      <c r="I45" s="91"/>
      <c r="J45" s="91"/>
      <c r="K45" s="91"/>
      <c r="L45" s="91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8"/>
    </row>
    <row r="46" spans="1:67" ht="15.75">
      <c r="A46" s="91"/>
      <c r="B46" s="91"/>
      <c r="C46" s="91"/>
      <c r="D46" s="91" t="str">
        <f t="shared" si="2"/>
        <v/>
      </c>
      <c r="E46" s="91" t="str">
        <f>IF(D46="","",INDEX(Tableaulistesenfants[Nom],MATCH(C46,Tableaulistesenfants[a venir2],0),))</f>
        <v/>
      </c>
      <c r="F46" s="91" t="str">
        <f>IF(D46="","",INDEX(Tableaulistesenfants[Prénom],MATCH(C46,Tableaulistesenfants[a venir2],0),))</f>
        <v/>
      </c>
      <c r="G46" s="91"/>
      <c r="H46" s="91"/>
      <c r="I46" s="91"/>
      <c r="J46" s="91"/>
      <c r="K46" s="91"/>
      <c r="L46" s="91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  <c r="BO46" s="78"/>
    </row>
    <row r="47" spans="1:67" ht="15.75">
      <c r="A47" s="91"/>
      <c r="B47" s="91"/>
      <c r="C47" s="91"/>
      <c r="D47" s="91" t="str">
        <f t="shared" si="2"/>
        <v/>
      </c>
      <c r="E47" s="91" t="str">
        <f>IF(D47="","",INDEX(Tableaulistesenfants[Nom],MATCH(C47,Tableaulistesenfants[a venir2],0),))</f>
        <v/>
      </c>
      <c r="F47" s="91" t="str">
        <f>IF(D47="","",INDEX(Tableaulistesenfants[Prénom],MATCH(C47,Tableaulistesenfants[a venir2],0),))</f>
        <v/>
      </c>
      <c r="G47" s="91"/>
      <c r="H47" s="91"/>
      <c r="I47" s="91"/>
      <c r="J47" s="91"/>
      <c r="K47" s="91"/>
      <c r="L47" s="91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</row>
    <row r="48" spans="1:67" ht="15.75">
      <c r="A48" s="171"/>
      <c r="B48" s="171"/>
      <c r="C48" s="91"/>
      <c r="D48" s="91" t="str">
        <f t="shared" si="2"/>
        <v/>
      </c>
      <c r="E48" s="91" t="str">
        <f>IF(D48="","",INDEX(Tableaulistesenfants[Nom],MATCH(C48,Tableaulistesenfants[a venir2],0),))</f>
        <v/>
      </c>
      <c r="F48" s="91" t="str">
        <f>IF(D48="","",INDEX(Tableaulistesenfants[Prénom],MATCH(C48,Tableaulistesenfants[a venir2],0),))</f>
        <v/>
      </c>
      <c r="G48" s="91"/>
      <c r="H48" s="91"/>
      <c r="I48" s="91"/>
      <c r="J48" s="91"/>
      <c r="K48" s="91"/>
      <c r="L48" s="91"/>
      <c r="M48" s="78"/>
      <c r="N48" s="78"/>
    </row>
    <row r="49" spans="1:14" ht="15.75">
      <c r="A49" s="171"/>
      <c r="B49" s="171"/>
      <c r="C49" s="91"/>
      <c r="D49" s="91" t="str">
        <f t="shared" si="2"/>
        <v/>
      </c>
      <c r="E49" s="91" t="str">
        <f>IF(D49="","",INDEX(Tableaulistesenfants[Nom],MATCH(C49,Tableaulistesenfants[a venir2],0),))</f>
        <v/>
      </c>
      <c r="F49" s="91" t="str">
        <f>IF(D49="","",INDEX(Tableaulistesenfants[Prénom],MATCH(C49,Tableaulistesenfants[a venir2],0),))</f>
        <v/>
      </c>
      <c r="G49" s="91"/>
      <c r="H49" s="91"/>
      <c r="I49" s="91"/>
      <c r="J49" s="91"/>
      <c r="K49" s="91"/>
      <c r="L49" s="91"/>
      <c r="M49" s="78"/>
      <c r="N49" s="78"/>
    </row>
    <row r="50" spans="1:14" ht="15.75">
      <c r="A50" s="171"/>
      <c r="B50" s="171"/>
      <c r="C50" s="91"/>
      <c r="D50" s="91" t="str">
        <f t="shared" si="2"/>
        <v/>
      </c>
      <c r="E50" s="91" t="str">
        <f>IF(D50="","",INDEX(Tableaulistesenfants[Nom],MATCH(C50,Tableaulistesenfants[a venir2],0),))</f>
        <v/>
      </c>
      <c r="F50" s="91" t="str">
        <f>IF(D50="","",INDEX(Tableaulistesenfants[Prénom],MATCH(C50,Tableaulistesenfants[a venir2],0),))</f>
        <v/>
      </c>
      <c r="G50" s="91"/>
      <c r="H50" s="91"/>
      <c r="I50" s="91"/>
      <c r="J50" s="91"/>
      <c r="K50" s="91"/>
      <c r="L50" s="91"/>
      <c r="M50" s="78"/>
      <c r="N50" s="78"/>
    </row>
    <row r="51" spans="1:14" ht="15.75">
      <c r="A51" s="171"/>
      <c r="B51" s="171"/>
      <c r="C51" s="171"/>
      <c r="D51" s="171" t="str">
        <f t="shared" si="2"/>
        <v/>
      </c>
      <c r="E51" s="171" t="str">
        <f>IF(D51="","",INDEX(Tableaulistesenfants[Nom],MATCH(C51,Tableaulistesenfants[a venir2],0),))</f>
        <v/>
      </c>
      <c r="F51" s="171" t="str">
        <f>IF(D51="","",INDEX(Tableaulistesenfants[Prénom],MATCH(C51,Tableaulistesenfants[a venir2],0),))</f>
        <v/>
      </c>
      <c r="G51" s="171"/>
      <c r="H51" s="171"/>
      <c r="I51" s="171"/>
      <c r="J51" s="171"/>
      <c r="K51" s="171"/>
      <c r="L51" s="171"/>
    </row>
    <row r="52" spans="1:14" ht="15.75">
      <c r="A52" s="171"/>
      <c r="B52" s="171"/>
      <c r="C52" s="171"/>
      <c r="D52" s="171" t="str">
        <f t="shared" si="2"/>
        <v/>
      </c>
      <c r="E52" s="171" t="str">
        <f>IF(D52="","",INDEX(Tableaulistesenfants[Nom],MATCH(C52,Tableaulistesenfants[a venir2],0),))</f>
        <v/>
      </c>
      <c r="F52" s="171" t="str">
        <f>IF(D52="","",INDEX(Tableaulistesenfants[Prénom],MATCH(C52,Tableaulistesenfants[a venir2],0),))</f>
        <v/>
      </c>
      <c r="G52" s="171"/>
      <c r="H52" s="171"/>
      <c r="I52" s="171"/>
      <c r="J52" s="171"/>
      <c r="K52" s="171"/>
      <c r="L52" s="171"/>
    </row>
    <row r="53" spans="1:14" ht="15.75">
      <c r="A53" s="171"/>
      <c r="B53" s="171"/>
      <c r="C53" s="171"/>
      <c r="D53" s="171" t="str">
        <f t="shared" si="2"/>
        <v/>
      </c>
      <c r="E53" s="171" t="str">
        <f>IF(D53="","",INDEX(Tableaulistesenfants[Nom],MATCH(C53,Tableaulistesenfants[a venir2],0),))</f>
        <v/>
      </c>
      <c r="F53" s="171" t="str">
        <f>IF(D53="","",INDEX(Tableaulistesenfants[Prénom],MATCH(C53,Tableaulistesenfants[a venir2],0),))</f>
        <v/>
      </c>
      <c r="G53" s="171"/>
      <c r="H53" s="171"/>
      <c r="I53" s="171"/>
      <c r="J53" s="171"/>
      <c r="K53" s="171"/>
      <c r="L53" s="171"/>
    </row>
    <row r="54" spans="1:14" ht="15.75">
      <c r="A54" s="171"/>
      <c r="B54" s="171"/>
      <c r="C54" s="171"/>
      <c r="D54" s="171" t="str">
        <f t="shared" si="2"/>
        <v/>
      </c>
      <c r="E54" s="171" t="str">
        <f>IF(D54="","",INDEX(Tableaulistesenfants[Nom],MATCH(C54,Tableaulistesenfants[a venir2],0),))</f>
        <v/>
      </c>
      <c r="F54" s="171" t="str">
        <f>IF(D54="","",INDEX(Tableaulistesenfants[Prénom],MATCH(C54,Tableaulistesenfants[a venir2],0),))</f>
        <v/>
      </c>
      <c r="G54" s="171"/>
      <c r="H54" s="171"/>
      <c r="I54" s="171"/>
      <c r="J54" s="171"/>
      <c r="K54" s="171"/>
      <c r="L54" s="171"/>
    </row>
    <row r="55" spans="1:14" ht="15.75">
      <c r="A55" s="171"/>
      <c r="B55" s="171"/>
      <c r="C55" s="171"/>
      <c r="D55" s="171" t="str">
        <f t="shared" si="2"/>
        <v/>
      </c>
      <c r="E55" s="171" t="str">
        <f>IF(D55="","",INDEX(Tableaulistesenfants[Nom],MATCH(C55,Tableaulistesenfants[a venir2],0),))</f>
        <v/>
      </c>
      <c r="F55" s="171" t="str">
        <f>IF(D55="","",INDEX(Tableaulistesenfants[Prénom],MATCH(C55,Tableaulistesenfants[a venir2],0),))</f>
        <v/>
      </c>
      <c r="G55" s="171"/>
      <c r="H55" s="171"/>
      <c r="I55" s="171"/>
      <c r="J55" s="171"/>
      <c r="K55" s="171"/>
      <c r="L55" s="171"/>
    </row>
    <row r="56" spans="1:14" ht="15.75">
      <c r="A56" s="171"/>
      <c r="B56" s="171"/>
      <c r="C56" s="171"/>
      <c r="D56" s="171" t="str">
        <f t="shared" si="2"/>
        <v/>
      </c>
      <c r="E56" s="171" t="str">
        <f>IF(D56="","",INDEX(Tableaulistesenfants[Nom],MATCH(C56,Tableaulistesenfants[a venir2],0),))</f>
        <v/>
      </c>
      <c r="F56" s="171" t="str">
        <f>IF(D56="","",INDEX(Tableaulistesenfants[Prénom],MATCH(C56,Tableaulistesenfants[a venir2],0),))</f>
        <v/>
      </c>
      <c r="G56" s="171"/>
      <c r="H56" s="171"/>
      <c r="I56" s="171"/>
      <c r="J56" s="171"/>
      <c r="K56" s="171"/>
      <c r="L56" s="171"/>
    </row>
    <row r="57" spans="1:14" ht="15.75">
      <c r="A57" s="171"/>
      <c r="B57" s="171"/>
      <c r="C57" s="171"/>
      <c r="D57" s="171" t="str">
        <f t="shared" si="2"/>
        <v/>
      </c>
      <c r="E57" s="171" t="str">
        <f>IF(D57="","",INDEX(Tableaulistesenfants[Nom],MATCH(C57,Tableaulistesenfants[a venir2],0),))</f>
        <v/>
      </c>
      <c r="F57" s="171" t="str">
        <f>IF(D57="","",INDEX(Tableaulistesenfants[Prénom],MATCH(C57,Tableaulistesenfants[a venir2],0),))</f>
        <v/>
      </c>
      <c r="G57" s="171"/>
      <c r="H57" s="171"/>
      <c r="I57" s="171"/>
      <c r="J57" s="171"/>
      <c r="K57" s="171"/>
      <c r="L57" s="171"/>
    </row>
    <row r="58" spans="1:14" ht="15.75">
      <c r="A58" s="171"/>
      <c r="B58" s="171"/>
      <c r="C58" s="171"/>
      <c r="D58" s="171" t="str">
        <f t="shared" si="2"/>
        <v/>
      </c>
      <c r="E58" s="171" t="str">
        <f>IF(D58="","",INDEX(Tableaulistesenfants[Nom],MATCH(C58,Tableaulistesenfants[a venir2],0),))</f>
        <v/>
      </c>
      <c r="F58" s="171" t="str">
        <f>IF(D58="","",INDEX(Tableaulistesenfants[Prénom],MATCH(C58,Tableaulistesenfants[a venir2],0),))</f>
        <v/>
      </c>
      <c r="G58" s="171"/>
      <c r="H58" s="171"/>
      <c r="I58" s="171"/>
      <c r="J58" s="171"/>
      <c r="K58" s="171"/>
      <c r="L58" s="171"/>
    </row>
    <row r="59" spans="1:14" ht="15.75">
      <c r="A59" s="171"/>
      <c r="B59" s="171"/>
      <c r="C59" s="171"/>
      <c r="D59" s="171" t="str">
        <f t="shared" si="2"/>
        <v/>
      </c>
      <c r="E59" s="171" t="str">
        <f>IF(D59="","",INDEX(Tableaulistesenfants[Nom],MATCH(C59,Tableaulistesenfants[a venir2],0),))</f>
        <v/>
      </c>
      <c r="F59" s="171" t="str">
        <f>IF(D59="","",INDEX(Tableaulistesenfants[Prénom],MATCH(C59,Tableaulistesenfants[a venir2],0),))</f>
        <v/>
      </c>
      <c r="G59" s="171"/>
      <c r="H59" s="171"/>
      <c r="I59" s="171"/>
      <c r="J59" s="171"/>
      <c r="K59" s="171"/>
      <c r="L59" s="171"/>
    </row>
    <row r="60" spans="1:14" ht="15.75">
      <c r="A60" s="171"/>
      <c r="B60" s="171"/>
      <c r="C60" s="171"/>
      <c r="D60" s="171" t="str">
        <f t="shared" si="2"/>
        <v/>
      </c>
      <c r="E60" s="171" t="str">
        <f>IF(D60="","",INDEX(Tableaulistesenfants[Nom],MATCH(C60,Tableaulistesenfants[a venir2],0),))</f>
        <v/>
      </c>
      <c r="F60" s="171" t="str">
        <f>IF(D60="","",INDEX(Tableaulistesenfants[Prénom],MATCH(C60,Tableaulistesenfants[a venir2],0),))</f>
        <v/>
      </c>
      <c r="G60" s="171"/>
      <c r="H60" s="171"/>
      <c r="I60" s="171"/>
      <c r="J60" s="171"/>
      <c r="K60" s="171"/>
      <c r="L60" s="171"/>
    </row>
    <row r="61" spans="1:14" ht="15.75">
      <c r="A61" s="171"/>
      <c r="B61" s="171"/>
      <c r="C61" s="171"/>
      <c r="D61" s="171" t="str">
        <f t="shared" si="2"/>
        <v/>
      </c>
      <c r="E61" s="171" t="str">
        <f>IF(D61="","",INDEX(Tableaulistesenfants[Nom],MATCH(C61,Tableaulistesenfants[a venir2],0),))</f>
        <v/>
      </c>
      <c r="F61" s="171" t="str">
        <f>IF(D61="","",INDEX(Tableaulistesenfants[Prénom],MATCH(C61,Tableaulistesenfants[a venir2],0),))</f>
        <v/>
      </c>
      <c r="G61" s="171"/>
      <c r="H61" s="171"/>
      <c r="I61" s="171"/>
      <c r="J61" s="171"/>
      <c r="K61" s="171"/>
      <c r="L61" s="171"/>
    </row>
    <row r="62" spans="1:14" ht="15.75">
      <c r="A62" s="171"/>
      <c r="B62" s="171"/>
      <c r="C62" s="171"/>
      <c r="D62" s="171" t="str">
        <f t="shared" si="2"/>
        <v/>
      </c>
      <c r="E62" s="171" t="str">
        <f>IF(D62="","",INDEX(Tableaulistesenfants[Nom],MATCH(C62,Tableaulistesenfants[a venir2],0),))</f>
        <v/>
      </c>
      <c r="F62" s="171" t="str">
        <f>IF(D62="","",INDEX(Tableaulistesenfants[Prénom],MATCH(C62,Tableaulistesenfants[a venir2],0),))</f>
        <v/>
      </c>
      <c r="G62" s="171"/>
      <c r="H62" s="171"/>
      <c r="I62" s="171"/>
      <c r="J62" s="171"/>
      <c r="K62" s="171"/>
      <c r="L62" s="171"/>
    </row>
    <row r="63" spans="1:14" ht="15.75">
      <c r="A63" s="171"/>
      <c r="B63" s="171"/>
      <c r="C63" s="171"/>
      <c r="D63" s="171"/>
      <c r="E63" s="171" t="str">
        <f>IF(D63="","",INDEX(Tableaulistesenfants[Nom],MATCH(C63,Tableaulistesenfants[a venir2],0),))</f>
        <v/>
      </c>
      <c r="F63" s="171" t="str">
        <f>IF(D63="","",INDEX(Tableaulistesenfants[Prénom],MATCH(C63,Tableaulistesenfants[a venir2],0),))</f>
        <v/>
      </c>
      <c r="G63" s="171"/>
      <c r="H63" s="171"/>
      <c r="I63" s="171"/>
      <c r="J63" s="171"/>
      <c r="K63" s="171"/>
      <c r="L63" s="171"/>
    </row>
    <row r="64" spans="1:14" ht="15.75">
      <c r="A64" s="171"/>
      <c r="B64" s="171"/>
      <c r="C64" s="171"/>
      <c r="D64" s="171"/>
      <c r="E64" s="171" t="str">
        <f>IF(D64="","",INDEX(Tableaulistesenfants[Nom],MATCH(C64,Tableaulistesenfants[a venir2],0),))</f>
        <v/>
      </c>
      <c r="F64" s="171" t="str">
        <f>IF(D64="","",INDEX(Tableaulistesenfants[Prénom],MATCH(C64,Tableaulistesenfants[a venir2],0),))</f>
        <v/>
      </c>
      <c r="G64" s="171"/>
      <c r="H64" s="171"/>
      <c r="I64" s="171"/>
      <c r="J64" s="171"/>
      <c r="K64" s="171"/>
      <c r="L64" s="171"/>
    </row>
    <row r="65" spans="1:12" ht="15.75">
      <c r="A65" s="171"/>
      <c r="B65" s="171"/>
      <c r="C65" s="171"/>
      <c r="D65" s="171"/>
      <c r="E65" s="171" t="str">
        <f>IF(D65="","",INDEX(Tableaulistesenfants[Nom],MATCH(C65,Tableaulistesenfants[a venir2],0),))</f>
        <v/>
      </c>
      <c r="F65" s="171" t="str">
        <f>IF(D65="","",INDEX(Tableaulistesenfants[Prénom],MATCH(C65,Tableaulistesenfants[a venir2],0),))</f>
        <v/>
      </c>
      <c r="G65" s="171"/>
      <c r="H65" s="171"/>
      <c r="I65" s="171"/>
      <c r="J65" s="171"/>
      <c r="K65" s="171"/>
      <c r="L65" s="171"/>
    </row>
    <row r="66" spans="1:12" ht="15.75">
      <c r="A66" s="171"/>
      <c r="B66" s="171"/>
      <c r="C66" s="171"/>
      <c r="D66" s="171"/>
      <c r="E66" s="171" t="str">
        <f>IF(D66="","",INDEX(Tableaulistesenfants[Nom],MATCH(C66,Tableaulistesenfants[a venir2],0),))</f>
        <v/>
      </c>
      <c r="F66" s="171" t="str">
        <f>IF(D66="","",INDEX(Tableaulistesenfants[Prénom],MATCH(C66,Tableaulistesenfants[a venir2],0),))</f>
        <v/>
      </c>
      <c r="G66" s="171"/>
      <c r="H66" s="171"/>
      <c r="I66" s="171"/>
      <c r="J66" s="171"/>
      <c r="K66" s="171"/>
      <c r="L66" s="171"/>
    </row>
    <row r="67" spans="1:12" ht="15.75">
      <c r="A67" s="171"/>
      <c r="B67" s="171"/>
      <c r="C67" s="171"/>
      <c r="D67" s="171"/>
      <c r="E67" s="171" t="str">
        <f>IF(D67="","",INDEX(Tableaulistesenfants[Nom],MATCH(C67,Tableaulistesenfants[a venir2],0),))</f>
        <v/>
      </c>
      <c r="F67" s="171" t="str">
        <f>IF(D67="","",INDEX(Tableaulistesenfants[Prénom],MATCH(C67,Tableaulistesenfants[a venir2],0),))</f>
        <v/>
      </c>
      <c r="G67" s="171"/>
      <c r="H67" s="171"/>
      <c r="I67" s="171"/>
      <c r="J67" s="171"/>
      <c r="K67" s="171"/>
      <c r="L67" s="171"/>
    </row>
    <row r="68" spans="1:12" ht="15.75">
      <c r="A68" s="171"/>
      <c r="B68" s="171"/>
      <c r="C68" s="171"/>
      <c r="D68" s="171"/>
      <c r="E68" s="171" t="str">
        <f>IF(D68="","",INDEX(Tableaulistesenfants[Nom],MATCH(C68,Tableaulistesenfants[a venir2],0),))</f>
        <v/>
      </c>
      <c r="F68" s="171" t="str">
        <f>IF(D68="","",INDEX(Tableaulistesenfants[Prénom],MATCH(C68,Tableaulistesenfants[a venir2],0),))</f>
        <v/>
      </c>
      <c r="G68" s="171"/>
      <c r="H68" s="171"/>
      <c r="I68" s="171"/>
      <c r="J68" s="171"/>
      <c r="K68" s="171"/>
      <c r="L68" s="171"/>
    </row>
    <row r="69" spans="1:12" ht="15.75">
      <c r="A69" s="171"/>
      <c r="B69" s="171"/>
      <c r="C69" s="171"/>
      <c r="D69" s="171"/>
      <c r="E69" s="171" t="str">
        <f>IF(D69="","",INDEX(Tableaulistesenfants[Nom],MATCH(C69,Tableaulistesenfants[a venir2],0),))</f>
        <v/>
      </c>
      <c r="F69" s="171" t="str">
        <f>IF(D69="","",INDEX(Tableaulistesenfants[Prénom],MATCH(C69,Tableaulistesenfants[a venir2],0),))</f>
        <v/>
      </c>
      <c r="G69" s="171"/>
      <c r="H69" s="171"/>
      <c r="I69" s="171"/>
      <c r="J69" s="171"/>
      <c r="K69" s="171"/>
      <c r="L69" s="171"/>
    </row>
    <row r="70" spans="1:12" ht="15.75">
      <c r="A70" s="171"/>
      <c r="B70" s="171"/>
      <c r="C70" s="171"/>
      <c r="D70" s="171"/>
      <c r="E70" s="171" t="str">
        <f>IF(D70="","",INDEX(Tableaulistesenfants[Nom],MATCH(C70,Tableaulistesenfants[a venir2],0),))</f>
        <v/>
      </c>
      <c r="F70" s="171" t="str">
        <f>IF(D70="","",INDEX(Tableaulistesenfants[Prénom],MATCH(C70,Tableaulistesenfants[a venir2],0),))</f>
        <v/>
      </c>
      <c r="G70" s="171"/>
      <c r="H70" s="171"/>
      <c r="I70" s="171"/>
      <c r="J70" s="171"/>
      <c r="K70" s="171"/>
      <c r="L70" s="171"/>
    </row>
    <row r="71" spans="1:12" ht="15.75">
      <c r="A71" s="171"/>
      <c r="B71" s="171"/>
      <c r="C71" s="171"/>
      <c r="D71" s="171"/>
      <c r="E71" s="171" t="str">
        <f>IF(D71="","",INDEX(Tableaulistesenfants[Nom],MATCH(C71,Tableaulistesenfants[a venir2],0),))</f>
        <v/>
      </c>
      <c r="F71" s="171" t="str">
        <f>IF(D71="","",INDEX(Tableaulistesenfants[Prénom],MATCH(C71,Tableaulistesenfants[a venir2],0),))</f>
        <v/>
      </c>
      <c r="G71" s="171"/>
      <c r="H71" s="171"/>
      <c r="I71" s="171"/>
      <c r="J71" s="171"/>
      <c r="K71" s="171"/>
      <c r="L71" s="171"/>
    </row>
    <row r="72" spans="1:12" ht="15.75">
      <c r="A72" s="171"/>
      <c r="B72" s="171"/>
      <c r="C72" s="171"/>
      <c r="D72" s="171"/>
      <c r="E72" s="171" t="str">
        <f>IF(D72="","",INDEX(Tableaulistesenfants[Nom],MATCH(C72,Tableaulistesenfants[a venir2],0),))</f>
        <v/>
      </c>
      <c r="F72" s="171" t="str">
        <f>IF(D72="","",INDEX(Tableaulistesenfants[Prénom],MATCH(C72,Tableaulistesenfants[a venir2],0),))</f>
        <v/>
      </c>
      <c r="G72" s="171"/>
      <c r="H72" s="171"/>
      <c r="I72" s="171"/>
      <c r="J72" s="171"/>
      <c r="K72" s="171"/>
      <c r="L72" s="171"/>
    </row>
    <row r="73" spans="1:12" ht="15.75">
      <c r="A73" s="171"/>
      <c r="B73" s="171"/>
      <c r="C73" s="171"/>
      <c r="D73" s="171"/>
      <c r="E73" s="171" t="str">
        <f>IF(D73="","",INDEX(Tableaulistesenfants[Nom],MATCH(C73,Tableaulistesenfants[a venir2],0),))</f>
        <v/>
      </c>
      <c r="F73" s="171" t="str">
        <f>IF(D73="","",INDEX(Tableaulistesenfants[Prénom],MATCH(C73,Tableaulistesenfants[a venir2],0),))</f>
        <v/>
      </c>
      <c r="G73" s="171"/>
      <c r="H73" s="171"/>
      <c r="I73" s="171"/>
      <c r="J73" s="171"/>
      <c r="K73" s="171"/>
      <c r="L73" s="171"/>
    </row>
    <row r="74" spans="1:12" ht="15.75">
      <c r="A74" s="171"/>
      <c r="B74" s="171"/>
      <c r="C74" s="171"/>
      <c r="D74" s="171"/>
      <c r="E74" s="171" t="str">
        <f>IF(D74="","",INDEX(Tableaulistesenfants[Nom],MATCH(C74,Tableaulistesenfants[a venir2],0),))</f>
        <v/>
      </c>
      <c r="F74" s="171" t="str">
        <f>IF(D74="","",INDEX(Tableaulistesenfants[Prénom],MATCH(C74,Tableaulistesenfants[a venir2],0),))</f>
        <v/>
      </c>
      <c r="G74" s="171"/>
      <c r="H74" s="171"/>
      <c r="I74" s="171"/>
      <c r="J74" s="171"/>
      <c r="K74" s="171"/>
      <c r="L74" s="171"/>
    </row>
    <row r="75" spans="1:12" ht="15.75">
      <c r="A75" s="171"/>
      <c r="B75" s="171"/>
      <c r="C75" s="171"/>
      <c r="D75" s="171"/>
      <c r="E75" s="171" t="str">
        <f>IF(D75="","",INDEX(Tableaulistesenfants[Nom],MATCH(C75,Tableaulistesenfants[a venir2],0),))</f>
        <v/>
      </c>
      <c r="F75" s="171" t="str">
        <f>IF(D75="","",INDEX(Tableaulistesenfants[Prénom],MATCH(C75,Tableaulistesenfants[a venir2],0),))</f>
        <v/>
      </c>
      <c r="G75" s="171"/>
      <c r="H75" s="171"/>
      <c r="I75" s="171"/>
      <c r="J75" s="171"/>
      <c r="K75" s="171"/>
      <c r="L75" s="171"/>
    </row>
    <row r="76" spans="1:12" ht="15.75">
      <c r="A76" s="171"/>
      <c r="B76" s="171"/>
      <c r="C76" s="171"/>
      <c r="D76" s="171"/>
      <c r="E76" s="171" t="str">
        <f>IF(D76="","",INDEX(Tableaulistesenfants[Nom],MATCH(C76,Tableaulistesenfants[a venir2],0),))</f>
        <v/>
      </c>
      <c r="F76" s="171" t="str">
        <f>IF(D76="","",INDEX(Tableaulistesenfants[Prénom],MATCH(C76,Tableaulistesenfants[a venir2],0),))</f>
        <v/>
      </c>
      <c r="G76" s="171"/>
      <c r="H76" s="171"/>
      <c r="I76" s="171"/>
      <c r="J76" s="171"/>
      <c r="K76" s="171"/>
      <c r="L76" s="171"/>
    </row>
    <row r="77" spans="1:12" ht="15.75">
      <c r="A77" s="171"/>
      <c r="B77" s="171"/>
      <c r="C77" s="171"/>
      <c r="D77" s="171"/>
      <c r="E77" s="171" t="str">
        <f>IF(D77="","",INDEX(Tableaulistesenfants[Nom],MATCH(C77,Tableaulistesenfants[a venir2],0),))</f>
        <v/>
      </c>
      <c r="F77" s="171" t="str">
        <f>IF(D77="","",INDEX(Tableaulistesenfants[Prénom],MATCH(C77,Tableaulistesenfants[a venir2],0),))</f>
        <v/>
      </c>
      <c r="G77" s="171"/>
      <c r="H77" s="171"/>
      <c r="I77" s="171"/>
      <c r="J77" s="171"/>
      <c r="K77" s="171"/>
      <c r="L77" s="171"/>
    </row>
    <row r="78" spans="1:12" ht="15.75">
      <c r="A78" s="171"/>
      <c r="B78" s="171"/>
      <c r="C78" s="171"/>
      <c r="D78" s="171"/>
      <c r="E78" s="171" t="str">
        <f>IF(D78="","",INDEX(Tableaulistesenfants[Nom],MATCH(C78,Tableaulistesenfants[a venir2],0),))</f>
        <v/>
      </c>
      <c r="F78" s="171" t="str">
        <f>IF(D78="","",INDEX(Tableaulistesenfants[Prénom],MATCH(C78,Tableaulistesenfants[a venir2],0),))</f>
        <v/>
      </c>
      <c r="G78" s="171"/>
      <c r="H78" s="171"/>
      <c r="I78" s="171"/>
      <c r="J78" s="171"/>
      <c r="K78" s="171"/>
      <c r="L78" s="171"/>
    </row>
    <row r="79" spans="1:12" ht="15.75">
      <c r="A79" s="171"/>
      <c r="B79" s="171"/>
      <c r="C79" s="171"/>
      <c r="D79" s="171"/>
      <c r="E79" s="171" t="str">
        <f>IF(D79="","",INDEX(Tableaulistesenfants[Nom],MATCH(C79,Tableaulistesenfants[a venir2],0),))</f>
        <v/>
      </c>
      <c r="F79" s="171" t="str">
        <f>IF(D79="","",INDEX(Tableaulistesenfants[Prénom],MATCH(C79,Tableaulistesenfants[a venir2],0),))</f>
        <v/>
      </c>
      <c r="G79" s="171"/>
      <c r="H79" s="171"/>
      <c r="I79" s="171"/>
      <c r="J79" s="171"/>
      <c r="K79" s="171"/>
      <c r="L79" s="171"/>
    </row>
    <row r="80" spans="1:12" ht="15.75">
      <c r="A80" s="171"/>
      <c r="B80" s="171"/>
      <c r="C80" s="171"/>
      <c r="D80" s="171"/>
      <c r="E80" s="171" t="str">
        <f>IF(D80="","",INDEX(Tableaulistesenfants[Nom],MATCH(C80,Tableaulistesenfants[a venir2],0),))</f>
        <v/>
      </c>
      <c r="F80" s="171" t="str">
        <f>IF(D80="","",INDEX(Tableaulistesenfants[Prénom],MATCH(C80,Tableaulistesenfants[a venir2],0),))</f>
        <v/>
      </c>
      <c r="G80" s="171"/>
      <c r="H80" s="171"/>
      <c r="I80" s="171"/>
      <c r="J80" s="171"/>
      <c r="K80" s="171"/>
      <c r="L80" s="171"/>
    </row>
    <row r="81" spans="1:12" ht="15.75">
      <c r="A81" s="171"/>
      <c r="B81" s="171"/>
      <c r="C81" s="171"/>
      <c r="D81" s="171"/>
      <c r="E81" s="171" t="str">
        <f>IF(D81="","",INDEX(Tableaulistesenfants[Nom],MATCH(C81,Tableaulistesenfants[a venir2],0),))</f>
        <v/>
      </c>
      <c r="F81" s="171" t="str">
        <f>IF(D81="","",INDEX(Tableaulistesenfants[Prénom],MATCH(C81,Tableaulistesenfants[a venir2],0),))</f>
        <v/>
      </c>
      <c r="G81" s="171"/>
      <c r="H81" s="171"/>
      <c r="I81" s="171"/>
      <c r="J81" s="171"/>
      <c r="K81" s="171"/>
      <c r="L81" s="171"/>
    </row>
    <row r="82" spans="1:12" ht="15.75">
      <c r="A82" s="171"/>
      <c r="B82" s="171"/>
      <c r="C82" s="171"/>
      <c r="D82" s="171"/>
      <c r="E82" s="171" t="str">
        <f>IF(D82="","",INDEX(Tableaulistesenfants[Nom],MATCH(C82,Tableaulistesenfants[a venir2],0),))</f>
        <v/>
      </c>
      <c r="F82" s="171" t="str">
        <f>IF(D82="","",INDEX(Tableaulistesenfants[Prénom],MATCH(C82,Tableaulistesenfants[a venir2],0),))</f>
        <v/>
      </c>
      <c r="G82" s="171"/>
      <c r="H82" s="171"/>
      <c r="I82" s="171"/>
      <c r="J82" s="171"/>
      <c r="K82" s="171"/>
      <c r="L82" s="171"/>
    </row>
    <row r="83" spans="1:12" ht="15.75">
      <c r="A83" s="171"/>
      <c r="B83" s="171"/>
      <c r="C83" s="171"/>
      <c r="D83" s="171"/>
      <c r="E83" s="171" t="str">
        <f>IF(D83="","",INDEX(Tableaulistesenfants[Nom],MATCH(C83,Tableaulistesenfants[a venir2],0),))</f>
        <v/>
      </c>
      <c r="F83" s="171" t="str">
        <f>IF(D83="","",INDEX(Tableaulistesenfants[Prénom],MATCH(C83,Tableaulistesenfants[a venir2],0),))</f>
        <v/>
      </c>
      <c r="G83" s="171"/>
      <c r="H83" s="171"/>
      <c r="I83" s="171"/>
      <c r="J83" s="171"/>
      <c r="K83" s="171"/>
      <c r="L83" s="171"/>
    </row>
    <row r="84" spans="1:12" ht="15.75">
      <c r="A84" s="171"/>
      <c r="B84" s="171"/>
      <c r="C84" s="171"/>
      <c r="D84" s="171"/>
      <c r="E84" s="171" t="str">
        <f>IF(D84="","",INDEX(Tableaulistesenfants[Nom],MATCH(C84,Tableaulistesenfants[a venir2],0),))</f>
        <v/>
      </c>
      <c r="F84" s="171" t="str">
        <f>IF(D84="","",INDEX(Tableaulistesenfants[Prénom],MATCH(C84,Tableaulistesenfants[a venir2],0),))</f>
        <v/>
      </c>
      <c r="G84" s="171"/>
      <c r="H84" s="171"/>
      <c r="I84" s="171"/>
      <c r="J84" s="171"/>
      <c r="K84" s="171"/>
      <c r="L84" s="171"/>
    </row>
    <row r="85" spans="1:12" ht="15.75">
      <c r="A85" s="171"/>
      <c r="B85" s="171"/>
      <c r="C85" s="171"/>
      <c r="D85" s="171"/>
      <c r="E85" s="171" t="str">
        <f>IF(D85="","",INDEX(Tableaulistesenfants[Nom],MATCH(C85,Tableaulistesenfants[a venir2],0),))</f>
        <v/>
      </c>
      <c r="F85" s="171" t="str">
        <f>IF(D85="","",INDEX(Tableaulistesenfants[Prénom],MATCH(C85,Tableaulistesenfants[a venir2],0),))</f>
        <v/>
      </c>
      <c r="G85" s="171"/>
      <c r="H85" s="171"/>
      <c r="I85" s="171"/>
      <c r="J85" s="171"/>
      <c r="K85" s="171"/>
      <c r="L85" s="171"/>
    </row>
    <row r="86" spans="1:12" ht="15.75">
      <c r="A86" s="171"/>
      <c r="B86" s="171"/>
      <c r="C86" s="171"/>
      <c r="D86" s="171"/>
      <c r="E86" s="171" t="str">
        <f>IF(D86="","",INDEX(Tableaulistesenfants[Nom],MATCH(C86,Tableaulistesenfants[a venir2],0),))</f>
        <v/>
      </c>
      <c r="F86" s="171" t="str">
        <f>IF(D86="","",INDEX(Tableaulistesenfants[Prénom],MATCH(C86,Tableaulistesenfants[a venir2],0),))</f>
        <v/>
      </c>
      <c r="G86" s="171"/>
      <c r="H86" s="171"/>
      <c r="I86" s="171"/>
      <c r="J86" s="171"/>
      <c r="K86" s="171"/>
      <c r="L86" s="171"/>
    </row>
    <row r="87" spans="1:12" ht="15.75">
      <c r="A87" s="171"/>
      <c r="B87" s="171"/>
      <c r="C87" s="171"/>
      <c r="D87" s="171"/>
      <c r="E87" s="171" t="str">
        <f>IF(D87="","",INDEX(Tableaulistesenfants[Nom],MATCH(C87,Tableaulistesenfants[a venir2],0),))</f>
        <v/>
      </c>
      <c r="F87" s="171" t="str">
        <f>IF(D87="","",INDEX(Tableaulistesenfants[Prénom],MATCH(C87,Tableaulistesenfants[a venir2],0),))</f>
        <v/>
      </c>
      <c r="G87" s="171"/>
      <c r="H87" s="171"/>
      <c r="I87" s="171"/>
      <c r="J87" s="171"/>
      <c r="K87" s="171"/>
      <c r="L87" s="171"/>
    </row>
    <row r="88" spans="1:12" ht="15.75">
      <c r="A88" s="171"/>
      <c r="B88" s="171"/>
      <c r="C88" s="171"/>
      <c r="D88" s="171"/>
      <c r="E88" s="171" t="str">
        <f>IF(D88="","",INDEX(Tableaulistesenfants[Nom],MATCH(C88,Tableaulistesenfants[a venir2],0),))</f>
        <v/>
      </c>
      <c r="F88" s="171" t="str">
        <f>IF(D88="","",INDEX(Tableaulistesenfants[Prénom],MATCH(C88,Tableaulistesenfants[a venir2],0),))</f>
        <v/>
      </c>
      <c r="G88" s="171"/>
      <c r="H88" s="171"/>
      <c r="I88" s="171"/>
      <c r="J88" s="171"/>
      <c r="K88" s="171"/>
      <c r="L88" s="171"/>
    </row>
    <row r="89" spans="1:12" ht="15.75">
      <c r="A89" s="171"/>
      <c r="B89" s="171"/>
      <c r="C89" s="171"/>
      <c r="D89" s="171"/>
      <c r="E89" s="171" t="str">
        <f>IF(D89="","",INDEX(Tableaulistesenfants[Nom],MATCH(C89,Tableaulistesenfants[a venir2],0),))</f>
        <v/>
      </c>
      <c r="F89" s="171" t="str">
        <f>IF(D89="","",INDEX(Tableaulistesenfants[Prénom],MATCH(C89,Tableaulistesenfants[a venir2],0),))</f>
        <v/>
      </c>
      <c r="G89" s="171"/>
      <c r="H89" s="171"/>
      <c r="I89" s="171"/>
      <c r="J89" s="171"/>
      <c r="K89" s="171"/>
      <c r="L89" s="171"/>
    </row>
    <row r="90" spans="1:12" ht="15.75">
      <c r="A90" s="171"/>
      <c r="B90" s="171"/>
      <c r="C90" s="171"/>
      <c r="D90" s="171"/>
      <c r="E90" s="171" t="str">
        <f>IF(D90="","",INDEX(Tableaulistesenfants[Nom],MATCH(C90,Tableaulistesenfants[a venir2],0),))</f>
        <v/>
      </c>
      <c r="F90" s="171" t="str">
        <f>IF(D90="","",INDEX(Tableaulistesenfants[Prénom],MATCH(C90,Tableaulistesenfants[a venir2],0),))</f>
        <v/>
      </c>
      <c r="G90" s="171"/>
      <c r="H90" s="171"/>
      <c r="I90" s="171"/>
      <c r="J90" s="171"/>
      <c r="K90" s="171"/>
      <c r="L90" s="171"/>
    </row>
    <row r="91" spans="1:12" ht="15.75">
      <c r="A91" s="171"/>
      <c r="B91" s="171"/>
      <c r="C91" s="171"/>
      <c r="D91" s="171"/>
      <c r="E91" s="171" t="str">
        <f>IF(D91="","",INDEX(Tableaulistesenfants[Nom],MATCH(C91,Tableaulistesenfants[a venir2],0),))</f>
        <v/>
      </c>
      <c r="F91" s="171" t="str">
        <f>IF(D91="","",INDEX(Tableaulistesenfants[Prénom],MATCH(C91,Tableaulistesenfants[a venir2],0),))</f>
        <v/>
      </c>
      <c r="G91" s="171"/>
      <c r="H91" s="171"/>
      <c r="I91" s="171"/>
      <c r="J91" s="171"/>
      <c r="K91" s="171"/>
      <c r="L91" s="171"/>
    </row>
    <row r="92" spans="1:12" ht="15.75">
      <c r="A92" s="171"/>
      <c r="B92" s="171"/>
      <c r="C92" s="171"/>
      <c r="D92" s="171"/>
      <c r="E92" s="171" t="str">
        <f>IF(D92="","",INDEX(Tableaulistesenfants[Nom],MATCH(C92,Tableaulistesenfants[a venir2],0),))</f>
        <v/>
      </c>
      <c r="F92" s="171" t="str">
        <f>IF(D92="","",INDEX(Tableaulistesenfants[Prénom],MATCH(C92,Tableaulistesenfants[a venir2],0),))</f>
        <v/>
      </c>
      <c r="G92" s="171"/>
      <c r="H92" s="171"/>
      <c r="I92" s="171"/>
      <c r="J92" s="171"/>
      <c r="K92" s="171"/>
      <c r="L92" s="171"/>
    </row>
    <row r="93" spans="1:12" ht="15.75">
      <c r="A93" s="171"/>
      <c r="B93" s="171"/>
      <c r="C93" s="171"/>
      <c r="D93" s="171"/>
      <c r="E93" s="171" t="str">
        <f>IF(D93="","",INDEX(Tableaulistesenfants[Nom],MATCH(C93,Tableaulistesenfants[a venir2],0),))</f>
        <v/>
      </c>
      <c r="F93" s="171" t="str">
        <f>IF(D93="","",INDEX(Tableaulistesenfants[Prénom],MATCH(C93,Tableaulistesenfants[a venir2],0),))</f>
        <v/>
      </c>
      <c r="G93" s="171"/>
      <c r="H93" s="171"/>
      <c r="I93" s="171"/>
      <c r="J93" s="171"/>
      <c r="K93" s="171"/>
      <c r="L93" s="171"/>
    </row>
    <row r="94" spans="1:12" ht="15.75">
      <c r="A94" s="171"/>
      <c r="B94" s="171"/>
      <c r="C94" s="171"/>
      <c r="D94" s="171"/>
      <c r="E94" s="171" t="str">
        <f>IF(D94="","",INDEX(Tableaulistesenfants[Nom],MATCH(C94,Tableaulistesenfants[a venir2],0),))</f>
        <v/>
      </c>
      <c r="F94" s="171" t="str">
        <f>IF(D94="","",INDEX(Tableaulistesenfants[Prénom],MATCH(C94,Tableaulistesenfants[a venir2],0),))</f>
        <v/>
      </c>
      <c r="G94" s="171"/>
      <c r="H94" s="171"/>
      <c r="I94" s="171"/>
      <c r="J94" s="171"/>
      <c r="K94" s="171"/>
      <c r="L94" s="171"/>
    </row>
    <row r="95" spans="1:12" ht="15.75">
      <c r="A95" s="171"/>
      <c r="B95" s="171"/>
      <c r="C95" s="171"/>
      <c r="D95" s="171"/>
      <c r="E95" s="171" t="str">
        <f>IF(D95="","",INDEX(Tableaulistesenfants[Nom],MATCH(C95,Tableaulistesenfants[a venir2],0),))</f>
        <v/>
      </c>
      <c r="F95" s="171" t="str">
        <f>IF(D95="","",INDEX(Tableaulistesenfants[Prénom],MATCH(C95,Tableaulistesenfants[a venir2],0),))</f>
        <v/>
      </c>
      <c r="G95" s="171"/>
      <c r="H95" s="171"/>
      <c r="I95" s="171"/>
      <c r="J95" s="171"/>
      <c r="K95" s="171"/>
      <c r="L95" s="171"/>
    </row>
    <row r="96" spans="1:12" ht="15.75">
      <c r="A96" s="171"/>
      <c r="B96" s="171"/>
      <c r="C96" s="171"/>
      <c r="D96" s="171"/>
      <c r="E96" s="171" t="str">
        <f>IF(D96="","",INDEX(Tableaulistesenfants[Nom],MATCH(C96,Tableaulistesenfants[a venir2],0),))</f>
        <v/>
      </c>
      <c r="F96" s="171" t="str">
        <f>IF(D96="","",INDEX(Tableaulistesenfants[Prénom],MATCH(C96,Tableaulistesenfants[a venir2],0),))</f>
        <v/>
      </c>
      <c r="G96" s="171"/>
      <c r="H96" s="171"/>
      <c r="I96" s="171"/>
      <c r="J96" s="171"/>
      <c r="K96" s="171"/>
      <c r="L96" s="171"/>
    </row>
    <row r="97" spans="1:12" ht="15.75">
      <c r="A97" s="171"/>
      <c r="B97" s="171"/>
      <c r="C97" s="171"/>
      <c r="D97" s="171"/>
      <c r="E97" s="171" t="str">
        <f>IF(D97="","",INDEX(Tableaulistesenfants[Nom],MATCH(C97,Tableaulistesenfants[a venir2],0),))</f>
        <v/>
      </c>
      <c r="F97" s="171" t="str">
        <f>IF(D97="","",INDEX(Tableaulistesenfants[Prénom],MATCH(C97,Tableaulistesenfants[a venir2],0),))</f>
        <v/>
      </c>
      <c r="G97" s="171"/>
      <c r="H97" s="171"/>
      <c r="I97" s="171"/>
      <c r="J97" s="171"/>
      <c r="K97" s="171"/>
      <c r="L97" s="171"/>
    </row>
    <row r="98" spans="1:12" ht="15.75">
      <c r="A98" s="171"/>
      <c r="B98" s="171"/>
      <c r="C98" s="171"/>
      <c r="D98" s="171"/>
      <c r="E98" s="171" t="str">
        <f>IF(D98="","",INDEX(Tableaulistesenfants[Nom],MATCH(C98,Tableaulistesenfants[a venir2],0),))</f>
        <v/>
      </c>
      <c r="F98" s="171" t="str">
        <f>IF(D98="","",INDEX(Tableaulistesenfants[Prénom],MATCH(C98,Tableaulistesenfants[a venir2],0),))</f>
        <v/>
      </c>
      <c r="G98" s="171"/>
      <c r="H98" s="171"/>
      <c r="I98" s="171"/>
      <c r="J98" s="171"/>
      <c r="K98" s="171"/>
      <c r="L98" s="171"/>
    </row>
    <row r="99" spans="1:12" ht="15.75">
      <c r="A99" s="171"/>
      <c r="B99" s="171"/>
      <c r="C99" s="171"/>
      <c r="D99" s="171"/>
      <c r="E99" s="171" t="str">
        <f>IF(D99="","",INDEX(Tableaulistesenfants[Nom],MATCH(C99,Tableaulistesenfants[a venir2],0),))</f>
        <v/>
      </c>
      <c r="F99" s="171" t="str">
        <f>IF(D99="","",INDEX(Tableaulistesenfants[Prénom],MATCH(C99,Tableaulistesenfants[a venir2],0),))</f>
        <v/>
      </c>
      <c r="G99" s="171"/>
      <c r="H99" s="171"/>
      <c r="I99" s="171"/>
      <c r="J99" s="171"/>
      <c r="K99" s="171"/>
      <c r="L99" s="171"/>
    </row>
    <row r="100" spans="1:12" ht="15.75">
      <c r="A100" s="171"/>
      <c r="B100" s="171"/>
      <c r="C100" s="171"/>
      <c r="D100" s="171"/>
      <c r="E100" s="171" t="str">
        <f>IF(D100="","",INDEX(Tableaulistesenfants[Nom],MATCH(C100,Tableaulistesenfants[a venir2],0),))</f>
        <v/>
      </c>
      <c r="F100" s="171" t="str">
        <f>IF(D100="","",INDEX(Tableaulistesenfants[Prénom],MATCH(C100,Tableaulistesenfants[a venir2],0),))</f>
        <v/>
      </c>
      <c r="G100" s="171"/>
      <c r="H100" s="171"/>
      <c r="I100" s="171"/>
      <c r="J100" s="171"/>
      <c r="K100" s="171"/>
      <c r="L100" s="171"/>
    </row>
    <row r="101" spans="1:12" ht="15.75">
      <c r="A101" s="171"/>
      <c r="B101" s="171"/>
      <c r="C101" s="171"/>
      <c r="D101" s="171"/>
      <c r="E101" s="171" t="str">
        <f>IF(D101="","",INDEX(Tableaulistesenfants[Nom],MATCH(C101,Tableaulistesenfants[a venir2],0),))</f>
        <v/>
      </c>
      <c r="F101" s="171" t="str">
        <f>IF(D101="","",INDEX(Tableaulistesenfants[Prénom],MATCH(C101,Tableaulistesenfants[a venir2],0),))</f>
        <v/>
      </c>
      <c r="G101" s="171"/>
      <c r="H101" s="171"/>
      <c r="I101" s="171"/>
      <c r="J101" s="171"/>
      <c r="K101" s="171"/>
      <c r="L101" s="171"/>
    </row>
    <row r="102" spans="1:12" ht="15.75">
      <c r="A102" s="171"/>
      <c r="B102" s="171"/>
      <c r="C102" s="171"/>
      <c r="D102" s="171"/>
      <c r="E102" s="171" t="str">
        <f>IF(D102="","",INDEX(Tableaulistesenfants[Nom],MATCH(C102,Tableaulistesenfants[a venir2],0),))</f>
        <v/>
      </c>
      <c r="F102" s="171" t="str">
        <f>IF(D102="","",INDEX(Tableaulistesenfants[Prénom],MATCH(C102,Tableaulistesenfants[a venir2],0),))</f>
        <v/>
      </c>
      <c r="G102" s="171"/>
      <c r="H102" s="171"/>
      <c r="I102" s="171"/>
      <c r="J102" s="171"/>
      <c r="K102" s="171"/>
      <c r="L102" s="171"/>
    </row>
    <row r="103" spans="1:12" ht="15.75">
      <c r="A103" s="171"/>
      <c r="B103" s="171"/>
      <c r="C103" s="171"/>
      <c r="D103" s="171"/>
      <c r="E103" s="171" t="str">
        <f>IF(D103="","",INDEX(Tableaulistesenfants[Nom],MATCH(C103,Tableaulistesenfants[a venir2],0),))</f>
        <v/>
      </c>
      <c r="F103" s="171" t="str">
        <f>IF(D103="","",INDEX(Tableaulistesenfants[Prénom],MATCH(C103,Tableaulistesenfants[a venir2],0),))</f>
        <v/>
      </c>
      <c r="G103" s="171"/>
      <c r="H103" s="171"/>
      <c r="I103" s="171"/>
      <c r="J103" s="171"/>
      <c r="K103" s="171"/>
      <c r="L103" s="171"/>
    </row>
    <row r="104" spans="1:12" ht="15.75">
      <c r="A104" s="171"/>
      <c r="B104" s="171"/>
      <c r="C104" s="171"/>
      <c r="D104" s="171"/>
      <c r="E104" s="171" t="str">
        <f>IF(D104="","",INDEX(Tableaulistesenfants[Nom],MATCH(C104,Tableaulistesenfants[a venir2],0),))</f>
        <v/>
      </c>
      <c r="F104" s="171" t="str">
        <f>IF(D104="","",INDEX(Tableaulistesenfants[Prénom],MATCH(C104,Tableaulistesenfants[a venir2],0),))</f>
        <v/>
      </c>
      <c r="G104" s="171"/>
      <c r="H104" s="171"/>
      <c r="I104" s="171"/>
      <c r="J104" s="171"/>
      <c r="K104" s="171"/>
      <c r="L104" s="171"/>
    </row>
    <row r="105" spans="1:12" ht="15.75">
      <c r="A105" s="171"/>
      <c r="B105" s="171"/>
      <c r="C105" s="171"/>
      <c r="D105" s="171"/>
      <c r="E105" s="171" t="str">
        <f>IF(D105="","",INDEX(Tableaulistesenfants[Nom],MATCH(C105,Tableaulistesenfants[a venir2],0),))</f>
        <v/>
      </c>
      <c r="F105" s="171" t="str">
        <f>IF(D105="","",INDEX(Tableaulistesenfants[Prénom],MATCH(C105,Tableaulistesenfants[a venir2],0),))</f>
        <v/>
      </c>
      <c r="G105" s="171"/>
      <c r="H105" s="171"/>
      <c r="I105" s="171"/>
      <c r="J105" s="171"/>
      <c r="K105" s="171"/>
      <c r="L105" s="171"/>
    </row>
    <row r="106" spans="1:12" ht="15.75">
      <c r="A106" s="171"/>
      <c r="B106" s="171"/>
      <c r="C106" s="171"/>
      <c r="D106" s="171"/>
      <c r="E106" s="171" t="str">
        <f>IF(D106="","",INDEX(Tableaulistesenfants[Nom],MATCH(C106,Tableaulistesenfants[a venir2],0),))</f>
        <v/>
      </c>
      <c r="F106" s="171" t="str">
        <f>IF(D106="","",INDEX(Tableaulistesenfants[Prénom],MATCH(C106,Tableaulistesenfants[a venir2],0),))</f>
        <v/>
      </c>
      <c r="G106" s="171"/>
      <c r="H106" s="171"/>
      <c r="I106" s="171"/>
      <c r="J106" s="171"/>
      <c r="K106" s="171"/>
      <c r="L106" s="171"/>
    </row>
    <row r="107" spans="1:12" ht="15.75">
      <c r="A107" s="171"/>
      <c r="B107" s="171"/>
      <c r="C107" s="171"/>
      <c r="D107" s="171"/>
      <c r="E107" s="171" t="str">
        <f>IF(D107="","",INDEX(Tableaulistesenfants[Nom],MATCH(C107,Tableaulistesenfants[a venir2],0),))</f>
        <v/>
      </c>
      <c r="F107" s="171" t="str">
        <f>IF(D107="","",INDEX(Tableaulistesenfants[Prénom],MATCH(C107,Tableaulistesenfants[a venir2],0),))</f>
        <v/>
      </c>
      <c r="G107" s="171"/>
      <c r="H107" s="171"/>
      <c r="I107" s="171"/>
      <c r="J107" s="171"/>
      <c r="K107" s="171"/>
      <c r="L107" s="171"/>
    </row>
    <row r="108" spans="1:12" ht="15.75">
      <c r="A108" s="171"/>
      <c r="B108" s="171"/>
      <c r="C108" s="171"/>
      <c r="D108" s="171"/>
      <c r="E108" s="171" t="str">
        <f>IF(D108="","",INDEX(Tableaulistesenfants[Nom],MATCH(C108,Tableaulistesenfants[a venir2],0),))</f>
        <v/>
      </c>
      <c r="F108" s="171" t="str">
        <f>IF(D108="","",INDEX(Tableaulistesenfants[Prénom],MATCH(C108,Tableaulistesenfants[a venir2],0),))</f>
        <v/>
      </c>
      <c r="G108" s="171"/>
      <c r="H108" s="171"/>
      <c r="I108" s="171"/>
      <c r="J108" s="171"/>
      <c r="K108" s="171"/>
      <c r="L108" s="171"/>
    </row>
    <row r="109" spans="1:12" ht="15.75">
      <c r="A109" s="171"/>
      <c r="B109" s="171"/>
      <c r="C109" s="171"/>
      <c r="D109" s="171"/>
      <c r="E109" s="171" t="str">
        <f>IF(D109="","",INDEX(Tableaulistesenfants[Nom],MATCH(C109,Tableaulistesenfants[a venir2],0),))</f>
        <v/>
      </c>
      <c r="F109" s="171"/>
      <c r="G109" s="171"/>
      <c r="H109" s="171"/>
      <c r="I109" s="171"/>
      <c r="J109" s="171"/>
      <c r="K109" s="171"/>
      <c r="L109" s="171"/>
    </row>
  </sheetData>
  <mergeCells count="1">
    <mergeCell ref="K2:M2"/>
  </mergeCells>
  <conditionalFormatting sqref="A1:XFD1048576">
    <cfRule type="containsText" dxfId="257" priority="2" operator="containsText" text="VRAI">
      <formula>NOT(ISERROR(SEARCH("VRAI",A1)))</formula>
    </cfRule>
    <cfRule type="cellIs" dxfId="256" priority="1" operator="between">
      <formula>0</formula>
      <formula>0</formula>
    </cfRule>
  </conditionalFormatting>
  <dataValidations count="1">
    <dataValidation type="list" allowBlank="1" showInputMessage="1" showErrorMessage="1" sqref="B5">
      <formula1>Classe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control shapeId="5124" r:id="rId4" name="ToggleButton2"/>
    <control shapeId="5123" r:id="rId5" name="ToggleButton1"/>
    <control shapeId="5125" r:id="rId6" name="ToggleButton3"/>
    <control shapeId="5126" r:id="rId7" name="ToggleButton4"/>
    <control shapeId="5127" r:id="rId8" name="ToggleButton5"/>
    <control shapeId="5128" r:id="rId9" name="ToggleButton6"/>
    <control shapeId="5129" r:id="rId10" name="ToggleButton7"/>
    <control shapeId="5130" r:id="rId11" name="ToggleButton8"/>
    <control shapeId="5131" r:id="rId12" name="ToggleButton9"/>
    <control shapeId="5134" r:id="rId13" name="ToggleButton10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IC286"/>
  <sheetViews>
    <sheetView showGridLines="0" showRowColHeaders="0" topLeftCell="A53" workbookViewId="0">
      <pane xSplit="2" topLeftCell="N1" activePane="topRight" state="frozen"/>
      <selection activeCell="A226" sqref="A226"/>
      <selection pane="topRight" activeCell="S2" sqref="S2:S279"/>
    </sheetView>
  </sheetViews>
  <sheetFormatPr baseColWidth="10" defaultRowHeight="15"/>
  <cols>
    <col min="1" max="1" width="19.7109375" style="28" customWidth="1"/>
    <col min="2" max="2" width="12.5703125" style="28" bestFit="1" customWidth="1"/>
    <col min="3" max="3" width="21.5703125" style="157" bestFit="1" customWidth="1"/>
    <col min="4" max="4" width="9" style="7" bestFit="1" customWidth="1"/>
    <col min="5" max="5" width="18.140625" style="7" bestFit="1" customWidth="1"/>
    <col min="6" max="7" width="11.140625" style="7" customWidth="1"/>
    <col min="8" max="8" width="22.28515625" style="7" customWidth="1"/>
    <col min="9" max="9" width="12.28515625" style="7" customWidth="1"/>
    <col min="10" max="11" width="21.7109375" style="7" customWidth="1"/>
    <col min="12" max="12" width="13.140625" style="170" customWidth="1"/>
    <col min="13" max="13" width="20.140625" style="7" customWidth="1"/>
    <col min="14" max="14" width="23" style="7" customWidth="1"/>
    <col min="15" max="15" width="15" style="7" bestFit="1" customWidth="1"/>
    <col min="16" max="16" width="17.42578125" style="7" customWidth="1"/>
    <col min="17" max="17" width="17.28515625" style="7" bestFit="1" customWidth="1"/>
    <col min="18" max="18" width="13.5703125" style="7" customWidth="1"/>
    <col min="19" max="19" width="14.28515625" style="7" customWidth="1"/>
    <col min="20" max="20" width="12.5703125" style="7" customWidth="1"/>
    <col min="21" max="21" width="24.7109375" style="7" customWidth="1"/>
    <col min="22" max="22" width="13.28515625" style="7" customWidth="1"/>
    <col min="23" max="23" width="20.140625" style="7" customWidth="1"/>
    <col min="24" max="24" width="23" style="7" customWidth="1"/>
    <col min="25" max="25" width="20.28515625" style="7" bestFit="1" customWidth="1"/>
    <col min="26" max="26" width="17.42578125" style="7" customWidth="1"/>
    <col min="27" max="27" width="17.28515625" style="7" bestFit="1" customWidth="1"/>
    <col min="28" max="28" width="13.85546875" style="7" customWidth="1"/>
    <col min="29" max="29" width="16.5703125" style="7" customWidth="1"/>
    <col min="30" max="30" width="12.85546875" style="7" customWidth="1"/>
    <col min="31" max="31" width="18.140625" style="7" customWidth="1"/>
    <col min="32" max="32" width="14.7109375" style="157" customWidth="1"/>
    <col min="33" max="34" width="14" style="157" bestFit="1" customWidth="1"/>
    <col min="35" max="35" width="15.42578125" style="157" bestFit="1" customWidth="1"/>
    <col min="36" max="36" width="12.7109375" style="157" bestFit="1" customWidth="1"/>
    <col min="37" max="37" width="15" style="157" bestFit="1" customWidth="1"/>
    <col min="38" max="38" width="14.7109375" style="157" bestFit="1" customWidth="1"/>
    <col min="39" max="40" width="11.85546875" style="157" bestFit="1" customWidth="1"/>
    <col min="41" max="41" width="10" style="157" customWidth="1"/>
    <col min="42" max="42" width="9.7109375" style="157" customWidth="1"/>
    <col min="43" max="43" width="9" style="157" customWidth="1"/>
    <col min="44" max="44" width="9.140625" style="157" customWidth="1"/>
    <col min="45" max="45" width="11" style="157" customWidth="1"/>
    <col min="46" max="46" width="27.5703125" style="157" bestFit="1" customWidth="1"/>
    <col min="47" max="47" width="21.28515625" style="157" bestFit="1" customWidth="1"/>
    <col min="48" max="48" width="21.5703125" style="157" bestFit="1" customWidth="1"/>
    <col min="49" max="49" width="23.42578125" style="157" bestFit="1" customWidth="1"/>
    <col min="50" max="50" width="18.85546875" style="157" bestFit="1" customWidth="1"/>
    <col min="51" max="53" width="12" style="157" bestFit="1" customWidth="1"/>
    <col min="54" max="54" width="11.5703125" style="157" bestFit="1" customWidth="1"/>
    <col min="55" max="59" width="17.5703125" style="157" bestFit="1" customWidth="1"/>
    <col min="60" max="64" width="17.5703125" style="157" customWidth="1"/>
    <col min="65" max="65" width="14.7109375" style="157" bestFit="1" customWidth="1"/>
    <col min="66" max="95" width="14.7109375" style="157" customWidth="1"/>
    <col min="96" max="96" width="14" style="157" bestFit="1" customWidth="1"/>
    <col min="97" max="97" width="14" style="157" customWidth="1"/>
    <col min="98" max="98" width="10.7109375" style="157" bestFit="1" customWidth="1"/>
    <col min="99" max="99" width="12.5703125" style="157" bestFit="1" customWidth="1"/>
    <col min="100" max="100" width="12.5703125" style="157" customWidth="1"/>
    <col min="101" max="101" width="10.7109375" style="157" bestFit="1" customWidth="1"/>
    <col min="102" max="102" width="17" style="157" bestFit="1" customWidth="1"/>
    <col min="103" max="103" width="17" style="157" customWidth="1"/>
    <col min="104" max="104" width="10.7109375" style="157" bestFit="1" customWidth="1"/>
    <col min="105" max="105" width="32.28515625" style="157" customWidth="1"/>
    <col min="106" max="106" width="12.85546875" style="157" customWidth="1"/>
    <col min="107" max="107" width="10.7109375" style="157" bestFit="1" customWidth="1"/>
    <col min="108" max="108" width="13.28515625" style="157" bestFit="1" customWidth="1"/>
    <col min="109" max="109" width="13.28515625" style="157" customWidth="1"/>
    <col min="110" max="110" width="10.7109375" style="157" bestFit="1" customWidth="1"/>
    <col min="111" max="111" width="33.7109375" style="157" customWidth="1"/>
    <col min="112" max="112" width="9.28515625" style="157" customWidth="1"/>
    <col min="113" max="113" width="10.7109375" style="157" bestFit="1" customWidth="1"/>
    <col min="114" max="114" width="14.85546875" style="157" bestFit="1" customWidth="1"/>
    <col min="115" max="115" width="14.85546875" style="157" customWidth="1"/>
    <col min="116" max="116" width="10.7109375" style="157" bestFit="1" customWidth="1"/>
    <col min="117" max="117" width="31.42578125" style="157" bestFit="1" customWidth="1"/>
    <col min="118" max="118" width="31.42578125" style="157" customWidth="1"/>
    <col min="119" max="119" width="10.7109375" style="157" bestFit="1" customWidth="1"/>
    <col min="120" max="120" width="16.140625" style="157" bestFit="1" customWidth="1"/>
    <col min="121" max="121" width="10.7109375" style="157" bestFit="1" customWidth="1"/>
    <col min="122" max="122" width="20.42578125" style="157" bestFit="1" customWidth="1"/>
    <col min="123" max="124" width="20.42578125" style="157" customWidth="1"/>
    <col min="125" max="130" width="27" style="157" bestFit="1" customWidth="1"/>
    <col min="131" max="136" width="21.28515625" style="157" bestFit="1" customWidth="1"/>
    <col min="137" max="137" width="15.42578125" style="157" bestFit="1" customWidth="1"/>
    <col min="138" max="138" width="18.85546875" style="157" customWidth="1"/>
    <col min="139" max="139" width="16.5703125" style="157" customWidth="1"/>
    <col min="140" max="140" width="41.28515625" style="157" bestFit="1" customWidth="1"/>
    <col min="141" max="141" width="30.5703125" style="157" bestFit="1" customWidth="1"/>
    <col min="142" max="142" width="30.5703125" style="157" customWidth="1"/>
    <col min="143" max="143" width="12.42578125" style="157" bestFit="1" customWidth="1"/>
    <col min="144" max="144" width="12.42578125" style="157" customWidth="1"/>
    <col min="145" max="145" width="31.7109375" style="157" customWidth="1"/>
    <col min="146" max="146" width="23" style="157" bestFit="1" customWidth="1"/>
    <col min="147" max="147" width="23" style="157" customWidth="1"/>
    <col min="148" max="149" width="13.5703125" style="157" customWidth="1"/>
    <col min="150" max="151" width="14.7109375" style="157" customWidth="1"/>
    <col min="152" max="153" width="12.7109375" style="157" customWidth="1"/>
    <col min="154" max="154" width="16.28515625" style="157" bestFit="1" customWidth="1"/>
    <col min="155" max="155" width="16.28515625" style="157" customWidth="1"/>
    <col min="156" max="156" width="18.7109375" style="157" bestFit="1" customWidth="1"/>
    <col min="157" max="157" width="18.7109375" style="157" customWidth="1"/>
    <col min="158" max="158" width="15.28515625" style="157" bestFit="1" customWidth="1"/>
    <col min="159" max="159" width="15.28515625" style="157" customWidth="1"/>
    <col min="160" max="160" width="15.28515625" style="157" bestFit="1" customWidth="1"/>
    <col min="161" max="161" width="15.28515625" style="157" customWidth="1"/>
    <col min="162" max="163" width="10.5703125" style="157" customWidth="1"/>
    <col min="164" max="164" width="18" style="157" bestFit="1" customWidth="1"/>
    <col min="165" max="172" width="18" style="157" customWidth="1"/>
    <col min="173" max="173" width="24.42578125" style="157" bestFit="1" customWidth="1"/>
    <col min="174" max="174" width="12" style="157" customWidth="1"/>
    <col min="175" max="16384" width="11.42578125" style="157"/>
  </cols>
  <sheetData>
    <row r="1" spans="1:237" ht="21" customHeight="1">
      <c r="A1" s="155" t="s">
        <v>65</v>
      </c>
      <c r="B1" s="155" t="s">
        <v>66</v>
      </c>
      <c r="C1" s="155" t="s">
        <v>67</v>
      </c>
      <c r="D1" s="155" t="s">
        <v>68</v>
      </c>
      <c r="E1" s="155" t="s">
        <v>69</v>
      </c>
      <c r="F1" s="155" t="s">
        <v>35</v>
      </c>
      <c r="G1" s="155" t="s">
        <v>34</v>
      </c>
      <c r="H1" s="155" t="s">
        <v>32</v>
      </c>
      <c r="I1" s="155" t="s">
        <v>70</v>
      </c>
      <c r="J1" s="155" t="s">
        <v>71</v>
      </c>
      <c r="K1" s="155" t="s">
        <v>72</v>
      </c>
      <c r="L1" s="156" t="s">
        <v>73</v>
      </c>
      <c r="M1" s="155" t="s">
        <v>74</v>
      </c>
      <c r="N1" s="155" t="s">
        <v>75</v>
      </c>
      <c r="O1" s="155" t="s">
        <v>76</v>
      </c>
      <c r="P1" s="155" t="s">
        <v>77</v>
      </c>
      <c r="Q1" s="155" t="s">
        <v>78</v>
      </c>
      <c r="R1" s="155" t="s">
        <v>79</v>
      </c>
      <c r="S1" s="155" t="s">
        <v>80</v>
      </c>
      <c r="T1" s="155" t="s">
        <v>81</v>
      </c>
      <c r="U1" s="155" t="s">
        <v>82</v>
      </c>
      <c r="V1" s="155" t="s">
        <v>83</v>
      </c>
      <c r="W1" s="155" t="s">
        <v>84</v>
      </c>
      <c r="X1" s="155" t="s">
        <v>85</v>
      </c>
      <c r="Y1" s="155" t="s">
        <v>86</v>
      </c>
      <c r="Z1" s="155" t="s">
        <v>87</v>
      </c>
      <c r="AA1" s="155" t="s">
        <v>88</v>
      </c>
      <c r="AB1" s="155" t="s">
        <v>89</v>
      </c>
      <c r="AC1" s="155" t="s">
        <v>90</v>
      </c>
      <c r="AD1" s="155" t="s">
        <v>91</v>
      </c>
      <c r="AE1" s="155" t="s">
        <v>92</v>
      </c>
      <c r="AF1" s="155" t="s">
        <v>93</v>
      </c>
      <c r="AG1" s="155" t="s">
        <v>94</v>
      </c>
      <c r="AH1" s="155" t="s">
        <v>95</v>
      </c>
      <c r="AI1" s="155" t="s">
        <v>96</v>
      </c>
      <c r="AJ1" s="155" t="s">
        <v>97</v>
      </c>
      <c r="AK1" s="155" t="s">
        <v>98</v>
      </c>
      <c r="AL1" s="155" t="s">
        <v>99</v>
      </c>
      <c r="AM1" s="155" t="s">
        <v>100</v>
      </c>
      <c r="AN1" s="155" t="s">
        <v>101</v>
      </c>
      <c r="AO1" s="155" t="s">
        <v>102</v>
      </c>
      <c r="AP1" s="155" t="s">
        <v>103</v>
      </c>
      <c r="AQ1" s="155" t="s">
        <v>104</v>
      </c>
      <c r="AR1" s="155" t="s">
        <v>105</v>
      </c>
      <c r="AS1" s="155" t="s">
        <v>106</v>
      </c>
      <c r="AT1" s="155" t="s">
        <v>107</v>
      </c>
      <c r="AU1" s="155" t="s">
        <v>108</v>
      </c>
      <c r="AV1" s="155" t="s">
        <v>109</v>
      </c>
      <c r="AW1" s="155" t="s">
        <v>110</v>
      </c>
      <c r="AX1" s="155" t="s">
        <v>111</v>
      </c>
      <c r="AY1" s="155" t="s">
        <v>112</v>
      </c>
      <c r="AZ1" s="155" t="s">
        <v>113</v>
      </c>
      <c r="BA1" s="28" t="s">
        <v>114</v>
      </c>
      <c r="BB1" s="28" t="s">
        <v>115</v>
      </c>
      <c r="BC1" s="28" t="s">
        <v>715</v>
      </c>
      <c r="BD1" s="28" t="s">
        <v>716</v>
      </c>
      <c r="BE1" s="28" t="s">
        <v>717</v>
      </c>
      <c r="BF1" s="28" t="s">
        <v>720</v>
      </c>
      <c r="BG1" s="28" t="s">
        <v>28</v>
      </c>
      <c r="BH1" s="28" t="s">
        <v>116</v>
      </c>
      <c r="BI1" s="28" t="s">
        <v>721</v>
      </c>
      <c r="BJ1" s="28" t="s">
        <v>722</v>
      </c>
      <c r="BK1" s="28" t="s">
        <v>723</v>
      </c>
      <c r="BL1" s="28" t="s">
        <v>724</v>
      </c>
      <c r="BM1" s="28" t="s">
        <v>117</v>
      </c>
      <c r="BN1" s="28" t="s">
        <v>118</v>
      </c>
      <c r="BO1" s="28" t="s">
        <v>119</v>
      </c>
      <c r="BP1" s="28" t="s">
        <v>120</v>
      </c>
      <c r="BQ1" s="28" t="s">
        <v>57</v>
      </c>
      <c r="BR1" s="28" t="s">
        <v>121</v>
      </c>
      <c r="BS1" s="28" t="s">
        <v>122</v>
      </c>
      <c r="BT1" s="28" t="s">
        <v>123</v>
      </c>
      <c r="BU1" s="28" t="s">
        <v>124</v>
      </c>
      <c r="BV1" s="28" t="s">
        <v>125</v>
      </c>
      <c r="BW1" s="28" t="s">
        <v>126</v>
      </c>
      <c r="BX1" s="28" t="s">
        <v>127</v>
      </c>
      <c r="BY1" s="28" t="s">
        <v>128</v>
      </c>
      <c r="BZ1" s="28" t="s">
        <v>129</v>
      </c>
      <c r="CA1" s="28" t="s">
        <v>130</v>
      </c>
      <c r="CB1" s="28" t="s">
        <v>131</v>
      </c>
      <c r="CC1" s="28" t="s">
        <v>132</v>
      </c>
      <c r="CD1" s="28" t="s">
        <v>133</v>
      </c>
      <c r="CE1" s="28" t="s">
        <v>134</v>
      </c>
      <c r="CF1" s="28" t="s">
        <v>135</v>
      </c>
      <c r="CG1" s="28" t="s">
        <v>136</v>
      </c>
      <c r="CH1" s="28" t="s">
        <v>137</v>
      </c>
      <c r="CI1" s="28" t="s">
        <v>138</v>
      </c>
      <c r="CJ1" s="28" t="s">
        <v>139</v>
      </c>
      <c r="CK1" s="28" t="s">
        <v>140</v>
      </c>
      <c r="CL1" s="28" t="s">
        <v>141</v>
      </c>
      <c r="CM1" s="28" t="s">
        <v>142</v>
      </c>
      <c r="CN1" s="28" t="s">
        <v>143</v>
      </c>
      <c r="CO1" s="28" t="s">
        <v>144</v>
      </c>
      <c r="CP1" s="28" t="s">
        <v>145</v>
      </c>
      <c r="CQ1" s="28" t="s">
        <v>146</v>
      </c>
      <c r="CR1" s="28" t="s">
        <v>147</v>
      </c>
      <c r="CS1" s="28" t="s">
        <v>148</v>
      </c>
      <c r="CT1" s="28" t="s">
        <v>149</v>
      </c>
      <c r="CU1" s="28" t="s">
        <v>150</v>
      </c>
      <c r="CV1" s="28" t="s">
        <v>151</v>
      </c>
      <c r="CW1" s="28" t="s">
        <v>152</v>
      </c>
      <c r="CX1" s="28" t="s">
        <v>153</v>
      </c>
      <c r="CY1" s="28" t="s">
        <v>154</v>
      </c>
      <c r="CZ1" s="28" t="s">
        <v>155</v>
      </c>
      <c r="DA1" s="28" t="s">
        <v>156</v>
      </c>
      <c r="DB1" s="28" t="s">
        <v>157</v>
      </c>
      <c r="DC1" s="28" t="s">
        <v>158</v>
      </c>
      <c r="DD1" s="28" t="s">
        <v>159</v>
      </c>
      <c r="DE1" s="28" t="s">
        <v>160</v>
      </c>
      <c r="DF1" s="28" t="s">
        <v>161</v>
      </c>
      <c r="DG1" s="28" t="s">
        <v>162</v>
      </c>
      <c r="DH1" s="28" t="s">
        <v>163</v>
      </c>
      <c r="DI1" s="28" t="s">
        <v>164</v>
      </c>
      <c r="DJ1" s="28" t="s">
        <v>165</v>
      </c>
      <c r="DK1" s="28" t="s">
        <v>166</v>
      </c>
      <c r="DL1" s="28" t="s">
        <v>167</v>
      </c>
      <c r="DM1" s="28" t="s">
        <v>168</v>
      </c>
      <c r="DN1" s="28" t="s">
        <v>169</v>
      </c>
      <c r="DO1" s="28" t="s">
        <v>170</v>
      </c>
      <c r="DP1" s="28" t="s">
        <v>171</v>
      </c>
      <c r="DQ1" s="28" t="s">
        <v>172</v>
      </c>
      <c r="DR1" s="28" t="s">
        <v>173</v>
      </c>
      <c r="DS1" s="28" t="s">
        <v>174</v>
      </c>
      <c r="DT1" s="28" t="s">
        <v>175</v>
      </c>
      <c r="DU1" s="28" t="s">
        <v>176</v>
      </c>
      <c r="DV1" s="28" t="s">
        <v>177</v>
      </c>
      <c r="DW1" s="28" t="s">
        <v>178</v>
      </c>
      <c r="DX1" s="28" t="s">
        <v>179</v>
      </c>
      <c r="DY1" s="28" t="s">
        <v>180</v>
      </c>
      <c r="DZ1" s="28" t="s">
        <v>181</v>
      </c>
      <c r="EA1" s="28" t="s">
        <v>182</v>
      </c>
      <c r="EB1" s="28" t="s">
        <v>183</v>
      </c>
      <c r="EC1" s="28" t="s">
        <v>184</v>
      </c>
      <c r="ED1" s="28" t="s">
        <v>185</v>
      </c>
      <c r="EE1" s="28" t="s">
        <v>186</v>
      </c>
      <c r="EF1" s="28" t="s">
        <v>187</v>
      </c>
      <c r="EG1" s="28" t="s">
        <v>188</v>
      </c>
      <c r="EH1" s="155" t="s">
        <v>189</v>
      </c>
      <c r="EI1" s="155" t="s">
        <v>190</v>
      </c>
      <c r="EJ1" s="155" t="s">
        <v>191</v>
      </c>
      <c r="EK1" s="155" t="s">
        <v>192</v>
      </c>
      <c r="EL1" s="155" t="s">
        <v>193</v>
      </c>
      <c r="EM1" s="155" t="s">
        <v>194</v>
      </c>
      <c r="EN1" s="155" t="s">
        <v>195</v>
      </c>
      <c r="EO1" s="155" t="s">
        <v>196</v>
      </c>
      <c r="EP1" s="155" t="s">
        <v>197</v>
      </c>
      <c r="EQ1" s="155" t="s">
        <v>198</v>
      </c>
      <c r="ER1" s="155" t="s">
        <v>199</v>
      </c>
      <c r="ES1" s="155" t="s">
        <v>200</v>
      </c>
      <c r="ET1" s="155" t="s">
        <v>201</v>
      </c>
      <c r="EU1" s="155" t="s">
        <v>202</v>
      </c>
      <c r="EV1" s="155" t="s">
        <v>203</v>
      </c>
      <c r="EW1" s="155" t="s">
        <v>204</v>
      </c>
      <c r="EX1" s="155" t="s">
        <v>205</v>
      </c>
      <c r="EY1" s="155" t="s">
        <v>206</v>
      </c>
      <c r="EZ1" s="155" t="s">
        <v>207</v>
      </c>
      <c r="FA1" s="155" t="s">
        <v>208</v>
      </c>
      <c r="FB1" s="155" t="s">
        <v>209</v>
      </c>
      <c r="FC1" s="155" t="s">
        <v>210</v>
      </c>
      <c r="FD1" s="155" t="s">
        <v>211</v>
      </c>
      <c r="FE1" s="155" t="s">
        <v>212</v>
      </c>
      <c r="FF1" s="155" t="s">
        <v>213</v>
      </c>
      <c r="FG1" s="155" t="s">
        <v>214</v>
      </c>
      <c r="FH1" s="155" t="s">
        <v>215</v>
      </c>
      <c r="FI1" s="155" t="s">
        <v>216</v>
      </c>
      <c r="FJ1" s="155" t="s">
        <v>217</v>
      </c>
      <c r="FK1" s="155" t="s">
        <v>218</v>
      </c>
      <c r="FL1" s="155" t="s">
        <v>219</v>
      </c>
      <c r="FM1" s="155" t="s">
        <v>220</v>
      </c>
      <c r="FN1" s="155" t="s">
        <v>221</v>
      </c>
      <c r="FO1" s="155" t="s">
        <v>222</v>
      </c>
      <c r="FP1" s="155" t="s">
        <v>223</v>
      </c>
      <c r="FQ1" s="155" t="s">
        <v>224</v>
      </c>
      <c r="FR1" s="155" t="s">
        <v>225</v>
      </c>
      <c r="FS1" s="155" t="s">
        <v>226</v>
      </c>
      <c r="FT1" s="155" t="s">
        <v>227</v>
      </c>
      <c r="FU1" s="155" t="s">
        <v>228</v>
      </c>
      <c r="FV1" s="155" t="s">
        <v>229</v>
      </c>
      <c r="FW1" s="155" t="s">
        <v>230</v>
      </c>
      <c r="FX1" s="155" t="s">
        <v>231</v>
      </c>
      <c r="FY1" s="155" t="s">
        <v>232</v>
      </c>
      <c r="FZ1" s="155" t="s">
        <v>233</v>
      </c>
      <c r="GA1" s="155" t="s">
        <v>234</v>
      </c>
      <c r="GB1" s="155" t="s">
        <v>235</v>
      </c>
      <c r="GC1" s="155" t="s">
        <v>236</v>
      </c>
      <c r="GD1" s="155" t="s">
        <v>237</v>
      </c>
      <c r="GE1" s="155" t="s">
        <v>238</v>
      </c>
      <c r="GF1" s="155" t="s">
        <v>750</v>
      </c>
      <c r="GG1" s="155" t="s">
        <v>727</v>
      </c>
      <c r="GH1" s="155" t="s">
        <v>751</v>
      </c>
      <c r="GI1" s="155" t="s">
        <v>728</v>
      </c>
      <c r="GJ1" s="155" t="s">
        <v>752</v>
      </c>
      <c r="GK1" s="155" t="s">
        <v>729</v>
      </c>
      <c r="GL1" s="155" t="s">
        <v>753</v>
      </c>
      <c r="GM1" s="155" t="s">
        <v>730</v>
      </c>
      <c r="GN1" s="155" t="s">
        <v>754</v>
      </c>
      <c r="GO1" s="155" t="s">
        <v>731</v>
      </c>
      <c r="GP1" s="155" t="s">
        <v>755</v>
      </c>
      <c r="GQ1" s="155" t="s">
        <v>732</v>
      </c>
      <c r="GR1" s="155" t="s">
        <v>756</v>
      </c>
      <c r="GS1" s="155" t="s">
        <v>733</v>
      </c>
      <c r="GT1" s="155" t="s">
        <v>757</v>
      </c>
      <c r="GU1" s="155" t="s">
        <v>734</v>
      </c>
      <c r="GV1" s="155" t="s">
        <v>758</v>
      </c>
      <c r="GW1" s="155" t="s">
        <v>735</v>
      </c>
      <c r="GX1" s="155" t="s">
        <v>759</v>
      </c>
      <c r="GY1" s="155" t="s">
        <v>736</v>
      </c>
      <c r="GZ1" s="155" t="s">
        <v>760</v>
      </c>
      <c r="HA1" s="155" t="s">
        <v>737</v>
      </c>
      <c r="HB1" s="155" t="s">
        <v>761</v>
      </c>
      <c r="HC1" s="155" t="s">
        <v>738</v>
      </c>
      <c r="HD1" s="155" t="s">
        <v>762</v>
      </c>
      <c r="HE1" s="155" t="s">
        <v>739</v>
      </c>
      <c r="HF1" s="155" t="s">
        <v>763</v>
      </c>
      <c r="HG1" s="155" t="s">
        <v>740</v>
      </c>
      <c r="HH1" s="155" t="s">
        <v>764</v>
      </c>
      <c r="HI1" s="155" t="s">
        <v>741</v>
      </c>
      <c r="HJ1" s="155" t="s">
        <v>765</v>
      </c>
      <c r="HK1" s="155" t="s">
        <v>742</v>
      </c>
      <c r="HL1" s="155" t="s">
        <v>766</v>
      </c>
      <c r="HM1" s="155" t="s">
        <v>743</v>
      </c>
      <c r="HN1" s="155" t="s">
        <v>767</v>
      </c>
      <c r="HO1" s="155" t="s">
        <v>744</v>
      </c>
      <c r="HP1" s="155" t="s">
        <v>768</v>
      </c>
      <c r="HQ1" s="155" t="s">
        <v>745</v>
      </c>
      <c r="HR1" s="155" t="s">
        <v>769</v>
      </c>
      <c r="HS1" s="155" t="s">
        <v>746</v>
      </c>
      <c r="HT1" s="155" t="s">
        <v>770</v>
      </c>
      <c r="HU1" s="155" t="s">
        <v>747</v>
      </c>
      <c r="HV1" s="155" t="s">
        <v>771</v>
      </c>
      <c r="HW1" s="155" t="s">
        <v>748</v>
      </c>
      <c r="HX1" s="155" t="s">
        <v>772</v>
      </c>
      <c r="HY1" s="155" t="s">
        <v>749</v>
      </c>
      <c r="HZ1" s="155" t="s">
        <v>239</v>
      </c>
      <c r="IA1" s="155" t="s">
        <v>240</v>
      </c>
      <c r="IB1" s="155" t="s">
        <v>709</v>
      </c>
      <c r="IC1" s="155" t="s">
        <v>726</v>
      </c>
    </row>
    <row r="2" spans="1:237">
      <c r="A2" t="s">
        <v>241</v>
      </c>
      <c r="B2" t="s">
        <v>242</v>
      </c>
      <c r="C2" s="158" t="s">
        <v>243</v>
      </c>
      <c r="D2" s="62" t="s">
        <v>713</v>
      </c>
      <c r="E2" t="s">
        <v>0</v>
      </c>
      <c r="F2" s="159" t="s">
        <v>50</v>
      </c>
      <c r="G2" t="s">
        <v>45</v>
      </c>
      <c r="H2" s="160" t="s">
        <v>244</v>
      </c>
      <c r="I2" s="161" t="s">
        <v>244</v>
      </c>
      <c r="J2" s="161" t="s">
        <v>244</v>
      </c>
      <c r="K2" s="161" t="s">
        <v>807</v>
      </c>
      <c r="L2" s="160" t="s">
        <v>714</v>
      </c>
      <c r="M2" s="162" t="s">
        <v>245</v>
      </c>
      <c r="N2" s="161" t="s">
        <v>244</v>
      </c>
      <c r="O2" s="161" t="s">
        <v>244</v>
      </c>
      <c r="P2" s="161" t="s">
        <v>244</v>
      </c>
      <c r="Q2" s="161" t="s">
        <v>244</v>
      </c>
      <c r="R2" s="161" t="s">
        <v>244</v>
      </c>
      <c r="S2" s="190"/>
      <c r="T2" s="161" t="s">
        <v>244</v>
      </c>
      <c r="U2" s="160"/>
      <c r="V2" s="161" t="s">
        <v>244</v>
      </c>
      <c r="W2" s="161" t="s">
        <v>244</v>
      </c>
      <c r="X2" s="161" t="s">
        <v>244</v>
      </c>
      <c r="Y2" s="161" t="s">
        <v>244</v>
      </c>
      <c r="Z2" s="161" t="s">
        <v>244</v>
      </c>
      <c r="AA2" s="161" t="s">
        <v>244</v>
      </c>
      <c r="AB2" s="161" t="s">
        <v>244</v>
      </c>
      <c r="AC2" s="161" t="s">
        <v>244</v>
      </c>
      <c r="AD2" s="161" t="s">
        <v>244</v>
      </c>
      <c r="AE2" s="161" t="s">
        <v>244</v>
      </c>
      <c r="AF2" s="163" t="s">
        <v>244</v>
      </c>
      <c r="AG2" s="163" t="s">
        <v>244</v>
      </c>
      <c r="AH2" s="163" t="s">
        <v>244</v>
      </c>
      <c r="AI2" s="163" t="b">
        <v>0</v>
      </c>
      <c r="AJ2" s="163" t="b">
        <v>0</v>
      </c>
      <c r="AK2" s="163" t="b">
        <v>0</v>
      </c>
      <c r="AL2" s="163" t="b">
        <v>0</v>
      </c>
      <c r="AM2" s="163" t="b">
        <v>0</v>
      </c>
      <c r="AN2" s="163" t="b">
        <v>0</v>
      </c>
      <c r="AO2" s="163" t="b">
        <v>0</v>
      </c>
      <c r="AP2" s="163" t="b">
        <v>0</v>
      </c>
      <c r="AQ2" s="163" t="b">
        <v>0</v>
      </c>
      <c r="AR2" s="163" t="b">
        <v>0</v>
      </c>
      <c r="AS2" s="163" t="b">
        <v>0</v>
      </c>
      <c r="AT2" s="163" t="b">
        <v>0</v>
      </c>
      <c r="AU2" s="163" t="b">
        <v>0</v>
      </c>
      <c r="AV2" s="163" t="b">
        <v>0</v>
      </c>
      <c r="AW2" s="163" t="b">
        <v>0</v>
      </c>
      <c r="AX2" s="163" t="b">
        <v>0</v>
      </c>
      <c r="AY2" s="163" t="b">
        <v>0</v>
      </c>
      <c r="AZ2" s="163" t="b">
        <v>0</v>
      </c>
      <c r="BA2" s="163" t="b">
        <v>0</v>
      </c>
      <c r="BB2" s="163" t="b">
        <v>0</v>
      </c>
      <c r="BC2" s="163" t="b">
        <v>0</v>
      </c>
      <c r="BD2" s="163" t="b">
        <v>1</v>
      </c>
      <c r="BE2" s="163" t="b">
        <v>1</v>
      </c>
      <c r="BF2" s="163" t="b">
        <v>0</v>
      </c>
      <c r="BG2" s="164" t="b">
        <v>0</v>
      </c>
      <c r="BH2" s="163" t="b">
        <v>1</v>
      </c>
      <c r="BI2" s="163" t="b">
        <v>1</v>
      </c>
      <c r="BJ2" s="163" t="b">
        <v>0</v>
      </c>
      <c r="BK2" s="163" t="b">
        <v>1</v>
      </c>
      <c r="BL2" s="163" t="b">
        <v>0</v>
      </c>
      <c r="BM2" s="163" t="s">
        <v>244</v>
      </c>
      <c r="BN2" s="163" t="b">
        <v>0</v>
      </c>
      <c r="BO2" s="163" t="b">
        <v>0</v>
      </c>
      <c r="BP2" s="163" t="s">
        <v>244</v>
      </c>
      <c r="BQ2" s="163" t="b">
        <v>1</v>
      </c>
      <c r="BR2" s="163" t="b">
        <v>1</v>
      </c>
      <c r="BS2" s="163" t="s">
        <v>244</v>
      </c>
      <c r="BT2" s="163" t="b">
        <v>0</v>
      </c>
      <c r="BU2" s="163" t="b">
        <v>0</v>
      </c>
      <c r="BV2" s="163" t="s">
        <v>244</v>
      </c>
      <c r="BW2" s="163" t="b">
        <v>0</v>
      </c>
      <c r="BX2" s="163" t="b">
        <v>0</v>
      </c>
      <c r="BY2" s="163" t="s">
        <v>244</v>
      </c>
      <c r="BZ2" s="163" t="b">
        <v>0</v>
      </c>
      <c r="CA2" s="163" t="b">
        <v>0</v>
      </c>
      <c r="CB2" s="163" t="s">
        <v>244</v>
      </c>
      <c r="CC2" s="163" t="b">
        <v>0</v>
      </c>
      <c r="CD2" s="163" t="b">
        <v>0</v>
      </c>
      <c r="CE2" s="163" t="s">
        <v>244</v>
      </c>
      <c r="CF2" s="163" t="b">
        <v>0</v>
      </c>
      <c r="CG2" s="163" t="b">
        <v>0</v>
      </c>
      <c r="CH2" s="163" t="s">
        <v>244</v>
      </c>
      <c r="CI2" s="163" t="b">
        <v>0</v>
      </c>
      <c r="CJ2" s="163" t="b">
        <v>0</v>
      </c>
      <c r="CK2" s="163" t="s">
        <v>244</v>
      </c>
      <c r="CL2" s="163" t="b">
        <v>0</v>
      </c>
      <c r="CM2" s="163" t="b">
        <v>0</v>
      </c>
      <c r="CN2" s="163" t="s">
        <v>244</v>
      </c>
      <c r="CO2" s="163" t="b">
        <v>0</v>
      </c>
      <c r="CP2" s="163" t="b">
        <v>0</v>
      </c>
      <c r="CQ2" s="163" t="s">
        <v>244</v>
      </c>
      <c r="CR2" s="163" t="b">
        <v>0</v>
      </c>
      <c r="CS2" s="163" t="b">
        <v>0</v>
      </c>
      <c r="CT2" s="163" t="b">
        <v>0</v>
      </c>
      <c r="CU2" s="163" t="b">
        <v>0</v>
      </c>
      <c r="CV2" s="163" t="s">
        <v>244</v>
      </c>
      <c r="CW2" s="163" t="b">
        <v>0</v>
      </c>
      <c r="CX2" s="163" t="b">
        <v>0</v>
      </c>
      <c r="CY2" s="163" t="b">
        <v>0</v>
      </c>
      <c r="CZ2" s="163" t="b">
        <v>0</v>
      </c>
      <c r="DA2" s="163"/>
      <c r="DB2" s="163" t="s">
        <v>244</v>
      </c>
      <c r="DC2" s="163" t="s">
        <v>244</v>
      </c>
      <c r="DD2" s="163" t="s">
        <v>244</v>
      </c>
      <c r="DE2" s="163" t="s">
        <v>244</v>
      </c>
      <c r="DF2" s="163" t="s">
        <v>244</v>
      </c>
      <c r="DG2" s="208"/>
      <c r="DH2" s="163" t="s">
        <v>244</v>
      </c>
      <c r="DI2" s="163" t="s">
        <v>244</v>
      </c>
      <c r="DJ2" s="163" t="s">
        <v>244</v>
      </c>
      <c r="DK2" s="163" t="s">
        <v>244</v>
      </c>
      <c r="DL2" s="163" t="s">
        <v>244</v>
      </c>
      <c r="DM2" s="163" t="b">
        <v>0</v>
      </c>
      <c r="DN2" s="163" t="b">
        <v>0</v>
      </c>
      <c r="DO2" s="163" t="b">
        <v>0</v>
      </c>
      <c r="DP2" s="163" t="b">
        <v>0</v>
      </c>
      <c r="DQ2" s="163" t="b">
        <v>0</v>
      </c>
      <c r="DR2" s="163" t="b">
        <v>0</v>
      </c>
      <c r="DS2" s="163" t="b">
        <v>0</v>
      </c>
      <c r="DT2" s="163" t="b">
        <v>0</v>
      </c>
      <c r="DU2" s="163" t="b">
        <v>0</v>
      </c>
      <c r="DV2" s="163" t="b">
        <v>0</v>
      </c>
      <c r="DW2" s="163" t="b">
        <v>0</v>
      </c>
      <c r="DX2" s="163" t="b">
        <v>0</v>
      </c>
      <c r="DY2" s="163" t="b">
        <v>0</v>
      </c>
      <c r="DZ2" s="163" t="b">
        <v>0</v>
      </c>
      <c r="EA2" s="163" t="b">
        <v>0</v>
      </c>
      <c r="EB2" s="163" t="b">
        <v>0</v>
      </c>
      <c r="EC2" s="163" t="b">
        <v>0</v>
      </c>
      <c r="ED2" s="163" t="b">
        <v>0</v>
      </c>
      <c r="EE2" s="163" t="b">
        <v>0</v>
      </c>
      <c r="EF2" s="163" t="b">
        <v>0</v>
      </c>
      <c r="EG2" s="163" t="s">
        <v>244</v>
      </c>
      <c r="EH2" s="160">
        <f>IF([Chambre]*1='CHAMBRES FILLES 2e ETAGE'!$A$5,1,0)</f>
        <v>0</v>
      </c>
      <c r="EI2" s="161">
        <f>IF([Occurrence2]=0,0,SUM($EH$2:EH2))</f>
        <v>0</v>
      </c>
      <c r="EJ2" s="160">
        <f>IF([Chambre]*1='CHAMBRES FILLES 2e ETAGE'!$A$11,1,0)</f>
        <v>0</v>
      </c>
      <c r="EK2" s="160">
        <f>IF([Occurrence3]=0,0,SUM($EJ$2:EJ2))</f>
        <v>0</v>
      </c>
      <c r="EL2" s="160">
        <f>IF([Chambre]*1='CHAMBRES FILLES 2e ETAGE'!$A$17,1,0)</f>
        <v>0</v>
      </c>
      <c r="EM2" s="160">
        <f>IF([Occurrence4]=0,0,SUM($EL$2:EL2))</f>
        <v>0</v>
      </c>
      <c r="EN2" s="160">
        <f>IF([Chambre]*1='CHAMBRES FILLES 2e ETAGE'!$A$23,1,0)</f>
        <v>0</v>
      </c>
      <c r="EO2" s="160">
        <f>IF([Occurrence5]=0,0,SUM($EN$2:EN2))</f>
        <v>0</v>
      </c>
      <c r="EP2" s="160">
        <f>IF([Chambre]*1='CHAMBRES FILLES 2e ETAGE'!$A$29,1,0)</f>
        <v>0</v>
      </c>
      <c r="EQ2" s="160">
        <f>IF([Occurrence6]=0,0,SUM($EP$2:EP2))</f>
        <v>0</v>
      </c>
      <c r="ER2" s="160">
        <f>IF([Chambre]*1='CHAMBRES FILLES 2e ETAGE'!$A$35,1,0)</f>
        <v>0</v>
      </c>
      <c r="ES2" s="160">
        <f>IF([Occurrence7]=0,0,SUM($ER$2:ER2))</f>
        <v>0</v>
      </c>
      <c r="ET2" s="160">
        <f>IF([Chambre]*1='CHAMBRES FILLES 2e ETAGE'!$A$41,1,0)</f>
        <v>0</v>
      </c>
      <c r="EU2" s="160">
        <f>IF([Occurrence8]=0,0,SUM($ET$2:ET2))</f>
        <v>0</v>
      </c>
      <c r="EV2" s="160">
        <f>IF([Chambre]*1='CHAMBRES FILLES 2e ETAGE'!$A$47,1,0)</f>
        <v>0</v>
      </c>
      <c r="EW2" s="160">
        <f>IF([Occurrence9]=0,0,SUM($EV$2:EV2))</f>
        <v>0</v>
      </c>
      <c r="EX2" s="160">
        <f>IF([Chambre]*1='CHAMBRES FILLES 2e ETAGE'!$A$53,1,0)</f>
        <v>0</v>
      </c>
      <c r="EY2" s="160">
        <f>IF([Occurrence10]=0,0,SUM($EX$2:EX2))</f>
        <v>0</v>
      </c>
      <c r="EZ2" s="160">
        <f>IF([Chambre]*1='CHAMBRES FILLES 2e ETAGE'!$A$59,1,0)</f>
        <v>0</v>
      </c>
      <c r="FA2" s="160">
        <f>IF([Occurrence11]=0,0,SUM($EZ$2:EZ2))</f>
        <v>0</v>
      </c>
      <c r="FB2" s="160">
        <f>IF([Chambre]*1='CHAMBRES FILLES 2e ETAGE'!$A$65,1,0)</f>
        <v>0</v>
      </c>
      <c r="FC2" s="160">
        <f>IF([Occurrence12]=0,0,SUM($FB$2:FB2))</f>
        <v>0</v>
      </c>
      <c r="FD2" s="160">
        <f>IF([Chambre]*1='CHAMBRES FILLES 2e ETAGE'!$A$71,1,0)</f>
        <v>0</v>
      </c>
      <c r="FE2" s="160">
        <f>IF([Occurrence13]=0,0,SUM($FD$2:FD2))</f>
        <v>0</v>
      </c>
      <c r="FF2" s="160">
        <f>IF([Chambre]*1='CHAMBRES FILLES 2e ETAGE'!$A$77,1,0)</f>
        <v>0</v>
      </c>
      <c r="FG2" s="160">
        <f>IF([Occurrence14]=0,0,SUM($FF$2:FF2))</f>
        <v>0</v>
      </c>
      <c r="FH2" s="160">
        <f>IF([Chambre]*1='CHAMBRES FILLES 2e ETAGE'!$A$83,1,0)</f>
        <v>0</v>
      </c>
      <c r="FI2" s="160">
        <f>IF([Occurrence15]=0,0,SUM($FH$2:FH2))</f>
        <v>0</v>
      </c>
      <c r="FJ2" s="160">
        <f>IF([Chambre]*1='CHAMBRES FILLES 2e ETAGE'!$A$89,1,0)</f>
        <v>0</v>
      </c>
      <c r="FK2" s="160">
        <f>IF([Occurrence16]=0,0,SUM($FJ$2:FJ2))</f>
        <v>0</v>
      </c>
      <c r="FL2" s="160">
        <f>IF([Chambre]*1='CHAMBRES FILLES 2e ETAGE'!$A$95,1,0)</f>
        <v>1</v>
      </c>
      <c r="FM2" s="160">
        <f>IF([Occurrence17]=0,0,SUM($FL$2:FL2))</f>
        <v>1</v>
      </c>
      <c r="FN2" s="160">
        <f>IF([Chambre2]*1='CHAMBRES FILLES 1e ETAGE'!$A$5,1,0)</f>
        <v>0</v>
      </c>
      <c r="FO2" s="160">
        <f>IF([Occurrence18]=0,0,SUM($FN$2:FN2))</f>
        <v>0</v>
      </c>
      <c r="FP2" s="160">
        <f>IF([Chambre2]*1='CHAMBRES FILLES 1e ETAGE'!$A$11,1,0)</f>
        <v>0</v>
      </c>
      <c r="FQ2" s="160">
        <f>IF([Occurrence19]=0,0,SUM($FP$2:FP2))</f>
        <v>0</v>
      </c>
      <c r="FR2" s="160">
        <f>IF([Chambre2]*1='CHAMBRES FILLES 1e ETAGE'!$A$17,1,0)</f>
        <v>0</v>
      </c>
      <c r="FS2" s="160">
        <f>IF([Occurrence20]=0,0,SUM($FR$2:FR2))</f>
        <v>0</v>
      </c>
      <c r="FT2" s="160">
        <f>IF([Chambre2]*1='CHAMBRES FILLES 1e ETAGE'!$A$23,1,0)</f>
        <v>0</v>
      </c>
      <c r="FU2" s="160">
        <f>IF([Occurrence21]=0,0,SUM($FT$2:FT2))</f>
        <v>0</v>
      </c>
      <c r="FV2" s="160">
        <f>IF([Chambre2]*1='CHAMBRES FILLES 1e ETAGE'!$A$29,1,0)</f>
        <v>0</v>
      </c>
      <c r="FW2" s="160">
        <f>IF([Occurrence22]=0,0,SUM($FV$2:FV2))</f>
        <v>0</v>
      </c>
      <c r="FX2" s="160">
        <f>IF([Chambre2]*1='CHAMBRES FILLES 1e ETAGE'!$A$35,1,0)</f>
        <v>0</v>
      </c>
      <c r="FY2" s="160">
        <f>IF([Occurrence23]=0,0,SUM($FX$2:FX2))</f>
        <v>0</v>
      </c>
      <c r="FZ2" s="160">
        <f>IF([Chambre2]*1='CHAMBRES FILLES 1e ETAGE'!$A$41,1,0)</f>
        <v>0</v>
      </c>
      <c r="GA2" s="160">
        <f>IF([Occurrence24]=0,0,SUM($FZ$2:FZ2))</f>
        <v>0</v>
      </c>
      <c r="GB2" s="160">
        <f>IF([Chambre2]*1='CHAMBRES FILLES 1e ETAGE'!$A$47,1,0)</f>
        <v>0</v>
      </c>
      <c r="GC2" s="160">
        <f>IF([Occurrence25]=0,0,SUM($GB$2:GB2))</f>
        <v>0</v>
      </c>
      <c r="GD2" s="160">
        <f>IF([Chambre2]*1='CHAMBRES FILLES 1e ETAGE'!$A$53,1,0)</f>
        <v>0</v>
      </c>
      <c r="GE2" s="160">
        <f>IF([Occurrence26]=0,0,SUM($GD$2:GD2))</f>
        <v>0</v>
      </c>
      <c r="GF2" s="160">
        <f>IF([chambre4]*1='CHAMBRES GARCONS 1e ETAGE'!$A$5,1,0)</f>
        <v>0</v>
      </c>
      <c r="GG2" s="160">
        <f>IF([Occurrence27]=0,0,SUM($GF$2:GF2))</f>
        <v>0</v>
      </c>
      <c r="GH2" s="160">
        <f>IF([chambre4]*1='CHAMBRES GARCONS 1e ETAGE'!$A$11,1,0)</f>
        <v>0</v>
      </c>
      <c r="GI2" s="160">
        <f>IF([Occurrence28]=0,0,SUM($GH$2:GH2))</f>
        <v>0</v>
      </c>
      <c r="GJ2" s="160">
        <f>IF([chambre4]*1='CHAMBRES GARCONS 1e ETAGE'!$A$17,1,0)</f>
        <v>0</v>
      </c>
      <c r="GK2" s="160">
        <f>IF([Occurrence29]=0,0,SUM($GJ$2:GJ2))</f>
        <v>0</v>
      </c>
      <c r="GL2" s="160">
        <f>IF([chambre4]*1='CHAMBRES GARCONS 1e ETAGE'!$A$23,1,0)</f>
        <v>0</v>
      </c>
      <c r="GM2" s="160">
        <f>IF([Occurrence30]=0,0,SUM($GL$2:GL2))</f>
        <v>0</v>
      </c>
      <c r="GN2" s="160">
        <f>IF([chambre4]*1='CHAMBRES GARCONS 1e ETAGE'!$A$29,1,0)</f>
        <v>0</v>
      </c>
      <c r="GO2" s="160">
        <f>IF([Occurrence31]=0,0,SUM($GN$2:GN2))</f>
        <v>0</v>
      </c>
      <c r="GP2" s="160">
        <f>IF([chambre4]*1='CHAMBRES GARCONS 1e ETAGE'!$A$35,1,0)</f>
        <v>0</v>
      </c>
      <c r="GQ2" s="160">
        <f>IF([Occurrence32]=0,0,SUM($GP$2:GP2))</f>
        <v>0</v>
      </c>
      <c r="GR2" s="160">
        <f>IF([chambre3]*1='CHAMBRES GARCONS RDC'!$A$5,1,0)</f>
        <v>0</v>
      </c>
      <c r="GS2" s="160">
        <f>IF([Occurrence33]=0,0,SUM($GR$2:GR2))</f>
        <v>0</v>
      </c>
      <c r="GT2" s="160">
        <f>IF([chambre3]*1='CHAMBRES GARCONS RDC'!$A$11,1,0)</f>
        <v>0</v>
      </c>
      <c r="GU2" s="160">
        <f>IF([Occurrence34]=0,0,SUM($GT$2:GT2))</f>
        <v>0</v>
      </c>
      <c r="GV2" s="160">
        <f>IF([chambre3]*1='CHAMBRES GARCONS RDC'!$A$17,1,0)</f>
        <v>0</v>
      </c>
      <c r="GW2" s="160">
        <f>IF([Occurrence35]=0,0,SUM($GV$2:GV2))</f>
        <v>0</v>
      </c>
      <c r="GX2" s="160">
        <f>IF([chambre3]*1='CHAMBRES GARCONS RDC'!$A$23,1,0)</f>
        <v>0</v>
      </c>
      <c r="GY2" s="160">
        <f>IF([Occurrence36]=0,0,SUM($GX$2:GX2))</f>
        <v>0</v>
      </c>
      <c r="GZ2" s="160">
        <f>IF([chambre3]*1='CHAMBRES GARCONS RDC'!$A$29,1,0)</f>
        <v>0</v>
      </c>
      <c r="HA2" s="160">
        <f>IF([Occurrence37]=0,0,SUM($GZ$2:GZ2))</f>
        <v>0</v>
      </c>
      <c r="HB2" s="160">
        <f>IF([chambre3]*1='CHAMBRES GARCONS RDC'!$A$35,1,0)</f>
        <v>0</v>
      </c>
      <c r="HC2" s="160">
        <f>IF([Occurrence38]=0,0,SUM($HB$2:HB2))</f>
        <v>0</v>
      </c>
      <c r="HD2" s="160">
        <f>IF([chambre3]*1='CHAMBRES GARCONS RDC'!$A$41,1,0)</f>
        <v>0</v>
      </c>
      <c r="HE2" s="160">
        <f>IF([Occurrence39]=0,0,SUM($HD$2:HD2))</f>
        <v>0</v>
      </c>
      <c r="HF2" s="160">
        <f>IF([chambre3]*1='CHAMBRES GARCONS RDC'!$A$47,1,0)</f>
        <v>0</v>
      </c>
      <c r="HG2" s="160">
        <f>IF([Occurrence40]=0,0,SUM($HF$2:HF2))</f>
        <v>0</v>
      </c>
      <c r="HH2" s="160">
        <f>IF([chambre3]*1='CHAMBRES GARCONS RDC'!$A$53,1,0)</f>
        <v>0</v>
      </c>
      <c r="HI2" s="160">
        <f>IF([Occurrence41]=0,0,SUM($HH$2:HH2))</f>
        <v>0</v>
      </c>
      <c r="HJ2" s="160">
        <f>IF([chambre3]*1='CHAMBRES GARCONS RDC'!$A$59,1,0)</f>
        <v>0</v>
      </c>
      <c r="HK2" s="160">
        <f>IF([Occurrence42]=0,0,SUM($HJ$2:HJ2))</f>
        <v>0</v>
      </c>
      <c r="HL2" s="160">
        <f>IF([chambre3]*1='CHAMBRES GARCONS RDC'!$A$65,1,0)</f>
        <v>0</v>
      </c>
      <c r="HM2" s="160">
        <f>IF([Occurrence43]=0,0,SUM($HL$2:HL2))</f>
        <v>0</v>
      </c>
      <c r="HN2" s="160">
        <f>IF([chambre3]*1='CHAMBRES GARCONS RDC'!$A$71,1,0)</f>
        <v>0</v>
      </c>
      <c r="HO2" s="160">
        <f>IF([Occurrence44]=0,0,SUM($HN$2:HN2))</f>
        <v>0</v>
      </c>
      <c r="HP2" s="160">
        <f>IF([chambre3]*1='CHAMBRES GARCONS RDC'!$A$77,1,0)</f>
        <v>0</v>
      </c>
      <c r="HQ2" s="160">
        <f>IF([Occurrence45]=0,0,SUM($HP$2:HP2))</f>
        <v>0</v>
      </c>
      <c r="HR2" s="160">
        <f>IF([chambre3]*1='CHAMBRES GARCONS RDC'!$A$83,1,0)</f>
        <v>0</v>
      </c>
      <c r="HS2" s="160">
        <f>IF([Occurrence46]=0,0,SUM($HR$2:HR2))</f>
        <v>0</v>
      </c>
      <c r="HT2" s="160">
        <f>IF([chambre3]*1='CHAMBRES GARCONS RDC'!$A$89,1,0)</f>
        <v>0</v>
      </c>
      <c r="HU2" s="160">
        <f>IF([Occurrence47]=0,0,SUM($HT$2:HT2))</f>
        <v>0</v>
      </c>
      <c r="HV2" s="160">
        <f>IF([chambre3]*1='CHAMBRES GARCONS RDC'!$A$95,1,0)</f>
        <v>0</v>
      </c>
      <c r="HW2" s="160">
        <f>IF([Occurrence48]=0,0,SUM($HV$2:HV2))</f>
        <v>0</v>
      </c>
      <c r="HX2" s="160">
        <f>IF([Chambre2]*1='CHAMBRES FILLES 1e ETAGE'!$A$41,1,0)</f>
        <v>0</v>
      </c>
      <c r="HY2" s="160">
        <f>IF([Occurrence24]=0,0,SUM($FZ$2:HX2))</f>
        <v>0</v>
      </c>
      <c r="HZ2" s="160">
        <f>IF([Classe]='Liste élève par classes'!$B$5,1,0)</f>
        <v>0</v>
      </c>
      <c r="IA2" s="160">
        <f>IF([Occurrence]=0,0,SUM($HZ$2:HZ2))</f>
        <v>0</v>
      </c>
      <c r="IB2" s="160">
        <f>IF([Chambre2]*1='CHAMBRES FILLES 1e ETAGE'!$A$53,1,0)</f>
        <v>0</v>
      </c>
      <c r="IC2" s="208">
        <f>IF([Occurrence26]=0,0,SUM($GD$2:IB2))</f>
        <v>0</v>
      </c>
    </row>
    <row r="3" spans="1:237">
      <c r="A3" t="s">
        <v>246</v>
      </c>
      <c r="B3" t="s">
        <v>247</v>
      </c>
      <c r="C3" s="158" t="s">
        <v>702</v>
      </c>
      <c r="D3" s="62" t="s">
        <v>703</v>
      </c>
      <c r="E3" t="s">
        <v>1</v>
      </c>
      <c r="F3" s="159" t="s">
        <v>46</v>
      </c>
      <c r="G3" t="s">
        <v>40</v>
      </c>
      <c r="H3" s="160"/>
      <c r="I3" s="161" t="s">
        <v>244</v>
      </c>
      <c r="J3" s="161" t="s">
        <v>244</v>
      </c>
      <c r="K3" s="161" t="s">
        <v>244</v>
      </c>
      <c r="L3" s="160"/>
      <c r="M3" t="s">
        <v>704</v>
      </c>
      <c r="N3" s="161" t="s">
        <v>244</v>
      </c>
      <c r="O3" s="161" t="s">
        <v>244</v>
      </c>
      <c r="P3" s="161" t="s">
        <v>244</v>
      </c>
      <c r="Q3" s="161" t="s">
        <v>244</v>
      </c>
      <c r="R3" s="161" t="s">
        <v>244</v>
      </c>
      <c r="S3" s="161"/>
      <c r="T3" s="161" t="s">
        <v>244</v>
      </c>
      <c r="U3" s="160"/>
      <c r="V3" s="161" t="s">
        <v>244</v>
      </c>
      <c r="W3" s="161" t="s">
        <v>244</v>
      </c>
      <c r="X3" s="161" t="s">
        <v>244</v>
      </c>
      <c r="Y3" s="161" t="s">
        <v>244</v>
      </c>
      <c r="Z3" s="161" t="s">
        <v>244</v>
      </c>
      <c r="AA3" s="161" t="s">
        <v>244</v>
      </c>
      <c r="AB3" s="161" t="s">
        <v>244</v>
      </c>
      <c r="AC3" s="161" t="s">
        <v>244</v>
      </c>
      <c r="AD3" s="161" t="s">
        <v>244</v>
      </c>
      <c r="AE3" s="161" t="s">
        <v>244</v>
      </c>
      <c r="AF3" s="163" t="s">
        <v>244</v>
      </c>
      <c r="AG3" s="163" t="s">
        <v>244</v>
      </c>
      <c r="AH3" s="163" t="s">
        <v>244</v>
      </c>
      <c r="AI3" s="163" t="b">
        <v>0</v>
      </c>
      <c r="AJ3" s="163" t="b">
        <v>0</v>
      </c>
      <c r="AK3" s="163" t="b">
        <v>0</v>
      </c>
      <c r="AL3" s="163" t="b">
        <v>0</v>
      </c>
      <c r="AM3" s="163" t="b">
        <v>0</v>
      </c>
      <c r="AN3" s="163" t="b">
        <v>0</v>
      </c>
      <c r="AO3" s="163" t="b">
        <v>0</v>
      </c>
      <c r="AP3" s="163" t="b">
        <v>0</v>
      </c>
      <c r="AQ3" s="163" t="b">
        <v>0</v>
      </c>
      <c r="AR3" s="163" t="b">
        <v>0</v>
      </c>
      <c r="AS3" s="163" t="b">
        <v>0</v>
      </c>
      <c r="AT3" s="163" t="b">
        <v>0</v>
      </c>
      <c r="AU3" s="163" t="b">
        <v>0</v>
      </c>
      <c r="AV3" s="163" t="b">
        <v>0</v>
      </c>
      <c r="AW3" s="163" t="b">
        <v>0</v>
      </c>
      <c r="AX3" s="163" t="b">
        <v>0</v>
      </c>
      <c r="AY3" s="163" t="b">
        <v>0</v>
      </c>
      <c r="AZ3" s="163" t="b">
        <v>0</v>
      </c>
      <c r="BA3" s="163" t="b">
        <v>0</v>
      </c>
      <c r="BB3" s="163" t="b">
        <v>0</v>
      </c>
      <c r="BC3" s="163" t="b">
        <v>0</v>
      </c>
      <c r="BD3" s="163" t="b">
        <v>0</v>
      </c>
      <c r="BE3" s="163" t="b">
        <v>0</v>
      </c>
      <c r="BF3" s="163" t="b">
        <v>0</v>
      </c>
      <c r="BG3" s="163" t="b">
        <v>0</v>
      </c>
      <c r="BH3" s="163" t="b">
        <v>0</v>
      </c>
      <c r="BI3" s="163" t="b">
        <v>0</v>
      </c>
      <c r="BJ3" s="163" t="b">
        <v>0</v>
      </c>
      <c r="BK3" s="163" t="b">
        <v>0</v>
      </c>
      <c r="BL3" s="163" t="b">
        <v>0</v>
      </c>
      <c r="BM3" s="163" t="s">
        <v>244</v>
      </c>
      <c r="BN3" s="163" t="b">
        <v>0</v>
      </c>
      <c r="BO3" s="163" t="b">
        <v>0</v>
      </c>
      <c r="BP3" s="163" t="s">
        <v>244</v>
      </c>
      <c r="BQ3" s="163" t="b">
        <v>0</v>
      </c>
      <c r="BR3" s="163" t="b">
        <v>0</v>
      </c>
      <c r="BS3" s="163" t="s">
        <v>244</v>
      </c>
      <c r="BT3" s="163" t="b">
        <v>0</v>
      </c>
      <c r="BU3" s="163" t="b">
        <v>0</v>
      </c>
      <c r="BV3" s="163" t="s">
        <v>244</v>
      </c>
      <c r="BW3" s="163" t="b">
        <v>0</v>
      </c>
      <c r="BX3" s="163" t="b">
        <v>0</v>
      </c>
      <c r="BY3" s="163" t="s">
        <v>244</v>
      </c>
      <c r="BZ3" s="163" t="b">
        <v>0</v>
      </c>
      <c r="CA3" s="163" t="b">
        <v>0</v>
      </c>
      <c r="CB3" s="163" t="s">
        <v>244</v>
      </c>
      <c r="CC3" s="163" t="b">
        <v>0</v>
      </c>
      <c r="CD3" s="163" t="b">
        <v>0</v>
      </c>
      <c r="CE3" s="163" t="s">
        <v>244</v>
      </c>
      <c r="CF3" s="163" t="b">
        <v>0</v>
      </c>
      <c r="CG3" s="163" t="b">
        <v>0</v>
      </c>
      <c r="CH3" s="163" t="s">
        <v>244</v>
      </c>
      <c r="CI3" s="163" t="b">
        <v>0</v>
      </c>
      <c r="CJ3" s="163" t="b">
        <v>0</v>
      </c>
      <c r="CK3" s="163" t="s">
        <v>244</v>
      </c>
      <c r="CL3" s="163" t="b">
        <v>0</v>
      </c>
      <c r="CM3" s="163" t="b">
        <v>0</v>
      </c>
      <c r="CN3" s="163" t="s">
        <v>244</v>
      </c>
      <c r="CO3" s="163" t="b">
        <v>0</v>
      </c>
      <c r="CP3" s="163" t="b">
        <v>0</v>
      </c>
      <c r="CQ3" s="163" t="s">
        <v>244</v>
      </c>
      <c r="CR3" s="163" t="b">
        <v>0</v>
      </c>
      <c r="CS3" s="163" t="b">
        <v>0</v>
      </c>
      <c r="CT3" s="163" t="b">
        <v>0</v>
      </c>
      <c r="CU3" s="163" t="b">
        <v>0</v>
      </c>
      <c r="CV3" s="163" t="s">
        <v>244</v>
      </c>
      <c r="CW3" s="163" t="b">
        <v>0</v>
      </c>
      <c r="CX3" s="163" t="b">
        <v>0</v>
      </c>
      <c r="CY3" s="163" t="b">
        <v>0</v>
      </c>
      <c r="CZ3" s="163" t="b">
        <v>0</v>
      </c>
      <c r="DA3" s="163"/>
      <c r="DB3" s="163" t="s">
        <v>244</v>
      </c>
      <c r="DC3" s="163" t="s">
        <v>244</v>
      </c>
      <c r="DD3" s="163" t="s">
        <v>244</v>
      </c>
      <c r="DE3" s="163" t="s">
        <v>244</v>
      </c>
      <c r="DF3" s="163" t="s">
        <v>244</v>
      </c>
      <c r="DG3" s="163"/>
      <c r="DH3" s="163" t="s">
        <v>244</v>
      </c>
      <c r="DI3" s="163" t="s">
        <v>244</v>
      </c>
      <c r="DJ3" s="163" t="s">
        <v>244</v>
      </c>
      <c r="DK3" s="163" t="s">
        <v>244</v>
      </c>
      <c r="DL3" s="163" t="s">
        <v>244</v>
      </c>
      <c r="DM3" s="163" t="b">
        <v>0</v>
      </c>
      <c r="DN3" s="163" t="b">
        <v>0</v>
      </c>
      <c r="DO3" s="163" t="b">
        <v>0</v>
      </c>
      <c r="DP3" s="163" t="b">
        <v>0</v>
      </c>
      <c r="DQ3" s="163" t="b">
        <v>0</v>
      </c>
      <c r="DR3" s="163" t="b">
        <v>0</v>
      </c>
      <c r="DS3" s="163" t="b">
        <v>0</v>
      </c>
      <c r="DT3" s="163" t="b">
        <v>0</v>
      </c>
      <c r="DU3" s="163" t="b">
        <v>0</v>
      </c>
      <c r="DV3" s="163" t="b">
        <v>0</v>
      </c>
      <c r="DW3" s="163" t="b">
        <v>0</v>
      </c>
      <c r="DX3" s="163" t="b">
        <v>0</v>
      </c>
      <c r="DY3" s="163" t="b">
        <v>0</v>
      </c>
      <c r="DZ3" s="163" t="b">
        <v>0</v>
      </c>
      <c r="EA3" s="163" t="b">
        <v>0</v>
      </c>
      <c r="EB3" s="163" t="b">
        <v>0</v>
      </c>
      <c r="EC3" s="163" t="b">
        <v>0</v>
      </c>
      <c r="ED3" s="163" t="b">
        <v>0</v>
      </c>
      <c r="EE3" s="163" t="b">
        <v>0</v>
      </c>
      <c r="EF3" s="163" t="b">
        <v>0</v>
      </c>
      <c r="EG3" s="163" t="s">
        <v>244</v>
      </c>
      <c r="EH3" s="160">
        <f>IF([Chambre]*1='CHAMBRES FILLES 2e ETAGE'!$A$5,1,0)</f>
        <v>0</v>
      </c>
      <c r="EI3" s="161">
        <f>IF([Occurrence2]=0,0,SUM($EH$2:EH3))</f>
        <v>0</v>
      </c>
      <c r="EJ3" s="160">
        <f>IF([Chambre]*1='CHAMBRES FILLES 2e ETAGE'!$A$11,1,0)</f>
        <v>0</v>
      </c>
      <c r="EK3" s="160">
        <f>IF([Occurrence3]=0,0,SUM($EJ$2:EJ3))</f>
        <v>0</v>
      </c>
      <c r="EL3" s="160">
        <f>IF([Chambre]*1='CHAMBRES FILLES 2e ETAGE'!$A$17,1,0)</f>
        <v>0</v>
      </c>
      <c r="EM3" s="160">
        <f>IF([Occurrence4]=0,0,SUM($EL$2:EL3))</f>
        <v>0</v>
      </c>
      <c r="EN3" s="160">
        <f>IF([Chambre]*1='CHAMBRES FILLES 2e ETAGE'!$A$23,1,0)</f>
        <v>0</v>
      </c>
      <c r="EO3" s="160">
        <f>IF([Occurrence5]=0,0,SUM($EN$2:EN3))</f>
        <v>0</v>
      </c>
      <c r="EP3" s="160">
        <f>IF([Chambre]*1='CHAMBRES FILLES 2e ETAGE'!$A$29,1,0)</f>
        <v>0</v>
      </c>
      <c r="EQ3" s="160">
        <f>IF([Occurrence6]=0,0,SUM($EP$2:EP3))</f>
        <v>0</v>
      </c>
      <c r="ER3" s="160">
        <f>IF([Chambre]*1='CHAMBRES FILLES 2e ETAGE'!$A$35,1,0)</f>
        <v>0</v>
      </c>
      <c r="ES3" s="160">
        <f>IF([Occurrence7]=0,0,SUM($ER$2:ER3))</f>
        <v>0</v>
      </c>
      <c r="ET3" s="160">
        <f>IF([Chambre]*1='CHAMBRES FILLES 2e ETAGE'!$A$41,1,0)</f>
        <v>0</v>
      </c>
      <c r="EU3" s="160">
        <f>IF([Occurrence8]=0,0,SUM($ET$2:ET3))</f>
        <v>0</v>
      </c>
      <c r="EV3" s="160">
        <f>IF([Chambre]*1='CHAMBRES FILLES 2e ETAGE'!$A$47,1,0)</f>
        <v>0</v>
      </c>
      <c r="EW3" s="160">
        <f>IF([Occurrence9]=0,0,SUM($EV$2:EV3))</f>
        <v>0</v>
      </c>
      <c r="EX3" s="160">
        <f>IF([Chambre]*1='CHAMBRES FILLES 2e ETAGE'!$A$53,1,0)</f>
        <v>0</v>
      </c>
      <c r="EY3" s="160">
        <f>IF([Occurrence10]=0,0,SUM($EX$2:EX3))</f>
        <v>0</v>
      </c>
      <c r="EZ3" s="160">
        <f>IF([Chambre]*1='CHAMBRES FILLES 2e ETAGE'!$A$59,1,0)</f>
        <v>0</v>
      </c>
      <c r="FA3" s="160">
        <f>IF([Occurrence11]=0,0,SUM($EZ$2:EZ3))</f>
        <v>0</v>
      </c>
      <c r="FB3" s="160">
        <f>IF([Chambre]*1='CHAMBRES FILLES 2e ETAGE'!$A$65,1,0)</f>
        <v>0</v>
      </c>
      <c r="FC3" s="160">
        <f>IF([Occurrence12]=0,0,SUM($FB$2:FB3))</f>
        <v>0</v>
      </c>
      <c r="FD3" s="160">
        <f>IF([Chambre]*1='CHAMBRES FILLES 2e ETAGE'!$A$71,1,0)</f>
        <v>0</v>
      </c>
      <c r="FE3" s="160">
        <f>IF([Occurrence13]=0,0,SUM($FD$2:FD3))</f>
        <v>0</v>
      </c>
      <c r="FF3" s="160">
        <f>IF([Chambre]*1='CHAMBRES FILLES 2e ETAGE'!$A$77,1,0)</f>
        <v>0</v>
      </c>
      <c r="FG3" s="160">
        <f>IF([Occurrence14]=0,0,SUM($FF$2:FF3))</f>
        <v>0</v>
      </c>
      <c r="FH3" s="160">
        <f>IF([Chambre]*1='CHAMBRES FILLES 2e ETAGE'!$A$83,1,0)</f>
        <v>0</v>
      </c>
      <c r="FI3" s="160">
        <f>IF([Occurrence15]=0,0,SUM($FH$2:FH3))</f>
        <v>0</v>
      </c>
      <c r="FJ3" s="160">
        <f>IF([Chambre]*1='CHAMBRES FILLES 2e ETAGE'!$A$89,1,0)</f>
        <v>0</v>
      </c>
      <c r="FK3" s="160">
        <f>IF([Occurrence16]=0,0,SUM($FJ$2:FJ3))</f>
        <v>0</v>
      </c>
      <c r="FL3" s="160">
        <f>IF([Chambre]*1='CHAMBRES FILLES 2e ETAGE'!$A$95,1,0)</f>
        <v>0</v>
      </c>
      <c r="FM3" s="160">
        <f>IF([Occurrence17]=0,0,SUM($FL$2:FL3))</f>
        <v>0</v>
      </c>
      <c r="FN3" s="160">
        <f>IF([Chambre2]*1='CHAMBRES FILLES 1e ETAGE'!$A$5,1,0)</f>
        <v>0</v>
      </c>
      <c r="FO3" s="160">
        <f>IF([Occurrence18]=0,0,SUM($FN$2:FN3))</f>
        <v>0</v>
      </c>
      <c r="FP3" s="160">
        <f>IF([Chambre2]*1='CHAMBRES FILLES 1e ETAGE'!$A$11,1,0)</f>
        <v>0</v>
      </c>
      <c r="FQ3" s="160">
        <f>IF([Occurrence19]=0,0,SUM($FP$2:FP3))</f>
        <v>0</v>
      </c>
      <c r="FR3" s="160">
        <f>IF([Chambre2]*1='CHAMBRES FILLES 1e ETAGE'!$A$17,1,0)</f>
        <v>0</v>
      </c>
      <c r="FS3" s="160">
        <f>IF([Occurrence20]=0,0,SUM($FR$2:FR3))</f>
        <v>0</v>
      </c>
      <c r="FT3" s="160">
        <f>IF([Chambre2]*1='CHAMBRES FILLES 1e ETAGE'!$A$23,1,0)</f>
        <v>0</v>
      </c>
      <c r="FU3" s="160">
        <f>IF([Occurrence21]=0,0,SUM($FT$2:FT3))</f>
        <v>0</v>
      </c>
      <c r="FV3" s="160">
        <f>IF([Chambre2]*1='CHAMBRES FILLES 1e ETAGE'!$A$29,1,0)</f>
        <v>0</v>
      </c>
      <c r="FW3" s="160">
        <f>IF([Occurrence22]=0,0,SUM($FV$2:FV3))</f>
        <v>0</v>
      </c>
      <c r="FX3" s="160">
        <f>IF([Chambre2]*1='CHAMBRES FILLES 1e ETAGE'!$A$35,1,0)</f>
        <v>0</v>
      </c>
      <c r="FY3" s="160">
        <f>IF([Occurrence23]=0,0,SUM($FX$2:FX3))</f>
        <v>0</v>
      </c>
      <c r="FZ3" s="160">
        <f>IF([Chambre2]*1='CHAMBRES FILLES 1e ETAGE'!$A$41,1,0)</f>
        <v>0</v>
      </c>
      <c r="GA3" s="160">
        <f>IF([Occurrence24]=0,0,SUM($FZ$2:FZ3))</f>
        <v>0</v>
      </c>
      <c r="GB3" s="160">
        <f>IF([Chambre2]*1='CHAMBRES FILLES 1e ETAGE'!$A$47,1,0)</f>
        <v>0</v>
      </c>
      <c r="GC3" s="160">
        <f>IF([Occurrence25]=0,0,SUM($GB$2:GB3))</f>
        <v>0</v>
      </c>
      <c r="GD3" s="160">
        <f>IF([Chambre2]*1='CHAMBRES FILLES 1e ETAGE'!$A$53,1,0)</f>
        <v>0</v>
      </c>
      <c r="GE3" s="160">
        <f>IF([Occurrence26]=0,0,SUM($GD$2:GD3))</f>
        <v>0</v>
      </c>
      <c r="GF3" s="160">
        <f>IF([chambre4]*1='CHAMBRES GARCONS 1e ETAGE'!$A$5,1,0)</f>
        <v>0</v>
      </c>
      <c r="GG3" s="160">
        <f>IF([Occurrence27]=0,0,SUM($GF$2:GF3))</f>
        <v>0</v>
      </c>
      <c r="GH3" s="160">
        <f>IF([chambre4]*1='CHAMBRES GARCONS 1e ETAGE'!$A$11,1,0)</f>
        <v>0</v>
      </c>
      <c r="GI3" s="160">
        <f>IF([Occurrence28]=0,0,SUM($GH$2:GH3))</f>
        <v>0</v>
      </c>
      <c r="GJ3" s="160">
        <f>IF([chambre4]*1='CHAMBRES GARCONS 1e ETAGE'!$A$17,1,0)</f>
        <v>0</v>
      </c>
      <c r="GK3" s="160">
        <f>IF([Occurrence29]=0,0,SUM($GJ$2:GJ3))</f>
        <v>0</v>
      </c>
      <c r="GL3" s="160">
        <f>IF([chambre4]*1='CHAMBRES GARCONS 1e ETAGE'!$A$23,1,0)</f>
        <v>0</v>
      </c>
      <c r="GM3" s="160">
        <f>IF([Occurrence30]=0,0,SUM($GL$2:GL3))</f>
        <v>0</v>
      </c>
      <c r="GN3" s="160">
        <f>IF([chambre4]*1='CHAMBRES GARCONS 1e ETAGE'!$A$29,1,0)</f>
        <v>0</v>
      </c>
      <c r="GO3" s="160">
        <f>IF([Occurrence31]=0,0,SUM($GN$2:GN3))</f>
        <v>0</v>
      </c>
      <c r="GP3" s="160">
        <f>IF([chambre4]*1='CHAMBRES GARCONS 1e ETAGE'!$A$35,1,0)</f>
        <v>0</v>
      </c>
      <c r="GQ3" s="160">
        <f>IF([Occurrence32]=0,0,SUM($GP$2:GP3))</f>
        <v>0</v>
      </c>
      <c r="GR3" s="160">
        <f>IF([chambre3]*1='CHAMBRES GARCONS RDC'!$A$5,1,0)</f>
        <v>0</v>
      </c>
      <c r="GS3" s="160">
        <f>IF([Occurrence33]=0,0,SUM($GR$2:GR3))</f>
        <v>0</v>
      </c>
      <c r="GT3" s="160">
        <f>IF([chambre3]*1='CHAMBRES GARCONS RDC'!$A$11,1,0)</f>
        <v>0</v>
      </c>
      <c r="GU3" s="160">
        <f>IF([Occurrence34]=0,0,SUM($GT$2:GT3))</f>
        <v>0</v>
      </c>
      <c r="GV3" s="160">
        <f>IF([chambre3]*1='CHAMBRES GARCONS RDC'!$A$17,1,0)</f>
        <v>0</v>
      </c>
      <c r="GW3" s="160">
        <f>IF([Occurrence35]=0,0,SUM($GV$2:GV3))</f>
        <v>0</v>
      </c>
      <c r="GX3" s="160">
        <f>IF([chambre3]*1='CHAMBRES GARCONS RDC'!$A$23,1,0)</f>
        <v>0</v>
      </c>
      <c r="GY3" s="160">
        <f>IF([Occurrence36]=0,0,SUM($GX$2:GX3))</f>
        <v>0</v>
      </c>
      <c r="GZ3" s="160">
        <f>IF([chambre3]*1='CHAMBRES GARCONS RDC'!$A$29,1,0)</f>
        <v>0</v>
      </c>
      <c r="HA3" s="160">
        <f>IF([Occurrence37]=0,0,SUM($GZ$2:GZ3))</f>
        <v>0</v>
      </c>
      <c r="HB3" s="160">
        <f>IF([chambre3]*1='CHAMBRES GARCONS RDC'!$A$35,1,0)</f>
        <v>0</v>
      </c>
      <c r="HC3" s="160">
        <f>IF([Occurrence38]=0,0,SUM($HB$2:HB3))</f>
        <v>0</v>
      </c>
      <c r="HD3" s="160">
        <f>IF([chambre3]*1='CHAMBRES GARCONS RDC'!$A$41,1,0)</f>
        <v>0</v>
      </c>
      <c r="HE3" s="160">
        <f>IF([Occurrence39]=0,0,SUM($HD$2:HD3))</f>
        <v>0</v>
      </c>
      <c r="HF3" s="160">
        <f>IF([chambre3]*1='CHAMBRES GARCONS RDC'!$A$47,1,0)</f>
        <v>0</v>
      </c>
      <c r="HG3" s="160">
        <f>IF([Occurrence40]=0,0,SUM($HF$2:HF3))</f>
        <v>0</v>
      </c>
      <c r="HH3" s="160">
        <f>IF([chambre3]*1='CHAMBRES GARCONS RDC'!$A$53,1,0)</f>
        <v>0</v>
      </c>
      <c r="HI3" s="160">
        <f>IF([Occurrence41]=0,0,SUM($HH$2:HH3))</f>
        <v>0</v>
      </c>
      <c r="HJ3" s="160">
        <f>IF([chambre3]*1='CHAMBRES GARCONS RDC'!$A$59,1,0)</f>
        <v>0</v>
      </c>
      <c r="HK3" s="160">
        <f>IF([Occurrence42]=0,0,SUM($HJ$2:HJ3))</f>
        <v>0</v>
      </c>
      <c r="HL3" s="160">
        <f>IF([chambre3]*1='CHAMBRES GARCONS RDC'!$A$65,1,0)</f>
        <v>0</v>
      </c>
      <c r="HM3" s="160">
        <f>IF([Occurrence43]=0,0,SUM($HL$2:HL3))</f>
        <v>0</v>
      </c>
      <c r="HN3" s="160">
        <f>IF([chambre3]*1='CHAMBRES GARCONS RDC'!$A$71,1,0)</f>
        <v>0</v>
      </c>
      <c r="HO3" s="160">
        <f>IF([Occurrence44]=0,0,SUM($HN$2:HN3))</f>
        <v>0</v>
      </c>
      <c r="HP3" s="160">
        <f>IF([chambre3]*1='CHAMBRES GARCONS RDC'!$A$77,1,0)</f>
        <v>0</v>
      </c>
      <c r="HQ3" s="160">
        <f>IF([Occurrence45]=0,0,SUM($HP$2:HP3))</f>
        <v>0</v>
      </c>
      <c r="HR3" s="160">
        <f>IF([chambre3]*1='CHAMBRES GARCONS RDC'!$A$83,1,0)</f>
        <v>0</v>
      </c>
      <c r="HS3" s="160">
        <f>IF([Occurrence46]=0,0,SUM($HR$2:HR3))</f>
        <v>0</v>
      </c>
      <c r="HT3" s="160">
        <f>IF([chambre3]*1='CHAMBRES GARCONS RDC'!$A$89,1,0)</f>
        <v>0</v>
      </c>
      <c r="HU3" s="160">
        <f>IF([Occurrence47]=0,0,SUM($HT$2:HT3))</f>
        <v>0</v>
      </c>
      <c r="HV3" s="160">
        <f>IF([chambre3]*1='CHAMBRES GARCONS RDC'!$A$95,1,0)</f>
        <v>0</v>
      </c>
      <c r="HW3" s="160">
        <f>IF([Occurrence48]=0,0,SUM($HV$2:HV3))</f>
        <v>0</v>
      </c>
      <c r="HX3" s="160"/>
      <c r="HY3" s="160"/>
      <c r="HZ3" s="160">
        <f>IF([Classe]='Liste élève par classes'!$B$5,1,0)</f>
        <v>0</v>
      </c>
      <c r="IA3" s="160">
        <f>IF([Occurrence]=0,0,SUM($HZ$2:HZ3))</f>
        <v>0</v>
      </c>
      <c r="IB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3" s="208"/>
    </row>
    <row r="4" spans="1:237">
      <c r="A4" t="s">
        <v>248</v>
      </c>
      <c r="B4" t="s">
        <v>249</v>
      </c>
      <c r="C4" s="158">
        <v>36971</v>
      </c>
      <c r="D4" s="62">
        <f t="shared" ref="D4:D67" ca="1" si="0">IF(MONTH(TODAY())&gt;MONTH(C4),YEAR(TODAY())-YEAR(C4),IF(MONTH(TODAY())&lt;MONTH(C4),YEAR(TODAY())-YEAR(C4)-1,IF(DAY(TODAY())&lt;DAY(C4),YEAR(TODAY())-YEAR(C4)-1,YEAR(TODAY())-YEAR(C4))))</f>
        <v>16</v>
      </c>
      <c r="E4" t="s">
        <v>2</v>
      </c>
      <c r="F4" s="159" t="s">
        <v>50</v>
      </c>
      <c r="G4" t="s">
        <v>45</v>
      </c>
      <c r="H4" s="160"/>
      <c r="I4" s="62"/>
      <c r="J4" s="161" t="s">
        <v>244</v>
      </c>
      <c r="K4" s="161"/>
      <c r="L4" s="160">
        <v>167</v>
      </c>
      <c r="M4">
        <v>142</v>
      </c>
      <c r="N4" s="161" t="s">
        <v>244</v>
      </c>
      <c r="O4" s="161" t="s">
        <v>244</v>
      </c>
      <c r="P4" s="161" t="s">
        <v>244</v>
      </c>
      <c r="Q4" s="161" t="s">
        <v>244</v>
      </c>
      <c r="R4" s="161" t="s">
        <v>244</v>
      </c>
      <c r="S4" s="190"/>
      <c r="T4" s="161" t="s">
        <v>244</v>
      </c>
      <c r="U4" s="160"/>
      <c r="V4" s="161" t="s">
        <v>244</v>
      </c>
      <c r="W4" s="161" t="s">
        <v>244</v>
      </c>
      <c r="X4" s="161" t="s">
        <v>244</v>
      </c>
      <c r="Y4" s="161" t="s">
        <v>244</v>
      </c>
      <c r="Z4" s="161" t="s">
        <v>244</v>
      </c>
      <c r="AA4" s="161" t="s">
        <v>244</v>
      </c>
      <c r="AB4" s="161" t="s">
        <v>244</v>
      </c>
      <c r="AC4" s="161" t="s">
        <v>244</v>
      </c>
      <c r="AD4" s="161" t="s">
        <v>244</v>
      </c>
      <c r="AE4" s="161" t="s">
        <v>244</v>
      </c>
      <c r="AF4" s="163" t="s">
        <v>244</v>
      </c>
      <c r="AG4" s="163" t="s">
        <v>244</v>
      </c>
      <c r="AH4" s="163" t="s">
        <v>244</v>
      </c>
      <c r="AI4" s="163"/>
      <c r="AJ4" s="163"/>
      <c r="AK4" s="163"/>
      <c r="AL4" s="163"/>
      <c r="AM4" s="163"/>
      <c r="AN4" s="163"/>
      <c r="AO4" s="163"/>
      <c r="AP4" s="163"/>
      <c r="AQ4" s="163"/>
      <c r="AR4" s="163"/>
      <c r="AS4" s="163"/>
      <c r="AT4" s="163"/>
      <c r="AU4" s="163"/>
      <c r="AV4" s="163"/>
      <c r="AW4" s="163"/>
      <c r="AX4" s="163"/>
      <c r="AY4" s="163"/>
      <c r="AZ4" s="163"/>
      <c r="BA4" s="163"/>
      <c r="BB4" s="163"/>
      <c r="BC4" s="163" t="b">
        <v>0</v>
      </c>
      <c r="BD4" s="163" t="b">
        <v>1</v>
      </c>
      <c r="BE4" s="163" t="b">
        <v>1</v>
      </c>
      <c r="BF4" s="163" t="b">
        <v>0</v>
      </c>
      <c r="BG4" s="164" t="b">
        <v>0</v>
      </c>
      <c r="BH4" s="163" t="b">
        <v>1</v>
      </c>
      <c r="BI4" s="163"/>
      <c r="BJ4" s="163"/>
      <c r="BK4" s="163"/>
      <c r="BL4" s="163"/>
      <c r="BM4" s="163"/>
      <c r="BN4" s="163"/>
      <c r="BO4" s="163"/>
      <c r="BP4" s="163"/>
      <c r="BQ4" s="163" t="b">
        <v>1</v>
      </c>
      <c r="BR4" s="163"/>
      <c r="BS4" s="163"/>
      <c r="BT4" s="163"/>
      <c r="BU4" s="163"/>
      <c r="BV4" s="163"/>
      <c r="BW4" s="163"/>
      <c r="BX4" s="163"/>
      <c r="BY4" s="163"/>
      <c r="BZ4" s="163"/>
      <c r="CA4" s="163"/>
      <c r="CB4" s="163"/>
      <c r="CC4" s="163"/>
      <c r="CD4" s="163"/>
      <c r="CE4" s="163"/>
      <c r="CF4" s="163"/>
      <c r="CG4" s="163"/>
      <c r="CH4" s="163"/>
      <c r="CI4" s="163"/>
      <c r="CJ4" s="163"/>
      <c r="CK4" s="163"/>
      <c r="CL4" s="163"/>
      <c r="CM4" s="163"/>
      <c r="CN4" s="163"/>
      <c r="CO4" s="163"/>
      <c r="CP4" s="163"/>
      <c r="CQ4" s="163"/>
      <c r="CR4" s="163"/>
      <c r="CS4" s="163"/>
      <c r="CT4" s="163"/>
      <c r="CU4" s="163"/>
      <c r="CV4" s="163"/>
      <c r="CW4" s="163"/>
      <c r="CX4" s="163"/>
      <c r="CY4" s="163"/>
      <c r="CZ4" s="163"/>
      <c r="DA4" s="163"/>
      <c r="DB4" s="163"/>
      <c r="DC4" s="163"/>
      <c r="DD4" s="163"/>
      <c r="DE4" s="163"/>
      <c r="DF4" s="163"/>
      <c r="DG4" s="208"/>
      <c r="DH4" s="163"/>
      <c r="DI4" s="163"/>
      <c r="DJ4" s="163"/>
      <c r="DK4" s="163"/>
      <c r="DL4" s="163"/>
      <c r="DM4" s="163"/>
      <c r="DN4" s="163"/>
      <c r="DO4" s="163"/>
      <c r="DP4" s="163"/>
      <c r="DQ4" s="163"/>
      <c r="DR4" s="163"/>
      <c r="DS4" s="163"/>
      <c r="DT4" s="163"/>
      <c r="DU4" s="163"/>
      <c r="DV4" s="163"/>
      <c r="DW4" s="163"/>
      <c r="DX4" s="163"/>
      <c r="DY4" s="163"/>
      <c r="DZ4" s="163"/>
      <c r="EA4" s="163"/>
      <c r="EB4" s="163"/>
      <c r="EC4" s="163"/>
      <c r="ED4" s="163"/>
      <c r="EE4" s="163"/>
      <c r="EF4" s="163"/>
      <c r="EG4" s="163"/>
      <c r="EH4" s="160">
        <f>IF([Chambre]*1='CHAMBRES FILLES 2e ETAGE'!$A$5,1,0)</f>
        <v>0</v>
      </c>
      <c r="EI4" s="161">
        <f>IF([Occurrence2]=0,0,SUM($EH$2:EH4))</f>
        <v>0</v>
      </c>
      <c r="EJ4" s="160">
        <f>IF([Chambre]*1='CHAMBRES FILLES 2e ETAGE'!$A$11,1,0)</f>
        <v>0</v>
      </c>
      <c r="EK4" s="160">
        <f>IF([Occurrence3]=0,0,SUM($EJ$2:EJ4))</f>
        <v>0</v>
      </c>
      <c r="EL4" s="160">
        <f>IF([Chambre]*1='CHAMBRES FILLES 2e ETAGE'!$A$17,1,0)</f>
        <v>0</v>
      </c>
      <c r="EM4" s="160">
        <f>IF([Occurrence4]=0,0,SUM($EL$2:EL4))</f>
        <v>0</v>
      </c>
      <c r="EN4" s="160">
        <f>IF([Chambre]*1='CHAMBRES FILLES 2e ETAGE'!$A$23,1,0)</f>
        <v>1</v>
      </c>
      <c r="EO4" s="160">
        <f>IF([Occurrence5]=0,0,SUM($EN$2:EN4))</f>
        <v>1</v>
      </c>
      <c r="EP4" s="160">
        <f>IF([Chambre]*1='CHAMBRES FILLES 2e ETAGE'!$A$29,1,0)</f>
        <v>0</v>
      </c>
      <c r="EQ4" s="160">
        <f>IF([Occurrence6]=0,0,SUM($EP$2:EP4))</f>
        <v>0</v>
      </c>
      <c r="ER4" s="160">
        <f>IF([Chambre]*1='CHAMBRES FILLES 2e ETAGE'!$A$35,1,0)</f>
        <v>0</v>
      </c>
      <c r="ES4" s="160">
        <f>IF([Occurrence7]=0,0,SUM($ER$2:ER4))</f>
        <v>0</v>
      </c>
      <c r="ET4" s="160">
        <f>IF([Chambre]*1='CHAMBRES FILLES 2e ETAGE'!$A$41,1,0)</f>
        <v>0</v>
      </c>
      <c r="EU4" s="160">
        <f>IF([Occurrence8]=0,0,SUM($ET$2:ET4))</f>
        <v>0</v>
      </c>
      <c r="EV4" s="160">
        <f>IF([Chambre]*1='CHAMBRES FILLES 2e ETAGE'!$A$47,1,0)</f>
        <v>0</v>
      </c>
      <c r="EW4" s="160">
        <f>IF([Occurrence9]=0,0,SUM($EV$2:EV4))</f>
        <v>0</v>
      </c>
      <c r="EX4" s="160">
        <f>IF([Chambre]*1='CHAMBRES FILLES 2e ETAGE'!$A$53,1,0)</f>
        <v>0</v>
      </c>
      <c r="EY4" s="160">
        <f>IF([Occurrence10]=0,0,SUM($EX$2:EX4))</f>
        <v>0</v>
      </c>
      <c r="EZ4" s="160">
        <f>IF([Chambre]*1='CHAMBRES FILLES 2e ETAGE'!$A$59,1,0)</f>
        <v>0</v>
      </c>
      <c r="FA4" s="160">
        <f>IF([Occurrence11]=0,0,SUM($EZ$2:EZ4))</f>
        <v>0</v>
      </c>
      <c r="FB4" s="160">
        <f>IF([Chambre]*1='CHAMBRES FILLES 2e ETAGE'!$A$65,1,0)</f>
        <v>0</v>
      </c>
      <c r="FC4" s="160">
        <f>IF([Occurrence12]=0,0,SUM($FB$2:FB4))</f>
        <v>0</v>
      </c>
      <c r="FD4" s="160">
        <f>IF([Chambre]*1='CHAMBRES FILLES 2e ETAGE'!$A$71,1,0)</f>
        <v>0</v>
      </c>
      <c r="FE4" s="160">
        <f>IF([Occurrence13]=0,0,SUM($FD$2:FD4))</f>
        <v>0</v>
      </c>
      <c r="FF4" s="160">
        <f>IF([Chambre]*1='CHAMBRES FILLES 2e ETAGE'!$A$77,1,0)</f>
        <v>0</v>
      </c>
      <c r="FG4" s="160">
        <f>IF([Occurrence14]=0,0,SUM($FF$2:FF4))</f>
        <v>0</v>
      </c>
      <c r="FH4" s="160">
        <f>IF([Chambre]*1='CHAMBRES FILLES 2e ETAGE'!$A$83,1,0)</f>
        <v>0</v>
      </c>
      <c r="FI4" s="160">
        <f>IF([Occurrence15]=0,0,SUM($FH$2:FH4))</f>
        <v>0</v>
      </c>
      <c r="FJ4" s="160">
        <f>IF([Chambre]*1='CHAMBRES FILLES 2e ETAGE'!$A$89,1,0)</f>
        <v>0</v>
      </c>
      <c r="FK4" s="160">
        <f>IF([Occurrence16]=0,0,SUM($FJ$2:FJ4))</f>
        <v>0</v>
      </c>
      <c r="FL4" s="160">
        <f>IF([Chambre]*1='CHAMBRES FILLES 2e ETAGE'!$A$95,1,0)</f>
        <v>0</v>
      </c>
      <c r="FM4" s="160">
        <f>IF([Occurrence17]=0,0,SUM($FL$2:FL4))</f>
        <v>0</v>
      </c>
      <c r="FN4" s="160">
        <f>IF([Chambre2]*1='CHAMBRES FILLES 1e ETAGE'!$A$5,1,0)</f>
        <v>0</v>
      </c>
      <c r="FO4" s="160">
        <f>IF([Occurrence18]=0,0,SUM($FN$2:FN4))</f>
        <v>0</v>
      </c>
      <c r="FP4" s="160">
        <f>IF([Chambre2]*1='CHAMBRES FILLES 1e ETAGE'!$A$11,1,0)</f>
        <v>0</v>
      </c>
      <c r="FQ4" s="160">
        <f>IF([Occurrence19]=0,0,SUM($FP$2:FP4))</f>
        <v>0</v>
      </c>
      <c r="FR4" s="160">
        <f>IF([Chambre2]*1='CHAMBRES FILLES 1e ETAGE'!$A$17,1,0)</f>
        <v>0</v>
      </c>
      <c r="FS4" s="160">
        <f>IF([Occurrence20]=0,0,SUM($FR$2:FR4))</f>
        <v>0</v>
      </c>
      <c r="FT4" s="160">
        <f>IF([Chambre2]*1='CHAMBRES FILLES 1e ETAGE'!$A$23,1,0)</f>
        <v>0</v>
      </c>
      <c r="FU4" s="160">
        <f>IF([Occurrence21]=0,0,SUM($FT$2:FT4))</f>
        <v>0</v>
      </c>
      <c r="FV4" s="160">
        <f>IF([Chambre2]*1='CHAMBRES FILLES 1e ETAGE'!$A$29,1,0)</f>
        <v>0</v>
      </c>
      <c r="FW4" s="160">
        <f>IF([Occurrence22]=0,0,SUM($FV$2:FV4))</f>
        <v>0</v>
      </c>
      <c r="FX4" s="160">
        <f>IF([Chambre2]*1='CHAMBRES FILLES 1e ETAGE'!$A$35,1,0)</f>
        <v>0</v>
      </c>
      <c r="FY4" s="160">
        <f>IF([Occurrence23]=0,0,SUM($FX$2:FX4))</f>
        <v>0</v>
      </c>
      <c r="FZ4" s="160">
        <f>IF([Chambre2]*1='CHAMBRES FILLES 1e ETAGE'!$A$41,1,0)</f>
        <v>0</v>
      </c>
      <c r="GA4" s="160">
        <f>IF([Occurrence24]=0,0,SUM($FZ$2:FZ4))</f>
        <v>0</v>
      </c>
      <c r="GB4" s="160">
        <f>IF([Chambre2]*1='CHAMBRES FILLES 1e ETAGE'!$A$47,1,0)</f>
        <v>0</v>
      </c>
      <c r="GC4" s="160">
        <f>IF([Occurrence25]=0,0,SUM($GB$2:GB4))</f>
        <v>0</v>
      </c>
      <c r="GD4" s="160">
        <f>IF([Chambre2]*1='CHAMBRES FILLES 1e ETAGE'!$A$53,1,0)</f>
        <v>0</v>
      </c>
      <c r="GE4" s="160">
        <f>IF([Occurrence26]=0,0,SUM($GD$2:GD4))</f>
        <v>0</v>
      </c>
      <c r="GF4" s="160">
        <f>IF([chambre4]*1='CHAMBRES GARCONS 1e ETAGE'!$A$5,1,0)</f>
        <v>0</v>
      </c>
      <c r="GG4" s="160">
        <f>IF([Occurrence27]=0,0,SUM($GF$2:GF4))</f>
        <v>0</v>
      </c>
      <c r="GH4" s="160">
        <f>IF([chambre4]*1='CHAMBRES GARCONS 1e ETAGE'!$A$11,1,0)</f>
        <v>0</v>
      </c>
      <c r="GI4" s="160">
        <f>IF([Occurrence28]=0,0,SUM($GH$2:GH4))</f>
        <v>0</v>
      </c>
      <c r="GJ4" s="160">
        <f>IF([chambre4]*1='CHAMBRES GARCONS 1e ETAGE'!$A$17,1,0)</f>
        <v>0</v>
      </c>
      <c r="GK4" s="160">
        <f>IF([Occurrence29]=0,0,SUM($GJ$2:GJ4))</f>
        <v>0</v>
      </c>
      <c r="GL4" s="160">
        <f>IF([chambre4]*1='CHAMBRES GARCONS 1e ETAGE'!$A$23,1,0)</f>
        <v>0</v>
      </c>
      <c r="GM4" s="160">
        <f>IF([Occurrence30]=0,0,SUM($GL$2:GL4))</f>
        <v>0</v>
      </c>
      <c r="GN4" s="160">
        <f>IF([chambre4]*1='CHAMBRES GARCONS 1e ETAGE'!$A$29,1,0)</f>
        <v>0</v>
      </c>
      <c r="GO4" s="160">
        <f>IF([Occurrence31]=0,0,SUM($GN$2:GN4))</f>
        <v>0</v>
      </c>
      <c r="GP4" s="160">
        <f>IF([chambre4]*1='CHAMBRES GARCONS 1e ETAGE'!$A$35,1,0)</f>
        <v>0</v>
      </c>
      <c r="GQ4" s="160">
        <f>IF([Occurrence32]=0,0,SUM($GP$2:GP4))</f>
        <v>0</v>
      </c>
      <c r="GR4" s="160">
        <f>IF([chambre3]*1='CHAMBRES GARCONS RDC'!$A$5,1,0)</f>
        <v>0</v>
      </c>
      <c r="GS4" s="160">
        <f>IF([Occurrence33]=0,0,SUM($GR$2:GR4))</f>
        <v>0</v>
      </c>
      <c r="GT4" s="160">
        <f>IF([chambre3]*1='CHAMBRES GARCONS RDC'!$A$11,1,0)</f>
        <v>0</v>
      </c>
      <c r="GU4" s="160">
        <f>IF([Occurrence34]=0,0,SUM($GT$2:GT4))</f>
        <v>0</v>
      </c>
      <c r="GV4" s="160">
        <f>IF([chambre3]*1='CHAMBRES GARCONS RDC'!$A$17,1,0)</f>
        <v>0</v>
      </c>
      <c r="GW4" s="160">
        <f>IF([Occurrence35]=0,0,SUM($GV$2:GV4))</f>
        <v>0</v>
      </c>
      <c r="GX4" s="160">
        <f>IF([chambre3]*1='CHAMBRES GARCONS RDC'!$A$23,1,0)</f>
        <v>0</v>
      </c>
      <c r="GY4" s="160">
        <f>IF([Occurrence36]=0,0,SUM($GX$2:GX4))</f>
        <v>0</v>
      </c>
      <c r="GZ4" s="160">
        <f>IF([chambre3]*1='CHAMBRES GARCONS RDC'!$A$29,1,0)</f>
        <v>0</v>
      </c>
      <c r="HA4" s="160">
        <f>IF([Occurrence37]=0,0,SUM($GZ$2:GZ4))</f>
        <v>0</v>
      </c>
      <c r="HB4" s="160">
        <f>IF([chambre3]*1='CHAMBRES GARCONS RDC'!$A$35,1,0)</f>
        <v>0</v>
      </c>
      <c r="HC4" s="160">
        <f>IF([Occurrence38]=0,0,SUM($HB$2:HB4))</f>
        <v>0</v>
      </c>
      <c r="HD4" s="160">
        <f>IF([chambre3]*1='CHAMBRES GARCONS RDC'!$A$41,1,0)</f>
        <v>0</v>
      </c>
      <c r="HE4" s="160">
        <f>IF([Occurrence39]=0,0,SUM($HD$2:HD4))</f>
        <v>0</v>
      </c>
      <c r="HF4" s="160">
        <f>IF([chambre3]*1='CHAMBRES GARCONS RDC'!$A$47,1,0)</f>
        <v>0</v>
      </c>
      <c r="HG4" s="160">
        <f>IF([Occurrence40]=0,0,SUM($HF$2:HF4))</f>
        <v>0</v>
      </c>
      <c r="HH4" s="160">
        <f>IF([chambre3]*1='CHAMBRES GARCONS RDC'!$A$53,1,0)</f>
        <v>0</v>
      </c>
      <c r="HI4" s="160">
        <f>IF([Occurrence41]=0,0,SUM($HH$2:HH4))</f>
        <v>0</v>
      </c>
      <c r="HJ4" s="160">
        <f>IF([chambre3]*1='CHAMBRES GARCONS RDC'!$A$59,1,0)</f>
        <v>0</v>
      </c>
      <c r="HK4" s="160">
        <f>IF([Occurrence42]=0,0,SUM($HJ$2:HJ4))</f>
        <v>0</v>
      </c>
      <c r="HL4" s="160">
        <f>IF([chambre3]*1='CHAMBRES GARCONS RDC'!$A$65,1,0)</f>
        <v>0</v>
      </c>
      <c r="HM4" s="160">
        <f>IF([Occurrence43]=0,0,SUM($HL$2:HL4))</f>
        <v>0</v>
      </c>
      <c r="HN4" s="160">
        <f>IF([chambre3]*1='CHAMBRES GARCONS RDC'!$A$71,1,0)</f>
        <v>0</v>
      </c>
      <c r="HO4" s="160">
        <f>IF([Occurrence44]=0,0,SUM($HN$2:HN4))</f>
        <v>0</v>
      </c>
      <c r="HP4" s="160">
        <f>IF([chambre3]*1='CHAMBRES GARCONS RDC'!$A$77,1,0)</f>
        <v>0</v>
      </c>
      <c r="HQ4" s="160">
        <f>IF([Occurrence45]=0,0,SUM($HP$2:HP4))</f>
        <v>0</v>
      </c>
      <c r="HR4" s="160">
        <f>IF([chambre3]*1='CHAMBRES GARCONS RDC'!$A$83,1,0)</f>
        <v>0</v>
      </c>
      <c r="HS4" s="160">
        <f>IF([Occurrence46]=0,0,SUM($HR$2:HR4))</f>
        <v>0</v>
      </c>
      <c r="HT4" s="160">
        <f>IF([chambre3]*1='CHAMBRES GARCONS RDC'!$A$89,1,0)</f>
        <v>0</v>
      </c>
      <c r="HU4" s="160">
        <f>IF([Occurrence47]=0,0,SUM($HT$2:HT4))</f>
        <v>0</v>
      </c>
      <c r="HV4" s="160">
        <f>IF([chambre3]*1='CHAMBRES GARCONS RDC'!$A$95,1,0)</f>
        <v>0</v>
      </c>
      <c r="HW4" s="160">
        <f>IF([Occurrence48]=0,0,SUM($HV$2:HV4))</f>
        <v>0</v>
      </c>
      <c r="HX4" s="160"/>
      <c r="HY4" s="160"/>
      <c r="HZ4" s="160">
        <f>IF([Classe]='Liste élève par classes'!$B$5,1,0)</f>
        <v>0</v>
      </c>
      <c r="IA4" s="160">
        <f>IF([Occurrence]=0,0,SUM($HZ$2:HZ4))</f>
        <v>0</v>
      </c>
      <c r="IB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167</v>
      </c>
      <c r="IC4" s="208"/>
    </row>
    <row r="5" spans="1:237">
      <c r="A5" t="s">
        <v>250</v>
      </c>
      <c r="B5" t="s">
        <v>251</v>
      </c>
      <c r="C5" s="158">
        <v>36660</v>
      </c>
      <c r="D5" s="62">
        <f t="shared" ca="1" si="0"/>
        <v>17</v>
      </c>
      <c r="E5" t="s">
        <v>1</v>
      </c>
      <c r="F5" s="159" t="s">
        <v>50</v>
      </c>
      <c r="G5" t="s">
        <v>45</v>
      </c>
      <c r="H5" s="160"/>
      <c r="I5" s="161"/>
      <c r="J5" s="161"/>
      <c r="K5" s="161"/>
      <c r="L5" s="160"/>
      <c r="M5">
        <v>222</v>
      </c>
      <c r="N5" s="161"/>
      <c r="O5" s="161"/>
      <c r="P5" s="161"/>
      <c r="Q5" s="161"/>
      <c r="R5" s="161"/>
      <c r="S5" s="190"/>
      <c r="T5" s="161"/>
      <c r="U5" s="160">
        <v>144</v>
      </c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3"/>
      <c r="AG5" s="163"/>
      <c r="AH5" s="163"/>
      <c r="AI5" s="163"/>
      <c r="AJ5" s="163"/>
      <c r="AK5" s="163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3"/>
      <c r="BA5" s="163"/>
      <c r="BB5" s="163"/>
      <c r="BC5" s="163" t="b">
        <v>0</v>
      </c>
      <c r="BD5" s="163" t="b">
        <v>1</v>
      </c>
      <c r="BE5" s="163" t="b">
        <v>1</v>
      </c>
      <c r="BF5" s="163" t="b">
        <v>0</v>
      </c>
      <c r="BG5" s="164" t="b">
        <v>0</v>
      </c>
      <c r="BH5" s="163" t="b">
        <v>1</v>
      </c>
      <c r="BI5" s="163"/>
      <c r="BJ5" s="163"/>
      <c r="BK5" s="163"/>
      <c r="BL5" s="163"/>
      <c r="BM5" s="163"/>
      <c r="BN5" s="163"/>
      <c r="BO5" s="163"/>
      <c r="BP5" s="163"/>
      <c r="BQ5" s="163" t="b">
        <v>0</v>
      </c>
      <c r="BR5" s="163"/>
      <c r="BS5" s="163"/>
      <c r="BT5" s="163"/>
      <c r="BU5" s="163"/>
      <c r="BV5" s="163"/>
      <c r="BW5" s="163"/>
      <c r="BX5" s="163"/>
      <c r="BY5" s="163"/>
      <c r="BZ5" s="163"/>
      <c r="CA5" s="163"/>
      <c r="CB5" s="163"/>
      <c r="CC5" s="163"/>
      <c r="CD5" s="163"/>
      <c r="CE5" s="163"/>
      <c r="CF5" s="163"/>
      <c r="CG5" s="163"/>
      <c r="CH5" s="163"/>
      <c r="CI5" s="163"/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163"/>
      <c r="CW5" s="163"/>
      <c r="CX5" s="163"/>
      <c r="CY5" s="163"/>
      <c r="CZ5" s="163"/>
      <c r="DA5" s="163"/>
      <c r="DB5" s="163"/>
      <c r="DC5" s="163"/>
      <c r="DD5" s="163"/>
      <c r="DE5" s="163"/>
      <c r="DF5" s="163"/>
      <c r="DG5" s="208"/>
      <c r="DH5" s="163"/>
      <c r="DI5" s="163"/>
      <c r="DJ5" s="163"/>
      <c r="DK5" s="163"/>
      <c r="DL5" s="163"/>
      <c r="DM5" s="163"/>
      <c r="DN5" s="163"/>
      <c r="DO5" s="163"/>
      <c r="DP5" s="163"/>
      <c r="DQ5" s="163"/>
      <c r="DR5" s="163"/>
      <c r="DS5" s="163"/>
      <c r="DT5" s="163"/>
      <c r="DU5" s="163"/>
      <c r="DV5" s="163"/>
      <c r="DW5" s="163"/>
      <c r="DX5" s="163"/>
      <c r="DY5" s="163"/>
      <c r="DZ5" s="163"/>
      <c r="EA5" s="163"/>
      <c r="EB5" s="163"/>
      <c r="EC5" s="163"/>
      <c r="ED5" s="163"/>
      <c r="EE5" s="163"/>
      <c r="EF5" s="163"/>
      <c r="EG5" s="163"/>
      <c r="EH5" s="160">
        <f>IF([Chambre]*1='CHAMBRES FILLES 2e ETAGE'!$A$5,1,0)</f>
        <v>0</v>
      </c>
      <c r="EI5" s="161">
        <f>IF([Occurrence2]=0,0,SUM($EH$2:EH5))</f>
        <v>0</v>
      </c>
      <c r="EJ5" s="160">
        <f>IF([Chambre]*1='CHAMBRES FILLES 2e ETAGE'!$A$11,1,0)</f>
        <v>0</v>
      </c>
      <c r="EK5" s="160">
        <f>IF([Occurrence3]=0,0,SUM($EJ$2:EJ5))</f>
        <v>0</v>
      </c>
      <c r="EL5" s="160">
        <f>IF([Chambre]*1='CHAMBRES FILLES 2e ETAGE'!$A$17,1,0)</f>
        <v>0</v>
      </c>
      <c r="EM5" s="160">
        <f>IF([Occurrence4]=0,0,SUM($EL$2:EL5))</f>
        <v>0</v>
      </c>
      <c r="EN5" s="160">
        <f>IF([Chambre]*1='CHAMBRES FILLES 2e ETAGE'!$A$23,1,0)</f>
        <v>0</v>
      </c>
      <c r="EO5" s="160">
        <f>IF([Occurrence5]=0,0,SUM($EN$2:EN5))</f>
        <v>0</v>
      </c>
      <c r="EP5" s="160">
        <f>IF([Chambre]*1='CHAMBRES FILLES 2e ETAGE'!$A$29,1,0)</f>
        <v>0</v>
      </c>
      <c r="EQ5" s="160">
        <f>IF([Occurrence6]=0,0,SUM($EP$2:EP5))</f>
        <v>0</v>
      </c>
      <c r="ER5" s="160">
        <f>IF([Chambre]*1='CHAMBRES FILLES 2e ETAGE'!$A$35,1,0)</f>
        <v>0</v>
      </c>
      <c r="ES5" s="160">
        <f>IF([Occurrence7]=0,0,SUM($ER$2:ER5))</f>
        <v>0</v>
      </c>
      <c r="ET5" s="160">
        <f>IF([Chambre]*1='CHAMBRES FILLES 2e ETAGE'!$A$41,1,0)</f>
        <v>0</v>
      </c>
      <c r="EU5" s="160">
        <f>IF([Occurrence8]=0,0,SUM($ET$2:ET5))</f>
        <v>0</v>
      </c>
      <c r="EV5" s="160">
        <f>IF([Chambre]*1='CHAMBRES FILLES 2e ETAGE'!$A$47,1,0)</f>
        <v>0</v>
      </c>
      <c r="EW5" s="160">
        <f>IF([Occurrence9]=0,0,SUM($EV$2:EV5))</f>
        <v>0</v>
      </c>
      <c r="EX5" s="160">
        <f>IF([Chambre]*1='CHAMBRES FILLES 2e ETAGE'!$A$53,1,0)</f>
        <v>0</v>
      </c>
      <c r="EY5" s="160">
        <f>IF([Occurrence10]=0,0,SUM($EX$2:EX5))</f>
        <v>0</v>
      </c>
      <c r="EZ5" s="160">
        <f>IF([Chambre]*1='CHAMBRES FILLES 2e ETAGE'!$A$59,1,0)</f>
        <v>0</v>
      </c>
      <c r="FA5" s="160">
        <f>IF([Occurrence11]=0,0,SUM($EZ$2:EZ5))</f>
        <v>0</v>
      </c>
      <c r="FB5" s="160">
        <f>IF([Chambre]*1='CHAMBRES FILLES 2e ETAGE'!$A$65,1,0)</f>
        <v>0</v>
      </c>
      <c r="FC5" s="160">
        <f>IF([Occurrence12]=0,0,SUM($FB$2:FB5))</f>
        <v>0</v>
      </c>
      <c r="FD5" s="160">
        <f>IF([Chambre]*1='CHAMBRES FILLES 2e ETAGE'!$A$71,1,0)</f>
        <v>0</v>
      </c>
      <c r="FE5" s="160">
        <f>IF([Occurrence13]=0,0,SUM($FD$2:FD5))</f>
        <v>0</v>
      </c>
      <c r="FF5" s="160">
        <f>IF([Chambre]*1='CHAMBRES FILLES 2e ETAGE'!$A$77,1,0)</f>
        <v>0</v>
      </c>
      <c r="FG5" s="160">
        <f>IF([Occurrence14]=0,0,SUM($FF$2:FF5))</f>
        <v>0</v>
      </c>
      <c r="FH5" s="160">
        <f>IF([Chambre]*1='CHAMBRES FILLES 2e ETAGE'!$A$83,1,0)</f>
        <v>0</v>
      </c>
      <c r="FI5" s="160">
        <f>IF([Occurrence15]=0,0,SUM($FH$2:FH5))</f>
        <v>0</v>
      </c>
      <c r="FJ5" s="160">
        <f>IF([Chambre]*1='CHAMBRES FILLES 2e ETAGE'!$A$89,1,0)</f>
        <v>0</v>
      </c>
      <c r="FK5" s="160">
        <f>IF([Occurrence16]=0,0,SUM($FJ$2:FJ5))</f>
        <v>0</v>
      </c>
      <c r="FL5" s="160">
        <f>IF([Chambre]*1='CHAMBRES FILLES 2e ETAGE'!$A$95,1,0)</f>
        <v>0</v>
      </c>
      <c r="FM5" s="160">
        <f>IF([Occurrence17]=0,0,SUM($FL$2:FL5))</f>
        <v>0</v>
      </c>
      <c r="FN5" s="160">
        <f>IF([Chambre2]*1='CHAMBRES FILLES 1e ETAGE'!$A$5,1,0)</f>
        <v>0</v>
      </c>
      <c r="FO5" s="160">
        <f>IF([Occurrence18]=0,0,SUM($FN$2:FN5))</f>
        <v>0</v>
      </c>
      <c r="FP5" s="160">
        <f>IF([Chambre2]*1='CHAMBRES FILLES 1e ETAGE'!$A$11,1,0)</f>
        <v>0</v>
      </c>
      <c r="FQ5" s="160">
        <f>IF([Occurrence19]=0,0,SUM($FP$2:FP5))</f>
        <v>0</v>
      </c>
      <c r="FR5" s="160">
        <f>IF([Chambre2]*1='CHAMBRES FILLES 1e ETAGE'!$A$17,1,0)</f>
        <v>0</v>
      </c>
      <c r="FS5" s="160">
        <f>IF([Occurrence20]=0,0,SUM($FR$2:FR5))</f>
        <v>0</v>
      </c>
      <c r="FT5" s="160">
        <f>IF([Chambre2]*1='CHAMBRES FILLES 1e ETAGE'!$A$23,1,0)</f>
        <v>0</v>
      </c>
      <c r="FU5" s="160">
        <f>IF([Occurrence21]=0,0,SUM($FT$2:FT5))</f>
        <v>0</v>
      </c>
      <c r="FV5" s="160">
        <f>IF([Chambre2]*1='CHAMBRES FILLES 1e ETAGE'!$A$29,1,0)</f>
        <v>0</v>
      </c>
      <c r="FW5" s="160">
        <f>IF([Occurrence22]=0,0,SUM($FV$2:FV5))</f>
        <v>0</v>
      </c>
      <c r="FX5" s="160">
        <f>IF([Chambre2]*1='CHAMBRES FILLES 1e ETAGE'!$A$35,1,0)</f>
        <v>0</v>
      </c>
      <c r="FY5" s="160">
        <f>IF([Occurrence23]=0,0,SUM($FX$2:FX5))</f>
        <v>0</v>
      </c>
      <c r="FZ5" s="160">
        <f>IF([Chambre2]*1='CHAMBRES FILLES 1e ETAGE'!$A$41,1,0)</f>
        <v>0</v>
      </c>
      <c r="GA5" s="160">
        <f>IF([Occurrence24]=0,0,SUM($FZ$2:FZ5))</f>
        <v>0</v>
      </c>
      <c r="GB5" s="160">
        <f>IF([Chambre2]*1='CHAMBRES FILLES 1e ETAGE'!$A$47,1,0)</f>
        <v>1</v>
      </c>
      <c r="GC5" s="160">
        <f>IF([Occurrence25]=0,0,SUM($GB$2:GB5))</f>
        <v>1</v>
      </c>
      <c r="GD5" s="160">
        <f>IF([Chambre2]*1='CHAMBRES FILLES 1e ETAGE'!$A$53,1,0)</f>
        <v>0</v>
      </c>
      <c r="GE5" s="160">
        <f>IF([Occurrence26]=0,0,SUM($GD$2:GD5))</f>
        <v>0</v>
      </c>
      <c r="GF5" s="160">
        <f>IF([chambre4]*1='CHAMBRES GARCONS 1e ETAGE'!$A$5,1,0)</f>
        <v>0</v>
      </c>
      <c r="GG5" s="160">
        <f>IF([Occurrence27]=0,0,SUM($GF$2:GF5))</f>
        <v>0</v>
      </c>
      <c r="GH5" s="160">
        <f>IF([chambre4]*1='CHAMBRES GARCONS 1e ETAGE'!$A$11,1,0)</f>
        <v>0</v>
      </c>
      <c r="GI5" s="160">
        <f>IF([Occurrence28]=0,0,SUM($GH$2:GH5))</f>
        <v>0</v>
      </c>
      <c r="GJ5" s="160">
        <f>IF([chambre4]*1='CHAMBRES GARCONS 1e ETAGE'!$A$17,1,0)</f>
        <v>0</v>
      </c>
      <c r="GK5" s="160">
        <f>IF([Occurrence29]=0,0,SUM($GJ$2:GJ5))</f>
        <v>0</v>
      </c>
      <c r="GL5" s="160">
        <f>IF([chambre4]*1='CHAMBRES GARCONS 1e ETAGE'!$A$23,1,0)</f>
        <v>0</v>
      </c>
      <c r="GM5" s="160">
        <f>IF([Occurrence30]=0,0,SUM($GL$2:GL5))</f>
        <v>0</v>
      </c>
      <c r="GN5" s="160">
        <f>IF([chambre4]*1='CHAMBRES GARCONS 1e ETAGE'!$A$29,1,0)</f>
        <v>0</v>
      </c>
      <c r="GO5" s="160">
        <f>IF([Occurrence31]=0,0,SUM($GN$2:GN5))</f>
        <v>0</v>
      </c>
      <c r="GP5" s="160">
        <f>IF([chambre4]*1='CHAMBRES GARCONS 1e ETAGE'!$A$35,1,0)</f>
        <v>0</v>
      </c>
      <c r="GQ5" s="160">
        <f>IF([Occurrence32]=0,0,SUM($GP$2:GP5))</f>
        <v>0</v>
      </c>
      <c r="GR5" s="160">
        <f>IF([chambre3]*1='CHAMBRES GARCONS RDC'!$A$5,1,0)</f>
        <v>0</v>
      </c>
      <c r="GS5" s="160">
        <f>IF([Occurrence33]=0,0,SUM($GR$2:GR5))</f>
        <v>0</v>
      </c>
      <c r="GT5" s="160">
        <f>IF([chambre3]*1='CHAMBRES GARCONS RDC'!$A$11,1,0)</f>
        <v>0</v>
      </c>
      <c r="GU5" s="160">
        <f>IF([Occurrence34]=0,0,SUM($GT$2:GT5))</f>
        <v>0</v>
      </c>
      <c r="GV5" s="160">
        <f>IF([chambre3]*1='CHAMBRES GARCONS RDC'!$A$17,1,0)</f>
        <v>0</v>
      </c>
      <c r="GW5" s="160">
        <f>IF([Occurrence35]=0,0,SUM($GV$2:GV5))</f>
        <v>0</v>
      </c>
      <c r="GX5" s="160">
        <f>IF([chambre3]*1='CHAMBRES GARCONS RDC'!$A$23,1,0)</f>
        <v>0</v>
      </c>
      <c r="GY5" s="160">
        <f>IF([Occurrence36]=0,0,SUM($GX$2:GX5))</f>
        <v>0</v>
      </c>
      <c r="GZ5" s="160">
        <f>IF([chambre3]*1='CHAMBRES GARCONS RDC'!$A$29,1,0)</f>
        <v>0</v>
      </c>
      <c r="HA5" s="160">
        <f>IF([Occurrence37]=0,0,SUM($GZ$2:GZ5))</f>
        <v>0</v>
      </c>
      <c r="HB5" s="160">
        <f>IF([chambre3]*1='CHAMBRES GARCONS RDC'!$A$35,1,0)</f>
        <v>0</v>
      </c>
      <c r="HC5" s="160">
        <f>IF([Occurrence38]=0,0,SUM($HB$2:HB5))</f>
        <v>0</v>
      </c>
      <c r="HD5" s="160">
        <f>IF([chambre3]*1='CHAMBRES GARCONS RDC'!$A$41,1,0)</f>
        <v>0</v>
      </c>
      <c r="HE5" s="160">
        <f>IF([Occurrence39]=0,0,SUM($HD$2:HD5))</f>
        <v>0</v>
      </c>
      <c r="HF5" s="160">
        <f>IF([chambre3]*1='CHAMBRES GARCONS RDC'!$A$47,1,0)</f>
        <v>0</v>
      </c>
      <c r="HG5" s="160">
        <f>IF([Occurrence40]=0,0,SUM($HF$2:HF5))</f>
        <v>0</v>
      </c>
      <c r="HH5" s="160">
        <f>IF([chambre3]*1='CHAMBRES GARCONS RDC'!$A$53,1,0)</f>
        <v>0</v>
      </c>
      <c r="HI5" s="160">
        <f>IF([Occurrence41]=0,0,SUM($HH$2:HH5))</f>
        <v>0</v>
      </c>
      <c r="HJ5" s="160">
        <f>IF([chambre3]*1='CHAMBRES GARCONS RDC'!$A$59,1,0)</f>
        <v>0</v>
      </c>
      <c r="HK5" s="160">
        <f>IF([Occurrence42]=0,0,SUM($HJ$2:HJ5))</f>
        <v>0</v>
      </c>
      <c r="HL5" s="160">
        <f>IF([chambre3]*1='CHAMBRES GARCONS RDC'!$A$65,1,0)</f>
        <v>0</v>
      </c>
      <c r="HM5" s="160">
        <f>IF([Occurrence43]=0,0,SUM($HL$2:HL5))</f>
        <v>0</v>
      </c>
      <c r="HN5" s="160">
        <f>IF([chambre3]*1='CHAMBRES GARCONS RDC'!$A$71,1,0)</f>
        <v>0</v>
      </c>
      <c r="HO5" s="160">
        <f>IF([Occurrence44]=0,0,SUM($HN$2:HN5))</f>
        <v>0</v>
      </c>
      <c r="HP5" s="160">
        <f>IF([chambre3]*1='CHAMBRES GARCONS RDC'!$A$77,1,0)</f>
        <v>0</v>
      </c>
      <c r="HQ5" s="160">
        <f>IF([Occurrence45]=0,0,SUM($HP$2:HP5))</f>
        <v>0</v>
      </c>
      <c r="HR5" s="160">
        <f>IF([chambre3]*1='CHAMBRES GARCONS RDC'!$A$83,1,0)</f>
        <v>0</v>
      </c>
      <c r="HS5" s="160">
        <f>IF([Occurrence46]=0,0,SUM($HR$2:HR5))</f>
        <v>0</v>
      </c>
      <c r="HT5" s="160">
        <f>IF([chambre3]*1='CHAMBRES GARCONS RDC'!$A$89,1,0)</f>
        <v>0</v>
      </c>
      <c r="HU5" s="160">
        <f>IF([Occurrence47]=0,0,SUM($HT$2:HT5))</f>
        <v>0</v>
      </c>
      <c r="HV5" s="160">
        <f>IF([chambre3]*1='CHAMBRES GARCONS RDC'!$A$95,1,0)</f>
        <v>0</v>
      </c>
      <c r="HW5" s="160">
        <f>IF([Occurrence48]=0,0,SUM($HV$2:HV5))</f>
        <v>0</v>
      </c>
      <c r="HX5" s="160"/>
      <c r="HY5" s="160"/>
      <c r="HZ5" s="160">
        <f>IF([Classe]='Liste élève par classes'!$B$5,1,0)</f>
        <v>0</v>
      </c>
      <c r="IA5" s="160">
        <f>IF([Occurrence]=0,0,SUM($HZ$2:HZ5))</f>
        <v>0</v>
      </c>
      <c r="IB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144</v>
      </c>
      <c r="IC5" s="208"/>
    </row>
    <row r="6" spans="1:237">
      <c r="A6" t="s">
        <v>252</v>
      </c>
      <c r="B6" t="s">
        <v>253</v>
      </c>
      <c r="C6" s="158">
        <v>36381</v>
      </c>
      <c r="D6" s="62">
        <f t="shared" ca="1" si="0"/>
        <v>18</v>
      </c>
      <c r="E6" t="s">
        <v>3</v>
      </c>
      <c r="F6" s="165" t="s">
        <v>46</v>
      </c>
      <c r="G6" t="s">
        <v>40</v>
      </c>
      <c r="H6" s="160"/>
      <c r="I6" s="62"/>
      <c r="J6" s="62"/>
      <c r="K6" s="62"/>
      <c r="L6" s="160"/>
      <c r="M6" s="62"/>
      <c r="N6" s="62"/>
      <c r="O6" s="62"/>
      <c r="P6" s="62"/>
      <c r="Q6" s="62"/>
      <c r="R6" s="62"/>
      <c r="S6" s="62"/>
      <c r="T6" s="62"/>
      <c r="U6" s="61"/>
      <c r="V6" s="62"/>
      <c r="W6" s="62"/>
      <c r="X6" s="62"/>
      <c r="Y6" s="62"/>
      <c r="Z6" s="62"/>
      <c r="AA6" s="62"/>
      <c r="AB6" s="62"/>
      <c r="AC6" s="62"/>
      <c r="AD6" s="62"/>
      <c r="AE6" s="62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3"/>
      <c r="AS6" s="163"/>
      <c r="AT6" s="163"/>
      <c r="AU6" s="163"/>
      <c r="AV6" s="163"/>
      <c r="AW6" s="163"/>
      <c r="AX6" s="163"/>
      <c r="AY6" s="163"/>
      <c r="AZ6" s="163"/>
      <c r="BA6" s="163"/>
      <c r="BB6" s="163"/>
      <c r="BC6" s="163" t="b">
        <v>0</v>
      </c>
      <c r="BD6" s="163" t="b">
        <v>0</v>
      </c>
      <c r="BE6" s="163" t="b">
        <v>0</v>
      </c>
      <c r="BF6" s="163" t="b">
        <v>0</v>
      </c>
      <c r="BG6" s="163" t="b">
        <v>0</v>
      </c>
      <c r="BH6" s="163" t="b">
        <v>0</v>
      </c>
      <c r="BI6" s="163" t="b">
        <v>1</v>
      </c>
      <c r="BJ6" s="163" t="b">
        <v>0</v>
      </c>
      <c r="BK6" s="163" t="b">
        <v>0</v>
      </c>
      <c r="BL6" s="163" t="b">
        <v>0</v>
      </c>
      <c r="BM6" s="163"/>
      <c r="BN6" s="163"/>
      <c r="BO6" s="163"/>
      <c r="BP6" s="163"/>
      <c r="BQ6" s="163"/>
      <c r="BR6" s="163"/>
      <c r="BS6" s="163"/>
      <c r="BT6" s="163"/>
      <c r="BU6" s="163"/>
      <c r="BV6" s="163"/>
      <c r="BW6" s="163"/>
      <c r="BX6" s="163"/>
      <c r="BY6" s="163"/>
      <c r="BZ6" s="163"/>
      <c r="CA6" s="163"/>
      <c r="CB6" s="163"/>
      <c r="CC6" s="163"/>
      <c r="CD6" s="163"/>
      <c r="CE6" s="163"/>
      <c r="CF6" s="163"/>
      <c r="CG6" s="163"/>
      <c r="CH6" s="163"/>
      <c r="CI6" s="163"/>
      <c r="CJ6" s="163"/>
      <c r="CK6" s="163"/>
      <c r="CL6" s="163"/>
      <c r="CM6" s="163"/>
      <c r="CN6" s="163"/>
      <c r="CO6" s="163"/>
      <c r="CP6" s="163"/>
      <c r="CQ6" s="163"/>
      <c r="CR6" s="163"/>
      <c r="CS6" s="163"/>
      <c r="CT6" s="163"/>
      <c r="CU6" s="163"/>
      <c r="CV6" s="163"/>
      <c r="CW6" s="163"/>
      <c r="CX6" s="163"/>
      <c r="CY6" s="163"/>
      <c r="CZ6" s="163"/>
      <c r="DA6" s="163"/>
      <c r="DB6" s="163"/>
      <c r="DC6" s="163"/>
      <c r="DD6" s="163"/>
      <c r="DE6" s="163"/>
      <c r="DF6" s="163"/>
      <c r="DG6" s="163"/>
      <c r="DH6" s="163"/>
      <c r="DI6" s="163"/>
      <c r="DJ6" s="163"/>
      <c r="DK6" s="163"/>
      <c r="DL6" s="163"/>
      <c r="DM6" s="163"/>
      <c r="DN6" s="163"/>
      <c r="DO6" s="163"/>
      <c r="DP6" s="163"/>
      <c r="DQ6" s="163"/>
      <c r="DR6" s="163"/>
      <c r="DS6" s="163"/>
      <c r="DT6" s="163"/>
      <c r="DU6" s="163"/>
      <c r="DV6" s="163"/>
      <c r="DW6" s="163"/>
      <c r="DX6" s="163"/>
      <c r="DY6" s="163"/>
      <c r="DZ6" s="163"/>
      <c r="EA6" s="163"/>
      <c r="EB6" s="163"/>
      <c r="EC6" s="163"/>
      <c r="ED6" s="163"/>
      <c r="EE6" s="163"/>
      <c r="EF6" s="163"/>
      <c r="EG6" s="163"/>
      <c r="EH6" s="160">
        <f>IF([Chambre]*1='CHAMBRES FILLES 2e ETAGE'!$A$5,1,0)</f>
        <v>0</v>
      </c>
      <c r="EI6" s="161">
        <f>IF([Occurrence2]=0,0,SUM($EH$2:EH6))</f>
        <v>0</v>
      </c>
      <c r="EJ6" s="160">
        <f>IF([Chambre]*1='CHAMBRES FILLES 2e ETAGE'!$A$11,1,0)</f>
        <v>0</v>
      </c>
      <c r="EK6" s="160">
        <f>IF([Occurrence3]=0,0,SUM($EJ$2:EJ6))</f>
        <v>0</v>
      </c>
      <c r="EL6" s="160">
        <f>IF([Chambre]*1='CHAMBRES FILLES 2e ETAGE'!$A$17,1,0)</f>
        <v>0</v>
      </c>
      <c r="EM6" s="160">
        <f>IF([Occurrence4]=0,0,SUM($EL$2:EL6))</f>
        <v>0</v>
      </c>
      <c r="EN6" s="160">
        <f>IF([Chambre]*1='CHAMBRES FILLES 2e ETAGE'!$A$23,1,0)</f>
        <v>0</v>
      </c>
      <c r="EO6" s="160">
        <f>IF([Occurrence5]=0,0,SUM($EN$2:EN6))</f>
        <v>0</v>
      </c>
      <c r="EP6" s="160">
        <f>IF([Chambre]*1='CHAMBRES FILLES 2e ETAGE'!$A$29,1,0)</f>
        <v>0</v>
      </c>
      <c r="EQ6" s="160">
        <f>IF([Occurrence6]=0,0,SUM($EP$2:EP6))</f>
        <v>0</v>
      </c>
      <c r="ER6" s="160">
        <f>IF([Chambre]*1='CHAMBRES FILLES 2e ETAGE'!$A$35,1,0)</f>
        <v>0</v>
      </c>
      <c r="ES6" s="160">
        <f>IF([Occurrence7]=0,0,SUM($ER$2:ER6))</f>
        <v>0</v>
      </c>
      <c r="ET6" s="160">
        <f>IF([Chambre]*1='CHAMBRES FILLES 2e ETAGE'!$A$41,1,0)</f>
        <v>0</v>
      </c>
      <c r="EU6" s="160">
        <f>IF([Occurrence8]=0,0,SUM($ET$2:ET6))</f>
        <v>0</v>
      </c>
      <c r="EV6" s="160">
        <f>IF([Chambre]*1='CHAMBRES FILLES 2e ETAGE'!$A$47,1,0)</f>
        <v>0</v>
      </c>
      <c r="EW6" s="160">
        <f>IF([Occurrence9]=0,0,SUM($EV$2:EV6))</f>
        <v>0</v>
      </c>
      <c r="EX6" s="160">
        <f>IF([Chambre]*1='CHAMBRES FILLES 2e ETAGE'!$A$53,1,0)</f>
        <v>0</v>
      </c>
      <c r="EY6" s="160">
        <f>IF([Occurrence10]=0,0,SUM($EX$2:EX6))</f>
        <v>0</v>
      </c>
      <c r="EZ6" s="160">
        <f>IF([Chambre]*1='CHAMBRES FILLES 2e ETAGE'!$A$59,1,0)</f>
        <v>0</v>
      </c>
      <c r="FA6" s="160">
        <f>IF([Occurrence11]=0,0,SUM($EZ$2:EZ6))</f>
        <v>0</v>
      </c>
      <c r="FB6" s="160">
        <f>IF([Chambre]*1='CHAMBRES FILLES 2e ETAGE'!$A$65,1,0)</f>
        <v>0</v>
      </c>
      <c r="FC6" s="160">
        <f>IF([Occurrence12]=0,0,SUM($FB$2:FB6))</f>
        <v>0</v>
      </c>
      <c r="FD6" s="160">
        <f>IF([Chambre]*1='CHAMBRES FILLES 2e ETAGE'!$A$71,1,0)</f>
        <v>0</v>
      </c>
      <c r="FE6" s="160">
        <f>IF([Occurrence13]=0,0,SUM($FD$2:FD6))</f>
        <v>0</v>
      </c>
      <c r="FF6" s="160">
        <f>IF([Chambre]*1='CHAMBRES FILLES 2e ETAGE'!$A$77,1,0)</f>
        <v>0</v>
      </c>
      <c r="FG6" s="160">
        <f>IF([Occurrence14]=0,0,SUM($FF$2:FF6))</f>
        <v>0</v>
      </c>
      <c r="FH6" s="160">
        <f>IF([Chambre]*1='CHAMBRES FILLES 2e ETAGE'!$A$83,1,0)</f>
        <v>0</v>
      </c>
      <c r="FI6" s="160">
        <f>IF([Occurrence15]=0,0,SUM($FH$2:FH6))</f>
        <v>0</v>
      </c>
      <c r="FJ6" s="160">
        <f>IF([Chambre]*1='CHAMBRES FILLES 2e ETAGE'!$A$89,1,0)</f>
        <v>0</v>
      </c>
      <c r="FK6" s="160">
        <f>IF([Occurrence16]=0,0,SUM($FJ$2:FJ6))</f>
        <v>0</v>
      </c>
      <c r="FL6" s="160">
        <f>IF([Chambre]*1='CHAMBRES FILLES 2e ETAGE'!$A$95,1,0)</f>
        <v>0</v>
      </c>
      <c r="FM6" s="160">
        <f>IF([Occurrence17]=0,0,SUM($FL$2:FL6))</f>
        <v>0</v>
      </c>
      <c r="FN6" s="160">
        <f>IF([Chambre2]*1='CHAMBRES FILLES 1e ETAGE'!$A$5,1,0)</f>
        <v>0</v>
      </c>
      <c r="FO6" s="160">
        <f>IF([Occurrence18]=0,0,SUM($FN$2:FN6))</f>
        <v>0</v>
      </c>
      <c r="FP6" s="160">
        <f>IF([Chambre2]*1='CHAMBRES FILLES 1e ETAGE'!$A$11,1,0)</f>
        <v>0</v>
      </c>
      <c r="FQ6" s="160">
        <f>IF([Occurrence19]=0,0,SUM($FP$2:FP6))</f>
        <v>0</v>
      </c>
      <c r="FR6" s="160">
        <f>IF([Chambre2]*1='CHAMBRES FILLES 1e ETAGE'!$A$17,1,0)</f>
        <v>0</v>
      </c>
      <c r="FS6" s="160">
        <f>IF([Occurrence20]=0,0,SUM($FR$2:FR6))</f>
        <v>0</v>
      </c>
      <c r="FT6" s="160">
        <f>IF([Chambre2]*1='CHAMBRES FILLES 1e ETAGE'!$A$23,1,0)</f>
        <v>0</v>
      </c>
      <c r="FU6" s="160">
        <f>IF([Occurrence21]=0,0,SUM($FT$2:FT6))</f>
        <v>0</v>
      </c>
      <c r="FV6" s="160">
        <f>IF([Chambre2]*1='CHAMBRES FILLES 1e ETAGE'!$A$29,1,0)</f>
        <v>0</v>
      </c>
      <c r="FW6" s="160">
        <f>IF([Occurrence22]=0,0,SUM($FV$2:FV6))</f>
        <v>0</v>
      </c>
      <c r="FX6" s="160">
        <f>IF([Chambre2]*1='CHAMBRES FILLES 1e ETAGE'!$A$35,1,0)</f>
        <v>0</v>
      </c>
      <c r="FY6" s="160">
        <f>IF([Occurrence23]=0,0,SUM($FX$2:FX6))</f>
        <v>0</v>
      </c>
      <c r="FZ6" s="160">
        <f>IF([Chambre2]*1='CHAMBRES FILLES 1e ETAGE'!$A$41,1,0)</f>
        <v>0</v>
      </c>
      <c r="GA6" s="160">
        <f>IF([Occurrence24]=0,0,SUM($FZ$2:FZ6))</f>
        <v>0</v>
      </c>
      <c r="GB6" s="160">
        <f>IF([Chambre2]*1='CHAMBRES FILLES 1e ETAGE'!$A$47,1,0)</f>
        <v>0</v>
      </c>
      <c r="GC6" s="160">
        <f>IF([Occurrence25]=0,0,SUM($GB$2:GB6))</f>
        <v>0</v>
      </c>
      <c r="GD6" s="160">
        <f>IF([Chambre2]*1='CHAMBRES FILLES 1e ETAGE'!$A$53,1,0)</f>
        <v>0</v>
      </c>
      <c r="GE6" s="160">
        <f>IF([Occurrence26]=0,0,SUM($GD$2:GD6))</f>
        <v>0</v>
      </c>
      <c r="GF6" s="160">
        <f>IF([chambre4]*1='CHAMBRES GARCONS 1e ETAGE'!$A$5,1,0)</f>
        <v>0</v>
      </c>
      <c r="GG6" s="160">
        <f>IF([Occurrence27]=0,0,SUM($GF$2:GF6))</f>
        <v>0</v>
      </c>
      <c r="GH6" s="160">
        <f>IF([chambre4]*1='CHAMBRES GARCONS 1e ETAGE'!$A$11,1,0)</f>
        <v>0</v>
      </c>
      <c r="GI6" s="160">
        <f>IF([Occurrence28]=0,0,SUM($GH$2:GH6))</f>
        <v>0</v>
      </c>
      <c r="GJ6" s="160">
        <f>IF([chambre4]*1='CHAMBRES GARCONS 1e ETAGE'!$A$17,1,0)</f>
        <v>0</v>
      </c>
      <c r="GK6" s="160">
        <f>IF([Occurrence29]=0,0,SUM($GJ$2:GJ6))</f>
        <v>0</v>
      </c>
      <c r="GL6" s="160">
        <f>IF([chambre4]*1='CHAMBRES GARCONS 1e ETAGE'!$A$23,1,0)</f>
        <v>0</v>
      </c>
      <c r="GM6" s="160">
        <f>IF([Occurrence30]=0,0,SUM($GL$2:GL6))</f>
        <v>0</v>
      </c>
      <c r="GN6" s="160">
        <f>IF([chambre4]*1='CHAMBRES GARCONS 1e ETAGE'!$A$29,1,0)</f>
        <v>0</v>
      </c>
      <c r="GO6" s="160">
        <f>IF([Occurrence31]=0,0,SUM($GN$2:GN6))</f>
        <v>0</v>
      </c>
      <c r="GP6" s="160">
        <f>IF([chambre4]*1='CHAMBRES GARCONS 1e ETAGE'!$A$35,1,0)</f>
        <v>0</v>
      </c>
      <c r="GQ6" s="160">
        <f>IF([Occurrence32]=0,0,SUM($GP$2:GP6))</f>
        <v>0</v>
      </c>
      <c r="GR6" s="160">
        <f>IF([chambre3]*1='CHAMBRES GARCONS RDC'!$A$5,1,0)</f>
        <v>0</v>
      </c>
      <c r="GS6" s="160">
        <f>IF([Occurrence33]=0,0,SUM($GR$2:GR6))</f>
        <v>0</v>
      </c>
      <c r="GT6" s="160">
        <f>IF([chambre3]*1='CHAMBRES GARCONS RDC'!$A$11,1,0)</f>
        <v>0</v>
      </c>
      <c r="GU6" s="160">
        <f>IF([Occurrence34]=0,0,SUM($GT$2:GT6))</f>
        <v>0</v>
      </c>
      <c r="GV6" s="160">
        <f>IF([chambre3]*1='CHAMBRES GARCONS RDC'!$A$17,1,0)</f>
        <v>0</v>
      </c>
      <c r="GW6" s="160">
        <f>IF([Occurrence35]=0,0,SUM($GV$2:GV6))</f>
        <v>0</v>
      </c>
      <c r="GX6" s="160">
        <f>IF([chambre3]*1='CHAMBRES GARCONS RDC'!$A$23,1,0)</f>
        <v>0</v>
      </c>
      <c r="GY6" s="160">
        <f>IF([Occurrence36]=0,0,SUM($GX$2:GX6))</f>
        <v>0</v>
      </c>
      <c r="GZ6" s="160">
        <f>IF([chambre3]*1='CHAMBRES GARCONS RDC'!$A$29,1,0)</f>
        <v>0</v>
      </c>
      <c r="HA6" s="160">
        <f>IF([Occurrence37]=0,0,SUM($GZ$2:GZ6))</f>
        <v>0</v>
      </c>
      <c r="HB6" s="160">
        <f>IF([chambre3]*1='CHAMBRES GARCONS RDC'!$A$35,1,0)</f>
        <v>0</v>
      </c>
      <c r="HC6" s="160">
        <f>IF([Occurrence38]=0,0,SUM($HB$2:HB6))</f>
        <v>0</v>
      </c>
      <c r="HD6" s="160">
        <f>IF([chambre3]*1='CHAMBRES GARCONS RDC'!$A$41,1,0)</f>
        <v>0</v>
      </c>
      <c r="HE6" s="160">
        <f>IF([Occurrence39]=0,0,SUM($HD$2:HD6))</f>
        <v>0</v>
      </c>
      <c r="HF6" s="160">
        <f>IF([chambre3]*1='CHAMBRES GARCONS RDC'!$A$47,1,0)</f>
        <v>0</v>
      </c>
      <c r="HG6" s="160">
        <f>IF([Occurrence40]=0,0,SUM($HF$2:HF6))</f>
        <v>0</v>
      </c>
      <c r="HH6" s="160">
        <f>IF([chambre3]*1='CHAMBRES GARCONS RDC'!$A$53,1,0)</f>
        <v>0</v>
      </c>
      <c r="HI6" s="160">
        <f>IF([Occurrence41]=0,0,SUM($HH$2:HH6))</f>
        <v>0</v>
      </c>
      <c r="HJ6" s="160">
        <f>IF([chambre3]*1='CHAMBRES GARCONS RDC'!$A$59,1,0)</f>
        <v>0</v>
      </c>
      <c r="HK6" s="160">
        <f>IF([Occurrence42]=0,0,SUM($HJ$2:HJ6))</f>
        <v>0</v>
      </c>
      <c r="HL6" s="160">
        <f>IF([chambre3]*1='CHAMBRES GARCONS RDC'!$A$65,1,0)</f>
        <v>0</v>
      </c>
      <c r="HM6" s="160">
        <f>IF([Occurrence43]=0,0,SUM($HL$2:HL6))</f>
        <v>0</v>
      </c>
      <c r="HN6" s="160">
        <f>IF([chambre3]*1='CHAMBRES GARCONS RDC'!$A$71,1,0)</f>
        <v>0</v>
      </c>
      <c r="HO6" s="160">
        <f>IF([Occurrence44]=0,0,SUM($HN$2:HN6))</f>
        <v>0</v>
      </c>
      <c r="HP6" s="160">
        <f>IF([chambre3]*1='CHAMBRES GARCONS RDC'!$A$77,1,0)</f>
        <v>0</v>
      </c>
      <c r="HQ6" s="160">
        <f>IF([Occurrence45]=0,0,SUM($HP$2:HP6))</f>
        <v>0</v>
      </c>
      <c r="HR6" s="160">
        <f>IF([chambre3]*1='CHAMBRES GARCONS RDC'!$A$83,1,0)</f>
        <v>0</v>
      </c>
      <c r="HS6" s="160">
        <f>IF([Occurrence46]=0,0,SUM($HR$2:HR6))</f>
        <v>0</v>
      </c>
      <c r="HT6" s="160">
        <f>IF([chambre3]*1='CHAMBRES GARCONS RDC'!$A$89,1,0)</f>
        <v>0</v>
      </c>
      <c r="HU6" s="160">
        <f>IF([Occurrence47]=0,0,SUM($HT$2:HT6))</f>
        <v>0</v>
      </c>
      <c r="HV6" s="160">
        <f>IF([chambre3]*1='CHAMBRES GARCONS RDC'!$A$95,1,0)</f>
        <v>0</v>
      </c>
      <c r="HW6" s="160">
        <f>IF([Occurrence48]=0,0,SUM($HV$2:HV6))</f>
        <v>0</v>
      </c>
      <c r="HX6" s="160"/>
      <c r="HY6" s="160"/>
      <c r="HZ6" s="160">
        <f>IF([Classe]='Liste élève par classes'!$B$5,1,0)</f>
        <v>0</v>
      </c>
      <c r="IA6" s="160">
        <f>IF([Occurrence]=0,0,SUM($HZ$2:HZ6))</f>
        <v>0</v>
      </c>
      <c r="IB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6" s="208"/>
    </row>
    <row r="7" spans="1:237">
      <c r="A7" t="s">
        <v>254</v>
      </c>
      <c r="B7" t="s">
        <v>255</v>
      </c>
      <c r="C7" s="158">
        <v>35855</v>
      </c>
      <c r="D7" s="62">
        <f t="shared" ca="1" si="0"/>
        <v>19</v>
      </c>
      <c r="E7" t="s">
        <v>4</v>
      </c>
      <c r="F7" s="159" t="s">
        <v>46</v>
      </c>
      <c r="G7" t="s">
        <v>45</v>
      </c>
      <c r="H7" s="160"/>
      <c r="I7" s="62"/>
      <c r="J7" s="62"/>
      <c r="K7" s="62"/>
      <c r="L7" s="160"/>
      <c r="M7" s="62"/>
      <c r="N7" s="62"/>
      <c r="O7" s="62"/>
      <c r="P7" s="62"/>
      <c r="Q7" s="62"/>
      <c r="R7" s="62"/>
      <c r="S7" s="62"/>
      <c r="T7" s="62"/>
      <c r="U7" s="61"/>
      <c r="V7" s="62"/>
      <c r="W7" s="62"/>
      <c r="X7" s="62"/>
      <c r="Y7" s="62"/>
      <c r="Z7" s="62"/>
      <c r="AA7" s="62"/>
      <c r="AB7" s="62"/>
      <c r="AC7" s="62"/>
      <c r="AD7" s="62"/>
      <c r="AE7" s="62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 t="b">
        <v>0</v>
      </c>
      <c r="BD7" s="163" t="b">
        <v>0</v>
      </c>
      <c r="BE7" s="163" t="b">
        <v>0</v>
      </c>
      <c r="BF7" s="163" t="b">
        <v>0</v>
      </c>
      <c r="BG7" s="163" t="b">
        <v>0</v>
      </c>
      <c r="BH7" s="163" t="b">
        <v>0</v>
      </c>
      <c r="BI7" s="163" t="b">
        <v>1</v>
      </c>
      <c r="BJ7" s="163" t="b">
        <v>0</v>
      </c>
      <c r="BK7" s="163" t="b">
        <v>0</v>
      </c>
      <c r="BL7" s="163" t="b">
        <v>0</v>
      </c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3"/>
      <c r="BX7" s="163"/>
      <c r="BY7" s="163"/>
      <c r="BZ7" s="163"/>
      <c r="CA7" s="163"/>
      <c r="CB7" s="163"/>
      <c r="CC7" s="163"/>
      <c r="CD7" s="163"/>
      <c r="CE7" s="163"/>
      <c r="CF7" s="163"/>
      <c r="CG7" s="163"/>
      <c r="CH7" s="163"/>
      <c r="CI7" s="163"/>
      <c r="CJ7" s="163"/>
      <c r="CK7" s="163"/>
      <c r="CL7" s="163"/>
      <c r="CM7" s="163"/>
      <c r="CN7" s="163"/>
      <c r="CO7" s="163"/>
      <c r="CP7" s="163"/>
      <c r="CQ7" s="163"/>
      <c r="CR7" s="163"/>
      <c r="CS7" s="163"/>
      <c r="CT7" s="163"/>
      <c r="CU7" s="163"/>
      <c r="CV7" s="163"/>
      <c r="CW7" s="163"/>
      <c r="CX7" s="163"/>
      <c r="CY7" s="163"/>
      <c r="CZ7" s="163"/>
      <c r="DA7" s="163"/>
      <c r="DB7" s="163"/>
      <c r="DC7" s="163"/>
      <c r="DD7" s="163"/>
      <c r="DE7" s="163"/>
      <c r="DF7" s="163"/>
      <c r="DG7" s="163"/>
      <c r="DH7" s="163"/>
      <c r="DI7" s="163"/>
      <c r="DJ7" s="163"/>
      <c r="DK7" s="163"/>
      <c r="DL7" s="163"/>
      <c r="DM7" s="163"/>
      <c r="DN7" s="163"/>
      <c r="DO7" s="163"/>
      <c r="DP7" s="163"/>
      <c r="DQ7" s="163"/>
      <c r="DR7" s="163"/>
      <c r="DS7" s="163"/>
      <c r="DT7" s="163"/>
      <c r="DU7" s="163"/>
      <c r="DV7" s="163"/>
      <c r="DW7" s="163"/>
      <c r="DX7" s="163"/>
      <c r="DY7" s="163"/>
      <c r="DZ7" s="163"/>
      <c r="EA7" s="163"/>
      <c r="EB7" s="163"/>
      <c r="EC7" s="163"/>
      <c r="ED7" s="163"/>
      <c r="EE7" s="163"/>
      <c r="EF7" s="163"/>
      <c r="EG7" s="163"/>
      <c r="EH7" s="160">
        <f>IF([Chambre]*1='CHAMBRES FILLES 2e ETAGE'!$A$5,1,0)</f>
        <v>0</v>
      </c>
      <c r="EI7" s="161">
        <f>IF([Occurrence2]=0,0,SUM($EH$2:EH7))</f>
        <v>0</v>
      </c>
      <c r="EJ7" s="160">
        <f>IF([Chambre]*1='CHAMBRES FILLES 2e ETAGE'!$A$11,1,0)</f>
        <v>0</v>
      </c>
      <c r="EK7" s="160">
        <f>IF([Occurrence3]=0,0,SUM($EJ$2:EJ7))</f>
        <v>0</v>
      </c>
      <c r="EL7" s="160">
        <f>IF([Chambre]*1='CHAMBRES FILLES 2e ETAGE'!$A$17,1,0)</f>
        <v>0</v>
      </c>
      <c r="EM7" s="160">
        <f>IF([Occurrence4]=0,0,SUM($EL$2:EL7))</f>
        <v>0</v>
      </c>
      <c r="EN7" s="160">
        <f>IF([Chambre]*1='CHAMBRES FILLES 2e ETAGE'!$A$23,1,0)</f>
        <v>0</v>
      </c>
      <c r="EO7" s="160">
        <f>IF([Occurrence5]=0,0,SUM($EN$2:EN7))</f>
        <v>0</v>
      </c>
      <c r="EP7" s="160">
        <f>IF([Chambre]*1='CHAMBRES FILLES 2e ETAGE'!$A$29,1,0)</f>
        <v>0</v>
      </c>
      <c r="EQ7" s="160">
        <f>IF([Occurrence6]=0,0,SUM($EP$2:EP7))</f>
        <v>0</v>
      </c>
      <c r="ER7" s="160">
        <f>IF([Chambre]*1='CHAMBRES FILLES 2e ETAGE'!$A$35,1,0)</f>
        <v>0</v>
      </c>
      <c r="ES7" s="160">
        <f>IF([Occurrence7]=0,0,SUM($ER$2:ER7))</f>
        <v>0</v>
      </c>
      <c r="ET7" s="160">
        <f>IF([Chambre]*1='CHAMBRES FILLES 2e ETAGE'!$A$41,1,0)</f>
        <v>0</v>
      </c>
      <c r="EU7" s="160">
        <f>IF([Occurrence8]=0,0,SUM($ET$2:ET7))</f>
        <v>0</v>
      </c>
      <c r="EV7" s="160">
        <f>IF([Chambre]*1='CHAMBRES FILLES 2e ETAGE'!$A$47,1,0)</f>
        <v>0</v>
      </c>
      <c r="EW7" s="160">
        <f>IF([Occurrence9]=0,0,SUM($EV$2:EV7))</f>
        <v>0</v>
      </c>
      <c r="EX7" s="160">
        <f>IF([Chambre]*1='CHAMBRES FILLES 2e ETAGE'!$A$53,1,0)</f>
        <v>0</v>
      </c>
      <c r="EY7" s="160">
        <f>IF([Occurrence10]=0,0,SUM($EX$2:EX7))</f>
        <v>0</v>
      </c>
      <c r="EZ7" s="160">
        <f>IF([Chambre]*1='CHAMBRES FILLES 2e ETAGE'!$A$59,1,0)</f>
        <v>0</v>
      </c>
      <c r="FA7" s="160">
        <f>IF([Occurrence11]=0,0,SUM($EZ$2:EZ7))</f>
        <v>0</v>
      </c>
      <c r="FB7" s="160">
        <f>IF([Chambre]*1='CHAMBRES FILLES 2e ETAGE'!$A$65,1,0)</f>
        <v>0</v>
      </c>
      <c r="FC7" s="160">
        <f>IF([Occurrence12]=0,0,SUM($FB$2:FB7))</f>
        <v>0</v>
      </c>
      <c r="FD7" s="160">
        <f>IF([Chambre]*1='CHAMBRES FILLES 2e ETAGE'!$A$71,1,0)</f>
        <v>0</v>
      </c>
      <c r="FE7" s="160">
        <f>IF([Occurrence13]=0,0,SUM($FD$2:FD7))</f>
        <v>0</v>
      </c>
      <c r="FF7" s="160">
        <f>IF([Chambre]*1='CHAMBRES FILLES 2e ETAGE'!$A$77,1,0)</f>
        <v>0</v>
      </c>
      <c r="FG7" s="160">
        <f>IF([Occurrence14]=0,0,SUM($FF$2:FF7))</f>
        <v>0</v>
      </c>
      <c r="FH7" s="160">
        <f>IF([Chambre]*1='CHAMBRES FILLES 2e ETAGE'!$A$83,1,0)</f>
        <v>0</v>
      </c>
      <c r="FI7" s="160">
        <f>IF([Occurrence15]=0,0,SUM($FH$2:FH7))</f>
        <v>0</v>
      </c>
      <c r="FJ7" s="160">
        <f>IF([Chambre]*1='CHAMBRES FILLES 2e ETAGE'!$A$89,1,0)</f>
        <v>0</v>
      </c>
      <c r="FK7" s="160">
        <f>IF([Occurrence16]=0,0,SUM($FJ$2:FJ7))</f>
        <v>0</v>
      </c>
      <c r="FL7" s="160">
        <f>IF([Chambre]*1='CHAMBRES FILLES 2e ETAGE'!$A$95,1,0)</f>
        <v>0</v>
      </c>
      <c r="FM7" s="160">
        <f>IF([Occurrence17]=0,0,SUM($FL$2:FL7))</f>
        <v>0</v>
      </c>
      <c r="FN7" s="160">
        <f>IF([Chambre2]*1='CHAMBRES FILLES 1e ETAGE'!$A$5,1,0)</f>
        <v>0</v>
      </c>
      <c r="FO7" s="160">
        <f>IF([Occurrence18]=0,0,SUM($FN$2:FN7))</f>
        <v>0</v>
      </c>
      <c r="FP7" s="160">
        <f>IF([Chambre2]*1='CHAMBRES FILLES 1e ETAGE'!$A$11,1,0)</f>
        <v>0</v>
      </c>
      <c r="FQ7" s="160">
        <f>IF([Occurrence19]=0,0,SUM($FP$2:FP7))</f>
        <v>0</v>
      </c>
      <c r="FR7" s="160">
        <f>IF([Chambre2]*1='CHAMBRES FILLES 1e ETAGE'!$A$17,1,0)</f>
        <v>0</v>
      </c>
      <c r="FS7" s="160">
        <f>IF([Occurrence20]=0,0,SUM($FR$2:FR7))</f>
        <v>0</v>
      </c>
      <c r="FT7" s="160">
        <f>IF([Chambre2]*1='CHAMBRES FILLES 1e ETAGE'!$A$23,1,0)</f>
        <v>0</v>
      </c>
      <c r="FU7" s="160">
        <f>IF([Occurrence21]=0,0,SUM($FT$2:FT7))</f>
        <v>0</v>
      </c>
      <c r="FV7" s="160">
        <f>IF([Chambre2]*1='CHAMBRES FILLES 1e ETAGE'!$A$29,1,0)</f>
        <v>0</v>
      </c>
      <c r="FW7" s="160">
        <f>IF([Occurrence22]=0,0,SUM($FV$2:FV7))</f>
        <v>0</v>
      </c>
      <c r="FX7" s="160">
        <f>IF([Chambre2]*1='CHAMBRES FILLES 1e ETAGE'!$A$35,1,0)</f>
        <v>0</v>
      </c>
      <c r="FY7" s="160">
        <f>IF([Occurrence23]=0,0,SUM($FX$2:FX7))</f>
        <v>0</v>
      </c>
      <c r="FZ7" s="160">
        <f>IF([Chambre2]*1='CHAMBRES FILLES 1e ETAGE'!$A$41,1,0)</f>
        <v>0</v>
      </c>
      <c r="GA7" s="160">
        <f>IF([Occurrence24]=0,0,SUM($FZ$2:FZ7))</f>
        <v>0</v>
      </c>
      <c r="GB7" s="160">
        <f>IF([Chambre2]*1='CHAMBRES FILLES 1e ETAGE'!$A$47,1,0)</f>
        <v>0</v>
      </c>
      <c r="GC7" s="160">
        <f>IF([Occurrence25]=0,0,SUM($GB$2:GB7))</f>
        <v>0</v>
      </c>
      <c r="GD7" s="160">
        <f>IF([Chambre2]*1='CHAMBRES FILLES 1e ETAGE'!$A$53,1,0)</f>
        <v>0</v>
      </c>
      <c r="GE7" s="160">
        <f>IF([Occurrence26]=0,0,SUM($GD$2:GD7))</f>
        <v>0</v>
      </c>
      <c r="GF7" s="160">
        <f>IF([chambre4]*1='CHAMBRES GARCONS 1e ETAGE'!$A$5,1,0)</f>
        <v>0</v>
      </c>
      <c r="GG7" s="160">
        <f>IF([Occurrence27]=0,0,SUM($GF$2:GF7))</f>
        <v>0</v>
      </c>
      <c r="GH7" s="160">
        <f>IF([chambre4]*1='CHAMBRES GARCONS 1e ETAGE'!$A$11,1,0)</f>
        <v>0</v>
      </c>
      <c r="GI7" s="160">
        <f>IF([Occurrence28]=0,0,SUM($GH$2:GH7))</f>
        <v>0</v>
      </c>
      <c r="GJ7" s="160">
        <f>IF([chambre4]*1='CHAMBRES GARCONS 1e ETAGE'!$A$17,1,0)</f>
        <v>0</v>
      </c>
      <c r="GK7" s="160">
        <f>IF([Occurrence29]=0,0,SUM($GJ$2:GJ7))</f>
        <v>0</v>
      </c>
      <c r="GL7" s="160">
        <f>IF([chambre4]*1='CHAMBRES GARCONS 1e ETAGE'!$A$23,1,0)</f>
        <v>0</v>
      </c>
      <c r="GM7" s="160">
        <f>IF([Occurrence30]=0,0,SUM($GL$2:GL7))</f>
        <v>0</v>
      </c>
      <c r="GN7" s="160">
        <f>IF([chambre4]*1='CHAMBRES GARCONS 1e ETAGE'!$A$29,1,0)</f>
        <v>0</v>
      </c>
      <c r="GO7" s="160">
        <f>IF([Occurrence31]=0,0,SUM($GN$2:GN7))</f>
        <v>0</v>
      </c>
      <c r="GP7" s="160">
        <f>IF([chambre4]*1='CHAMBRES GARCONS 1e ETAGE'!$A$35,1,0)</f>
        <v>0</v>
      </c>
      <c r="GQ7" s="160">
        <f>IF([Occurrence32]=0,0,SUM($GP$2:GP7))</f>
        <v>0</v>
      </c>
      <c r="GR7" s="160">
        <f>IF([chambre3]*1='CHAMBRES GARCONS RDC'!$A$5,1,0)</f>
        <v>0</v>
      </c>
      <c r="GS7" s="160">
        <f>IF([Occurrence33]=0,0,SUM($GR$2:GR7))</f>
        <v>0</v>
      </c>
      <c r="GT7" s="160">
        <f>IF([chambre3]*1='CHAMBRES GARCONS RDC'!$A$11,1,0)</f>
        <v>0</v>
      </c>
      <c r="GU7" s="160">
        <f>IF([Occurrence34]=0,0,SUM($GT$2:GT7))</f>
        <v>0</v>
      </c>
      <c r="GV7" s="160">
        <f>IF([chambre3]*1='CHAMBRES GARCONS RDC'!$A$17,1,0)</f>
        <v>0</v>
      </c>
      <c r="GW7" s="160">
        <f>IF([Occurrence35]=0,0,SUM($GV$2:GV7))</f>
        <v>0</v>
      </c>
      <c r="GX7" s="160">
        <f>IF([chambre3]*1='CHAMBRES GARCONS RDC'!$A$23,1,0)</f>
        <v>0</v>
      </c>
      <c r="GY7" s="160">
        <f>IF([Occurrence36]=0,0,SUM($GX$2:GX7))</f>
        <v>0</v>
      </c>
      <c r="GZ7" s="160">
        <f>IF([chambre3]*1='CHAMBRES GARCONS RDC'!$A$29,1,0)</f>
        <v>0</v>
      </c>
      <c r="HA7" s="160">
        <f>IF([Occurrence37]=0,0,SUM($GZ$2:GZ7))</f>
        <v>0</v>
      </c>
      <c r="HB7" s="160">
        <f>IF([chambre3]*1='CHAMBRES GARCONS RDC'!$A$35,1,0)</f>
        <v>0</v>
      </c>
      <c r="HC7" s="160">
        <f>IF([Occurrence38]=0,0,SUM($HB$2:HB7))</f>
        <v>0</v>
      </c>
      <c r="HD7" s="160">
        <f>IF([chambre3]*1='CHAMBRES GARCONS RDC'!$A$41,1,0)</f>
        <v>0</v>
      </c>
      <c r="HE7" s="160">
        <f>IF([Occurrence39]=0,0,SUM($HD$2:HD7))</f>
        <v>0</v>
      </c>
      <c r="HF7" s="160">
        <f>IF([chambre3]*1='CHAMBRES GARCONS RDC'!$A$47,1,0)</f>
        <v>0</v>
      </c>
      <c r="HG7" s="160">
        <f>IF([Occurrence40]=0,0,SUM($HF$2:HF7))</f>
        <v>0</v>
      </c>
      <c r="HH7" s="160">
        <f>IF([chambre3]*1='CHAMBRES GARCONS RDC'!$A$53,1,0)</f>
        <v>0</v>
      </c>
      <c r="HI7" s="160">
        <f>IF([Occurrence41]=0,0,SUM($HH$2:HH7))</f>
        <v>0</v>
      </c>
      <c r="HJ7" s="160">
        <f>IF([chambre3]*1='CHAMBRES GARCONS RDC'!$A$59,1,0)</f>
        <v>0</v>
      </c>
      <c r="HK7" s="160">
        <f>IF([Occurrence42]=0,0,SUM($HJ$2:HJ7))</f>
        <v>0</v>
      </c>
      <c r="HL7" s="160">
        <f>IF([chambre3]*1='CHAMBRES GARCONS RDC'!$A$65,1,0)</f>
        <v>0</v>
      </c>
      <c r="HM7" s="160">
        <f>IF([Occurrence43]=0,0,SUM($HL$2:HL7))</f>
        <v>0</v>
      </c>
      <c r="HN7" s="160">
        <f>IF([chambre3]*1='CHAMBRES GARCONS RDC'!$A$71,1,0)</f>
        <v>0</v>
      </c>
      <c r="HO7" s="160">
        <f>IF([Occurrence44]=0,0,SUM($HN$2:HN7))</f>
        <v>0</v>
      </c>
      <c r="HP7" s="160">
        <f>IF([chambre3]*1='CHAMBRES GARCONS RDC'!$A$77,1,0)</f>
        <v>0</v>
      </c>
      <c r="HQ7" s="160">
        <f>IF([Occurrence45]=0,0,SUM($HP$2:HP7))</f>
        <v>0</v>
      </c>
      <c r="HR7" s="160">
        <f>IF([chambre3]*1='CHAMBRES GARCONS RDC'!$A$83,1,0)</f>
        <v>0</v>
      </c>
      <c r="HS7" s="160">
        <f>IF([Occurrence46]=0,0,SUM($HR$2:HR7))</f>
        <v>0</v>
      </c>
      <c r="HT7" s="160">
        <f>IF([chambre3]*1='CHAMBRES GARCONS RDC'!$A$89,1,0)</f>
        <v>0</v>
      </c>
      <c r="HU7" s="160">
        <f>IF([Occurrence47]=0,0,SUM($HT$2:HT7))</f>
        <v>0</v>
      </c>
      <c r="HV7" s="160">
        <f>IF([chambre3]*1='CHAMBRES GARCONS RDC'!$A$95,1,0)</f>
        <v>0</v>
      </c>
      <c r="HW7" s="160">
        <f>IF([Occurrence48]=0,0,SUM($HV$2:HV7))</f>
        <v>0</v>
      </c>
      <c r="HX7" s="160"/>
      <c r="HY7" s="160"/>
      <c r="HZ7" s="160">
        <f>IF([Classe]='Liste élève par classes'!$B$5,1,0)</f>
        <v>0</v>
      </c>
      <c r="IA7" s="160">
        <f>IF([Occurrence]=0,0,SUM($HZ$2:HZ7))</f>
        <v>0</v>
      </c>
      <c r="IB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7" s="208"/>
    </row>
    <row r="8" spans="1:237">
      <c r="A8" t="s">
        <v>256</v>
      </c>
      <c r="B8" t="s">
        <v>257</v>
      </c>
      <c r="C8" s="158">
        <v>37279</v>
      </c>
      <c r="D8" s="62">
        <f t="shared" ca="1" si="0"/>
        <v>15</v>
      </c>
      <c r="E8" t="s">
        <v>5</v>
      </c>
      <c r="F8" s="159" t="s">
        <v>50</v>
      </c>
      <c r="G8" t="s">
        <v>40</v>
      </c>
      <c r="H8" s="160"/>
      <c r="I8" s="62"/>
      <c r="J8" s="161" t="s">
        <v>244</v>
      </c>
      <c r="K8" s="161"/>
      <c r="L8" s="160"/>
      <c r="M8">
        <v>243</v>
      </c>
      <c r="N8" s="161" t="s">
        <v>244</v>
      </c>
      <c r="O8" s="161" t="s">
        <v>244</v>
      </c>
      <c r="P8" s="161" t="s">
        <v>244</v>
      </c>
      <c r="Q8" s="161" t="s">
        <v>244</v>
      </c>
      <c r="R8" s="161" t="s">
        <v>244</v>
      </c>
      <c r="S8" s="190"/>
      <c r="T8" s="161" t="s">
        <v>244</v>
      </c>
      <c r="U8" s="160"/>
      <c r="V8" s="161" t="s">
        <v>244</v>
      </c>
      <c r="W8" s="161" t="s">
        <v>244</v>
      </c>
      <c r="X8" s="161" t="s">
        <v>244</v>
      </c>
      <c r="Y8" s="161" t="s">
        <v>244</v>
      </c>
      <c r="Z8" s="161" t="s">
        <v>244</v>
      </c>
      <c r="AA8" s="161" t="s">
        <v>244</v>
      </c>
      <c r="AB8" s="161" t="s">
        <v>244</v>
      </c>
      <c r="AC8" s="161" t="s">
        <v>244</v>
      </c>
      <c r="AD8" s="161" t="s">
        <v>244</v>
      </c>
      <c r="AE8" s="161" t="s">
        <v>244</v>
      </c>
      <c r="AF8" s="163" t="s">
        <v>244</v>
      </c>
      <c r="AG8" s="163" t="s">
        <v>244</v>
      </c>
      <c r="AH8" s="163" t="s">
        <v>244</v>
      </c>
      <c r="AI8" s="163"/>
      <c r="AJ8" s="163"/>
      <c r="AK8" s="163"/>
      <c r="AL8" s="163"/>
      <c r="AM8" s="163"/>
      <c r="AN8" s="163"/>
      <c r="AO8" s="163"/>
      <c r="AP8" s="163"/>
      <c r="AQ8" s="163"/>
      <c r="AR8" s="163"/>
      <c r="AS8" s="163"/>
      <c r="AT8" s="163"/>
      <c r="AU8" s="163"/>
      <c r="AV8" s="163"/>
      <c r="AW8" s="163"/>
      <c r="AX8" s="163"/>
      <c r="AY8" s="163"/>
      <c r="AZ8" s="163"/>
      <c r="BA8" s="163"/>
      <c r="BB8" s="163"/>
      <c r="BC8" s="163" t="b">
        <v>0</v>
      </c>
      <c r="BD8" s="163" t="b">
        <v>1</v>
      </c>
      <c r="BE8" s="163" t="b">
        <v>1</v>
      </c>
      <c r="BF8" s="163" t="b">
        <v>0</v>
      </c>
      <c r="BG8" s="164" t="b">
        <v>0</v>
      </c>
      <c r="BH8" s="163" t="b">
        <v>1</v>
      </c>
      <c r="BI8" s="163"/>
      <c r="BJ8" s="163"/>
      <c r="BK8" s="163"/>
      <c r="BL8" s="163"/>
      <c r="BM8" s="163"/>
      <c r="BN8" s="163"/>
      <c r="BO8" s="163"/>
      <c r="BP8" s="163"/>
      <c r="BQ8" s="163" t="b">
        <v>1</v>
      </c>
      <c r="BR8" s="163"/>
      <c r="BS8" s="163"/>
      <c r="BT8" s="163"/>
      <c r="BU8" s="163"/>
      <c r="BV8" s="163"/>
      <c r="BW8" s="163"/>
      <c r="BX8" s="163"/>
      <c r="BY8" s="163"/>
      <c r="BZ8" s="163"/>
      <c r="CA8" s="163"/>
      <c r="CB8" s="163"/>
      <c r="CC8" s="163"/>
      <c r="CD8" s="163"/>
      <c r="CE8" s="163"/>
      <c r="CF8" s="163"/>
      <c r="CG8" s="163"/>
      <c r="CH8" s="163"/>
      <c r="CI8" s="163"/>
      <c r="CJ8" s="163"/>
      <c r="CK8" s="163"/>
      <c r="CL8" s="163"/>
      <c r="CM8" s="163"/>
      <c r="CN8" s="163"/>
      <c r="CO8" s="163"/>
      <c r="CP8" s="163"/>
      <c r="CQ8" s="163"/>
      <c r="CR8" s="163"/>
      <c r="CS8" s="163"/>
      <c r="CT8" s="163"/>
      <c r="CU8" s="163"/>
      <c r="CV8" s="163"/>
      <c r="CW8" s="163"/>
      <c r="CX8" s="163"/>
      <c r="CY8" s="163"/>
      <c r="CZ8" s="163"/>
      <c r="DA8" s="163">
        <v>115</v>
      </c>
      <c r="DB8" s="163"/>
      <c r="DC8" s="163"/>
      <c r="DD8" s="163"/>
      <c r="DE8" s="163"/>
      <c r="DF8" s="163"/>
      <c r="DG8" s="208"/>
      <c r="DH8" s="163"/>
      <c r="DI8" s="163"/>
      <c r="DJ8" s="163"/>
      <c r="DK8" s="163"/>
      <c r="DL8" s="163"/>
      <c r="DM8" s="163"/>
      <c r="DN8" s="163"/>
      <c r="DO8" s="163"/>
      <c r="DP8" s="163"/>
      <c r="DQ8" s="163"/>
      <c r="DR8" s="163"/>
      <c r="DS8" s="163"/>
      <c r="DT8" s="163"/>
      <c r="DU8" s="163"/>
      <c r="DV8" s="163"/>
      <c r="DW8" s="163"/>
      <c r="DX8" s="163"/>
      <c r="DY8" s="163"/>
      <c r="DZ8" s="163"/>
      <c r="EA8" s="163"/>
      <c r="EB8" s="163"/>
      <c r="EC8" s="163"/>
      <c r="ED8" s="163"/>
      <c r="EE8" s="163"/>
      <c r="EF8" s="163"/>
      <c r="EG8" s="163"/>
      <c r="EH8" s="160">
        <f>IF([Chambre]*1='CHAMBRES FILLES 2e ETAGE'!$A$5,1,0)</f>
        <v>0</v>
      </c>
      <c r="EI8" s="161">
        <f>IF([Occurrence2]=0,0,SUM($EH$2:EH8))</f>
        <v>0</v>
      </c>
      <c r="EJ8" s="160">
        <f>IF([Chambre]*1='CHAMBRES FILLES 2e ETAGE'!$A$11,1,0)</f>
        <v>0</v>
      </c>
      <c r="EK8" s="160">
        <f>IF([Occurrence3]=0,0,SUM($EJ$2:EJ8))</f>
        <v>0</v>
      </c>
      <c r="EL8" s="160">
        <f>IF([Chambre]*1='CHAMBRES FILLES 2e ETAGE'!$A$17,1,0)</f>
        <v>0</v>
      </c>
      <c r="EM8" s="160">
        <f>IF([Occurrence4]=0,0,SUM($EL$2:EL8))</f>
        <v>0</v>
      </c>
      <c r="EN8" s="160">
        <f>IF([Chambre]*1='CHAMBRES FILLES 2e ETAGE'!$A$23,1,0)</f>
        <v>0</v>
      </c>
      <c r="EO8" s="160">
        <f>IF([Occurrence5]=0,0,SUM($EN$2:EN8))</f>
        <v>0</v>
      </c>
      <c r="EP8" s="160">
        <f>IF([Chambre]*1='CHAMBRES FILLES 2e ETAGE'!$A$29,1,0)</f>
        <v>0</v>
      </c>
      <c r="EQ8" s="160">
        <f>IF([Occurrence6]=0,0,SUM($EP$2:EP8))</f>
        <v>0</v>
      </c>
      <c r="ER8" s="160">
        <f>IF([Chambre]*1='CHAMBRES FILLES 2e ETAGE'!$A$35,1,0)</f>
        <v>0</v>
      </c>
      <c r="ES8" s="160">
        <f>IF([Occurrence7]=0,0,SUM($ER$2:ER8))</f>
        <v>0</v>
      </c>
      <c r="ET8" s="160">
        <f>IF([Chambre]*1='CHAMBRES FILLES 2e ETAGE'!$A$41,1,0)</f>
        <v>0</v>
      </c>
      <c r="EU8" s="160">
        <f>IF([Occurrence8]=0,0,SUM($ET$2:ET8))</f>
        <v>0</v>
      </c>
      <c r="EV8" s="160">
        <f>IF([Chambre]*1='CHAMBRES FILLES 2e ETAGE'!$A$47,1,0)</f>
        <v>0</v>
      </c>
      <c r="EW8" s="160">
        <f>IF([Occurrence9]=0,0,SUM($EV$2:EV8))</f>
        <v>0</v>
      </c>
      <c r="EX8" s="160">
        <f>IF([Chambre]*1='CHAMBRES FILLES 2e ETAGE'!$A$53,1,0)</f>
        <v>0</v>
      </c>
      <c r="EY8" s="160">
        <f>IF([Occurrence10]=0,0,SUM($EX$2:EX8))</f>
        <v>0</v>
      </c>
      <c r="EZ8" s="160">
        <f>IF([Chambre]*1='CHAMBRES FILLES 2e ETAGE'!$A$59,1,0)</f>
        <v>0</v>
      </c>
      <c r="FA8" s="160">
        <f>IF([Occurrence11]=0,0,SUM($EZ$2:EZ8))</f>
        <v>0</v>
      </c>
      <c r="FB8" s="160">
        <f>IF([Chambre]*1='CHAMBRES FILLES 2e ETAGE'!$A$65,1,0)</f>
        <v>0</v>
      </c>
      <c r="FC8" s="160">
        <f>IF([Occurrence12]=0,0,SUM($FB$2:FB8))</f>
        <v>0</v>
      </c>
      <c r="FD8" s="160">
        <f>IF([Chambre]*1='CHAMBRES FILLES 2e ETAGE'!$A$71,1,0)</f>
        <v>0</v>
      </c>
      <c r="FE8" s="160">
        <f>IF([Occurrence13]=0,0,SUM($FD$2:FD8))</f>
        <v>0</v>
      </c>
      <c r="FF8" s="160">
        <f>IF([Chambre]*1='CHAMBRES FILLES 2e ETAGE'!$A$77,1,0)</f>
        <v>0</v>
      </c>
      <c r="FG8" s="160">
        <f>IF([Occurrence14]=0,0,SUM($FF$2:FF8))</f>
        <v>0</v>
      </c>
      <c r="FH8" s="160">
        <f>IF([Chambre]*1='CHAMBRES FILLES 2e ETAGE'!$A$83,1,0)</f>
        <v>0</v>
      </c>
      <c r="FI8" s="160">
        <f>IF([Occurrence15]=0,0,SUM($FH$2:FH8))</f>
        <v>0</v>
      </c>
      <c r="FJ8" s="160">
        <f>IF([Chambre]*1='CHAMBRES FILLES 2e ETAGE'!$A$89,1,0)</f>
        <v>0</v>
      </c>
      <c r="FK8" s="160">
        <f>IF([Occurrence16]=0,0,SUM($FJ$2:FJ8))</f>
        <v>0</v>
      </c>
      <c r="FL8" s="160">
        <f>IF([Chambre]*1='CHAMBRES FILLES 2e ETAGE'!$A$95,1,0)</f>
        <v>0</v>
      </c>
      <c r="FM8" s="160">
        <f>IF([Occurrence17]=0,0,SUM($FL$2:FL8))</f>
        <v>0</v>
      </c>
      <c r="FN8" s="160">
        <f>IF([Chambre2]*1='CHAMBRES FILLES 1e ETAGE'!$A$5,1,0)</f>
        <v>0</v>
      </c>
      <c r="FO8" s="160">
        <f>IF([Occurrence18]=0,0,SUM($FN$2:FN8))</f>
        <v>0</v>
      </c>
      <c r="FP8" s="160">
        <f>IF([Chambre2]*1='CHAMBRES FILLES 1e ETAGE'!$A$11,1,0)</f>
        <v>0</v>
      </c>
      <c r="FQ8" s="160">
        <f>IF([Occurrence19]=0,0,SUM($FP$2:FP8))</f>
        <v>0</v>
      </c>
      <c r="FR8" s="160">
        <f>IF([Chambre2]*1='CHAMBRES FILLES 1e ETAGE'!$A$17,1,0)</f>
        <v>0</v>
      </c>
      <c r="FS8" s="160">
        <f>IF([Occurrence20]=0,0,SUM($FR$2:FR8))</f>
        <v>0</v>
      </c>
      <c r="FT8" s="160">
        <f>IF([Chambre2]*1='CHAMBRES FILLES 1e ETAGE'!$A$23,1,0)</f>
        <v>0</v>
      </c>
      <c r="FU8" s="160">
        <f>IF([Occurrence21]=0,0,SUM($FT$2:FT8))</f>
        <v>0</v>
      </c>
      <c r="FV8" s="160">
        <f>IF([Chambre2]*1='CHAMBRES FILLES 1e ETAGE'!$A$29,1,0)</f>
        <v>0</v>
      </c>
      <c r="FW8" s="160">
        <f>IF([Occurrence22]=0,0,SUM($FV$2:FV8))</f>
        <v>0</v>
      </c>
      <c r="FX8" s="160">
        <f>IF([Chambre2]*1='CHAMBRES FILLES 1e ETAGE'!$A$35,1,0)</f>
        <v>0</v>
      </c>
      <c r="FY8" s="160">
        <f>IF([Occurrence23]=0,0,SUM($FX$2:FX8))</f>
        <v>0</v>
      </c>
      <c r="FZ8" s="160">
        <f>IF([Chambre2]*1='CHAMBRES FILLES 1e ETAGE'!$A$41,1,0)</f>
        <v>0</v>
      </c>
      <c r="GA8" s="160">
        <f>IF([Occurrence24]=0,0,SUM($FZ$2:FZ8))</f>
        <v>0</v>
      </c>
      <c r="GB8" s="160">
        <f>IF([Chambre2]*1='CHAMBRES FILLES 1e ETAGE'!$A$47,1,0)</f>
        <v>0</v>
      </c>
      <c r="GC8" s="160">
        <f>IF([Occurrence25]=0,0,SUM($GB$2:GB8))</f>
        <v>0</v>
      </c>
      <c r="GD8" s="160">
        <f>IF([Chambre2]*1='CHAMBRES FILLES 1e ETAGE'!$A$53,1,0)</f>
        <v>0</v>
      </c>
      <c r="GE8" s="160">
        <f>IF([Occurrence26]=0,0,SUM($GD$2:GD8))</f>
        <v>0</v>
      </c>
      <c r="GF8" s="160">
        <f>IF([chambre4]*1='CHAMBRES GARCONS 1e ETAGE'!$A$5,1,0)</f>
        <v>0</v>
      </c>
      <c r="GG8" s="160">
        <f>IF([Occurrence27]=0,0,SUM($GF$2:GF8))</f>
        <v>0</v>
      </c>
      <c r="GH8" s="160">
        <f>IF([chambre4]*1='CHAMBRES GARCONS 1e ETAGE'!$A$11,1,0)</f>
        <v>0</v>
      </c>
      <c r="GI8" s="160">
        <f>IF([Occurrence28]=0,0,SUM($GH$2:GH8))</f>
        <v>0</v>
      </c>
      <c r="GJ8" s="160">
        <f>IF([chambre4]*1='CHAMBRES GARCONS 1e ETAGE'!$A$17,1,0)</f>
        <v>0</v>
      </c>
      <c r="GK8" s="160">
        <f>IF([Occurrence29]=0,0,SUM($GJ$2:GJ8))</f>
        <v>0</v>
      </c>
      <c r="GL8" s="160">
        <f>IF([chambre4]*1='CHAMBRES GARCONS 1e ETAGE'!$A$23,1,0)</f>
        <v>0</v>
      </c>
      <c r="GM8" s="160">
        <f>IF([Occurrence30]=0,0,SUM($GL$2:GL8))</f>
        <v>0</v>
      </c>
      <c r="GN8" s="160">
        <f>IF([chambre4]*1='CHAMBRES GARCONS 1e ETAGE'!$A$29,1,0)</f>
        <v>0</v>
      </c>
      <c r="GO8" s="160">
        <f>IF([Occurrence31]=0,0,SUM($GN$2:GN8))</f>
        <v>0</v>
      </c>
      <c r="GP8" s="160">
        <f>IF([chambre4]*1='CHAMBRES GARCONS 1e ETAGE'!$A$35,1,0)</f>
        <v>0</v>
      </c>
      <c r="GQ8" s="160">
        <f>IF([Occurrence32]=0,0,SUM($GP$2:GP8))</f>
        <v>0</v>
      </c>
      <c r="GR8" s="160">
        <f>IF([chambre3]*1='CHAMBRES GARCONS RDC'!$A$5,1,0)</f>
        <v>0</v>
      </c>
      <c r="GS8" s="160">
        <f>IF([Occurrence33]=0,0,SUM($GR$2:GR8))</f>
        <v>0</v>
      </c>
      <c r="GT8" s="160">
        <f>IF([chambre3]*1='CHAMBRES GARCONS RDC'!$A$11,1,0)</f>
        <v>0</v>
      </c>
      <c r="GU8" s="160">
        <f>IF([Occurrence34]=0,0,SUM($GT$2:GT8))</f>
        <v>0</v>
      </c>
      <c r="GV8" s="160">
        <f>IF([chambre3]*1='CHAMBRES GARCONS RDC'!$A$17,1,0)</f>
        <v>0</v>
      </c>
      <c r="GW8" s="160">
        <f>IF([Occurrence35]=0,0,SUM($GV$2:GV8))</f>
        <v>0</v>
      </c>
      <c r="GX8" s="160">
        <f>IF([chambre3]*1='CHAMBRES GARCONS RDC'!$A$23,1,0)</f>
        <v>0</v>
      </c>
      <c r="GY8" s="160">
        <f>IF([Occurrence36]=0,0,SUM($GX$2:GX8))</f>
        <v>0</v>
      </c>
      <c r="GZ8" s="160">
        <f>IF([chambre3]*1='CHAMBRES GARCONS RDC'!$A$29,1,0)</f>
        <v>0</v>
      </c>
      <c r="HA8" s="160">
        <f>IF([Occurrence37]=0,0,SUM($GZ$2:GZ8))</f>
        <v>0</v>
      </c>
      <c r="HB8" s="160">
        <f>IF([chambre3]*1='CHAMBRES GARCONS RDC'!$A$35,1,0)</f>
        <v>1</v>
      </c>
      <c r="HC8" s="160">
        <f>IF([Occurrence38]=0,0,SUM($HB$2:HB8))</f>
        <v>1</v>
      </c>
      <c r="HD8" s="160">
        <f>IF([chambre3]*1='CHAMBRES GARCONS RDC'!$A$41,1,0)</f>
        <v>0</v>
      </c>
      <c r="HE8" s="160">
        <f>IF([Occurrence39]=0,0,SUM($HD$2:HD8))</f>
        <v>0</v>
      </c>
      <c r="HF8" s="160">
        <f>IF([chambre3]*1='CHAMBRES GARCONS RDC'!$A$47,1,0)</f>
        <v>0</v>
      </c>
      <c r="HG8" s="160">
        <f>IF([Occurrence40]=0,0,SUM($HF$2:HF8))</f>
        <v>0</v>
      </c>
      <c r="HH8" s="160">
        <f>IF([chambre3]*1='CHAMBRES GARCONS RDC'!$A$53,1,0)</f>
        <v>0</v>
      </c>
      <c r="HI8" s="160">
        <f>IF([Occurrence41]=0,0,SUM($HH$2:HH8))</f>
        <v>0</v>
      </c>
      <c r="HJ8" s="160">
        <f>IF([chambre3]*1='CHAMBRES GARCONS RDC'!$A$59,1,0)</f>
        <v>0</v>
      </c>
      <c r="HK8" s="160">
        <f>IF([Occurrence42]=0,0,SUM($HJ$2:HJ8))</f>
        <v>0</v>
      </c>
      <c r="HL8" s="160">
        <f>IF([chambre3]*1='CHAMBRES GARCONS RDC'!$A$65,1,0)</f>
        <v>0</v>
      </c>
      <c r="HM8" s="160">
        <f>IF([Occurrence43]=0,0,SUM($HL$2:HL8))</f>
        <v>0</v>
      </c>
      <c r="HN8" s="160">
        <f>IF([chambre3]*1='CHAMBRES GARCONS RDC'!$A$71,1,0)</f>
        <v>0</v>
      </c>
      <c r="HO8" s="160">
        <f>IF([Occurrence44]=0,0,SUM($HN$2:HN8))</f>
        <v>0</v>
      </c>
      <c r="HP8" s="160">
        <f>IF([chambre3]*1='CHAMBRES GARCONS RDC'!$A$77,1,0)</f>
        <v>0</v>
      </c>
      <c r="HQ8" s="160">
        <f>IF([Occurrence45]=0,0,SUM($HP$2:HP8))</f>
        <v>0</v>
      </c>
      <c r="HR8" s="160">
        <f>IF([chambre3]*1='CHAMBRES GARCONS RDC'!$A$83,1,0)</f>
        <v>0</v>
      </c>
      <c r="HS8" s="160">
        <f>IF([Occurrence46]=0,0,SUM($HR$2:HR8))</f>
        <v>0</v>
      </c>
      <c r="HT8" s="160">
        <f>IF([chambre3]*1='CHAMBRES GARCONS RDC'!$A$89,1,0)</f>
        <v>0</v>
      </c>
      <c r="HU8" s="160">
        <f>IF([Occurrence47]=0,0,SUM($HT$2:HT8))</f>
        <v>0</v>
      </c>
      <c r="HV8" s="160">
        <f>IF([chambre3]*1='CHAMBRES GARCONS RDC'!$A$95,1,0)</f>
        <v>0</v>
      </c>
      <c r="HW8" s="160">
        <f>IF([Occurrence48]=0,0,SUM($HV$2:HV8))</f>
        <v>0</v>
      </c>
      <c r="HX8" s="160"/>
      <c r="HY8" s="160"/>
      <c r="HZ8" s="160">
        <f>IF([Classe]='Liste élève par classes'!$B$5,1,0)</f>
        <v>0</v>
      </c>
      <c r="IA8" s="160">
        <f>IF([Occurrence]=0,0,SUM($HZ$2:HZ8))</f>
        <v>0</v>
      </c>
      <c r="IB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115</v>
      </c>
      <c r="IC8" s="208"/>
    </row>
    <row r="9" spans="1:237">
      <c r="A9" t="s">
        <v>258</v>
      </c>
      <c r="B9" t="s">
        <v>259</v>
      </c>
      <c r="C9" s="158">
        <v>36755</v>
      </c>
      <c r="D9" s="62">
        <f t="shared" ca="1" si="0"/>
        <v>17</v>
      </c>
      <c r="E9" t="s">
        <v>1</v>
      </c>
      <c r="F9" s="159" t="s">
        <v>50</v>
      </c>
      <c r="G9" t="s">
        <v>45</v>
      </c>
      <c r="H9" s="160"/>
      <c r="I9" s="161"/>
      <c r="J9" s="161"/>
      <c r="K9" s="161"/>
      <c r="L9" s="160">
        <v>179</v>
      </c>
      <c r="M9">
        <v>223</v>
      </c>
      <c r="N9" s="161"/>
      <c r="O9" s="161"/>
      <c r="P9" s="161"/>
      <c r="Q9" s="161"/>
      <c r="R9" s="161"/>
      <c r="S9" s="190"/>
      <c r="T9" s="161"/>
      <c r="U9" s="160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3"/>
      <c r="AG9" s="163"/>
      <c r="AH9" s="163"/>
      <c r="AI9" s="163"/>
      <c r="AJ9" s="163"/>
      <c r="AK9" s="163"/>
      <c r="AL9" s="163"/>
      <c r="AM9" s="163"/>
      <c r="AN9" s="163"/>
      <c r="AO9" s="163"/>
      <c r="AP9" s="163"/>
      <c r="AQ9" s="163"/>
      <c r="AR9" s="163"/>
      <c r="AS9" s="163"/>
      <c r="AT9" s="163"/>
      <c r="AU9" s="163"/>
      <c r="AV9" s="163"/>
      <c r="AW9" s="163"/>
      <c r="AX9" s="163"/>
      <c r="AY9" s="163"/>
      <c r="AZ9" s="163"/>
      <c r="BA9" s="163"/>
      <c r="BB9" s="163"/>
      <c r="BC9" s="163" t="b">
        <v>0</v>
      </c>
      <c r="BD9" s="163" t="b">
        <v>1</v>
      </c>
      <c r="BE9" s="163" t="b">
        <v>1</v>
      </c>
      <c r="BF9" s="163" t="b">
        <v>0</v>
      </c>
      <c r="BG9" s="164" t="b">
        <v>0</v>
      </c>
      <c r="BH9" s="163" t="b">
        <v>1</v>
      </c>
      <c r="BI9" s="163"/>
      <c r="BJ9" s="163"/>
      <c r="BK9" s="163"/>
      <c r="BL9" s="163"/>
      <c r="BM9" s="163"/>
      <c r="BN9" s="163"/>
      <c r="BO9" s="163"/>
      <c r="BP9" s="163"/>
      <c r="BQ9" s="163" t="b">
        <v>1</v>
      </c>
      <c r="BR9" s="163"/>
      <c r="BS9" s="163"/>
      <c r="BT9" s="163"/>
      <c r="BU9" s="163"/>
      <c r="BV9" s="163"/>
      <c r="BW9" s="163"/>
      <c r="BX9" s="163"/>
      <c r="BY9" s="163"/>
      <c r="BZ9" s="163"/>
      <c r="CA9" s="163"/>
      <c r="CB9" s="163"/>
      <c r="CC9" s="163"/>
      <c r="CD9" s="163"/>
      <c r="CE9" s="163"/>
      <c r="CF9" s="163"/>
      <c r="CG9" s="163"/>
      <c r="CH9" s="163"/>
      <c r="CI9" s="163"/>
      <c r="CJ9" s="163"/>
      <c r="CK9" s="163"/>
      <c r="CL9" s="163"/>
      <c r="CM9" s="163"/>
      <c r="CN9" s="163"/>
      <c r="CO9" s="163"/>
      <c r="CP9" s="163"/>
      <c r="CQ9" s="163"/>
      <c r="CR9" s="163"/>
      <c r="CS9" s="163"/>
      <c r="CT9" s="163"/>
      <c r="CU9" s="163"/>
      <c r="CV9" s="163"/>
      <c r="CW9" s="163"/>
      <c r="CX9" s="163"/>
      <c r="CY9" s="163"/>
      <c r="CZ9" s="163"/>
      <c r="DA9" s="163"/>
      <c r="DB9" s="163"/>
      <c r="DC9" s="163"/>
      <c r="DD9" s="163"/>
      <c r="DE9" s="163"/>
      <c r="DF9" s="163"/>
      <c r="DG9" s="208"/>
      <c r="DH9" s="163"/>
      <c r="DI9" s="163"/>
      <c r="DJ9" s="163"/>
      <c r="DK9" s="163"/>
      <c r="DL9" s="163"/>
      <c r="DM9" s="163"/>
      <c r="DN9" s="163"/>
      <c r="DO9" s="163"/>
      <c r="DP9" s="163"/>
      <c r="DQ9" s="163"/>
      <c r="DR9" s="163"/>
      <c r="DS9" s="163"/>
      <c r="DT9" s="163"/>
      <c r="DU9" s="163"/>
      <c r="DV9" s="163"/>
      <c r="DW9" s="163"/>
      <c r="DX9" s="163"/>
      <c r="DY9" s="163"/>
      <c r="DZ9" s="163"/>
      <c r="EA9" s="163"/>
      <c r="EB9" s="163"/>
      <c r="EC9" s="163"/>
      <c r="ED9" s="163"/>
      <c r="EE9" s="163"/>
      <c r="EF9" s="163"/>
      <c r="EG9" s="163"/>
      <c r="EH9" s="160">
        <f>IF([Chambre]*1='CHAMBRES FILLES 2e ETAGE'!$A$5,1,0)</f>
        <v>0</v>
      </c>
      <c r="EI9" s="161">
        <f>IF([Occurrence2]=0,0,SUM($EH$2:EH9))</f>
        <v>0</v>
      </c>
      <c r="EJ9" s="160">
        <f>IF([Chambre]*1='CHAMBRES FILLES 2e ETAGE'!$A$11,1,0)</f>
        <v>0</v>
      </c>
      <c r="EK9" s="160">
        <f>IF([Occurrence3]=0,0,SUM($EJ$2:EJ9))</f>
        <v>0</v>
      </c>
      <c r="EL9" s="160">
        <f>IF([Chambre]*1='CHAMBRES FILLES 2e ETAGE'!$A$17,1,0)</f>
        <v>0</v>
      </c>
      <c r="EM9" s="160">
        <f>IF([Occurrence4]=0,0,SUM($EL$2:EL9))</f>
        <v>0</v>
      </c>
      <c r="EN9" s="160">
        <f>IF([Chambre]*1='CHAMBRES FILLES 2e ETAGE'!$A$23,1,0)</f>
        <v>0</v>
      </c>
      <c r="EO9" s="160">
        <f>IF([Occurrence5]=0,0,SUM($EN$2:EN9))</f>
        <v>0</v>
      </c>
      <c r="EP9" s="160">
        <f>IF([Chambre]*1='CHAMBRES FILLES 2e ETAGE'!$A$29,1,0)</f>
        <v>0</v>
      </c>
      <c r="EQ9" s="160">
        <f>IF([Occurrence6]=0,0,SUM($EP$2:EP9))</f>
        <v>0</v>
      </c>
      <c r="ER9" s="160">
        <f>IF([Chambre]*1='CHAMBRES FILLES 2e ETAGE'!$A$35,1,0)</f>
        <v>0</v>
      </c>
      <c r="ES9" s="160">
        <f>IF([Occurrence7]=0,0,SUM($ER$2:ER9))</f>
        <v>0</v>
      </c>
      <c r="ET9" s="160">
        <f>IF([Chambre]*1='CHAMBRES FILLES 2e ETAGE'!$A$41,1,0)</f>
        <v>0</v>
      </c>
      <c r="EU9" s="160">
        <f>IF([Occurrence8]=0,0,SUM($ET$2:ET9))</f>
        <v>0</v>
      </c>
      <c r="EV9" s="160">
        <f>IF([Chambre]*1='CHAMBRES FILLES 2e ETAGE'!$A$47,1,0)</f>
        <v>0</v>
      </c>
      <c r="EW9" s="160">
        <f>IF([Occurrence9]=0,0,SUM($EV$2:EV9))</f>
        <v>0</v>
      </c>
      <c r="EX9" s="160">
        <f>IF([Chambre]*1='CHAMBRES FILLES 2e ETAGE'!$A$53,1,0)</f>
        <v>0</v>
      </c>
      <c r="EY9" s="160">
        <f>IF([Occurrence10]=0,0,SUM($EX$2:EX9))</f>
        <v>0</v>
      </c>
      <c r="EZ9" s="160">
        <f>IF([Chambre]*1='CHAMBRES FILLES 2e ETAGE'!$A$59,1,0)</f>
        <v>0</v>
      </c>
      <c r="FA9" s="160">
        <f>IF([Occurrence11]=0,0,SUM($EZ$2:EZ9))</f>
        <v>0</v>
      </c>
      <c r="FB9" s="160">
        <f>IF([Chambre]*1='CHAMBRES FILLES 2e ETAGE'!$A$65,1,0)</f>
        <v>0</v>
      </c>
      <c r="FC9" s="160">
        <f>IF([Occurrence12]=0,0,SUM($FB$2:FB9))</f>
        <v>0</v>
      </c>
      <c r="FD9" s="160">
        <f>IF([Chambre]*1='CHAMBRES FILLES 2e ETAGE'!$A$71,1,0)</f>
        <v>1</v>
      </c>
      <c r="FE9" s="160">
        <f>IF([Occurrence13]=0,0,SUM($FD$2:FD9))</f>
        <v>1</v>
      </c>
      <c r="FF9" s="160">
        <f>IF([Chambre]*1='CHAMBRES FILLES 2e ETAGE'!$A$77,1,0)</f>
        <v>0</v>
      </c>
      <c r="FG9" s="160">
        <f>IF([Occurrence14]=0,0,SUM($FF$2:FF9))</f>
        <v>0</v>
      </c>
      <c r="FH9" s="160">
        <f>IF([Chambre]*1='CHAMBRES FILLES 2e ETAGE'!$A$83,1,0)</f>
        <v>0</v>
      </c>
      <c r="FI9" s="160">
        <f>IF([Occurrence15]=0,0,SUM($FH$2:FH9))</f>
        <v>0</v>
      </c>
      <c r="FJ9" s="160">
        <f>IF([Chambre]*1='CHAMBRES FILLES 2e ETAGE'!$A$89,1,0)</f>
        <v>0</v>
      </c>
      <c r="FK9" s="160">
        <f>IF([Occurrence16]=0,0,SUM($FJ$2:FJ9))</f>
        <v>0</v>
      </c>
      <c r="FL9" s="160">
        <f>IF([Chambre]*1='CHAMBRES FILLES 2e ETAGE'!$A$95,1,0)</f>
        <v>0</v>
      </c>
      <c r="FM9" s="160">
        <f>IF([Occurrence17]=0,0,SUM($FL$2:FL9))</f>
        <v>0</v>
      </c>
      <c r="FN9" s="160">
        <f>IF([Chambre2]*1='CHAMBRES FILLES 1e ETAGE'!$A$5,1,0)</f>
        <v>0</v>
      </c>
      <c r="FO9" s="160">
        <f>IF([Occurrence18]=0,0,SUM($FN$2:FN9))</f>
        <v>0</v>
      </c>
      <c r="FP9" s="160">
        <f>IF([Chambre2]*1='CHAMBRES FILLES 1e ETAGE'!$A$11,1,0)</f>
        <v>0</v>
      </c>
      <c r="FQ9" s="160">
        <f>IF([Occurrence19]=0,0,SUM($FP$2:FP9))</f>
        <v>0</v>
      </c>
      <c r="FR9" s="160">
        <f>IF([Chambre2]*1='CHAMBRES FILLES 1e ETAGE'!$A$17,1,0)</f>
        <v>0</v>
      </c>
      <c r="FS9" s="160">
        <f>IF([Occurrence20]=0,0,SUM($FR$2:FR9))</f>
        <v>0</v>
      </c>
      <c r="FT9" s="160">
        <f>IF([Chambre2]*1='CHAMBRES FILLES 1e ETAGE'!$A$23,1,0)</f>
        <v>0</v>
      </c>
      <c r="FU9" s="160">
        <f>IF([Occurrence21]=0,0,SUM($FT$2:FT9))</f>
        <v>0</v>
      </c>
      <c r="FV9" s="160">
        <f>IF([Chambre2]*1='CHAMBRES FILLES 1e ETAGE'!$A$29,1,0)</f>
        <v>0</v>
      </c>
      <c r="FW9" s="160">
        <f>IF([Occurrence22]=0,0,SUM($FV$2:FV9))</f>
        <v>0</v>
      </c>
      <c r="FX9" s="160">
        <f>IF([Chambre2]*1='CHAMBRES FILLES 1e ETAGE'!$A$35,1,0)</f>
        <v>0</v>
      </c>
      <c r="FY9" s="160">
        <f>IF([Occurrence23]=0,0,SUM($FX$2:FX9))</f>
        <v>0</v>
      </c>
      <c r="FZ9" s="160">
        <f>IF([Chambre2]*1='CHAMBRES FILLES 1e ETAGE'!$A$41,1,0)</f>
        <v>0</v>
      </c>
      <c r="GA9" s="160">
        <f>IF([Occurrence24]=0,0,SUM($FZ$2:FZ9))</f>
        <v>0</v>
      </c>
      <c r="GB9" s="160">
        <f>IF([Chambre2]*1='CHAMBRES FILLES 1e ETAGE'!$A$47,1,0)</f>
        <v>0</v>
      </c>
      <c r="GC9" s="160">
        <f>IF([Occurrence25]=0,0,SUM($GB$2:GB9))</f>
        <v>0</v>
      </c>
      <c r="GD9" s="160">
        <f>IF([Chambre2]*1='CHAMBRES FILLES 1e ETAGE'!$A$53,1,0)</f>
        <v>0</v>
      </c>
      <c r="GE9" s="160">
        <f>IF([Occurrence26]=0,0,SUM($GD$2:GD9))</f>
        <v>0</v>
      </c>
      <c r="GF9" s="160">
        <f>IF([chambre4]*1='CHAMBRES GARCONS 1e ETAGE'!$A$5,1,0)</f>
        <v>0</v>
      </c>
      <c r="GG9" s="160">
        <f>IF([Occurrence27]=0,0,SUM($GF$2:GF9))</f>
        <v>0</v>
      </c>
      <c r="GH9" s="160">
        <f>IF([chambre4]*1='CHAMBRES GARCONS 1e ETAGE'!$A$11,1,0)</f>
        <v>0</v>
      </c>
      <c r="GI9" s="160">
        <f>IF([Occurrence28]=0,0,SUM($GH$2:GH9))</f>
        <v>0</v>
      </c>
      <c r="GJ9" s="160">
        <f>IF([chambre4]*1='CHAMBRES GARCONS 1e ETAGE'!$A$17,1,0)</f>
        <v>0</v>
      </c>
      <c r="GK9" s="160">
        <f>IF([Occurrence29]=0,0,SUM($GJ$2:GJ9))</f>
        <v>0</v>
      </c>
      <c r="GL9" s="160">
        <f>IF([chambre4]*1='CHAMBRES GARCONS 1e ETAGE'!$A$23,1,0)</f>
        <v>0</v>
      </c>
      <c r="GM9" s="160">
        <f>IF([Occurrence30]=0,0,SUM($GL$2:GL9))</f>
        <v>0</v>
      </c>
      <c r="GN9" s="160">
        <f>IF([chambre4]*1='CHAMBRES GARCONS 1e ETAGE'!$A$29,1,0)</f>
        <v>0</v>
      </c>
      <c r="GO9" s="160">
        <f>IF([Occurrence31]=0,0,SUM($GN$2:GN9))</f>
        <v>0</v>
      </c>
      <c r="GP9" s="160">
        <f>IF([chambre4]*1='CHAMBRES GARCONS 1e ETAGE'!$A$35,1,0)</f>
        <v>0</v>
      </c>
      <c r="GQ9" s="160">
        <f>IF([Occurrence32]=0,0,SUM($GP$2:GP9))</f>
        <v>0</v>
      </c>
      <c r="GR9" s="160">
        <f>IF([chambre3]*1='CHAMBRES GARCONS RDC'!$A$5,1,0)</f>
        <v>0</v>
      </c>
      <c r="GS9" s="160">
        <f>IF([Occurrence33]=0,0,SUM($GR$2:GR9))</f>
        <v>0</v>
      </c>
      <c r="GT9" s="160">
        <f>IF([chambre3]*1='CHAMBRES GARCONS RDC'!$A$11,1,0)</f>
        <v>0</v>
      </c>
      <c r="GU9" s="160">
        <f>IF([Occurrence34]=0,0,SUM($GT$2:GT9))</f>
        <v>0</v>
      </c>
      <c r="GV9" s="160">
        <f>IF([chambre3]*1='CHAMBRES GARCONS RDC'!$A$17,1,0)</f>
        <v>0</v>
      </c>
      <c r="GW9" s="160">
        <f>IF([Occurrence35]=0,0,SUM($GV$2:GV9))</f>
        <v>0</v>
      </c>
      <c r="GX9" s="160">
        <f>IF([chambre3]*1='CHAMBRES GARCONS RDC'!$A$23,1,0)</f>
        <v>0</v>
      </c>
      <c r="GY9" s="160">
        <f>IF([Occurrence36]=0,0,SUM($GX$2:GX9))</f>
        <v>0</v>
      </c>
      <c r="GZ9" s="160">
        <f>IF([chambre3]*1='CHAMBRES GARCONS RDC'!$A$29,1,0)</f>
        <v>0</v>
      </c>
      <c r="HA9" s="160">
        <f>IF([Occurrence37]=0,0,SUM($GZ$2:GZ9))</f>
        <v>0</v>
      </c>
      <c r="HB9" s="160">
        <f>IF([chambre3]*1='CHAMBRES GARCONS RDC'!$A$35,1,0)</f>
        <v>0</v>
      </c>
      <c r="HC9" s="160">
        <f>IF([Occurrence38]=0,0,SUM($HB$2:HB9))</f>
        <v>0</v>
      </c>
      <c r="HD9" s="160">
        <f>IF([chambre3]*1='CHAMBRES GARCONS RDC'!$A$41,1,0)</f>
        <v>0</v>
      </c>
      <c r="HE9" s="160">
        <f>IF([Occurrence39]=0,0,SUM($HD$2:HD9))</f>
        <v>0</v>
      </c>
      <c r="HF9" s="160">
        <f>IF([chambre3]*1='CHAMBRES GARCONS RDC'!$A$47,1,0)</f>
        <v>0</v>
      </c>
      <c r="HG9" s="160">
        <f>IF([Occurrence40]=0,0,SUM($HF$2:HF9))</f>
        <v>0</v>
      </c>
      <c r="HH9" s="160">
        <f>IF([chambre3]*1='CHAMBRES GARCONS RDC'!$A$53,1,0)</f>
        <v>0</v>
      </c>
      <c r="HI9" s="160">
        <f>IF([Occurrence41]=0,0,SUM($HH$2:HH9))</f>
        <v>0</v>
      </c>
      <c r="HJ9" s="160">
        <f>IF([chambre3]*1='CHAMBRES GARCONS RDC'!$A$59,1,0)</f>
        <v>0</v>
      </c>
      <c r="HK9" s="160">
        <f>IF([Occurrence42]=0,0,SUM($HJ$2:HJ9))</f>
        <v>0</v>
      </c>
      <c r="HL9" s="160">
        <f>IF([chambre3]*1='CHAMBRES GARCONS RDC'!$A$65,1,0)</f>
        <v>0</v>
      </c>
      <c r="HM9" s="160">
        <f>IF([Occurrence43]=0,0,SUM($HL$2:HL9))</f>
        <v>0</v>
      </c>
      <c r="HN9" s="160">
        <f>IF([chambre3]*1='CHAMBRES GARCONS RDC'!$A$71,1,0)</f>
        <v>0</v>
      </c>
      <c r="HO9" s="160">
        <f>IF([Occurrence44]=0,0,SUM($HN$2:HN9))</f>
        <v>0</v>
      </c>
      <c r="HP9" s="160">
        <f>IF([chambre3]*1='CHAMBRES GARCONS RDC'!$A$77,1,0)</f>
        <v>0</v>
      </c>
      <c r="HQ9" s="160">
        <f>IF([Occurrence45]=0,0,SUM($HP$2:HP9))</f>
        <v>0</v>
      </c>
      <c r="HR9" s="160">
        <f>IF([chambre3]*1='CHAMBRES GARCONS RDC'!$A$83,1,0)</f>
        <v>0</v>
      </c>
      <c r="HS9" s="160">
        <f>IF([Occurrence46]=0,0,SUM($HR$2:HR9))</f>
        <v>0</v>
      </c>
      <c r="HT9" s="160">
        <f>IF([chambre3]*1='CHAMBRES GARCONS RDC'!$A$89,1,0)</f>
        <v>0</v>
      </c>
      <c r="HU9" s="160">
        <f>IF([Occurrence47]=0,0,SUM($HT$2:HT9))</f>
        <v>0</v>
      </c>
      <c r="HV9" s="160">
        <f>IF([chambre3]*1='CHAMBRES GARCONS RDC'!$A$95,1,0)</f>
        <v>0</v>
      </c>
      <c r="HW9" s="160">
        <f>IF([Occurrence48]=0,0,SUM($HV$2:HV9))</f>
        <v>0</v>
      </c>
      <c r="HX9" s="160"/>
      <c r="HY9" s="160"/>
      <c r="HZ9" s="160">
        <f>IF([Classe]='Liste élève par classes'!$B$5,1,0)</f>
        <v>0</v>
      </c>
      <c r="IA9" s="160">
        <f>IF([Occurrence]=0,0,SUM($HZ$2:HZ9))</f>
        <v>0</v>
      </c>
      <c r="IB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179</v>
      </c>
      <c r="IC9" s="208"/>
    </row>
    <row r="10" spans="1:237">
      <c r="A10" t="s">
        <v>260</v>
      </c>
      <c r="B10" t="s">
        <v>261</v>
      </c>
      <c r="C10" s="158">
        <v>37227</v>
      </c>
      <c r="D10" s="62">
        <f t="shared" ca="1" si="0"/>
        <v>15</v>
      </c>
      <c r="E10" t="s">
        <v>6</v>
      </c>
      <c r="F10" s="159" t="s">
        <v>50</v>
      </c>
      <c r="G10" t="s">
        <v>40</v>
      </c>
      <c r="H10" s="160"/>
      <c r="I10" s="62"/>
      <c r="J10" s="62" t="s">
        <v>244</v>
      </c>
      <c r="K10" s="62"/>
      <c r="L10" s="160"/>
      <c r="M10">
        <v>50</v>
      </c>
      <c r="N10" s="62" t="s">
        <v>244</v>
      </c>
      <c r="O10" s="62" t="s">
        <v>244</v>
      </c>
      <c r="P10" s="62" t="s">
        <v>244</v>
      </c>
      <c r="Q10" s="62" t="s">
        <v>244</v>
      </c>
      <c r="R10" s="62" t="s">
        <v>244</v>
      </c>
      <c r="S10" s="191"/>
      <c r="T10" s="62" t="s">
        <v>244</v>
      </c>
      <c r="U10" s="61"/>
      <c r="V10" s="62" t="s">
        <v>244</v>
      </c>
      <c r="W10" s="62" t="s">
        <v>244</v>
      </c>
      <c r="X10" s="62" t="s">
        <v>244</v>
      </c>
      <c r="Y10" s="62" t="s">
        <v>244</v>
      </c>
      <c r="Z10" s="62" t="s">
        <v>244</v>
      </c>
      <c r="AA10" s="62" t="s">
        <v>244</v>
      </c>
      <c r="AB10" s="62" t="s">
        <v>244</v>
      </c>
      <c r="AC10" s="62" t="s">
        <v>244</v>
      </c>
      <c r="AD10" s="62" t="s">
        <v>244</v>
      </c>
      <c r="AE10" s="62" t="s">
        <v>244</v>
      </c>
      <c r="AF10" s="163" t="s">
        <v>244</v>
      </c>
      <c r="AG10" s="163" t="s">
        <v>244</v>
      </c>
      <c r="AH10" s="163" t="s">
        <v>244</v>
      </c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 t="b">
        <v>0</v>
      </c>
      <c r="BD10" s="163" t="b">
        <v>1</v>
      </c>
      <c r="BE10" s="163" t="b">
        <v>1</v>
      </c>
      <c r="BF10" s="163" t="b">
        <v>0</v>
      </c>
      <c r="BG10" s="163" t="b">
        <v>1</v>
      </c>
      <c r="BH10" s="163" t="b">
        <v>0</v>
      </c>
      <c r="BI10" s="163"/>
      <c r="BJ10" s="163"/>
      <c r="BK10" s="163"/>
      <c r="BL10" s="163"/>
      <c r="BM10" s="163"/>
      <c r="BN10" s="163"/>
      <c r="BO10" s="163"/>
      <c r="BP10" s="163"/>
      <c r="BQ10" s="163" t="b">
        <v>0</v>
      </c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163"/>
      <c r="CJ10" s="163"/>
      <c r="CK10" s="163"/>
      <c r="CL10" s="163"/>
      <c r="CM10" s="163"/>
      <c r="CN10" s="163"/>
      <c r="CO10" s="163"/>
      <c r="CP10" s="163"/>
      <c r="CQ10" s="163"/>
      <c r="CR10" s="163"/>
      <c r="CS10" s="163"/>
      <c r="CT10" s="163"/>
      <c r="CU10" s="163"/>
      <c r="CV10" s="163"/>
      <c r="CW10" s="163"/>
      <c r="CX10" s="163"/>
      <c r="CY10" s="163"/>
      <c r="CZ10" s="163"/>
      <c r="DA10" s="163">
        <v>110</v>
      </c>
      <c r="DB10" s="163"/>
      <c r="DC10" s="163"/>
      <c r="DD10" s="163"/>
      <c r="DE10" s="163"/>
      <c r="DF10" s="163"/>
      <c r="DG10" s="208"/>
      <c r="DH10" s="163"/>
      <c r="DI10" s="163"/>
      <c r="DJ10" s="163"/>
      <c r="DK10" s="163"/>
      <c r="DL10" s="163"/>
      <c r="DM10" s="163"/>
      <c r="DN10" s="163"/>
      <c r="DO10" s="163"/>
      <c r="DP10" s="163"/>
      <c r="DQ10" s="163"/>
      <c r="DR10" s="163"/>
      <c r="DS10" s="163"/>
      <c r="DT10" s="163"/>
      <c r="DU10" s="163"/>
      <c r="DV10" s="163"/>
      <c r="DW10" s="163"/>
      <c r="DX10" s="163"/>
      <c r="DY10" s="163"/>
      <c r="DZ10" s="163"/>
      <c r="EA10" s="163"/>
      <c r="EB10" s="163"/>
      <c r="EC10" s="163"/>
      <c r="ED10" s="163"/>
      <c r="EE10" s="163"/>
      <c r="EF10" s="163"/>
      <c r="EG10" s="163"/>
      <c r="EH10" s="160">
        <f>IF([Chambre]*1='CHAMBRES FILLES 2e ETAGE'!$A$5,1,0)</f>
        <v>0</v>
      </c>
      <c r="EI10" s="161">
        <f>IF([Occurrence2]=0,0,SUM($EH$2:EH10))</f>
        <v>0</v>
      </c>
      <c r="EJ10" s="160">
        <f>IF([Chambre]*1='CHAMBRES FILLES 2e ETAGE'!$A$11,1,0)</f>
        <v>0</v>
      </c>
      <c r="EK10" s="160">
        <f>IF([Occurrence3]=0,0,SUM($EJ$2:EJ10))</f>
        <v>0</v>
      </c>
      <c r="EL10" s="160">
        <f>IF([Chambre]*1='CHAMBRES FILLES 2e ETAGE'!$A$17,1,0)</f>
        <v>0</v>
      </c>
      <c r="EM10" s="160">
        <f>IF([Occurrence4]=0,0,SUM($EL$2:EL10))</f>
        <v>0</v>
      </c>
      <c r="EN10" s="160">
        <f>IF([Chambre]*1='CHAMBRES FILLES 2e ETAGE'!$A$23,1,0)</f>
        <v>0</v>
      </c>
      <c r="EO10" s="160">
        <f>IF([Occurrence5]=0,0,SUM($EN$2:EN10))</f>
        <v>0</v>
      </c>
      <c r="EP10" s="160">
        <f>IF([Chambre]*1='CHAMBRES FILLES 2e ETAGE'!$A$29,1,0)</f>
        <v>0</v>
      </c>
      <c r="EQ10" s="160">
        <f>IF([Occurrence6]=0,0,SUM($EP$2:EP10))</f>
        <v>0</v>
      </c>
      <c r="ER10" s="160">
        <f>IF([Chambre]*1='CHAMBRES FILLES 2e ETAGE'!$A$35,1,0)</f>
        <v>0</v>
      </c>
      <c r="ES10" s="160">
        <f>IF([Occurrence7]=0,0,SUM($ER$2:ER10))</f>
        <v>0</v>
      </c>
      <c r="ET10" s="160">
        <f>IF([Chambre]*1='CHAMBRES FILLES 2e ETAGE'!$A$41,1,0)</f>
        <v>0</v>
      </c>
      <c r="EU10" s="160">
        <f>IF([Occurrence8]=0,0,SUM($ET$2:ET10))</f>
        <v>0</v>
      </c>
      <c r="EV10" s="160">
        <f>IF([Chambre]*1='CHAMBRES FILLES 2e ETAGE'!$A$47,1,0)</f>
        <v>0</v>
      </c>
      <c r="EW10" s="160">
        <f>IF([Occurrence9]=0,0,SUM($EV$2:EV10))</f>
        <v>0</v>
      </c>
      <c r="EX10" s="160">
        <f>IF([Chambre]*1='CHAMBRES FILLES 2e ETAGE'!$A$53,1,0)</f>
        <v>0</v>
      </c>
      <c r="EY10" s="160">
        <f>IF([Occurrence10]=0,0,SUM($EX$2:EX10))</f>
        <v>0</v>
      </c>
      <c r="EZ10" s="160">
        <f>IF([Chambre]*1='CHAMBRES FILLES 2e ETAGE'!$A$59,1,0)</f>
        <v>0</v>
      </c>
      <c r="FA10" s="160">
        <f>IF([Occurrence11]=0,0,SUM($EZ$2:EZ10))</f>
        <v>0</v>
      </c>
      <c r="FB10" s="160">
        <f>IF([Chambre]*1='CHAMBRES FILLES 2e ETAGE'!$A$65,1,0)</f>
        <v>0</v>
      </c>
      <c r="FC10" s="160">
        <f>IF([Occurrence12]=0,0,SUM($FB$2:FB10))</f>
        <v>0</v>
      </c>
      <c r="FD10" s="160">
        <f>IF([Chambre]*1='CHAMBRES FILLES 2e ETAGE'!$A$71,1,0)</f>
        <v>0</v>
      </c>
      <c r="FE10" s="160">
        <f>IF([Occurrence13]=0,0,SUM($FD$2:FD10))</f>
        <v>0</v>
      </c>
      <c r="FF10" s="160">
        <f>IF([Chambre]*1='CHAMBRES FILLES 2e ETAGE'!$A$77,1,0)</f>
        <v>0</v>
      </c>
      <c r="FG10" s="160">
        <f>IF([Occurrence14]=0,0,SUM($FF$2:FF10))</f>
        <v>0</v>
      </c>
      <c r="FH10" s="160">
        <f>IF([Chambre]*1='CHAMBRES FILLES 2e ETAGE'!$A$83,1,0)</f>
        <v>0</v>
      </c>
      <c r="FI10" s="160">
        <f>IF([Occurrence15]=0,0,SUM($FH$2:FH10))</f>
        <v>0</v>
      </c>
      <c r="FJ10" s="160">
        <f>IF([Chambre]*1='CHAMBRES FILLES 2e ETAGE'!$A$89,1,0)</f>
        <v>0</v>
      </c>
      <c r="FK10" s="160">
        <f>IF([Occurrence16]=0,0,SUM($FJ$2:FJ10))</f>
        <v>0</v>
      </c>
      <c r="FL10" s="160">
        <f>IF([Chambre]*1='CHAMBRES FILLES 2e ETAGE'!$A$95,1,0)</f>
        <v>0</v>
      </c>
      <c r="FM10" s="160">
        <f>IF([Occurrence17]=0,0,SUM($FL$2:FL10))</f>
        <v>0</v>
      </c>
      <c r="FN10" s="160">
        <f>IF([Chambre2]*1='CHAMBRES FILLES 1e ETAGE'!$A$5,1,0)</f>
        <v>0</v>
      </c>
      <c r="FO10" s="160">
        <f>IF([Occurrence18]=0,0,SUM($FN$2:FN10))</f>
        <v>0</v>
      </c>
      <c r="FP10" s="160">
        <f>IF([Chambre2]*1='CHAMBRES FILLES 1e ETAGE'!$A$11,1,0)</f>
        <v>0</v>
      </c>
      <c r="FQ10" s="160">
        <f>IF([Occurrence19]=0,0,SUM($FP$2:FP10))</f>
        <v>0</v>
      </c>
      <c r="FR10" s="160">
        <f>IF([Chambre2]*1='CHAMBRES FILLES 1e ETAGE'!$A$17,1,0)</f>
        <v>0</v>
      </c>
      <c r="FS10" s="160">
        <f>IF([Occurrence20]=0,0,SUM($FR$2:FR10))</f>
        <v>0</v>
      </c>
      <c r="FT10" s="160">
        <f>IF([Chambre2]*1='CHAMBRES FILLES 1e ETAGE'!$A$23,1,0)</f>
        <v>0</v>
      </c>
      <c r="FU10" s="160">
        <f>IF([Occurrence21]=0,0,SUM($FT$2:FT10))</f>
        <v>0</v>
      </c>
      <c r="FV10" s="160">
        <f>IF([Chambre2]*1='CHAMBRES FILLES 1e ETAGE'!$A$29,1,0)</f>
        <v>0</v>
      </c>
      <c r="FW10" s="160">
        <f>IF([Occurrence22]=0,0,SUM($FV$2:FV10))</f>
        <v>0</v>
      </c>
      <c r="FX10" s="160">
        <f>IF([Chambre2]*1='CHAMBRES FILLES 1e ETAGE'!$A$35,1,0)</f>
        <v>0</v>
      </c>
      <c r="FY10" s="160">
        <f>IF([Occurrence23]=0,0,SUM($FX$2:FX10))</f>
        <v>0</v>
      </c>
      <c r="FZ10" s="160">
        <f>IF([Chambre2]*1='CHAMBRES FILLES 1e ETAGE'!$A$41,1,0)</f>
        <v>0</v>
      </c>
      <c r="GA10" s="160">
        <f>IF([Occurrence24]=0,0,SUM($FZ$2:FZ10))</f>
        <v>0</v>
      </c>
      <c r="GB10" s="160">
        <f>IF([Chambre2]*1='CHAMBRES FILLES 1e ETAGE'!$A$47,1,0)</f>
        <v>0</v>
      </c>
      <c r="GC10" s="160">
        <f>IF([Occurrence25]=0,0,SUM($GB$2:GB10))</f>
        <v>0</v>
      </c>
      <c r="GD10" s="160">
        <f>IF([Chambre2]*1='CHAMBRES FILLES 1e ETAGE'!$A$53,1,0)</f>
        <v>0</v>
      </c>
      <c r="GE10" s="160">
        <f>IF([Occurrence26]=0,0,SUM($GD$2:GD10))</f>
        <v>0</v>
      </c>
      <c r="GF10" s="160">
        <f>IF([chambre4]*1='CHAMBRES GARCONS 1e ETAGE'!$A$5,1,0)</f>
        <v>0</v>
      </c>
      <c r="GG10" s="160">
        <f>IF([Occurrence27]=0,0,SUM($GF$2:GF10))</f>
        <v>0</v>
      </c>
      <c r="GH10" s="160">
        <f>IF([chambre4]*1='CHAMBRES GARCONS 1e ETAGE'!$A$11,1,0)</f>
        <v>0</v>
      </c>
      <c r="GI10" s="160">
        <f>IF([Occurrence28]=0,0,SUM($GH$2:GH10))</f>
        <v>0</v>
      </c>
      <c r="GJ10" s="160">
        <f>IF([chambre4]*1='CHAMBRES GARCONS 1e ETAGE'!$A$17,1,0)</f>
        <v>0</v>
      </c>
      <c r="GK10" s="160">
        <f>IF([Occurrence29]=0,0,SUM($GJ$2:GJ10))</f>
        <v>0</v>
      </c>
      <c r="GL10" s="160">
        <f>IF([chambre4]*1='CHAMBRES GARCONS 1e ETAGE'!$A$23,1,0)</f>
        <v>0</v>
      </c>
      <c r="GM10" s="160">
        <f>IF([Occurrence30]=0,0,SUM($GL$2:GL10))</f>
        <v>0</v>
      </c>
      <c r="GN10" s="160">
        <f>IF([chambre4]*1='CHAMBRES GARCONS 1e ETAGE'!$A$29,1,0)</f>
        <v>0</v>
      </c>
      <c r="GO10" s="160">
        <f>IF([Occurrence31]=0,0,SUM($GN$2:GN10))</f>
        <v>0</v>
      </c>
      <c r="GP10" s="160">
        <f>IF([chambre4]*1='CHAMBRES GARCONS 1e ETAGE'!$A$35,1,0)</f>
        <v>0</v>
      </c>
      <c r="GQ10" s="160">
        <f>IF([Occurrence32]=0,0,SUM($GP$2:GP10))</f>
        <v>0</v>
      </c>
      <c r="GR10" s="160">
        <f>IF([chambre3]*1='CHAMBRES GARCONS RDC'!$A$5,1,0)</f>
        <v>0</v>
      </c>
      <c r="GS10" s="160">
        <f>IF([Occurrence33]=0,0,SUM($GR$2:GR10))</f>
        <v>0</v>
      </c>
      <c r="GT10" s="160">
        <f>IF([chambre3]*1='CHAMBRES GARCONS RDC'!$A$11,1,0)</f>
        <v>0</v>
      </c>
      <c r="GU10" s="160">
        <f>IF([Occurrence34]=0,0,SUM($GT$2:GT10))</f>
        <v>0</v>
      </c>
      <c r="GV10" s="160">
        <f>IF([chambre3]*1='CHAMBRES GARCONS RDC'!$A$17,1,0)</f>
        <v>0</v>
      </c>
      <c r="GW10" s="160">
        <f>IF([Occurrence35]=0,0,SUM($GV$2:GV10))</f>
        <v>0</v>
      </c>
      <c r="GX10" s="160">
        <f>IF([chambre3]*1='CHAMBRES GARCONS RDC'!$A$23,1,0)</f>
        <v>0</v>
      </c>
      <c r="GY10" s="160">
        <f>IF([Occurrence36]=0,0,SUM($GX$2:GX10))</f>
        <v>0</v>
      </c>
      <c r="GZ10" s="160">
        <f>IF([chambre3]*1='CHAMBRES GARCONS RDC'!$A$29,1,0)</f>
        <v>0</v>
      </c>
      <c r="HA10" s="160">
        <f>IF([Occurrence37]=0,0,SUM($GZ$2:GZ10))</f>
        <v>0</v>
      </c>
      <c r="HB10" s="160">
        <f>IF([chambre3]*1='CHAMBRES GARCONS RDC'!$A$35,1,0)</f>
        <v>0</v>
      </c>
      <c r="HC10" s="160">
        <f>IF([Occurrence38]=0,0,SUM($HB$2:HB10))</f>
        <v>0</v>
      </c>
      <c r="HD10" s="160">
        <f>IF([chambre3]*1='CHAMBRES GARCONS RDC'!$A$41,1,0)</f>
        <v>0</v>
      </c>
      <c r="HE10" s="160">
        <f>IF([Occurrence39]=0,0,SUM($HD$2:HD10))</f>
        <v>0</v>
      </c>
      <c r="HF10" s="160">
        <f>IF([chambre3]*1='CHAMBRES GARCONS RDC'!$A$47,1,0)</f>
        <v>0</v>
      </c>
      <c r="HG10" s="160">
        <f>IF([Occurrence40]=0,0,SUM($HF$2:HF10))</f>
        <v>0</v>
      </c>
      <c r="HH10" s="160">
        <f>IF([chambre3]*1='CHAMBRES GARCONS RDC'!$A$53,1,0)</f>
        <v>0</v>
      </c>
      <c r="HI10" s="160">
        <f>IF([Occurrence41]=0,0,SUM($HH$2:HH10))</f>
        <v>0</v>
      </c>
      <c r="HJ10" s="160">
        <f>IF([chambre3]*1='CHAMBRES GARCONS RDC'!$A$59,1,0)</f>
        <v>0</v>
      </c>
      <c r="HK10" s="160">
        <f>IF([Occurrence42]=0,0,SUM($HJ$2:HJ10))</f>
        <v>0</v>
      </c>
      <c r="HL10" s="160">
        <f>IF([chambre3]*1='CHAMBRES GARCONS RDC'!$A$65,1,0)</f>
        <v>0</v>
      </c>
      <c r="HM10" s="160">
        <f>IF([Occurrence43]=0,0,SUM($HL$2:HL10))</f>
        <v>0</v>
      </c>
      <c r="HN10" s="160">
        <f>IF([chambre3]*1='CHAMBRES GARCONS RDC'!$A$71,1,0)</f>
        <v>1</v>
      </c>
      <c r="HO10" s="160">
        <f>IF([Occurrence44]=0,0,SUM($HN$2:HN10))</f>
        <v>1</v>
      </c>
      <c r="HP10" s="160">
        <f>IF([chambre3]*1='CHAMBRES GARCONS RDC'!$A$77,1,0)</f>
        <v>0</v>
      </c>
      <c r="HQ10" s="160">
        <f>IF([Occurrence45]=0,0,SUM($HP$2:HP10))</f>
        <v>0</v>
      </c>
      <c r="HR10" s="160">
        <f>IF([chambre3]*1='CHAMBRES GARCONS RDC'!$A$83,1,0)</f>
        <v>0</v>
      </c>
      <c r="HS10" s="160">
        <f>IF([Occurrence46]=0,0,SUM($HR$2:HR10))</f>
        <v>0</v>
      </c>
      <c r="HT10" s="160">
        <f>IF([chambre3]*1='CHAMBRES GARCONS RDC'!$A$89,1,0)</f>
        <v>0</v>
      </c>
      <c r="HU10" s="160">
        <f>IF([Occurrence47]=0,0,SUM($HT$2:HT10))</f>
        <v>0</v>
      </c>
      <c r="HV10" s="160">
        <f>IF([chambre3]*1='CHAMBRES GARCONS RDC'!$A$95,1,0)</f>
        <v>0</v>
      </c>
      <c r="HW10" s="160">
        <f>IF([Occurrence48]=0,0,SUM($HV$2:HV10))</f>
        <v>0</v>
      </c>
      <c r="HX10" s="160"/>
      <c r="HY10" s="160"/>
      <c r="HZ10" s="160">
        <f>IF([Classe]='Liste élève par classes'!$B$5,1,0)</f>
        <v>0</v>
      </c>
      <c r="IA10" s="160">
        <f>IF([Occurrence]=0,0,SUM($HZ$2:HZ10))</f>
        <v>0</v>
      </c>
      <c r="IB1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110</v>
      </c>
      <c r="IC10" s="208"/>
    </row>
    <row r="11" spans="1:237">
      <c r="A11" t="s">
        <v>262</v>
      </c>
      <c r="B11" t="s">
        <v>263</v>
      </c>
      <c r="C11" s="158">
        <v>37228</v>
      </c>
      <c r="D11" s="62">
        <f t="shared" ca="1" si="0"/>
        <v>15</v>
      </c>
      <c r="E11" t="s">
        <v>6</v>
      </c>
      <c r="F11" s="159" t="s">
        <v>50</v>
      </c>
      <c r="G11" t="s">
        <v>40</v>
      </c>
      <c r="H11" s="160"/>
      <c r="I11" s="62"/>
      <c r="J11" s="62" t="s">
        <v>244</v>
      </c>
      <c r="K11" s="62"/>
      <c r="L11" s="160"/>
      <c r="M11">
        <v>51</v>
      </c>
      <c r="N11" s="62" t="s">
        <v>244</v>
      </c>
      <c r="O11" s="62" t="s">
        <v>244</v>
      </c>
      <c r="P11" s="62" t="s">
        <v>244</v>
      </c>
      <c r="Q11" s="62" t="s">
        <v>244</v>
      </c>
      <c r="R11" s="62" t="s">
        <v>244</v>
      </c>
      <c r="S11" s="191"/>
      <c r="T11" s="62" t="s">
        <v>244</v>
      </c>
      <c r="U11" s="61"/>
      <c r="V11" s="62" t="s">
        <v>244</v>
      </c>
      <c r="W11" s="62" t="s">
        <v>244</v>
      </c>
      <c r="X11" s="62" t="s">
        <v>244</v>
      </c>
      <c r="Y11" s="62" t="s">
        <v>244</v>
      </c>
      <c r="Z11" s="62" t="s">
        <v>244</v>
      </c>
      <c r="AA11" s="62" t="s">
        <v>244</v>
      </c>
      <c r="AB11" s="62" t="s">
        <v>244</v>
      </c>
      <c r="AC11" s="62" t="s">
        <v>244</v>
      </c>
      <c r="AD11" s="62" t="s">
        <v>244</v>
      </c>
      <c r="AE11" s="62" t="s">
        <v>244</v>
      </c>
      <c r="AF11" s="163" t="s">
        <v>244</v>
      </c>
      <c r="AG11" s="163" t="s">
        <v>244</v>
      </c>
      <c r="AH11" s="163" t="s">
        <v>244</v>
      </c>
      <c r="AI11" s="163"/>
      <c r="AJ11" s="163"/>
      <c r="AK11" s="163"/>
      <c r="AL11" s="163"/>
      <c r="AM11" s="163"/>
      <c r="AN11" s="163"/>
      <c r="AO11" s="163"/>
      <c r="AP11" s="163"/>
      <c r="AQ11" s="163"/>
      <c r="AR11" s="163"/>
      <c r="AS11" s="163"/>
      <c r="AT11" s="163"/>
      <c r="AU11" s="163"/>
      <c r="AV11" s="163"/>
      <c r="AW11" s="163"/>
      <c r="AX11" s="163"/>
      <c r="AY11" s="163"/>
      <c r="AZ11" s="163"/>
      <c r="BA11" s="163"/>
      <c r="BB11" s="163"/>
      <c r="BC11" s="163" t="b">
        <v>0</v>
      </c>
      <c r="BD11" s="163" t="b">
        <v>1</v>
      </c>
      <c r="BE11" s="163" t="b">
        <v>1</v>
      </c>
      <c r="BF11" s="163" t="b">
        <v>0</v>
      </c>
      <c r="BG11" s="164" t="b">
        <v>0</v>
      </c>
      <c r="BH11" s="163" t="b">
        <v>1</v>
      </c>
      <c r="BI11" s="163"/>
      <c r="BJ11" s="163"/>
      <c r="BK11" s="163"/>
      <c r="BL11" s="163"/>
      <c r="BM11" s="163"/>
      <c r="BN11" s="163"/>
      <c r="BO11" s="163"/>
      <c r="BP11" s="163"/>
      <c r="BQ11" s="163" t="b">
        <v>0</v>
      </c>
      <c r="BR11" s="163"/>
      <c r="BS11" s="163"/>
      <c r="BT11" s="163"/>
      <c r="BU11" s="163"/>
      <c r="BV11" s="163"/>
      <c r="BW11" s="163"/>
      <c r="BX11" s="163"/>
      <c r="BY11" s="163"/>
      <c r="BZ11" s="163"/>
      <c r="CA11" s="163"/>
      <c r="CB11" s="163"/>
      <c r="CC11" s="163"/>
      <c r="CD11" s="163"/>
      <c r="CE11" s="163"/>
      <c r="CF11" s="163"/>
      <c r="CG11" s="163"/>
      <c r="CH11" s="163"/>
      <c r="CI11" s="163"/>
      <c r="CJ11" s="163"/>
      <c r="CK11" s="163"/>
      <c r="CL11" s="163"/>
      <c r="CM11" s="163"/>
      <c r="CN11" s="163"/>
      <c r="CO11" s="163"/>
      <c r="CP11" s="163"/>
      <c r="CQ11" s="163"/>
      <c r="CR11" s="163"/>
      <c r="CS11" s="163"/>
      <c r="CT11" s="163"/>
      <c r="CU11" s="163"/>
      <c r="CV11" s="163"/>
      <c r="CW11" s="163"/>
      <c r="CX11" s="163"/>
      <c r="CY11" s="163"/>
      <c r="CZ11" s="163"/>
      <c r="DA11" s="163"/>
      <c r="DB11" s="163"/>
      <c r="DC11" s="163"/>
      <c r="DD11" s="163"/>
      <c r="DE11" s="163"/>
      <c r="DF11" s="163"/>
      <c r="DG11" s="208">
        <v>153</v>
      </c>
      <c r="DH11" s="163"/>
      <c r="DI11" s="163"/>
      <c r="DJ11" s="163"/>
      <c r="DK11" s="163"/>
      <c r="DL11" s="163"/>
      <c r="DM11" s="163"/>
      <c r="DN11" s="163"/>
      <c r="DO11" s="163"/>
      <c r="DP11" s="163"/>
      <c r="DQ11" s="163"/>
      <c r="DR11" s="163"/>
      <c r="DS11" s="163"/>
      <c r="DT11" s="163"/>
      <c r="DU11" s="163"/>
      <c r="DV11" s="163"/>
      <c r="DW11" s="163"/>
      <c r="DX11" s="163"/>
      <c r="DY11" s="163"/>
      <c r="DZ11" s="163"/>
      <c r="EA11" s="163"/>
      <c r="EB11" s="163"/>
      <c r="EC11" s="163"/>
      <c r="ED11" s="163"/>
      <c r="EE11" s="163"/>
      <c r="EF11" s="163"/>
      <c r="EG11" s="163"/>
      <c r="EH11" s="160">
        <f>IF([Chambre]*1='CHAMBRES FILLES 2e ETAGE'!$A$5,1,0)</f>
        <v>0</v>
      </c>
      <c r="EI11" s="161">
        <f>IF([Occurrence2]=0,0,SUM($EH$2:EH11))</f>
        <v>0</v>
      </c>
      <c r="EJ11" s="160">
        <f>IF([Chambre]*1='CHAMBRES FILLES 2e ETAGE'!$A$11,1,0)</f>
        <v>0</v>
      </c>
      <c r="EK11" s="160">
        <f>IF([Occurrence3]=0,0,SUM($EJ$2:EJ11))</f>
        <v>0</v>
      </c>
      <c r="EL11" s="160">
        <f>IF([Chambre]*1='CHAMBRES FILLES 2e ETAGE'!$A$17,1,0)</f>
        <v>0</v>
      </c>
      <c r="EM11" s="160">
        <f>IF([Occurrence4]=0,0,SUM($EL$2:EL11))</f>
        <v>0</v>
      </c>
      <c r="EN11" s="160">
        <f>IF([Chambre]*1='CHAMBRES FILLES 2e ETAGE'!$A$23,1,0)</f>
        <v>0</v>
      </c>
      <c r="EO11" s="160">
        <f>IF([Occurrence5]=0,0,SUM($EN$2:EN11))</f>
        <v>0</v>
      </c>
      <c r="EP11" s="160">
        <f>IF([Chambre]*1='CHAMBRES FILLES 2e ETAGE'!$A$29,1,0)</f>
        <v>0</v>
      </c>
      <c r="EQ11" s="160">
        <f>IF([Occurrence6]=0,0,SUM($EP$2:EP11))</f>
        <v>0</v>
      </c>
      <c r="ER11" s="160">
        <f>IF([Chambre]*1='CHAMBRES FILLES 2e ETAGE'!$A$35,1,0)</f>
        <v>0</v>
      </c>
      <c r="ES11" s="160">
        <f>IF([Occurrence7]=0,0,SUM($ER$2:ER11))</f>
        <v>0</v>
      </c>
      <c r="ET11" s="160">
        <f>IF([Chambre]*1='CHAMBRES FILLES 2e ETAGE'!$A$41,1,0)</f>
        <v>0</v>
      </c>
      <c r="EU11" s="160">
        <f>IF([Occurrence8]=0,0,SUM($ET$2:ET11))</f>
        <v>0</v>
      </c>
      <c r="EV11" s="160">
        <f>IF([Chambre]*1='CHAMBRES FILLES 2e ETAGE'!$A$47,1,0)</f>
        <v>0</v>
      </c>
      <c r="EW11" s="160">
        <f>IF([Occurrence9]=0,0,SUM($EV$2:EV11))</f>
        <v>0</v>
      </c>
      <c r="EX11" s="160">
        <f>IF([Chambre]*1='CHAMBRES FILLES 2e ETAGE'!$A$53,1,0)</f>
        <v>0</v>
      </c>
      <c r="EY11" s="160">
        <f>IF([Occurrence10]=0,0,SUM($EX$2:EX11))</f>
        <v>0</v>
      </c>
      <c r="EZ11" s="160">
        <f>IF([Chambre]*1='CHAMBRES FILLES 2e ETAGE'!$A$59,1,0)</f>
        <v>0</v>
      </c>
      <c r="FA11" s="160">
        <f>IF([Occurrence11]=0,0,SUM($EZ$2:EZ11))</f>
        <v>0</v>
      </c>
      <c r="FB11" s="160">
        <f>IF([Chambre]*1='CHAMBRES FILLES 2e ETAGE'!$A$65,1,0)</f>
        <v>0</v>
      </c>
      <c r="FC11" s="160">
        <f>IF([Occurrence12]=0,0,SUM($FB$2:FB11))</f>
        <v>0</v>
      </c>
      <c r="FD11" s="160">
        <f>IF([Chambre]*1='CHAMBRES FILLES 2e ETAGE'!$A$71,1,0)</f>
        <v>0</v>
      </c>
      <c r="FE11" s="160">
        <f>IF([Occurrence13]=0,0,SUM($FD$2:FD11))</f>
        <v>0</v>
      </c>
      <c r="FF11" s="160">
        <f>IF([Chambre]*1='CHAMBRES FILLES 2e ETAGE'!$A$77,1,0)</f>
        <v>0</v>
      </c>
      <c r="FG11" s="160">
        <f>IF([Occurrence14]=0,0,SUM($FF$2:FF11))</f>
        <v>0</v>
      </c>
      <c r="FH11" s="160">
        <f>IF([Chambre]*1='CHAMBRES FILLES 2e ETAGE'!$A$83,1,0)</f>
        <v>0</v>
      </c>
      <c r="FI11" s="160">
        <f>IF([Occurrence15]=0,0,SUM($FH$2:FH11))</f>
        <v>0</v>
      </c>
      <c r="FJ11" s="160">
        <f>IF([Chambre]*1='CHAMBRES FILLES 2e ETAGE'!$A$89,1,0)</f>
        <v>0</v>
      </c>
      <c r="FK11" s="160">
        <f>IF([Occurrence16]=0,0,SUM($FJ$2:FJ11))</f>
        <v>0</v>
      </c>
      <c r="FL11" s="160">
        <f>IF([Chambre]*1='CHAMBRES FILLES 2e ETAGE'!$A$95,1,0)</f>
        <v>0</v>
      </c>
      <c r="FM11" s="160">
        <f>IF([Occurrence17]=0,0,SUM($FL$2:FL11))</f>
        <v>0</v>
      </c>
      <c r="FN11" s="160">
        <f>IF([Chambre2]*1='CHAMBRES FILLES 1e ETAGE'!$A$5,1,0)</f>
        <v>0</v>
      </c>
      <c r="FO11" s="160">
        <f>IF([Occurrence18]=0,0,SUM($FN$2:FN11))</f>
        <v>0</v>
      </c>
      <c r="FP11" s="160">
        <f>IF([Chambre2]*1='CHAMBRES FILLES 1e ETAGE'!$A$11,1,0)</f>
        <v>0</v>
      </c>
      <c r="FQ11" s="160">
        <f>IF([Occurrence19]=0,0,SUM($FP$2:FP11))</f>
        <v>0</v>
      </c>
      <c r="FR11" s="160">
        <f>IF([Chambre2]*1='CHAMBRES FILLES 1e ETAGE'!$A$17,1,0)</f>
        <v>0</v>
      </c>
      <c r="FS11" s="160">
        <f>IF([Occurrence20]=0,0,SUM($FR$2:FR11))</f>
        <v>0</v>
      </c>
      <c r="FT11" s="160">
        <f>IF([Chambre2]*1='CHAMBRES FILLES 1e ETAGE'!$A$23,1,0)</f>
        <v>0</v>
      </c>
      <c r="FU11" s="160">
        <f>IF([Occurrence21]=0,0,SUM($FT$2:FT11))</f>
        <v>0</v>
      </c>
      <c r="FV11" s="160">
        <f>IF([Chambre2]*1='CHAMBRES FILLES 1e ETAGE'!$A$29,1,0)</f>
        <v>0</v>
      </c>
      <c r="FW11" s="160">
        <f>IF([Occurrence22]=0,0,SUM($FV$2:FV11))</f>
        <v>0</v>
      </c>
      <c r="FX11" s="160">
        <f>IF([Chambre2]*1='CHAMBRES FILLES 1e ETAGE'!$A$35,1,0)</f>
        <v>0</v>
      </c>
      <c r="FY11" s="160">
        <f>IF([Occurrence23]=0,0,SUM($FX$2:FX11))</f>
        <v>0</v>
      </c>
      <c r="FZ11" s="160">
        <f>IF([Chambre2]*1='CHAMBRES FILLES 1e ETAGE'!$A$41,1,0)</f>
        <v>0</v>
      </c>
      <c r="GA11" s="160">
        <f>IF([Occurrence24]=0,0,SUM($FZ$2:FZ11))</f>
        <v>0</v>
      </c>
      <c r="GB11" s="160">
        <f>IF([Chambre2]*1='CHAMBRES FILLES 1e ETAGE'!$A$47,1,0)</f>
        <v>0</v>
      </c>
      <c r="GC11" s="160">
        <f>IF([Occurrence25]=0,0,SUM($GB$2:GB11))</f>
        <v>0</v>
      </c>
      <c r="GD11" s="160">
        <f>IF([Chambre2]*1='CHAMBRES FILLES 1e ETAGE'!$A$53,1,0)</f>
        <v>0</v>
      </c>
      <c r="GE11" s="160">
        <f>IF([Occurrence26]=0,0,SUM($GD$2:GD11))</f>
        <v>0</v>
      </c>
      <c r="GF11" s="160">
        <f>IF([chambre4]*1='CHAMBRES GARCONS 1e ETAGE'!$A$5,1,0)</f>
        <v>0</v>
      </c>
      <c r="GG11" s="160">
        <f>IF([Occurrence27]=0,0,SUM($GF$2:GF11))</f>
        <v>0</v>
      </c>
      <c r="GH11" s="160">
        <f>IF([chambre4]*1='CHAMBRES GARCONS 1e ETAGE'!$A$11,1,0)</f>
        <v>0</v>
      </c>
      <c r="GI11" s="160">
        <f>IF([Occurrence28]=0,0,SUM($GH$2:GH11))</f>
        <v>0</v>
      </c>
      <c r="GJ11" s="160">
        <f>IF([chambre4]*1='CHAMBRES GARCONS 1e ETAGE'!$A$17,1,0)</f>
        <v>0</v>
      </c>
      <c r="GK11" s="160">
        <f>IF([Occurrence29]=0,0,SUM($GJ$2:GJ11))</f>
        <v>0</v>
      </c>
      <c r="GL11" s="160">
        <f>IF([chambre4]*1='CHAMBRES GARCONS 1e ETAGE'!$A$23,1,0)</f>
        <v>1</v>
      </c>
      <c r="GM11" s="160">
        <f>IF([Occurrence30]=0,0,SUM($GL$2:GL11))</f>
        <v>1</v>
      </c>
      <c r="GN11" s="160">
        <f>IF([chambre4]*1='CHAMBRES GARCONS 1e ETAGE'!$A$29,1,0)</f>
        <v>0</v>
      </c>
      <c r="GO11" s="160">
        <f>IF([Occurrence31]=0,0,SUM($GN$2:GN11))</f>
        <v>0</v>
      </c>
      <c r="GP11" s="160">
        <f>IF([chambre4]*1='CHAMBRES GARCONS 1e ETAGE'!$A$35,1,0)</f>
        <v>0</v>
      </c>
      <c r="GQ11" s="160">
        <f>IF([Occurrence32]=0,0,SUM($GP$2:GP11))</f>
        <v>0</v>
      </c>
      <c r="GR11" s="160">
        <f>IF([chambre3]*1='CHAMBRES GARCONS RDC'!$A$5,1,0)</f>
        <v>0</v>
      </c>
      <c r="GS11" s="160">
        <f>IF([Occurrence33]=0,0,SUM($GR$2:GR11))</f>
        <v>0</v>
      </c>
      <c r="GT11" s="160">
        <f>IF([chambre3]*1='CHAMBRES GARCONS RDC'!$A$11,1,0)</f>
        <v>0</v>
      </c>
      <c r="GU11" s="160">
        <f>IF([Occurrence34]=0,0,SUM($GT$2:GT11))</f>
        <v>0</v>
      </c>
      <c r="GV11" s="160">
        <f>IF([chambre3]*1='CHAMBRES GARCONS RDC'!$A$17,1,0)</f>
        <v>0</v>
      </c>
      <c r="GW11" s="160">
        <f>IF([Occurrence35]=0,0,SUM($GV$2:GV11))</f>
        <v>0</v>
      </c>
      <c r="GX11" s="160">
        <f>IF([chambre3]*1='CHAMBRES GARCONS RDC'!$A$23,1,0)</f>
        <v>0</v>
      </c>
      <c r="GY11" s="160">
        <f>IF([Occurrence36]=0,0,SUM($GX$2:GX11))</f>
        <v>0</v>
      </c>
      <c r="GZ11" s="160">
        <f>IF([chambre3]*1='CHAMBRES GARCONS RDC'!$A$29,1,0)</f>
        <v>0</v>
      </c>
      <c r="HA11" s="160">
        <f>IF([Occurrence37]=0,0,SUM($GZ$2:GZ11))</f>
        <v>0</v>
      </c>
      <c r="HB11" s="160">
        <f>IF([chambre3]*1='CHAMBRES GARCONS RDC'!$A$35,1,0)</f>
        <v>0</v>
      </c>
      <c r="HC11" s="160">
        <f>IF([Occurrence38]=0,0,SUM($HB$2:HB11))</f>
        <v>0</v>
      </c>
      <c r="HD11" s="160">
        <f>IF([chambre3]*1='CHAMBRES GARCONS RDC'!$A$41,1,0)</f>
        <v>0</v>
      </c>
      <c r="HE11" s="160">
        <f>IF([Occurrence39]=0,0,SUM($HD$2:HD11))</f>
        <v>0</v>
      </c>
      <c r="HF11" s="160">
        <f>IF([chambre3]*1='CHAMBRES GARCONS RDC'!$A$47,1,0)</f>
        <v>0</v>
      </c>
      <c r="HG11" s="160">
        <f>IF([Occurrence40]=0,0,SUM($HF$2:HF11))</f>
        <v>0</v>
      </c>
      <c r="HH11" s="160">
        <f>IF([chambre3]*1='CHAMBRES GARCONS RDC'!$A$53,1,0)</f>
        <v>0</v>
      </c>
      <c r="HI11" s="160">
        <f>IF([Occurrence41]=0,0,SUM($HH$2:HH11))</f>
        <v>0</v>
      </c>
      <c r="HJ11" s="160">
        <f>IF([chambre3]*1='CHAMBRES GARCONS RDC'!$A$59,1,0)</f>
        <v>0</v>
      </c>
      <c r="HK11" s="160">
        <f>IF([Occurrence42]=0,0,SUM($HJ$2:HJ11))</f>
        <v>0</v>
      </c>
      <c r="HL11" s="160">
        <f>IF([chambre3]*1='CHAMBRES GARCONS RDC'!$A$65,1,0)</f>
        <v>0</v>
      </c>
      <c r="HM11" s="160">
        <f>IF([Occurrence43]=0,0,SUM($HL$2:HL11))</f>
        <v>0</v>
      </c>
      <c r="HN11" s="160">
        <f>IF([chambre3]*1='CHAMBRES GARCONS RDC'!$A$71,1,0)</f>
        <v>0</v>
      </c>
      <c r="HO11" s="160">
        <f>IF([Occurrence44]=0,0,SUM($HN$2:HN11))</f>
        <v>0</v>
      </c>
      <c r="HP11" s="160">
        <f>IF([chambre3]*1='CHAMBRES GARCONS RDC'!$A$77,1,0)</f>
        <v>0</v>
      </c>
      <c r="HQ11" s="160">
        <f>IF([Occurrence45]=0,0,SUM($HP$2:HP11))</f>
        <v>0</v>
      </c>
      <c r="HR11" s="160">
        <f>IF([chambre3]*1='CHAMBRES GARCONS RDC'!$A$83,1,0)</f>
        <v>0</v>
      </c>
      <c r="HS11" s="160">
        <f>IF([Occurrence46]=0,0,SUM($HR$2:HR11))</f>
        <v>0</v>
      </c>
      <c r="HT11" s="160">
        <f>IF([chambre3]*1='CHAMBRES GARCONS RDC'!$A$89,1,0)</f>
        <v>0</v>
      </c>
      <c r="HU11" s="160">
        <f>IF([Occurrence47]=0,0,SUM($HT$2:HT11))</f>
        <v>0</v>
      </c>
      <c r="HV11" s="160">
        <f>IF([chambre3]*1='CHAMBRES GARCONS RDC'!$A$95,1,0)</f>
        <v>0</v>
      </c>
      <c r="HW11" s="160">
        <f>IF([Occurrence48]=0,0,SUM($HV$2:HV11))</f>
        <v>0</v>
      </c>
      <c r="HX11" s="160"/>
      <c r="HY11" s="160"/>
      <c r="HZ11" s="160">
        <f>IF([Classe]='Liste élève par classes'!$B$5,1,0)</f>
        <v>0</v>
      </c>
      <c r="IA11" s="160">
        <f>IF([Occurrence]=0,0,SUM($HZ$2:HZ11))</f>
        <v>0</v>
      </c>
      <c r="IB1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153</v>
      </c>
      <c r="IC11" s="208"/>
    </row>
    <row r="12" spans="1:237">
      <c r="A12" t="s">
        <v>264</v>
      </c>
      <c r="B12" t="s">
        <v>265</v>
      </c>
      <c r="C12" s="158">
        <v>37531</v>
      </c>
      <c r="D12" s="62">
        <f t="shared" ca="1" si="0"/>
        <v>15</v>
      </c>
      <c r="E12" t="s">
        <v>7</v>
      </c>
      <c r="F12" s="159" t="s">
        <v>46</v>
      </c>
      <c r="G12" t="s">
        <v>40</v>
      </c>
      <c r="H12" s="160"/>
      <c r="I12" s="62"/>
      <c r="J12" s="62"/>
      <c r="K12" s="62"/>
      <c r="L12" s="160"/>
      <c r="M12"/>
      <c r="N12" s="62"/>
      <c r="O12" s="62"/>
      <c r="P12" s="62"/>
      <c r="Q12" s="62"/>
      <c r="R12" s="62"/>
      <c r="S12" s="62"/>
      <c r="T12" s="62"/>
      <c r="U12" s="61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3"/>
      <c r="BW12" s="163"/>
      <c r="BX12" s="163"/>
      <c r="BY12" s="163"/>
      <c r="BZ12" s="163"/>
      <c r="CA12" s="163"/>
      <c r="CB12" s="163"/>
      <c r="CC12" s="163"/>
      <c r="CD12" s="163"/>
      <c r="CE12" s="163"/>
      <c r="CF12" s="163"/>
      <c r="CG12" s="163"/>
      <c r="CH12" s="163"/>
      <c r="CI12" s="163"/>
      <c r="CJ12" s="163"/>
      <c r="CK12" s="163"/>
      <c r="CL12" s="163"/>
      <c r="CM12" s="163"/>
      <c r="CN12" s="163"/>
      <c r="CO12" s="163"/>
      <c r="CP12" s="163"/>
      <c r="CQ12" s="163"/>
      <c r="CR12" s="163"/>
      <c r="CS12" s="163"/>
      <c r="CT12" s="163"/>
      <c r="CU12" s="163"/>
      <c r="CV12" s="163"/>
      <c r="CW12" s="163"/>
      <c r="CX12" s="163"/>
      <c r="CY12" s="163"/>
      <c r="CZ12" s="163"/>
      <c r="DA12" s="163"/>
      <c r="DB12" s="163"/>
      <c r="DC12" s="163"/>
      <c r="DD12" s="163"/>
      <c r="DE12" s="163"/>
      <c r="DF12" s="163"/>
      <c r="DG12" s="163"/>
      <c r="DH12" s="163"/>
      <c r="DI12" s="163"/>
      <c r="DJ12" s="163"/>
      <c r="DK12" s="163"/>
      <c r="DL12" s="163"/>
      <c r="DM12" s="163"/>
      <c r="DN12" s="163"/>
      <c r="DO12" s="163"/>
      <c r="DP12" s="163"/>
      <c r="DQ12" s="163"/>
      <c r="DR12" s="163"/>
      <c r="DS12" s="163"/>
      <c r="DT12" s="163"/>
      <c r="DU12" s="163"/>
      <c r="DV12" s="163"/>
      <c r="DW12" s="163"/>
      <c r="DX12" s="163"/>
      <c r="DY12" s="163"/>
      <c r="DZ12" s="163"/>
      <c r="EA12" s="163"/>
      <c r="EB12" s="163"/>
      <c r="EC12" s="163"/>
      <c r="ED12" s="163"/>
      <c r="EE12" s="163"/>
      <c r="EF12" s="163"/>
      <c r="EG12" s="163"/>
      <c r="EH12" s="160">
        <f>IF([Chambre]*1='CHAMBRES FILLES 2e ETAGE'!$A$5,1,0)</f>
        <v>0</v>
      </c>
      <c r="EI12" s="161">
        <f>IF([Occurrence2]=0,0,SUM($EH$2:EH12))</f>
        <v>0</v>
      </c>
      <c r="EJ12" s="160">
        <f>IF([Chambre]*1='CHAMBRES FILLES 2e ETAGE'!$A$11,1,0)</f>
        <v>0</v>
      </c>
      <c r="EK12" s="160">
        <f>IF([Occurrence3]=0,0,SUM($EJ$2:EJ12))</f>
        <v>0</v>
      </c>
      <c r="EL12" s="160">
        <f>IF([Chambre]*1='CHAMBRES FILLES 2e ETAGE'!$A$17,1,0)</f>
        <v>0</v>
      </c>
      <c r="EM12" s="160">
        <f>IF([Occurrence4]=0,0,SUM($EL$2:EL12))</f>
        <v>0</v>
      </c>
      <c r="EN12" s="160">
        <f>IF([Chambre]*1='CHAMBRES FILLES 2e ETAGE'!$A$23,1,0)</f>
        <v>0</v>
      </c>
      <c r="EO12" s="160">
        <f>IF([Occurrence5]=0,0,SUM($EN$2:EN12))</f>
        <v>0</v>
      </c>
      <c r="EP12" s="160">
        <f>IF([Chambre]*1='CHAMBRES FILLES 2e ETAGE'!$A$29,1,0)</f>
        <v>0</v>
      </c>
      <c r="EQ12" s="160">
        <f>IF([Occurrence6]=0,0,SUM($EP$2:EP12))</f>
        <v>0</v>
      </c>
      <c r="ER12" s="160">
        <f>IF([Chambre]*1='CHAMBRES FILLES 2e ETAGE'!$A$35,1,0)</f>
        <v>0</v>
      </c>
      <c r="ES12" s="160">
        <f>IF([Occurrence7]=0,0,SUM($ER$2:ER12))</f>
        <v>0</v>
      </c>
      <c r="ET12" s="160">
        <f>IF([Chambre]*1='CHAMBRES FILLES 2e ETAGE'!$A$41,1,0)</f>
        <v>0</v>
      </c>
      <c r="EU12" s="160">
        <f>IF([Occurrence8]=0,0,SUM($ET$2:ET12))</f>
        <v>0</v>
      </c>
      <c r="EV12" s="160">
        <f>IF([Chambre]*1='CHAMBRES FILLES 2e ETAGE'!$A$47,1,0)</f>
        <v>0</v>
      </c>
      <c r="EW12" s="160">
        <f>IF([Occurrence9]=0,0,SUM($EV$2:EV12))</f>
        <v>0</v>
      </c>
      <c r="EX12" s="160">
        <f>IF([Chambre]*1='CHAMBRES FILLES 2e ETAGE'!$A$53,1,0)</f>
        <v>0</v>
      </c>
      <c r="EY12" s="160">
        <f>IF([Occurrence10]=0,0,SUM($EX$2:EX12))</f>
        <v>0</v>
      </c>
      <c r="EZ12" s="160">
        <f>IF([Chambre]*1='CHAMBRES FILLES 2e ETAGE'!$A$59,1,0)</f>
        <v>0</v>
      </c>
      <c r="FA12" s="160">
        <f>IF([Occurrence11]=0,0,SUM($EZ$2:EZ12))</f>
        <v>0</v>
      </c>
      <c r="FB12" s="160">
        <f>IF([Chambre]*1='CHAMBRES FILLES 2e ETAGE'!$A$65,1,0)</f>
        <v>0</v>
      </c>
      <c r="FC12" s="160">
        <f>IF([Occurrence12]=0,0,SUM($FB$2:FB12))</f>
        <v>0</v>
      </c>
      <c r="FD12" s="160">
        <f>IF([Chambre]*1='CHAMBRES FILLES 2e ETAGE'!$A$71,1,0)</f>
        <v>0</v>
      </c>
      <c r="FE12" s="160">
        <f>IF([Occurrence13]=0,0,SUM($FD$2:FD12))</f>
        <v>0</v>
      </c>
      <c r="FF12" s="160">
        <f>IF([Chambre]*1='CHAMBRES FILLES 2e ETAGE'!$A$77,1,0)</f>
        <v>0</v>
      </c>
      <c r="FG12" s="160">
        <f>IF([Occurrence14]=0,0,SUM($FF$2:FF12))</f>
        <v>0</v>
      </c>
      <c r="FH12" s="160">
        <f>IF([Chambre]*1='CHAMBRES FILLES 2e ETAGE'!$A$83,1,0)</f>
        <v>0</v>
      </c>
      <c r="FI12" s="160">
        <f>IF([Occurrence15]=0,0,SUM($FH$2:FH12))</f>
        <v>0</v>
      </c>
      <c r="FJ12" s="160">
        <f>IF([Chambre]*1='CHAMBRES FILLES 2e ETAGE'!$A$89,1,0)</f>
        <v>0</v>
      </c>
      <c r="FK12" s="160">
        <f>IF([Occurrence16]=0,0,SUM($FJ$2:FJ12))</f>
        <v>0</v>
      </c>
      <c r="FL12" s="160">
        <f>IF([Chambre]*1='CHAMBRES FILLES 2e ETAGE'!$A$95,1,0)</f>
        <v>0</v>
      </c>
      <c r="FM12" s="160">
        <f>IF([Occurrence17]=0,0,SUM($FL$2:FL12))</f>
        <v>0</v>
      </c>
      <c r="FN12" s="160">
        <f>IF([Chambre2]*1='CHAMBRES FILLES 1e ETAGE'!$A$5,1,0)</f>
        <v>0</v>
      </c>
      <c r="FO12" s="160">
        <f>IF([Occurrence18]=0,0,SUM($FN$2:FN12))</f>
        <v>0</v>
      </c>
      <c r="FP12" s="160">
        <f>IF([Chambre2]*1='CHAMBRES FILLES 1e ETAGE'!$A$11,1,0)</f>
        <v>0</v>
      </c>
      <c r="FQ12" s="160">
        <f>IF([Occurrence19]=0,0,SUM($FP$2:FP12))</f>
        <v>0</v>
      </c>
      <c r="FR12" s="160">
        <f>IF([Chambre2]*1='CHAMBRES FILLES 1e ETAGE'!$A$17,1,0)</f>
        <v>0</v>
      </c>
      <c r="FS12" s="160">
        <f>IF([Occurrence20]=0,0,SUM($FR$2:FR12))</f>
        <v>0</v>
      </c>
      <c r="FT12" s="160">
        <f>IF([Chambre2]*1='CHAMBRES FILLES 1e ETAGE'!$A$23,1,0)</f>
        <v>0</v>
      </c>
      <c r="FU12" s="160">
        <f>IF([Occurrence21]=0,0,SUM($FT$2:FT12))</f>
        <v>0</v>
      </c>
      <c r="FV12" s="160">
        <f>IF([Chambre2]*1='CHAMBRES FILLES 1e ETAGE'!$A$29,1,0)</f>
        <v>0</v>
      </c>
      <c r="FW12" s="160">
        <f>IF([Occurrence22]=0,0,SUM($FV$2:FV12))</f>
        <v>0</v>
      </c>
      <c r="FX12" s="160">
        <f>IF([Chambre2]*1='CHAMBRES FILLES 1e ETAGE'!$A$35,1,0)</f>
        <v>0</v>
      </c>
      <c r="FY12" s="160">
        <f>IF([Occurrence23]=0,0,SUM($FX$2:FX12))</f>
        <v>0</v>
      </c>
      <c r="FZ12" s="160">
        <f>IF([Chambre2]*1='CHAMBRES FILLES 1e ETAGE'!$A$41,1,0)</f>
        <v>0</v>
      </c>
      <c r="GA12" s="160">
        <f>IF([Occurrence24]=0,0,SUM($FZ$2:FZ12))</f>
        <v>0</v>
      </c>
      <c r="GB12" s="160">
        <f>IF([Chambre2]*1='CHAMBRES FILLES 1e ETAGE'!$A$47,1,0)</f>
        <v>0</v>
      </c>
      <c r="GC12" s="160">
        <f>IF([Occurrence25]=0,0,SUM($GB$2:GB12))</f>
        <v>0</v>
      </c>
      <c r="GD12" s="160">
        <f>IF([Chambre2]*1='CHAMBRES FILLES 1e ETAGE'!$A$53,1,0)</f>
        <v>0</v>
      </c>
      <c r="GE12" s="160">
        <f>IF([Occurrence26]=0,0,SUM($GD$2:GD12))</f>
        <v>0</v>
      </c>
      <c r="GF12" s="160">
        <f>IF([chambre4]*1='CHAMBRES GARCONS 1e ETAGE'!$A$5,1,0)</f>
        <v>0</v>
      </c>
      <c r="GG12" s="160">
        <f>IF([Occurrence27]=0,0,SUM($GF$2:GF12))</f>
        <v>0</v>
      </c>
      <c r="GH12" s="160">
        <f>IF([chambre4]*1='CHAMBRES GARCONS 1e ETAGE'!$A$11,1,0)</f>
        <v>0</v>
      </c>
      <c r="GI12" s="160">
        <f>IF([Occurrence28]=0,0,SUM($GH$2:GH12))</f>
        <v>0</v>
      </c>
      <c r="GJ12" s="160">
        <f>IF([chambre4]*1='CHAMBRES GARCONS 1e ETAGE'!$A$17,1,0)</f>
        <v>0</v>
      </c>
      <c r="GK12" s="160">
        <f>IF([Occurrence29]=0,0,SUM($GJ$2:GJ12))</f>
        <v>0</v>
      </c>
      <c r="GL12" s="160">
        <f>IF([chambre4]*1='CHAMBRES GARCONS 1e ETAGE'!$A$23,1,0)</f>
        <v>0</v>
      </c>
      <c r="GM12" s="160">
        <f>IF([Occurrence30]=0,0,SUM($GL$2:GL12))</f>
        <v>0</v>
      </c>
      <c r="GN12" s="160">
        <f>IF([chambre4]*1='CHAMBRES GARCONS 1e ETAGE'!$A$29,1,0)</f>
        <v>0</v>
      </c>
      <c r="GO12" s="160">
        <f>IF([Occurrence31]=0,0,SUM($GN$2:GN12))</f>
        <v>0</v>
      </c>
      <c r="GP12" s="160">
        <f>IF([chambre4]*1='CHAMBRES GARCONS 1e ETAGE'!$A$35,1,0)</f>
        <v>0</v>
      </c>
      <c r="GQ12" s="160">
        <f>IF([Occurrence32]=0,0,SUM($GP$2:GP12))</f>
        <v>0</v>
      </c>
      <c r="GR12" s="160">
        <f>IF([chambre3]*1='CHAMBRES GARCONS RDC'!$A$5,1,0)</f>
        <v>0</v>
      </c>
      <c r="GS12" s="160">
        <f>IF([Occurrence33]=0,0,SUM($GR$2:GR12))</f>
        <v>0</v>
      </c>
      <c r="GT12" s="160">
        <f>IF([chambre3]*1='CHAMBRES GARCONS RDC'!$A$11,1,0)</f>
        <v>0</v>
      </c>
      <c r="GU12" s="160">
        <f>IF([Occurrence34]=0,0,SUM($GT$2:GT12))</f>
        <v>0</v>
      </c>
      <c r="GV12" s="160">
        <f>IF([chambre3]*1='CHAMBRES GARCONS RDC'!$A$17,1,0)</f>
        <v>0</v>
      </c>
      <c r="GW12" s="160">
        <f>IF([Occurrence35]=0,0,SUM($GV$2:GV12))</f>
        <v>0</v>
      </c>
      <c r="GX12" s="160">
        <f>IF([chambre3]*1='CHAMBRES GARCONS RDC'!$A$23,1,0)</f>
        <v>0</v>
      </c>
      <c r="GY12" s="160">
        <f>IF([Occurrence36]=0,0,SUM($GX$2:GX12))</f>
        <v>0</v>
      </c>
      <c r="GZ12" s="160">
        <f>IF([chambre3]*1='CHAMBRES GARCONS RDC'!$A$29,1,0)</f>
        <v>0</v>
      </c>
      <c r="HA12" s="160">
        <f>IF([Occurrence37]=0,0,SUM($GZ$2:GZ12))</f>
        <v>0</v>
      </c>
      <c r="HB12" s="160">
        <f>IF([chambre3]*1='CHAMBRES GARCONS RDC'!$A$35,1,0)</f>
        <v>0</v>
      </c>
      <c r="HC12" s="160">
        <f>IF([Occurrence38]=0,0,SUM($HB$2:HB12))</f>
        <v>0</v>
      </c>
      <c r="HD12" s="160">
        <f>IF([chambre3]*1='CHAMBRES GARCONS RDC'!$A$41,1,0)</f>
        <v>0</v>
      </c>
      <c r="HE12" s="160">
        <f>IF([Occurrence39]=0,0,SUM($HD$2:HD12))</f>
        <v>0</v>
      </c>
      <c r="HF12" s="160">
        <f>IF([chambre3]*1='CHAMBRES GARCONS RDC'!$A$47,1,0)</f>
        <v>0</v>
      </c>
      <c r="HG12" s="160">
        <f>IF([Occurrence40]=0,0,SUM($HF$2:HF12))</f>
        <v>0</v>
      </c>
      <c r="HH12" s="160">
        <f>IF([chambre3]*1='CHAMBRES GARCONS RDC'!$A$53,1,0)</f>
        <v>0</v>
      </c>
      <c r="HI12" s="160">
        <f>IF([Occurrence41]=0,0,SUM($HH$2:HH12))</f>
        <v>0</v>
      </c>
      <c r="HJ12" s="160">
        <f>IF([chambre3]*1='CHAMBRES GARCONS RDC'!$A$59,1,0)</f>
        <v>0</v>
      </c>
      <c r="HK12" s="160">
        <f>IF([Occurrence42]=0,0,SUM($HJ$2:HJ12))</f>
        <v>0</v>
      </c>
      <c r="HL12" s="160">
        <f>IF([chambre3]*1='CHAMBRES GARCONS RDC'!$A$65,1,0)</f>
        <v>0</v>
      </c>
      <c r="HM12" s="160">
        <f>IF([Occurrence43]=0,0,SUM($HL$2:HL12))</f>
        <v>0</v>
      </c>
      <c r="HN12" s="160">
        <f>IF([chambre3]*1='CHAMBRES GARCONS RDC'!$A$71,1,0)</f>
        <v>0</v>
      </c>
      <c r="HO12" s="160">
        <f>IF([Occurrence44]=0,0,SUM($HN$2:HN12))</f>
        <v>0</v>
      </c>
      <c r="HP12" s="160">
        <f>IF([chambre3]*1='CHAMBRES GARCONS RDC'!$A$77,1,0)</f>
        <v>0</v>
      </c>
      <c r="HQ12" s="160">
        <f>IF([Occurrence45]=0,0,SUM($HP$2:HP12))</f>
        <v>0</v>
      </c>
      <c r="HR12" s="160">
        <f>IF([chambre3]*1='CHAMBRES GARCONS RDC'!$A$83,1,0)</f>
        <v>0</v>
      </c>
      <c r="HS12" s="160">
        <f>IF([Occurrence46]=0,0,SUM($HR$2:HR12))</f>
        <v>0</v>
      </c>
      <c r="HT12" s="160">
        <f>IF([chambre3]*1='CHAMBRES GARCONS RDC'!$A$89,1,0)</f>
        <v>0</v>
      </c>
      <c r="HU12" s="160">
        <f>IF([Occurrence47]=0,0,SUM($HT$2:HT12))</f>
        <v>0</v>
      </c>
      <c r="HV12" s="160">
        <f>IF([chambre3]*1='CHAMBRES GARCONS RDC'!$A$95,1,0)</f>
        <v>0</v>
      </c>
      <c r="HW12" s="160">
        <f>IF([Occurrence48]=0,0,SUM($HV$2:HV12))</f>
        <v>0</v>
      </c>
      <c r="HX12" s="160"/>
      <c r="HY12" s="160"/>
      <c r="HZ12" s="160">
        <f>IF([Classe]='Liste élève par classes'!$B$5,1,0)</f>
        <v>0</v>
      </c>
      <c r="IA12" s="160">
        <f>IF([Occurrence]=0,0,SUM($HZ$2:HZ12))</f>
        <v>0</v>
      </c>
      <c r="IB1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2" s="208"/>
    </row>
    <row r="13" spans="1:237">
      <c r="A13" t="s">
        <v>266</v>
      </c>
      <c r="B13" t="s">
        <v>267</v>
      </c>
      <c r="C13" s="158">
        <v>37056</v>
      </c>
      <c r="D13" s="62">
        <f t="shared" ca="1" si="0"/>
        <v>16</v>
      </c>
      <c r="E13" t="s">
        <v>8</v>
      </c>
      <c r="F13" s="159" t="s">
        <v>50</v>
      </c>
      <c r="G13" t="s">
        <v>45</v>
      </c>
      <c r="H13" s="160"/>
      <c r="I13" s="62"/>
      <c r="J13" s="62" t="s">
        <v>244</v>
      </c>
      <c r="K13" s="62"/>
      <c r="L13" s="160">
        <v>170</v>
      </c>
      <c r="M13">
        <v>95</v>
      </c>
      <c r="N13" s="62" t="s">
        <v>244</v>
      </c>
      <c r="O13" s="62" t="s">
        <v>244</v>
      </c>
      <c r="P13" s="62" t="s">
        <v>244</v>
      </c>
      <c r="Q13" s="62" t="s">
        <v>244</v>
      </c>
      <c r="R13" s="62" t="s">
        <v>244</v>
      </c>
      <c r="S13" s="191"/>
      <c r="T13" s="62" t="s">
        <v>244</v>
      </c>
      <c r="U13" s="61"/>
      <c r="V13" s="62" t="s">
        <v>244</v>
      </c>
      <c r="W13" s="62" t="s">
        <v>244</v>
      </c>
      <c r="X13" s="62" t="s">
        <v>244</v>
      </c>
      <c r="Y13" s="62" t="s">
        <v>244</v>
      </c>
      <c r="Z13" s="62" t="s">
        <v>244</v>
      </c>
      <c r="AA13" s="62" t="s">
        <v>244</v>
      </c>
      <c r="AB13" s="62" t="s">
        <v>244</v>
      </c>
      <c r="AC13" s="62" t="s">
        <v>244</v>
      </c>
      <c r="AD13" s="62" t="s">
        <v>244</v>
      </c>
      <c r="AE13" s="62" t="s">
        <v>244</v>
      </c>
      <c r="AF13" s="163" t="s">
        <v>244</v>
      </c>
      <c r="AG13" s="163" t="s">
        <v>244</v>
      </c>
      <c r="AH13" s="163" t="s">
        <v>244</v>
      </c>
      <c r="AI13" s="163"/>
      <c r="AJ13" s="163"/>
      <c r="AK13" s="163"/>
      <c r="AL13" s="163"/>
      <c r="AM13" s="163"/>
      <c r="AN13" s="163"/>
      <c r="AO13" s="163"/>
      <c r="AP13" s="163"/>
      <c r="AQ13" s="163"/>
      <c r="AR13" s="163"/>
      <c r="AS13" s="163"/>
      <c r="AT13" s="163"/>
      <c r="AU13" s="163"/>
      <c r="AV13" s="163"/>
      <c r="AW13" s="163"/>
      <c r="AX13" s="163"/>
      <c r="AY13" s="163"/>
      <c r="AZ13" s="163"/>
      <c r="BA13" s="163"/>
      <c r="BB13" s="163"/>
      <c r="BC13" s="163" t="b">
        <v>0</v>
      </c>
      <c r="BD13" s="163" t="b">
        <v>1</v>
      </c>
      <c r="BE13" s="163" t="b">
        <v>1</v>
      </c>
      <c r="BF13" s="163" t="b">
        <v>0</v>
      </c>
      <c r="BG13" s="164" t="b">
        <v>0</v>
      </c>
      <c r="BH13" s="163" t="b">
        <v>1</v>
      </c>
      <c r="BI13" s="163"/>
      <c r="BJ13" s="163"/>
      <c r="BK13" s="163"/>
      <c r="BL13" s="163"/>
      <c r="BM13" s="163"/>
      <c r="BN13" s="163"/>
      <c r="BO13" s="163"/>
      <c r="BP13" s="163"/>
      <c r="BQ13" s="163" t="b">
        <v>0</v>
      </c>
      <c r="BR13" s="163"/>
      <c r="BS13" s="163"/>
      <c r="BT13" s="163"/>
      <c r="BU13" s="163"/>
      <c r="BV13" s="163"/>
      <c r="BW13" s="163"/>
      <c r="BX13" s="163"/>
      <c r="BY13" s="163"/>
      <c r="BZ13" s="163"/>
      <c r="CA13" s="163"/>
      <c r="CB13" s="163"/>
      <c r="CC13" s="163"/>
      <c r="CD13" s="163"/>
      <c r="CE13" s="163"/>
      <c r="CF13" s="163"/>
      <c r="CG13" s="163"/>
      <c r="CH13" s="163"/>
      <c r="CI13" s="163"/>
      <c r="CJ13" s="163"/>
      <c r="CK13" s="163"/>
      <c r="CL13" s="163"/>
      <c r="CM13" s="163"/>
      <c r="CN13" s="163"/>
      <c r="CO13" s="163"/>
      <c r="CP13" s="163"/>
      <c r="CQ13" s="163"/>
      <c r="CR13" s="163"/>
      <c r="CS13" s="163"/>
      <c r="CT13" s="163"/>
      <c r="CU13" s="163"/>
      <c r="CV13" s="163"/>
      <c r="CW13" s="163"/>
      <c r="CX13" s="163"/>
      <c r="CY13" s="163"/>
      <c r="CZ13" s="163"/>
      <c r="DA13" s="163"/>
      <c r="DB13" s="163"/>
      <c r="DC13" s="163"/>
      <c r="DD13" s="163"/>
      <c r="DE13" s="163"/>
      <c r="DF13" s="163"/>
      <c r="DG13" s="208"/>
      <c r="DH13" s="163"/>
      <c r="DI13" s="163"/>
      <c r="DJ13" s="163"/>
      <c r="DK13" s="163"/>
      <c r="DL13" s="163"/>
      <c r="DM13" s="163"/>
      <c r="DN13" s="163"/>
      <c r="DO13" s="163"/>
      <c r="DP13" s="163"/>
      <c r="DQ13" s="163"/>
      <c r="DR13" s="163"/>
      <c r="DS13" s="163"/>
      <c r="DT13" s="163"/>
      <c r="DU13" s="163"/>
      <c r="DV13" s="163"/>
      <c r="DW13" s="163"/>
      <c r="DX13" s="163"/>
      <c r="DY13" s="163"/>
      <c r="DZ13" s="163"/>
      <c r="EA13" s="163"/>
      <c r="EB13" s="163"/>
      <c r="EC13" s="163"/>
      <c r="ED13" s="163"/>
      <c r="EE13" s="163"/>
      <c r="EF13" s="163"/>
      <c r="EG13" s="163"/>
      <c r="EH13" s="160">
        <f>IF([Chambre]*1='CHAMBRES FILLES 2e ETAGE'!$A$5,1,0)</f>
        <v>0</v>
      </c>
      <c r="EI13" s="161">
        <f>IF([Occurrence2]=0,0,SUM($EH$2:EH13))</f>
        <v>0</v>
      </c>
      <c r="EJ13" s="160">
        <f>IF([Chambre]*1='CHAMBRES FILLES 2e ETAGE'!$A$11,1,0)</f>
        <v>0</v>
      </c>
      <c r="EK13" s="160">
        <f>IF([Occurrence3]=0,0,SUM($EJ$2:EJ13))</f>
        <v>0</v>
      </c>
      <c r="EL13" s="160">
        <f>IF([Chambre]*1='CHAMBRES FILLES 2e ETAGE'!$A$17,1,0)</f>
        <v>0</v>
      </c>
      <c r="EM13" s="160">
        <f>IF([Occurrence4]=0,0,SUM($EL$2:EL13))</f>
        <v>0</v>
      </c>
      <c r="EN13" s="160">
        <f>IF([Chambre]*1='CHAMBRES FILLES 2e ETAGE'!$A$23,1,0)</f>
        <v>0</v>
      </c>
      <c r="EO13" s="160">
        <f>IF([Occurrence5]=0,0,SUM($EN$2:EN13))</f>
        <v>0</v>
      </c>
      <c r="EP13" s="160">
        <f>IF([Chambre]*1='CHAMBRES FILLES 2e ETAGE'!$A$29,1,0)</f>
        <v>0</v>
      </c>
      <c r="EQ13" s="160">
        <f>IF([Occurrence6]=0,0,SUM($EP$2:EP13))</f>
        <v>0</v>
      </c>
      <c r="ER13" s="160">
        <f>IF([Chambre]*1='CHAMBRES FILLES 2e ETAGE'!$A$35,1,0)</f>
        <v>0</v>
      </c>
      <c r="ES13" s="160">
        <f>IF([Occurrence7]=0,0,SUM($ER$2:ER13))</f>
        <v>0</v>
      </c>
      <c r="ET13" s="160">
        <f>IF([Chambre]*1='CHAMBRES FILLES 2e ETAGE'!$A$41,1,0)</f>
        <v>0</v>
      </c>
      <c r="EU13" s="160">
        <f>IF([Occurrence8]=0,0,SUM($ET$2:ET13))</f>
        <v>0</v>
      </c>
      <c r="EV13" s="160">
        <f>IF([Chambre]*1='CHAMBRES FILLES 2e ETAGE'!$A$47,1,0)</f>
        <v>0</v>
      </c>
      <c r="EW13" s="160">
        <f>IF([Occurrence9]=0,0,SUM($EV$2:EV13))</f>
        <v>0</v>
      </c>
      <c r="EX13" s="160">
        <f>IF([Chambre]*1='CHAMBRES FILLES 2e ETAGE'!$A$53,1,0)</f>
        <v>1</v>
      </c>
      <c r="EY13" s="160">
        <f>IF([Occurrence10]=0,0,SUM($EX$2:EX13))</f>
        <v>1</v>
      </c>
      <c r="EZ13" s="160">
        <f>IF([Chambre]*1='CHAMBRES FILLES 2e ETAGE'!$A$59,1,0)</f>
        <v>0</v>
      </c>
      <c r="FA13" s="160">
        <f>IF([Occurrence11]=0,0,SUM($EZ$2:EZ13))</f>
        <v>0</v>
      </c>
      <c r="FB13" s="160">
        <f>IF([Chambre]*1='CHAMBRES FILLES 2e ETAGE'!$A$65,1,0)</f>
        <v>0</v>
      </c>
      <c r="FC13" s="160">
        <f>IF([Occurrence12]=0,0,SUM($FB$2:FB13))</f>
        <v>0</v>
      </c>
      <c r="FD13" s="160">
        <f>IF([Chambre]*1='CHAMBRES FILLES 2e ETAGE'!$A$71,1,0)</f>
        <v>0</v>
      </c>
      <c r="FE13" s="160">
        <f>IF([Occurrence13]=0,0,SUM($FD$2:FD13))</f>
        <v>0</v>
      </c>
      <c r="FF13" s="160">
        <f>IF([Chambre]*1='CHAMBRES FILLES 2e ETAGE'!$A$77,1,0)</f>
        <v>0</v>
      </c>
      <c r="FG13" s="160">
        <f>IF([Occurrence14]=0,0,SUM($FF$2:FF13))</f>
        <v>0</v>
      </c>
      <c r="FH13" s="160">
        <f>IF([Chambre]*1='CHAMBRES FILLES 2e ETAGE'!$A$83,1,0)</f>
        <v>0</v>
      </c>
      <c r="FI13" s="160">
        <f>IF([Occurrence15]=0,0,SUM($FH$2:FH13))</f>
        <v>0</v>
      </c>
      <c r="FJ13" s="160">
        <f>IF([Chambre]*1='CHAMBRES FILLES 2e ETAGE'!$A$89,1,0)</f>
        <v>0</v>
      </c>
      <c r="FK13" s="160">
        <f>IF([Occurrence16]=0,0,SUM($FJ$2:FJ13))</f>
        <v>0</v>
      </c>
      <c r="FL13" s="160">
        <f>IF([Chambre]*1='CHAMBRES FILLES 2e ETAGE'!$A$95,1,0)</f>
        <v>0</v>
      </c>
      <c r="FM13" s="160">
        <f>IF([Occurrence17]=0,0,SUM($FL$2:FL13))</f>
        <v>0</v>
      </c>
      <c r="FN13" s="160">
        <f>IF([Chambre2]*1='CHAMBRES FILLES 1e ETAGE'!$A$5,1,0)</f>
        <v>0</v>
      </c>
      <c r="FO13" s="160">
        <f>IF([Occurrence18]=0,0,SUM($FN$2:FN13))</f>
        <v>0</v>
      </c>
      <c r="FP13" s="160">
        <f>IF([Chambre2]*1='CHAMBRES FILLES 1e ETAGE'!$A$11,1,0)</f>
        <v>0</v>
      </c>
      <c r="FQ13" s="160">
        <f>IF([Occurrence19]=0,0,SUM($FP$2:FP13))</f>
        <v>0</v>
      </c>
      <c r="FR13" s="160">
        <f>IF([Chambre2]*1='CHAMBRES FILLES 1e ETAGE'!$A$17,1,0)</f>
        <v>0</v>
      </c>
      <c r="FS13" s="160">
        <f>IF([Occurrence20]=0,0,SUM($FR$2:FR13))</f>
        <v>0</v>
      </c>
      <c r="FT13" s="160">
        <f>IF([Chambre2]*1='CHAMBRES FILLES 1e ETAGE'!$A$23,1,0)</f>
        <v>0</v>
      </c>
      <c r="FU13" s="160">
        <f>IF([Occurrence21]=0,0,SUM($FT$2:FT13))</f>
        <v>0</v>
      </c>
      <c r="FV13" s="160">
        <f>IF([Chambre2]*1='CHAMBRES FILLES 1e ETAGE'!$A$29,1,0)</f>
        <v>0</v>
      </c>
      <c r="FW13" s="160">
        <f>IF([Occurrence22]=0,0,SUM($FV$2:FV13))</f>
        <v>0</v>
      </c>
      <c r="FX13" s="160">
        <f>IF([Chambre2]*1='CHAMBRES FILLES 1e ETAGE'!$A$35,1,0)</f>
        <v>0</v>
      </c>
      <c r="FY13" s="160">
        <f>IF([Occurrence23]=0,0,SUM($FX$2:FX13))</f>
        <v>0</v>
      </c>
      <c r="FZ13" s="160">
        <f>IF([Chambre2]*1='CHAMBRES FILLES 1e ETAGE'!$A$41,1,0)</f>
        <v>0</v>
      </c>
      <c r="GA13" s="160">
        <f>IF([Occurrence24]=0,0,SUM($FZ$2:FZ13))</f>
        <v>0</v>
      </c>
      <c r="GB13" s="160">
        <f>IF([Chambre2]*1='CHAMBRES FILLES 1e ETAGE'!$A$47,1,0)</f>
        <v>0</v>
      </c>
      <c r="GC13" s="160">
        <f>IF([Occurrence25]=0,0,SUM($GB$2:GB13))</f>
        <v>0</v>
      </c>
      <c r="GD13" s="160">
        <f>IF([Chambre2]*1='CHAMBRES FILLES 1e ETAGE'!$A$53,1,0)</f>
        <v>0</v>
      </c>
      <c r="GE13" s="160">
        <f>IF([Occurrence26]=0,0,SUM($GD$2:GD13))</f>
        <v>0</v>
      </c>
      <c r="GF13" s="160">
        <f>IF([chambre4]*1='CHAMBRES GARCONS 1e ETAGE'!$A$5,1,0)</f>
        <v>0</v>
      </c>
      <c r="GG13" s="160">
        <f>IF([Occurrence27]=0,0,SUM($GF$2:GF13))</f>
        <v>0</v>
      </c>
      <c r="GH13" s="160">
        <f>IF([chambre4]*1='CHAMBRES GARCONS 1e ETAGE'!$A$11,1,0)</f>
        <v>0</v>
      </c>
      <c r="GI13" s="160">
        <f>IF([Occurrence28]=0,0,SUM($GH$2:GH13))</f>
        <v>0</v>
      </c>
      <c r="GJ13" s="160">
        <f>IF([chambre4]*1='CHAMBRES GARCONS 1e ETAGE'!$A$17,1,0)</f>
        <v>0</v>
      </c>
      <c r="GK13" s="160">
        <f>IF([Occurrence29]=0,0,SUM($GJ$2:GJ13))</f>
        <v>0</v>
      </c>
      <c r="GL13" s="160">
        <f>IF([chambre4]*1='CHAMBRES GARCONS 1e ETAGE'!$A$23,1,0)</f>
        <v>0</v>
      </c>
      <c r="GM13" s="160">
        <f>IF([Occurrence30]=0,0,SUM($GL$2:GL13))</f>
        <v>0</v>
      </c>
      <c r="GN13" s="160">
        <f>IF([chambre4]*1='CHAMBRES GARCONS 1e ETAGE'!$A$29,1,0)</f>
        <v>0</v>
      </c>
      <c r="GO13" s="160">
        <f>IF([Occurrence31]=0,0,SUM($GN$2:GN13))</f>
        <v>0</v>
      </c>
      <c r="GP13" s="160">
        <f>IF([chambre4]*1='CHAMBRES GARCONS 1e ETAGE'!$A$35,1,0)</f>
        <v>0</v>
      </c>
      <c r="GQ13" s="160">
        <f>IF([Occurrence32]=0,0,SUM($GP$2:GP13))</f>
        <v>0</v>
      </c>
      <c r="GR13" s="160">
        <f>IF([chambre3]*1='CHAMBRES GARCONS RDC'!$A$5,1,0)</f>
        <v>0</v>
      </c>
      <c r="GS13" s="160">
        <f>IF([Occurrence33]=0,0,SUM($GR$2:GR13))</f>
        <v>0</v>
      </c>
      <c r="GT13" s="160">
        <f>IF([chambre3]*1='CHAMBRES GARCONS RDC'!$A$11,1,0)</f>
        <v>0</v>
      </c>
      <c r="GU13" s="160">
        <f>IF([Occurrence34]=0,0,SUM($GT$2:GT13))</f>
        <v>0</v>
      </c>
      <c r="GV13" s="160">
        <f>IF([chambre3]*1='CHAMBRES GARCONS RDC'!$A$17,1,0)</f>
        <v>0</v>
      </c>
      <c r="GW13" s="160">
        <f>IF([Occurrence35]=0,0,SUM($GV$2:GV13))</f>
        <v>0</v>
      </c>
      <c r="GX13" s="160">
        <f>IF([chambre3]*1='CHAMBRES GARCONS RDC'!$A$23,1,0)</f>
        <v>0</v>
      </c>
      <c r="GY13" s="160">
        <f>IF([Occurrence36]=0,0,SUM($GX$2:GX13))</f>
        <v>0</v>
      </c>
      <c r="GZ13" s="160">
        <f>IF([chambre3]*1='CHAMBRES GARCONS RDC'!$A$29,1,0)</f>
        <v>0</v>
      </c>
      <c r="HA13" s="160">
        <f>IF([Occurrence37]=0,0,SUM($GZ$2:GZ13))</f>
        <v>0</v>
      </c>
      <c r="HB13" s="160">
        <f>IF([chambre3]*1='CHAMBRES GARCONS RDC'!$A$35,1,0)</f>
        <v>0</v>
      </c>
      <c r="HC13" s="160">
        <f>IF([Occurrence38]=0,0,SUM($HB$2:HB13))</f>
        <v>0</v>
      </c>
      <c r="HD13" s="160">
        <f>IF([chambre3]*1='CHAMBRES GARCONS RDC'!$A$41,1,0)</f>
        <v>0</v>
      </c>
      <c r="HE13" s="160">
        <f>IF([Occurrence39]=0,0,SUM($HD$2:HD13))</f>
        <v>0</v>
      </c>
      <c r="HF13" s="160">
        <f>IF([chambre3]*1='CHAMBRES GARCONS RDC'!$A$47,1,0)</f>
        <v>0</v>
      </c>
      <c r="HG13" s="160">
        <f>IF([Occurrence40]=0,0,SUM($HF$2:HF13))</f>
        <v>0</v>
      </c>
      <c r="HH13" s="160">
        <f>IF([chambre3]*1='CHAMBRES GARCONS RDC'!$A$53,1,0)</f>
        <v>0</v>
      </c>
      <c r="HI13" s="160">
        <f>IF([Occurrence41]=0,0,SUM($HH$2:HH13))</f>
        <v>0</v>
      </c>
      <c r="HJ13" s="160">
        <f>IF([chambre3]*1='CHAMBRES GARCONS RDC'!$A$59,1,0)</f>
        <v>0</v>
      </c>
      <c r="HK13" s="160">
        <f>IF([Occurrence42]=0,0,SUM($HJ$2:HJ13))</f>
        <v>0</v>
      </c>
      <c r="HL13" s="160">
        <f>IF([chambre3]*1='CHAMBRES GARCONS RDC'!$A$65,1,0)</f>
        <v>0</v>
      </c>
      <c r="HM13" s="160">
        <f>IF([Occurrence43]=0,0,SUM($HL$2:HL13))</f>
        <v>0</v>
      </c>
      <c r="HN13" s="160">
        <f>IF([chambre3]*1='CHAMBRES GARCONS RDC'!$A$71,1,0)</f>
        <v>0</v>
      </c>
      <c r="HO13" s="160">
        <f>IF([Occurrence44]=0,0,SUM($HN$2:HN13))</f>
        <v>0</v>
      </c>
      <c r="HP13" s="160">
        <f>IF([chambre3]*1='CHAMBRES GARCONS RDC'!$A$77,1,0)</f>
        <v>0</v>
      </c>
      <c r="HQ13" s="160">
        <f>IF([Occurrence45]=0,0,SUM($HP$2:HP13))</f>
        <v>0</v>
      </c>
      <c r="HR13" s="160">
        <f>IF([chambre3]*1='CHAMBRES GARCONS RDC'!$A$83,1,0)</f>
        <v>0</v>
      </c>
      <c r="HS13" s="160">
        <f>IF([Occurrence46]=0,0,SUM($HR$2:HR13))</f>
        <v>0</v>
      </c>
      <c r="HT13" s="160">
        <f>IF([chambre3]*1='CHAMBRES GARCONS RDC'!$A$89,1,0)</f>
        <v>0</v>
      </c>
      <c r="HU13" s="160">
        <f>IF([Occurrence47]=0,0,SUM($HT$2:HT13))</f>
        <v>0</v>
      </c>
      <c r="HV13" s="160">
        <f>IF([chambre3]*1='CHAMBRES GARCONS RDC'!$A$95,1,0)</f>
        <v>0</v>
      </c>
      <c r="HW13" s="160">
        <f>IF([Occurrence48]=0,0,SUM($HV$2:HV13))</f>
        <v>0</v>
      </c>
      <c r="HX13" s="160"/>
      <c r="HY13" s="160"/>
      <c r="HZ13" s="160">
        <f>IF([Classe]='Liste élève par classes'!$B$5,1,0)</f>
        <v>1</v>
      </c>
      <c r="IA13" s="160">
        <f>IF([Occurrence]=0,0,SUM($HZ$2:HZ13))</f>
        <v>1</v>
      </c>
      <c r="IB1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170</v>
      </c>
      <c r="IC13" s="208"/>
    </row>
    <row r="14" spans="1:237">
      <c r="A14" t="s">
        <v>268</v>
      </c>
      <c r="B14" t="s">
        <v>269</v>
      </c>
      <c r="C14" s="158">
        <v>36770</v>
      </c>
      <c r="D14" s="62">
        <f t="shared" ca="1" si="0"/>
        <v>17</v>
      </c>
      <c r="E14" t="s">
        <v>9</v>
      </c>
      <c r="F14" s="159" t="s">
        <v>46</v>
      </c>
      <c r="G14" t="s">
        <v>40</v>
      </c>
      <c r="H14" s="160"/>
      <c r="I14" s="161"/>
      <c r="J14" s="161"/>
      <c r="K14" s="161"/>
      <c r="L14" s="160"/>
      <c r="M14">
        <v>26</v>
      </c>
      <c r="N14" s="161"/>
      <c r="O14" s="161"/>
      <c r="P14" s="161"/>
      <c r="Q14" s="161"/>
      <c r="R14" s="161"/>
      <c r="S14" s="161"/>
      <c r="T14" s="161"/>
      <c r="U14" s="160"/>
      <c r="V14" s="161"/>
      <c r="W14" s="161"/>
      <c r="X14" s="161"/>
      <c r="Y14" s="161"/>
      <c r="Z14" s="161"/>
      <c r="AA14" s="161"/>
      <c r="AB14" s="161"/>
      <c r="AC14" s="161"/>
      <c r="AD14" s="161"/>
      <c r="AE14" s="161"/>
      <c r="AF14" s="163"/>
      <c r="AG14" s="163"/>
      <c r="AH14" s="163"/>
      <c r="AI14" s="163"/>
      <c r="AJ14" s="163"/>
      <c r="AK14" s="163"/>
      <c r="AL14" s="163"/>
      <c r="AM14" s="163"/>
      <c r="AN14" s="163"/>
      <c r="AO14" s="163"/>
      <c r="AP14" s="163"/>
      <c r="AQ14" s="163"/>
      <c r="AR14" s="163"/>
      <c r="AS14" s="163"/>
      <c r="AT14" s="163"/>
      <c r="AU14" s="163"/>
      <c r="AV14" s="163"/>
      <c r="AW14" s="163"/>
      <c r="AX14" s="163"/>
      <c r="AY14" s="163"/>
      <c r="AZ14" s="163"/>
      <c r="BA14" s="163"/>
      <c r="BB14" s="163"/>
      <c r="BC14" s="163"/>
      <c r="BD14" s="163"/>
      <c r="BE14" s="163"/>
      <c r="BF14" s="163"/>
      <c r="BG14" s="163"/>
      <c r="BH14" s="163"/>
      <c r="BI14" s="163"/>
      <c r="BJ14" s="163"/>
      <c r="BK14" s="163"/>
      <c r="BL14" s="163"/>
      <c r="BM14" s="163"/>
      <c r="BN14" s="163"/>
      <c r="BO14" s="163"/>
      <c r="BP14" s="163"/>
      <c r="BQ14" s="163"/>
      <c r="BR14" s="163"/>
      <c r="BS14" s="163"/>
      <c r="BT14" s="163"/>
      <c r="BU14" s="163"/>
      <c r="BV14" s="163"/>
      <c r="BW14" s="163"/>
      <c r="BX14" s="163"/>
      <c r="BY14" s="163"/>
      <c r="BZ14" s="163"/>
      <c r="CA14" s="163"/>
      <c r="CB14" s="163"/>
      <c r="CC14" s="163"/>
      <c r="CD14" s="163"/>
      <c r="CE14" s="163"/>
      <c r="CF14" s="163"/>
      <c r="CG14" s="163"/>
      <c r="CH14" s="163"/>
      <c r="CI14" s="163"/>
      <c r="CJ14" s="163"/>
      <c r="CK14" s="163"/>
      <c r="CL14" s="163"/>
      <c r="CM14" s="163"/>
      <c r="CN14" s="163"/>
      <c r="CO14" s="163"/>
      <c r="CP14" s="163"/>
      <c r="CQ14" s="163"/>
      <c r="CR14" s="163"/>
      <c r="CS14" s="163"/>
      <c r="CT14" s="163"/>
      <c r="CU14" s="163"/>
      <c r="CV14" s="163"/>
      <c r="CW14" s="163"/>
      <c r="CX14" s="163"/>
      <c r="CY14" s="163"/>
      <c r="CZ14" s="163"/>
      <c r="DA14" s="163"/>
      <c r="DB14" s="163"/>
      <c r="DC14" s="163"/>
      <c r="DD14" s="163"/>
      <c r="DE14" s="163"/>
      <c r="DF14" s="163"/>
      <c r="DG14" s="163"/>
      <c r="DH14" s="163"/>
      <c r="DI14" s="163"/>
      <c r="DJ14" s="163"/>
      <c r="DK14" s="163"/>
      <c r="DL14" s="163"/>
      <c r="DM14" s="163"/>
      <c r="DN14" s="163"/>
      <c r="DO14" s="163"/>
      <c r="DP14" s="163"/>
      <c r="DQ14" s="163"/>
      <c r="DR14" s="163"/>
      <c r="DS14" s="163"/>
      <c r="DT14" s="163"/>
      <c r="DU14" s="163"/>
      <c r="DV14" s="163"/>
      <c r="DW14" s="163"/>
      <c r="DX14" s="163"/>
      <c r="DY14" s="163"/>
      <c r="DZ14" s="163"/>
      <c r="EA14" s="163"/>
      <c r="EB14" s="163"/>
      <c r="EC14" s="163"/>
      <c r="ED14" s="163"/>
      <c r="EE14" s="163"/>
      <c r="EF14" s="163"/>
      <c r="EG14" s="163"/>
      <c r="EH14" s="160">
        <f>IF([Chambre]*1='CHAMBRES FILLES 2e ETAGE'!$A$5,1,0)</f>
        <v>0</v>
      </c>
      <c r="EI14" s="161">
        <f>IF([Occurrence2]=0,0,SUM($EH$2:EH14))</f>
        <v>0</v>
      </c>
      <c r="EJ14" s="160">
        <f>IF([Chambre]*1='CHAMBRES FILLES 2e ETAGE'!$A$11,1,0)</f>
        <v>0</v>
      </c>
      <c r="EK14" s="160">
        <f>IF([Occurrence3]=0,0,SUM($EJ$2:EJ14))</f>
        <v>0</v>
      </c>
      <c r="EL14" s="160">
        <f>IF([Chambre]*1='CHAMBRES FILLES 2e ETAGE'!$A$17,1,0)</f>
        <v>0</v>
      </c>
      <c r="EM14" s="160">
        <f>IF([Occurrence4]=0,0,SUM($EL$2:EL14))</f>
        <v>0</v>
      </c>
      <c r="EN14" s="160">
        <f>IF([Chambre]*1='CHAMBRES FILLES 2e ETAGE'!$A$23,1,0)</f>
        <v>0</v>
      </c>
      <c r="EO14" s="160">
        <f>IF([Occurrence5]=0,0,SUM($EN$2:EN14))</f>
        <v>0</v>
      </c>
      <c r="EP14" s="160">
        <f>IF([Chambre]*1='CHAMBRES FILLES 2e ETAGE'!$A$29,1,0)</f>
        <v>0</v>
      </c>
      <c r="EQ14" s="160">
        <f>IF([Occurrence6]=0,0,SUM($EP$2:EP14))</f>
        <v>0</v>
      </c>
      <c r="ER14" s="160">
        <f>IF([Chambre]*1='CHAMBRES FILLES 2e ETAGE'!$A$35,1,0)</f>
        <v>0</v>
      </c>
      <c r="ES14" s="160">
        <f>IF([Occurrence7]=0,0,SUM($ER$2:ER14))</f>
        <v>0</v>
      </c>
      <c r="ET14" s="160">
        <f>IF([Chambre]*1='CHAMBRES FILLES 2e ETAGE'!$A$41,1,0)</f>
        <v>0</v>
      </c>
      <c r="EU14" s="160">
        <f>IF([Occurrence8]=0,0,SUM($ET$2:ET14))</f>
        <v>0</v>
      </c>
      <c r="EV14" s="160">
        <f>IF([Chambre]*1='CHAMBRES FILLES 2e ETAGE'!$A$47,1,0)</f>
        <v>0</v>
      </c>
      <c r="EW14" s="160">
        <f>IF([Occurrence9]=0,0,SUM($EV$2:EV14))</f>
        <v>0</v>
      </c>
      <c r="EX14" s="160">
        <f>IF([Chambre]*1='CHAMBRES FILLES 2e ETAGE'!$A$53,1,0)</f>
        <v>0</v>
      </c>
      <c r="EY14" s="160">
        <f>IF([Occurrence10]=0,0,SUM($EX$2:EX14))</f>
        <v>0</v>
      </c>
      <c r="EZ14" s="160">
        <f>IF([Chambre]*1='CHAMBRES FILLES 2e ETAGE'!$A$59,1,0)</f>
        <v>0</v>
      </c>
      <c r="FA14" s="160">
        <f>IF([Occurrence11]=0,0,SUM($EZ$2:EZ14))</f>
        <v>0</v>
      </c>
      <c r="FB14" s="160">
        <f>IF([Chambre]*1='CHAMBRES FILLES 2e ETAGE'!$A$65,1,0)</f>
        <v>0</v>
      </c>
      <c r="FC14" s="160">
        <f>IF([Occurrence12]=0,0,SUM($FB$2:FB14))</f>
        <v>0</v>
      </c>
      <c r="FD14" s="160">
        <f>IF([Chambre]*1='CHAMBRES FILLES 2e ETAGE'!$A$71,1,0)</f>
        <v>0</v>
      </c>
      <c r="FE14" s="160">
        <f>IF([Occurrence13]=0,0,SUM($FD$2:FD14))</f>
        <v>0</v>
      </c>
      <c r="FF14" s="160">
        <f>IF([Chambre]*1='CHAMBRES FILLES 2e ETAGE'!$A$77,1,0)</f>
        <v>0</v>
      </c>
      <c r="FG14" s="160">
        <f>IF([Occurrence14]=0,0,SUM($FF$2:FF14))</f>
        <v>0</v>
      </c>
      <c r="FH14" s="160">
        <f>IF([Chambre]*1='CHAMBRES FILLES 2e ETAGE'!$A$83,1,0)</f>
        <v>0</v>
      </c>
      <c r="FI14" s="160">
        <f>IF([Occurrence15]=0,0,SUM($FH$2:FH14))</f>
        <v>0</v>
      </c>
      <c r="FJ14" s="160">
        <f>IF([Chambre]*1='CHAMBRES FILLES 2e ETAGE'!$A$89,1,0)</f>
        <v>0</v>
      </c>
      <c r="FK14" s="160">
        <f>IF([Occurrence16]=0,0,SUM($FJ$2:FJ14))</f>
        <v>0</v>
      </c>
      <c r="FL14" s="160">
        <f>IF([Chambre]*1='CHAMBRES FILLES 2e ETAGE'!$A$95,1,0)</f>
        <v>0</v>
      </c>
      <c r="FM14" s="160">
        <f>IF([Occurrence17]=0,0,SUM($FL$2:FL14))</f>
        <v>0</v>
      </c>
      <c r="FN14" s="160">
        <f>IF([Chambre2]*1='CHAMBRES FILLES 1e ETAGE'!$A$5,1,0)</f>
        <v>0</v>
      </c>
      <c r="FO14" s="160">
        <f>IF([Occurrence18]=0,0,SUM($FN$2:FN14))</f>
        <v>0</v>
      </c>
      <c r="FP14" s="160">
        <f>IF([Chambre2]*1='CHAMBRES FILLES 1e ETAGE'!$A$11,1,0)</f>
        <v>0</v>
      </c>
      <c r="FQ14" s="160">
        <f>IF([Occurrence19]=0,0,SUM($FP$2:FP14))</f>
        <v>0</v>
      </c>
      <c r="FR14" s="160">
        <f>IF([Chambre2]*1='CHAMBRES FILLES 1e ETAGE'!$A$17,1,0)</f>
        <v>0</v>
      </c>
      <c r="FS14" s="160">
        <f>IF([Occurrence20]=0,0,SUM($FR$2:FR14))</f>
        <v>0</v>
      </c>
      <c r="FT14" s="160">
        <f>IF([Chambre2]*1='CHAMBRES FILLES 1e ETAGE'!$A$23,1,0)</f>
        <v>0</v>
      </c>
      <c r="FU14" s="160">
        <f>IF([Occurrence21]=0,0,SUM($FT$2:FT14))</f>
        <v>0</v>
      </c>
      <c r="FV14" s="160">
        <f>IF([Chambre2]*1='CHAMBRES FILLES 1e ETAGE'!$A$29,1,0)</f>
        <v>0</v>
      </c>
      <c r="FW14" s="160">
        <f>IF([Occurrence22]=0,0,SUM($FV$2:FV14))</f>
        <v>0</v>
      </c>
      <c r="FX14" s="160">
        <f>IF([Chambre2]*1='CHAMBRES FILLES 1e ETAGE'!$A$35,1,0)</f>
        <v>0</v>
      </c>
      <c r="FY14" s="160">
        <f>IF([Occurrence23]=0,0,SUM($FX$2:FX14))</f>
        <v>0</v>
      </c>
      <c r="FZ14" s="160">
        <f>IF([Chambre2]*1='CHAMBRES FILLES 1e ETAGE'!$A$41,1,0)</f>
        <v>0</v>
      </c>
      <c r="GA14" s="160">
        <f>IF([Occurrence24]=0,0,SUM($FZ$2:FZ14))</f>
        <v>0</v>
      </c>
      <c r="GB14" s="160">
        <f>IF([Chambre2]*1='CHAMBRES FILLES 1e ETAGE'!$A$47,1,0)</f>
        <v>0</v>
      </c>
      <c r="GC14" s="160">
        <f>IF([Occurrence25]=0,0,SUM($GB$2:GB14))</f>
        <v>0</v>
      </c>
      <c r="GD14" s="160">
        <f>IF([Chambre2]*1='CHAMBRES FILLES 1e ETAGE'!$A$53,1,0)</f>
        <v>0</v>
      </c>
      <c r="GE14" s="160">
        <f>IF([Occurrence26]=0,0,SUM($GD$2:GD14))</f>
        <v>0</v>
      </c>
      <c r="GF14" s="160">
        <f>IF([chambre4]*1='CHAMBRES GARCONS 1e ETAGE'!$A$5,1,0)</f>
        <v>0</v>
      </c>
      <c r="GG14" s="160">
        <f>IF([Occurrence27]=0,0,SUM($GF$2:GF14))</f>
        <v>0</v>
      </c>
      <c r="GH14" s="160">
        <f>IF([chambre4]*1='CHAMBRES GARCONS 1e ETAGE'!$A$11,1,0)</f>
        <v>0</v>
      </c>
      <c r="GI14" s="160">
        <f>IF([Occurrence28]=0,0,SUM($GH$2:GH14))</f>
        <v>0</v>
      </c>
      <c r="GJ14" s="160">
        <f>IF([chambre4]*1='CHAMBRES GARCONS 1e ETAGE'!$A$17,1,0)</f>
        <v>0</v>
      </c>
      <c r="GK14" s="160">
        <f>IF([Occurrence29]=0,0,SUM($GJ$2:GJ14))</f>
        <v>0</v>
      </c>
      <c r="GL14" s="160">
        <f>IF([chambre4]*1='CHAMBRES GARCONS 1e ETAGE'!$A$23,1,0)</f>
        <v>0</v>
      </c>
      <c r="GM14" s="160">
        <f>IF([Occurrence30]=0,0,SUM($GL$2:GL14))</f>
        <v>0</v>
      </c>
      <c r="GN14" s="160">
        <f>IF([chambre4]*1='CHAMBRES GARCONS 1e ETAGE'!$A$29,1,0)</f>
        <v>0</v>
      </c>
      <c r="GO14" s="160">
        <f>IF([Occurrence31]=0,0,SUM($GN$2:GN14))</f>
        <v>0</v>
      </c>
      <c r="GP14" s="160">
        <f>IF([chambre4]*1='CHAMBRES GARCONS 1e ETAGE'!$A$35,1,0)</f>
        <v>0</v>
      </c>
      <c r="GQ14" s="160">
        <f>IF([Occurrence32]=0,0,SUM($GP$2:GP14))</f>
        <v>0</v>
      </c>
      <c r="GR14" s="160">
        <f>IF([chambre3]*1='CHAMBRES GARCONS RDC'!$A$5,1,0)</f>
        <v>0</v>
      </c>
      <c r="GS14" s="160">
        <f>IF([Occurrence33]=0,0,SUM($GR$2:GR14))</f>
        <v>0</v>
      </c>
      <c r="GT14" s="160">
        <f>IF([chambre3]*1='CHAMBRES GARCONS RDC'!$A$11,1,0)</f>
        <v>0</v>
      </c>
      <c r="GU14" s="160">
        <f>IF([Occurrence34]=0,0,SUM($GT$2:GT14))</f>
        <v>0</v>
      </c>
      <c r="GV14" s="160">
        <f>IF([chambre3]*1='CHAMBRES GARCONS RDC'!$A$17,1,0)</f>
        <v>0</v>
      </c>
      <c r="GW14" s="160">
        <f>IF([Occurrence35]=0,0,SUM($GV$2:GV14))</f>
        <v>0</v>
      </c>
      <c r="GX14" s="160">
        <f>IF([chambre3]*1='CHAMBRES GARCONS RDC'!$A$23,1,0)</f>
        <v>0</v>
      </c>
      <c r="GY14" s="160">
        <f>IF([Occurrence36]=0,0,SUM($GX$2:GX14))</f>
        <v>0</v>
      </c>
      <c r="GZ14" s="160">
        <f>IF([chambre3]*1='CHAMBRES GARCONS RDC'!$A$29,1,0)</f>
        <v>0</v>
      </c>
      <c r="HA14" s="160">
        <f>IF([Occurrence37]=0,0,SUM($GZ$2:GZ14))</f>
        <v>0</v>
      </c>
      <c r="HB14" s="160">
        <f>IF([chambre3]*1='CHAMBRES GARCONS RDC'!$A$35,1,0)</f>
        <v>0</v>
      </c>
      <c r="HC14" s="160">
        <f>IF([Occurrence38]=0,0,SUM($HB$2:HB14))</f>
        <v>0</v>
      </c>
      <c r="HD14" s="160">
        <f>IF([chambre3]*1='CHAMBRES GARCONS RDC'!$A$41,1,0)</f>
        <v>0</v>
      </c>
      <c r="HE14" s="160">
        <f>IF([Occurrence39]=0,0,SUM($HD$2:HD14))</f>
        <v>0</v>
      </c>
      <c r="HF14" s="160">
        <f>IF([chambre3]*1='CHAMBRES GARCONS RDC'!$A$47,1,0)</f>
        <v>0</v>
      </c>
      <c r="HG14" s="160">
        <f>IF([Occurrence40]=0,0,SUM($HF$2:HF14))</f>
        <v>0</v>
      </c>
      <c r="HH14" s="160">
        <f>IF([chambre3]*1='CHAMBRES GARCONS RDC'!$A$53,1,0)</f>
        <v>0</v>
      </c>
      <c r="HI14" s="160">
        <f>IF([Occurrence41]=0,0,SUM($HH$2:HH14))</f>
        <v>0</v>
      </c>
      <c r="HJ14" s="160">
        <f>IF([chambre3]*1='CHAMBRES GARCONS RDC'!$A$59,1,0)</f>
        <v>0</v>
      </c>
      <c r="HK14" s="160">
        <f>IF([Occurrence42]=0,0,SUM($HJ$2:HJ14))</f>
        <v>0</v>
      </c>
      <c r="HL14" s="160">
        <f>IF([chambre3]*1='CHAMBRES GARCONS RDC'!$A$65,1,0)</f>
        <v>0</v>
      </c>
      <c r="HM14" s="160">
        <f>IF([Occurrence43]=0,0,SUM($HL$2:HL14))</f>
        <v>0</v>
      </c>
      <c r="HN14" s="160">
        <f>IF([chambre3]*1='CHAMBRES GARCONS RDC'!$A$71,1,0)</f>
        <v>0</v>
      </c>
      <c r="HO14" s="160">
        <f>IF([Occurrence44]=0,0,SUM($HN$2:HN14))</f>
        <v>0</v>
      </c>
      <c r="HP14" s="160">
        <f>IF([chambre3]*1='CHAMBRES GARCONS RDC'!$A$77,1,0)</f>
        <v>0</v>
      </c>
      <c r="HQ14" s="160">
        <f>IF([Occurrence45]=0,0,SUM($HP$2:HP14))</f>
        <v>0</v>
      </c>
      <c r="HR14" s="160">
        <f>IF([chambre3]*1='CHAMBRES GARCONS RDC'!$A$83,1,0)</f>
        <v>0</v>
      </c>
      <c r="HS14" s="160">
        <f>IF([Occurrence46]=0,0,SUM($HR$2:HR14))</f>
        <v>0</v>
      </c>
      <c r="HT14" s="160">
        <f>IF([chambre3]*1='CHAMBRES GARCONS RDC'!$A$89,1,0)</f>
        <v>0</v>
      </c>
      <c r="HU14" s="160">
        <f>IF([Occurrence47]=0,0,SUM($HT$2:HT14))</f>
        <v>0</v>
      </c>
      <c r="HV14" s="160">
        <f>IF([chambre3]*1='CHAMBRES GARCONS RDC'!$A$95,1,0)</f>
        <v>0</v>
      </c>
      <c r="HW14" s="160">
        <f>IF([Occurrence48]=0,0,SUM($HV$2:HV14))</f>
        <v>0</v>
      </c>
      <c r="HX14" s="160"/>
      <c r="HY14" s="160"/>
      <c r="HZ14" s="160">
        <f>IF([Classe]='Liste élève par classes'!$B$5,1,0)</f>
        <v>0</v>
      </c>
      <c r="IA14" s="160">
        <f>IF([Occurrence]=0,0,SUM($HZ$2:HZ14))</f>
        <v>0</v>
      </c>
      <c r="IB1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4" s="208"/>
    </row>
    <row r="15" spans="1:237">
      <c r="A15" t="s">
        <v>270</v>
      </c>
      <c r="B15" t="s">
        <v>271</v>
      </c>
      <c r="C15" s="158">
        <v>35928</v>
      </c>
      <c r="D15" s="62">
        <f t="shared" ca="1" si="0"/>
        <v>19</v>
      </c>
      <c r="E15" t="s">
        <v>4</v>
      </c>
      <c r="F15" s="159" t="s">
        <v>46</v>
      </c>
      <c r="G15" t="s">
        <v>45</v>
      </c>
      <c r="H15" s="160"/>
      <c r="I15" s="62"/>
      <c r="J15" s="161" t="s">
        <v>244</v>
      </c>
      <c r="K15" s="161"/>
      <c r="L15" s="160"/>
      <c r="M15" s="161"/>
      <c r="N15" s="161" t="s">
        <v>244</v>
      </c>
      <c r="O15" s="161" t="s">
        <v>244</v>
      </c>
      <c r="P15" s="161" t="s">
        <v>244</v>
      </c>
      <c r="Q15" s="161" t="s">
        <v>244</v>
      </c>
      <c r="R15" s="161" t="s">
        <v>244</v>
      </c>
      <c r="S15" s="161"/>
      <c r="T15" s="161" t="s">
        <v>244</v>
      </c>
      <c r="U15" s="160"/>
      <c r="V15" s="161" t="s">
        <v>244</v>
      </c>
      <c r="W15" s="161" t="s">
        <v>244</v>
      </c>
      <c r="X15" s="161" t="s">
        <v>244</v>
      </c>
      <c r="Y15" s="161" t="s">
        <v>244</v>
      </c>
      <c r="Z15" s="161" t="s">
        <v>244</v>
      </c>
      <c r="AA15" s="161" t="s">
        <v>244</v>
      </c>
      <c r="AB15" s="161" t="s">
        <v>244</v>
      </c>
      <c r="AC15" s="161" t="s">
        <v>244</v>
      </c>
      <c r="AD15" s="161" t="s">
        <v>244</v>
      </c>
      <c r="AE15" s="161" t="s">
        <v>244</v>
      </c>
      <c r="AF15" s="163" t="s">
        <v>244</v>
      </c>
      <c r="AG15" s="163" t="s">
        <v>244</v>
      </c>
      <c r="AH15" s="163" t="s">
        <v>244</v>
      </c>
      <c r="AI15" s="163"/>
      <c r="AJ15" s="163"/>
      <c r="AK15" s="163"/>
      <c r="AL15" s="163"/>
      <c r="AM15" s="163"/>
      <c r="AN15" s="163"/>
      <c r="AO15" s="163"/>
      <c r="AP15" s="163"/>
      <c r="AQ15" s="163"/>
      <c r="AR15" s="163"/>
      <c r="AS15" s="163"/>
      <c r="AT15" s="163"/>
      <c r="AU15" s="163"/>
      <c r="AV15" s="163"/>
      <c r="AW15" s="163"/>
      <c r="AX15" s="163"/>
      <c r="AY15" s="163"/>
      <c r="AZ15" s="163"/>
      <c r="BA15" s="163"/>
      <c r="BB15" s="163"/>
      <c r="BC15" s="163" t="b">
        <v>0</v>
      </c>
      <c r="BD15" s="163" t="b">
        <v>0</v>
      </c>
      <c r="BE15" s="163" t="b">
        <v>0</v>
      </c>
      <c r="BF15" s="163" t="b">
        <v>0</v>
      </c>
      <c r="BG15" s="163" t="b">
        <v>0</v>
      </c>
      <c r="BH15" s="163" t="b">
        <v>0</v>
      </c>
      <c r="BI15" s="163" t="b">
        <v>1</v>
      </c>
      <c r="BJ15" s="163" t="b">
        <v>0</v>
      </c>
      <c r="BK15" s="163" t="b">
        <v>0</v>
      </c>
      <c r="BL15" s="163" t="b">
        <v>0</v>
      </c>
      <c r="BM15" s="163"/>
      <c r="BN15" s="163"/>
      <c r="BO15" s="163"/>
      <c r="BP15" s="163"/>
      <c r="BQ15" s="163"/>
      <c r="BR15" s="163"/>
      <c r="BS15" s="163"/>
      <c r="BT15" s="163"/>
      <c r="BU15" s="163"/>
      <c r="BV15" s="163"/>
      <c r="BW15" s="163"/>
      <c r="BX15" s="163"/>
      <c r="BY15" s="163"/>
      <c r="BZ15" s="163"/>
      <c r="CA15" s="163"/>
      <c r="CB15" s="163"/>
      <c r="CC15" s="163"/>
      <c r="CD15" s="163"/>
      <c r="CE15" s="163"/>
      <c r="CF15" s="163"/>
      <c r="CG15" s="163"/>
      <c r="CH15" s="163"/>
      <c r="CI15" s="163"/>
      <c r="CJ15" s="163"/>
      <c r="CK15" s="163"/>
      <c r="CL15" s="163"/>
      <c r="CM15" s="163"/>
      <c r="CN15" s="163"/>
      <c r="CO15" s="163"/>
      <c r="CP15" s="163"/>
      <c r="CQ15" s="163"/>
      <c r="CR15" s="163"/>
      <c r="CS15" s="163"/>
      <c r="CT15" s="163"/>
      <c r="CU15" s="163"/>
      <c r="CV15" s="163"/>
      <c r="CW15" s="163"/>
      <c r="CX15" s="163"/>
      <c r="CY15" s="163"/>
      <c r="CZ15" s="163"/>
      <c r="DA15" s="163"/>
      <c r="DB15" s="163"/>
      <c r="DC15" s="163"/>
      <c r="DD15" s="163"/>
      <c r="DE15" s="163"/>
      <c r="DF15" s="163"/>
      <c r="DG15" s="163"/>
      <c r="DH15" s="163"/>
      <c r="DI15" s="163"/>
      <c r="DJ15" s="163"/>
      <c r="DK15" s="163"/>
      <c r="DL15" s="163"/>
      <c r="DM15" s="163"/>
      <c r="DN15" s="163"/>
      <c r="DO15" s="163"/>
      <c r="DP15" s="163"/>
      <c r="DQ15" s="163"/>
      <c r="DR15" s="163"/>
      <c r="DS15" s="163"/>
      <c r="DT15" s="163"/>
      <c r="DU15" s="163"/>
      <c r="DV15" s="163"/>
      <c r="DW15" s="163"/>
      <c r="DX15" s="163"/>
      <c r="DY15" s="163"/>
      <c r="DZ15" s="163"/>
      <c r="EA15" s="163"/>
      <c r="EB15" s="163"/>
      <c r="EC15" s="163"/>
      <c r="ED15" s="163"/>
      <c r="EE15" s="163"/>
      <c r="EF15" s="163"/>
      <c r="EG15" s="163"/>
      <c r="EH15" s="160">
        <f>IF([Chambre]*1='CHAMBRES FILLES 2e ETAGE'!$A$5,1,0)</f>
        <v>0</v>
      </c>
      <c r="EI15" s="161">
        <f>IF([Occurrence2]=0,0,SUM($EH$2:EH15))</f>
        <v>0</v>
      </c>
      <c r="EJ15" s="160">
        <f>IF([Chambre]*1='CHAMBRES FILLES 2e ETAGE'!$A$11,1,0)</f>
        <v>0</v>
      </c>
      <c r="EK15" s="160">
        <f>IF([Occurrence3]=0,0,SUM($EJ$2:EJ15))</f>
        <v>0</v>
      </c>
      <c r="EL15" s="160">
        <f>IF([Chambre]*1='CHAMBRES FILLES 2e ETAGE'!$A$17,1,0)</f>
        <v>0</v>
      </c>
      <c r="EM15" s="160">
        <f>IF([Occurrence4]=0,0,SUM($EL$2:EL15))</f>
        <v>0</v>
      </c>
      <c r="EN15" s="160">
        <f>IF([Chambre]*1='CHAMBRES FILLES 2e ETAGE'!$A$23,1,0)</f>
        <v>0</v>
      </c>
      <c r="EO15" s="160">
        <f>IF([Occurrence5]=0,0,SUM($EN$2:EN15))</f>
        <v>0</v>
      </c>
      <c r="EP15" s="160">
        <f>IF([Chambre]*1='CHAMBRES FILLES 2e ETAGE'!$A$29,1,0)</f>
        <v>0</v>
      </c>
      <c r="EQ15" s="160">
        <f>IF([Occurrence6]=0,0,SUM($EP$2:EP15))</f>
        <v>0</v>
      </c>
      <c r="ER15" s="160">
        <f>IF([Chambre]*1='CHAMBRES FILLES 2e ETAGE'!$A$35,1,0)</f>
        <v>0</v>
      </c>
      <c r="ES15" s="160">
        <f>IF([Occurrence7]=0,0,SUM($ER$2:ER15))</f>
        <v>0</v>
      </c>
      <c r="ET15" s="160">
        <f>IF([Chambre]*1='CHAMBRES FILLES 2e ETAGE'!$A$41,1,0)</f>
        <v>0</v>
      </c>
      <c r="EU15" s="160">
        <f>IF([Occurrence8]=0,0,SUM($ET$2:ET15))</f>
        <v>0</v>
      </c>
      <c r="EV15" s="160">
        <f>IF([Chambre]*1='CHAMBRES FILLES 2e ETAGE'!$A$47,1,0)</f>
        <v>0</v>
      </c>
      <c r="EW15" s="160">
        <f>IF([Occurrence9]=0,0,SUM($EV$2:EV15))</f>
        <v>0</v>
      </c>
      <c r="EX15" s="160">
        <f>IF([Chambre]*1='CHAMBRES FILLES 2e ETAGE'!$A$53,1,0)</f>
        <v>0</v>
      </c>
      <c r="EY15" s="160">
        <f>IF([Occurrence10]=0,0,SUM($EX$2:EX15))</f>
        <v>0</v>
      </c>
      <c r="EZ15" s="160">
        <f>IF([Chambre]*1='CHAMBRES FILLES 2e ETAGE'!$A$59,1,0)</f>
        <v>0</v>
      </c>
      <c r="FA15" s="160">
        <f>IF([Occurrence11]=0,0,SUM($EZ$2:EZ15))</f>
        <v>0</v>
      </c>
      <c r="FB15" s="160">
        <f>IF([Chambre]*1='CHAMBRES FILLES 2e ETAGE'!$A$65,1,0)</f>
        <v>0</v>
      </c>
      <c r="FC15" s="160">
        <f>IF([Occurrence12]=0,0,SUM($FB$2:FB15))</f>
        <v>0</v>
      </c>
      <c r="FD15" s="160">
        <f>IF([Chambre]*1='CHAMBRES FILLES 2e ETAGE'!$A$71,1,0)</f>
        <v>0</v>
      </c>
      <c r="FE15" s="160">
        <f>IF([Occurrence13]=0,0,SUM($FD$2:FD15))</f>
        <v>0</v>
      </c>
      <c r="FF15" s="160">
        <f>IF([Chambre]*1='CHAMBRES FILLES 2e ETAGE'!$A$77,1,0)</f>
        <v>0</v>
      </c>
      <c r="FG15" s="160">
        <f>IF([Occurrence14]=0,0,SUM($FF$2:FF15))</f>
        <v>0</v>
      </c>
      <c r="FH15" s="160">
        <f>IF([Chambre]*1='CHAMBRES FILLES 2e ETAGE'!$A$83,1,0)</f>
        <v>0</v>
      </c>
      <c r="FI15" s="160">
        <f>IF([Occurrence15]=0,0,SUM($FH$2:FH15))</f>
        <v>0</v>
      </c>
      <c r="FJ15" s="160">
        <f>IF([Chambre]*1='CHAMBRES FILLES 2e ETAGE'!$A$89,1,0)</f>
        <v>0</v>
      </c>
      <c r="FK15" s="160">
        <f>IF([Occurrence16]=0,0,SUM($FJ$2:FJ15))</f>
        <v>0</v>
      </c>
      <c r="FL15" s="160">
        <f>IF([Chambre]*1='CHAMBRES FILLES 2e ETAGE'!$A$95,1,0)</f>
        <v>0</v>
      </c>
      <c r="FM15" s="160">
        <f>IF([Occurrence17]=0,0,SUM($FL$2:FL15))</f>
        <v>0</v>
      </c>
      <c r="FN15" s="160">
        <f>IF([Chambre2]*1='CHAMBRES FILLES 1e ETAGE'!$A$5,1,0)</f>
        <v>0</v>
      </c>
      <c r="FO15" s="160">
        <f>IF([Occurrence18]=0,0,SUM($FN$2:FN15))</f>
        <v>0</v>
      </c>
      <c r="FP15" s="160">
        <f>IF([Chambre2]*1='CHAMBRES FILLES 1e ETAGE'!$A$11,1,0)</f>
        <v>0</v>
      </c>
      <c r="FQ15" s="160">
        <f>IF([Occurrence19]=0,0,SUM($FP$2:FP15))</f>
        <v>0</v>
      </c>
      <c r="FR15" s="160">
        <f>IF([Chambre2]*1='CHAMBRES FILLES 1e ETAGE'!$A$17,1,0)</f>
        <v>0</v>
      </c>
      <c r="FS15" s="160">
        <f>IF([Occurrence20]=0,0,SUM($FR$2:FR15))</f>
        <v>0</v>
      </c>
      <c r="FT15" s="160">
        <f>IF([Chambre2]*1='CHAMBRES FILLES 1e ETAGE'!$A$23,1,0)</f>
        <v>0</v>
      </c>
      <c r="FU15" s="160">
        <f>IF([Occurrence21]=0,0,SUM($FT$2:FT15))</f>
        <v>0</v>
      </c>
      <c r="FV15" s="160">
        <f>IF([Chambre2]*1='CHAMBRES FILLES 1e ETAGE'!$A$29,1,0)</f>
        <v>0</v>
      </c>
      <c r="FW15" s="160">
        <f>IF([Occurrence22]=0,0,SUM($FV$2:FV15))</f>
        <v>0</v>
      </c>
      <c r="FX15" s="160">
        <f>IF([Chambre2]*1='CHAMBRES FILLES 1e ETAGE'!$A$35,1,0)</f>
        <v>0</v>
      </c>
      <c r="FY15" s="160">
        <f>IF([Occurrence23]=0,0,SUM($FX$2:FX15))</f>
        <v>0</v>
      </c>
      <c r="FZ15" s="160">
        <f>IF([Chambre2]*1='CHAMBRES FILLES 1e ETAGE'!$A$41,1,0)</f>
        <v>0</v>
      </c>
      <c r="GA15" s="160">
        <f>IF([Occurrence24]=0,0,SUM($FZ$2:FZ15))</f>
        <v>0</v>
      </c>
      <c r="GB15" s="160">
        <f>IF([Chambre2]*1='CHAMBRES FILLES 1e ETAGE'!$A$47,1,0)</f>
        <v>0</v>
      </c>
      <c r="GC15" s="160">
        <f>IF([Occurrence25]=0,0,SUM($GB$2:GB15))</f>
        <v>0</v>
      </c>
      <c r="GD15" s="160">
        <f>IF([Chambre2]*1='CHAMBRES FILLES 1e ETAGE'!$A$53,1,0)</f>
        <v>0</v>
      </c>
      <c r="GE15" s="160">
        <f>IF([Occurrence26]=0,0,SUM($GD$2:GD15))</f>
        <v>0</v>
      </c>
      <c r="GF15" s="160">
        <f>IF([chambre4]*1='CHAMBRES GARCONS 1e ETAGE'!$A$5,1,0)</f>
        <v>0</v>
      </c>
      <c r="GG15" s="160">
        <f>IF([Occurrence27]=0,0,SUM($GF$2:GF15))</f>
        <v>0</v>
      </c>
      <c r="GH15" s="160">
        <f>IF([chambre4]*1='CHAMBRES GARCONS 1e ETAGE'!$A$11,1,0)</f>
        <v>0</v>
      </c>
      <c r="GI15" s="160">
        <f>IF([Occurrence28]=0,0,SUM($GH$2:GH15))</f>
        <v>0</v>
      </c>
      <c r="GJ15" s="160">
        <f>IF([chambre4]*1='CHAMBRES GARCONS 1e ETAGE'!$A$17,1,0)</f>
        <v>0</v>
      </c>
      <c r="GK15" s="160">
        <f>IF([Occurrence29]=0,0,SUM($GJ$2:GJ15))</f>
        <v>0</v>
      </c>
      <c r="GL15" s="160">
        <f>IF([chambre4]*1='CHAMBRES GARCONS 1e ETAGE'!$A$23,1,0)</f>
        <v>0</v>
      </c>
      <c r="GM15" s="160">
        <f>IF([Occurrence30]=0,0,SUM($GL$2:GL15))</f>
        <v>0</v>
      </c>
      <c r="GN15" s="160">
        <f>IF([chambre4]*1='CHAMBRES GARCONS 1e ETAGE'!$A$29,1,0)</f>
        <v>0</v>
      </c>
      <c r="GO15" s="160">
        <f>IF([Occurrence31]=0,0,SUM($GN$2:GN15))</f>
        <v>0</v>
      </c>
      <c r="GP15" s="160">
        <f>IF([chambre4]*1='CHAMBRES GARCONS 1e ETAGE'!$A$35,1,0)</f>
        <v>0</v>
      </c>
      <c r="GQ15" s="160">
        <f>IF([Occurrence32]=0,0,SUM($GP$2:GP15))</f>
        <v>0</v>
      </c>
      <c r="GR15" s="160">
        <f>IF([chambre3]*1='CHAMBRES GARCONS RDC'!$A$5,1,0)</f>
        <v>0</v>
      </c>
      <c r="GS15" s="160">
        <f>IF([Occurrence33]=0,0,SUM($GR$2:GR15))</f>
        <v>0</v>
      </c>
      <c r="GT15" s="160">
        <f>IF([chambre3]*1='CHAMBRES GARCONS RDC'!$A$11,1,0)</f>
        <v>0</v>
      </c>
      <c r="GU15" s="160">
        <f>IF([Occurrence34]=0,0,SUM($GT$2:GT15))</f>
        <v>0</v>
      </c>
      <c r="GV15" s="160">
        <f>IF([chambre3]*1='CHAMBRES GARCONS RDC'!$A$17,1,0)</f>
        <v>0</v>
      </c>
      <c r="GW15" s="160">
        <f>IF([Occurrence35]=0,0,SUM($GV$2:GV15))</f>
        <v>0</v>
      </c>
      <c r="GX15" s="160">
        <f>IF([chambre3]*1='CHAMBRES GARCONS RDC'!$A$23,1,0)</f>
        <v>0</v>
      </c>
      <c r="GY15" s="160">
        <f>IF([Occurrence36]=0,0,SUM($GX$2:GX15))</f>
        <v>0</v>
      </c>
      <c r="GZ15" s="160">
        <f>IF([chambre3]*1='CHAMBRES GARCONS RDC'!$A$29,1,0)</f>
        <v>0</v>
      </c>
      <c r="HA15" s="160">
        <f>IF([Occurrence37]=0,0,SUM($GZ$2:GZ15))</f>
        <v>0</v>
      </c>
      <c r="HB15" s="160">
        <f>IF([chambre3]*1='CHAMBRES GARCONS RDC'!$A$35,1,0)</f>
        <v>0</v>
      </c>
      <c r="HC15" s="160">
        <f>IF([Occurrence38]=0,0,SUM($HB$2:HB15))</f>
        <v>0</v>
      </c>
      <c r="HD15" s="160">
        <f>IF([chambre3]*1='CHAMBRES GARCONS RDC'!$A$41,1,0)</f>
        <v>0</v>
      </c>
      <c r="HE15" s="160">
        <f>IF([Occurrence39]=0,0,SUM($HD$2:HD15))</f>
        <v>0</v>
      </c>
      <c r="HF15" s="160">
        <f>IF([chambre3]*1='CHAMBRES GARCONS RDC'!$A$47,1,0)</f>
        <v>0</v>
      </c>
      <c r="HG15" s="160">
        <f>IF([Occurrence40]=0,0,SUM($HF$2:HF15))</f>
        <v>0</v>
      </c>
      <c r="HH15" s="160">
        <f>IF([chambre3]*1='CHAMBRES GARCONS RDC'!$A$53,1,0)</f>
        <v>0</v>
      </c>
      <c r="HI15" s="160">
        <f>IF([Occurrence41]=0,0,SUM($HH$2:HH15))</f>
        <v>0</v>
      </c>
      <c r="HJ15" s="160">
        <f>IF([chambre3]*1='CHAMBRES GARCONS RDC'!$A$59,1,0)</f>
        <v>0</v>
      </c>
      <c r="HK15" s="160">
        <f>IF([Occurrence42]=0,0,SUM($HJ$2:HJ15))</f>
        <v>0</v>
      </c>
      <c r="HL15" s="160">
        <f>IF([chambre3]*1='CHAMBRES GARCONS RDC'!$A$65,1,0)</f>
        <v>0</v>
      </c>
      <c r="HM15" s="160">
        <f>IF([Occurrence43]=0,0,SUM($HL$2:HL15))</f>
        <v>0</v>
      </c>
      <c r="HN15" s="160">
        <f>IF([chambre3]*1='CHAMBRES GARCONS RDC'!$A$71,1,0)</f>
        <v>0</v>
      </c>
      <c r="HO15" s="160">
        <f>IF([Occurrence44]=0,0,SUM($HN$2:HN15))</f>
        <v>0</v>
      </c>
      <c r="HP15" s="160">
        <f>IF([chambre3]*1='CHAMBRES GARCONS RDC'!$A$77,1,0)</f>
        <v>0</v>
      </c>
      <c r="HQ15" s="160">
        <f>IF([Occurrence45]=0,0,SUM($HP$2:HP15))</f>
        <v>0</v>
      </c>
      <c r="HR15" s="160">
        <f>IF([chambre3]*1='CHAMBRES GARCONS RDC'!$A$83,1,0)</f>
        <v>0</v>
      </c>
      <c r="HS15" s="160">
        <f>IF([Occurrence46]=0,0,SUM($HR$2:HR15))</f>
        <v>0</v>
      </c>
      <c r="HT15" s="160">
        <f>IF([chambre3]*1='CHAMBRES GARCONS RDC'!$A$89,1,0)</f>
        <v>0</v>
      </c>
      <c r="HU15" s="160">
        <f>IF([Occurrence47]=0,0,SUM($HT$2:HT15))</f>
        <v>0</v>
      </c>
      <c r="HV15" s="160">
        <f>IF([chambre3]*1='CHAMBRES GARCONS RDC'!$A$95,1,0)</f>
        <v>0</v>
      </c>
      <c r="HW15" s="160">
        <f>IF([Occurrence48]=0,0,SUM($HV$2:HV15))</f>
        <v>0</v>
      </c>
      <c r="HX15" s="160"/>
      <c r="HY15" s="160"/>
      <c r="HZ15" s="160">
        <f>IF([Classe]='Liste élève par classes'!$B$5,1,0)</f>
        <v>0</v>
      </c>
      <c r="IA15" s="160">
        <f>IF([Occurrence]=0,0,SUM($HZ$2:HZ15))</f>
        <v>0</v>
      </c>
      <c r="IB1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5" s="208"/>
    </row>
    <row r="16" spans="1:237">
      <c r="A16" t="s">
        <v>272</v>
      </c>
      <c r="B16" t="s">
        <v>273</v>
      </c>
      <c r="C16" s="158">
        <v>37124</v>
      </c>
      <c r="D16" s="62">
        <f t="shared" ca="1" si="0"/>
        <v>16</v>
      </c>
      <c r="E16" t="s">
        <v>6</v>
      </c>
      <c r="F16" s="159" t="s">
        <v>50</v>
      </c>
      <c r="G16" t="s">
        <v>40</v>
      </c>
      <c r="H16" s="160"/>
      <c r="I16" s="62"/>
      <c r="J16" s="62"/>
      <c r="K16" s="62"/>
      <c r="L16" s="160"/>
      <c r="M16">
        <v>52</v>
      </c>
      <c r="N16" s="62"/>
      <c r="O16" s="62"/>
      <c r="P16" s="62"/>
      <c r="Q16" s="62"/>
      <c r="R16" s="62"/>
      <c r="S16" s="191"/>
      <c r="T16" s="62"/>
      <c r="U16" s="61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3"/>
      <c r="AR16" s="163"/>
      <c r="AS16" s="163"/>
      <c r="AT16" s="163"/>
      <c r="AU16" s="163"/>
      <c r="AV16" s="163"/>
      <c r="AW16" s="163"/>
      <c r="AX16" s="163"/>
      <c r="AY16" s="163"/>
      <c r="AZ16" s="163"/>
      <c r="BA16" s="163"/>
      <c r="BB16" s="163"/>
      <c r="BC16" s="163" t="b">
        <v>0</v>
      </c>
      <c r="BD16" s="163" t="b">
        <v>1</v>
      </c>
      <c r="BE16" s="163" t="b">
        <v>1</v>
      </c>
      <c r="BF16" s="163" t="b">
        <v>0</v>
      </c>
      <c r="BG16" s="164" t="b">
        <v>0</v>
      </c>
      <c r="BH16" s="163" t="b">
        <v>1</v>
      </c>
      <c r="BI16" s="163"/>
      <c r="BJ16" s="163"/>
      <c r="BK16" s="163"/>
      <c r="BL16" s="163"/>
      <c r="BM16" s="163"/>
      <c r="BN16" s="163"/>
      <c r="BO16" s="163"/>
      <c r="BP16" s="163"/>
      <c r="BQ16" s="163" t="b">
        <v>0</v>
      </c>
      <c r="BR16" s="163"/>
      <c r="BS16" s="163"/>
      <c r="BT16" s="163"/>
      <c r="BU16" s="163"/>
      <c r="BV16" s="163"/>
      <c r="BW16" s="163"/>
      <c r="BX16" s="163"/>
      <c r="BY16" s="163"/>
      <c r="BZ16" s="163"/>
      <c r="CA16" s="163"/>
      <c r="CB16" s="163"/>
      <c r="CC16" s="163"/>
      <c r="CD16" s="163"/>
      <c r="CE16" s="163"/>
      <c r="CF16" s="163"/>
      <c r="CG16" s="163"/>
      <c r="CH16" s="163"/>
      <c r="CI16" s="163"/>
      <c r="CJ16" s="163"/>
      <c r="CK16" s="163"/>
      <c r="CL16" s="163"/>
      <c r="CM16" s="163"/>
      <c r="CN16" s="163"/>
      <c r="CO16" s="163"/>
      <c r="CP16" s="163"/>
      <c r="CQ16" s="163"/>
      <c r="CR16" s="163"/>
      <c r="CS16" s="163"/>
      <c r="CT16" s="163"/>
      <c r="CU16" s="163"/>
      <c r="CV16" s="163"/>
      <c r="CW16" s="163"/>
      <c r="CX16" s="163"/>
      <c r="CY16" s="163"/>
      <c r="CZ16" s="163"/>
      <c r="DA16" s="163"/>
      <c r="DB16" s="163"/>
      <c r="DC16" s="163"/>
      <c r="DD16" s="163"/>
      <c r="DE16" s="163"/>
      <c r="DF16" s="163"/>
      <c r="DG16" s="208">
        <v>153</v>
      </c>
      <c r="DH16" s="163"/>
      <c r="DI16" s="163"/>
      <c r="DJ16" s="163"/>
      <c r="DK16" s="163"/>
      <c r="DL16" s="163"/>
      <c r="DM16" s="163"/>
      <c r="DN16" s="163"/>
      <c r="DO16" s="163"/>
      <c r="DP16" s="163"/>
      <c r="DQ16" s="163"/>
      <c r="DR16" s="163"/>
      <c r="DS16" s="163"/>
      <c r="DT16" s="163"/>
      <c r="DU16" s="163"/>
      <c r="DV16" s="163"/>
      <c r="DW16" s="163"/>
      <c r="DX16" s="163"/>
      <c r="DY16" s="163"/>
      <c r="DZ16" s="163"/>
      <c r="EA16" s="163"/>
      <c r="EB16" s="163"/>
      <c r="EC16" s="163"/>
      <c r="ED16" s="163"/>
      <c r="EE16" s="163"/>
      <c r="EF16" s="163"/>
      <c r="EG16" s="163"/>
      <c r="EH16" s="160">
        <f>IF([Chambre]*1='CHAMBRES FILLES 2e ETAGE'!$A$5,1,0)</f>
        <v>0</v>
      </c>
      <c r="EI16" s="161">
        <f>IF([Occurrence2]=0,0,SUM($EH$2:EH16))</f>
        <v>0</v>
      </c>
      <c r="EJ16" s="160">
        <f>IF([Chambre]*1='CHAMBRES FILLES 2e ETAGE'!$A$11,1,0)</f>
        <v>0</v>
      </c>
      <c r="EK16" s="160">
        <f>IF([Occurrence3]=0,0,SUM($EJ$2:EJ16))</f>
        <v>0</v>
      </c>
      <c r="EL16" s="160">
        <f>IF([Chambre]*1='CHAMBRES FILLES 2e ETAGE'!$A$17,1,0)</f>
        <v>0</v>
      </c>
      <c r="EM16" s="160">
        <f>IF([Occurrence4]=0,0,SUM($EL$2:EL16))</f>
        <v>0</v>
      </c>
      <c r="EN16" s="160">
        <f>IF([Chambre]*1='CHAMBRES FILLES 2e ETAGE'!$A$23,1,0)</f>
        <v>0</v>
      </c>
      <c r="EO16" s="160">
        <f>IF([Occurrence5]=0,0,SUM($EN$2:EN16))</f>
        <v>0</v>
      </c>
      <c r="EP16" s="160">
        <f>IF([Chambre]*1='CHAMBRES FILLES 2e ETAGE'!$A$29,1,0)</f>
        <v>0</v>
      </c>
      <c r="EQ16" s="160">
        <f>IF([Occurrence6]=0,0,SUM($EP$2:EP16))</f>
        <v>0</v>
      </c>
      <c r="ER16" s="160">
        <f>IF([Chambre]*1='CHAMBRES FILLES 2e ETAGE'!$A$35,1,0)</f>
        <v>0</v>
      </c>
      <c r="ES16" s="160">
        <f>IF([Occurrence7]=0,0,SUM($ER$2:ER16))</f>
        <v>0</v>
      </c>
      <c r="ET16" s="160">
        <f>IF([Chambre]*1='CHAMBRES FILLES 2e ETAGE'!$A$41,1,0)</f>
        <v>0</v>
      </c>
      <c r="EU16" s="160">
        <f>IF([Occurrence8]=0,0,SUM($ET$2:ET16))</f>
        <v>0</v>
      </c>
      <c r="EV16" s="160">
        <f>IF([Chambre]*1='CHAMBRES FILLES 2e ETAGE'!$A$47,1,0)</f>
        <v>0</v>
      </c>
      <c r="EW16" s="160">
        <f>IF([Occurrence9]=0,0,SUM($EV$2:EV16))</f>
        <v>0</v>
      </c>
      <c r="EX16" s="160">
        <f>IF([Chambre]*1='CHAMBRES FILLES 2e ETAGE'!$A$53,1,0)</f>
        <v>0</v>
      </c>
      <c r="EY16" s="160">
        <f>IF([Occurrence10]=0,0,SUM($EX$2:EX16))</f>
        <v>0</v>
      </c>
      <c r="EZ16" s="160">
        <f>IF([Chambre]*1='CHAMBRES FILLES 2e ETAGE'!$A$59,1,0)</f>
        <v>0</v>
      </c>
      <c r="FA16" s="160">
        <f>IF([Occurrence11]=0,0,SUM($EZ$2:EZ16))</f>
        <v>0</v>
      </c>
      <c r="FB16" s="160">
        <f>IF([Chambre]*1='CHAMBRES FILLES 2e ETAGE'!$A$65,1,0)</f>
        <v>0</v>
      </c>
      <c r="FC16" s="160">
        <f>IF([Occurrence12]=0,0,SUM($FB$2:FB16))</f>
        <v>0</v>
      </c>
      <c r="FD16" s="160">
        <f>IF([Chambre]*1='CHAMBRES FILLES 2e ETAGE'!$A$71,1,0)</f>
        <v>0</v>
      </c>
      <c r="FE16" s="160">
        <f>IF([Occurrence13]=0,0,SUM($FD$2:FD16))</f>
        <v>0</v>
      </c>
      <c r="FF16" s="160">
        <f>IF([Chambre]*1='CHAMBRES FILLES 2e ETAGE'!$A$77,1,0)</f>
        <v>0</v>
      </c>
      <c r="FG16" s="160">
        <f>IF([Occurrence14]=0,0,SUM($FF$2:FF16))</f>
        <v>0</v>
      </c>
      <c r="FH16" s="160">
        <f>IF([Chambre]*1='CHAMBRES FILLES 2e ETAGE'!$A$83,1,0)</f>
        <v>0</v>
      </c>
      <c r="FI16" s="160">
        <f>IF([Occurrence15]=0,0,SUM($FH$2:FH16))</f>
        <v>0</v>
      </c>
      <c r="FJ16" s="160">
        <f>IF([Chambre]*1='CHAMBRES FILLES 2e ETAGE'!$A$89,1,0)</f>
        <v>0</v>
      </c>
      <c r="FK16" s="160">
        <f>IF([Occurrence16]=0,0,SUM($FJ$2:FJ16))</f>
        <v>0</v>
      </c>
      <c r="FL16" s="160">
        <f>IF([Chambre]*1='CHAMBRES FILLES 2e ETAGE'!$A$95,1,0)</f>
        <v>0</v>
      </c>
      <c r="FM16" s="160">
        <f>IF([Occurrence17]=0,0,SUM($FL$2:FL16))</f>
        <v>0</v>
      </c>
      <c r="FN16" s="160">
        <f>IF([Chambre2]*1='CHAMBRES FILLES 1e ETAGE'!$A$5,1,0)</f>
        <v>0</v>
      </c>
      <c r="FO16" s="160">
        <f>IF([Occurrence18]=0,0,SUM($FN$2:FN16))</f>
        <v>0</v>
      </c>
      <c r="FP16" s="160">
        <f>IF([Chambre2]*1='CHAMBRES FILLES 1e ETAGE'!$A$11,1,0)</f>
        <v>0</v>
      </c>
      <c r="FQ16" s="160">
        <f>IF([Occurrence19]=0,0,SUM($FP$2:FP16))</f>
        <v>0</v>
      </c>
      <c r="FR16" s="160">
        <f>IF([Chambre2]*1='CHAMBRES FILLES 1e ETAGE'!$A$17,1,0)</f>
        <v>0</v>
      </c>
      <c r="FS16" s="160">
        <f>IF([Occurrence20]=0,0,SUM($FR$2:FR16))</f>
        <v>0</v>
      </c>
      <c r="FT16" s="160">
        <f>IF([Chambre2]*1='CHAMBRES FILLES 1e ETAGE'!$A$23,1,0)</f>
        <v>0</v>
      </c>
      <c r="FU16" s="160">
        <f>IF([Occurrence21]=0,0,SUM($FT$2:FT16))</f>
        <v>0</v>
      </c>
      <c r="FV16" s="160">
        <f>IF([Chambre2]*1='CHAMBRES FILLES 1e ETAGE'!$A$29,1,0)</f>
        <v>0</v>
      </c>
      <c r="FW16" s="160">
        <f>IF([Occurrence22]=0,0,SUM($FV$2:FV16))</f>
        <v>0</v>
      </c>
      <c r="FX16" s="160">
        <f>IF([Chambre2]*1='CHAMBRES FILLES 1e ETAGE'!$A$35,1,0)</f>
        <v>0</v>
      </c>
      <c r="FY16" s="160">
        <f>IF([Occurrence23]=0,0,SUM($FX$2:FX16))</f>
        <v>0</v>
      </c>
      <c r="FZ16" s="160">
        <f>IF([Chambre2]*1='CHAMBRES FILLES 1e ETAGE'!$A$41,1,0)</f>
        <v>0</v>
      </c>
      <c r="GA16" s="160">
        <f>IF([Occurrence24]=0,0,SUM($FZ$2:FZ16))</f>
        <v>0</v>
      </c>
      <c r="GB16" s="160">
        <f>IF([Chambre2]*1='CHAMBRES FILLES 1e ETAGE'!$A$47,1,0)</f>
        <v>0</v>
      </c>
      <c r="GC16" s="160">
        <f>IF([Occurrence25]=0,0,SUM($GB$2:GB16))</f>
        <v>0</v>
      </c>
      <c r="GD16" s="160">
        <f>IF([Chambre2]*1='CHAMBRES FILLES 1e ETAGE'!$A$53,1,0)</f>
        <v>0</v>
      </c>
      <c r="GE16" s="160">
        <f>IF([Occurrence26]=0,0,SUM($GD$2:GD16))</f>
        <v>0</v>
      </c>
      <c r="GF16" s="160">
        <f>IF([chambre4]*1='CHAMBRES GARCONS 1e ETAGE'!$A$5,1,0)</f>
        <v>0</v>
      </c>
      <c r="GG16" s="160">
        <f>IF([Occurrence27]=0,0,SUM($GF$2:GF16))</f>
        <v>0</v>
      </c>
      <c r="GH16" s="160">
        <f>IF([chambre4]*1='CHAMBRES GARCONS 1e ETAGE'!$A$11,1,0)</f>
        <v>0</v>
      </c>
      <c r="GI16" s="160">
        <f>IF([Occurrence28]=0,0,SUM($GH$2:GH16))</f>
        <v>0</v>
      </c>
      <c r="GJ16" s="160">
        <f>IF([chambre4]*1='CHAMBRES GARCONS 1e ETAGE'!$A$17,1,0)</f>
        <v>0</v>
      </c>
      <c r="GK16" s="160">
        <f>IF([Occurrence29]=0,0,SUM($GJ$2:GJ16))</f>
        <v>0</v>
      </c>
      <c r="GL16" s="160">
        <f>IF([chambre4]*1='CHAMBRES GARCONS 1e ETAGE'!$A$23,1,0)</f>
        <v>1</v>
      </c>
      <c r="GM16" s="160">
        <f>IF([Occurrence30]=0,0,SUM($GL$2:GL16))</f>
        <v>2</v>
      </c>
      <c r="GN16" s="160">
        <f>IF([chambre4]*1='CHAMBRES GARCONS 1e ETAGE'!$A$29,1,0)</f>
        <v>0</v>
      </c>
      <c r="GO16" s="160">
        <f>IF([Occurrence31]=0,0,SUM($GN$2:GN16))</f>
        <v>0</v>
      </c>
      <c r="GP16" s="160">
        <f>IF([chambre4]*1='CHAMBRES GARCONS 1e ETAGE'!$A$35,1,0)</f>
        <v>0</v>
      </c>
      <c r="GQ16" s="160">
        <f>IF([Occurrence32]=0,0,SUM($GP$2:GP16))</f>
        <v>0</v>
      </c>
      <c r="GR16" s="160">
        <f>IF([chambre3]*1='CHAMBRES GARCONS RDC'!$A$5,1,0)</f>
        <v>0</v>
      </c>
      <c r="GS16" s="160">
        <f>IF([Occurrence33]=0,0,SUM($GR$2:GR16))</f>
        <v>0</v>
      </c>
      <c r="GT16" s="160">
        <f>IF([chambre3]*1='CHAMBRES GARCONS RDC'!$A$11,1,0)</f>
        <v>0</v>
      </c>
      <c r="GU16" s="160">
        <f>IF([Occurrence34]=0,0,SUM($GT$2:GT16))</f>
        <v>0</v>
      </c>
      <c r="GV16" s="160">
        <f>IF([chambre3]*1='CHAMBRES GARCONS RDC'!$A$17,1,0)</f>
        <v>0</v>
      </c>
      <c r="GW16" s="160">
        <f>IF([Occurrence35]=0,0,SUM($GV$2:GV16))</f>
        <v>0</v>
      </c>
      <c r="GX16" s="160">
        <f>IF([chambre3]*1='CHAMBRES GARCONS RDC'!$A$23,1,0)</f>
        <v>0</v>
      </c>
      <c r="GY16" s="160">
        <f>IF([Occurrence36]=0,0,SUM($GX$2:GX16))</f>
        <v>0</v>
      </c>
      <c r="GZ16" s="160">
        <f>IF([chambre3]*1='CHAMBRES GARCONS RDC'!$A$29,1,0)</f>
        <v>0</v>
      </c>
      <c r="HA16" s="160">
        <f>IF([Occurrence37]=0,0,SUM($GZ$2:GZ16))</f>
        <v>0</v>
      </c>
      <c r="HB16" s="160">
        <f>IF([chambre3]*1='CHAMBRES GARCONS RDC'!$A$35,1,0)</f>
        <v>0</v>
      </c>
      <c r="HC16" s="160">
        <f>IF([Occurrence38]=0,0,SUM($HB$2:HB16))</f>
        <v>0</v>
      </c>
      <c r="HD16" s="160">
        <f>IF([chambre3]*1='CHAMBRES GARCONS RDC'!$A$41,1,0)</f>
        <v>0</v>
      </c>
      <c r="HE16" s="160">
        <f>IF([Occurrence39]=0,0,SUM($HD$2:HD16))</f>
        <v>0</v>
      </c>
      <c r="HF16" s="160">
        <f>IF([chambre3]*1='CHAMBRES GARCONS RDC'!$A$47,1,0)</f>
        <v>0</v>
      </c>
      <c r="HG16" s="160">
        <f>IF([Occurrence40]=0,0,SUM($HF$2:HF16))</f>
        <v>0</v>
      </c>
      <c r="HH16" s="160">
        <f>IF([chambre3]*1='CHAMBRES GARCONS RDC'!$A$53,1,0)</f>
        <v>0</v>
      </c>
      <c r="HI16" s="160">
        <f>IF([Occurrence41]=0,0,SUM($HH$2:HH16))</f>
        <v>0</v>
      </c>
      <c r="HJ16" s="160">
        <f>IF([chambre3]*1='CHAMBRES GARCONS RDC'!$A$59,1,0)</f>
        <v>0</v>
      </c>
      <c r="HK16" s="160">
        <f>IF([Occurrence42]=0,0,SUM($HJ$2:HJ16))</f>
        <v>0</v>
      </c>
      <c r="HL16" s="160">
        <f>IF([chambre3]*1='CHAMBRES GARCONS RDC'!$A$65,1,0)</f>
        <v>0</v>
      </c>
      <c r="HM16" s="160">
        <f>IF([Occurrence43]=0,0,SUM($HL$2:HL16))</f>
        <v>0</v>
      </c>
      <c r="HN16" s="160">
        <f>IF([chambre3]*1='CHAMBRES GARCONS RDC'!$A$71,1,0)</f>
        <v>0</v>
      </c>
      <c r="HO16" s="160">
        <f>IF([Occurrence44]=0,0,SUM($HN$2:HN16))</f>
        <v>0</v>
      </c>
      <c r="HP16" s="160">
        <f>IF([chambre3]*1='CHAMBRES GARCONS RDC'!$A$77,1,0)</f>
        <v>0</v>
      </c>
      <c r="HQ16" s="160">
        <f>IF([Occurrence45]=0,0,SUM($HP$2:HP16))</f>
        <v>0</v>
      </c>
      <c r="HR16" s="160">
        <f>IF([chambre3]*1='CHAMBRES GARCONS RDC'!$A$83,1,0)</f>
        <v>0</v>
      </c>
      <c r="HS16" s="160">
        <f>IF([Occurrence46]=0,0,SUM($HR$2:HR16))</f>
        <v>0</v>
      </c>
      <c r="HT16" s="160">
        <f>IF([chambre3]*1='CHAMBRES GARCONS RDC'!$A$89,1,0)</f>
        <v>0</v>
      </c>
      <c r="HU16" s="160">
        <f>IF([Occurrence47]=0,0,SUM($HT$2:HT16))</f>
        <v>0</v>
      </c>
      <c r="HV16" s="160">
        <f>IF([chambre3]*1='CHAMBRES GARCONS RDC'!$A$95,1,0)</f>
        <v>0</v>
      </c>
      <c r="HW16" s="160">
        <f>IF([Occurrence48]=0,0,SUM($HV$2:HV16))</f>
        <v>0</v>
      </c>
      <c r="HX16" s="160"/>
      <c r="HY16" s="160"/>
      <c r="HZ16" s="160">
        <f>IF([Classe]='Liste élève par classes'!$B$5,1,0)</f>
        <v>0</v>
      </c>
      <c r="IA16" s="160">
        <f>IF([Occurrence]=0,0,SUM($HZ$2:HZ16))</f>
        <v>0</v>
      </c>
      <c r="IB1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153</v>
      </c>
      <c r="IC16" s="208"/>
    </row>
    <row r="17" spans="1:237">
      <c r="A17" t="s">
        <v>274</v>
      </c>
      <c r="B17" t="s">
        <v>275</v>
      </c>
      <c r="C17" s="158">
        <v>36572</v>
      </c>
      <c r="D17" s="62">
        <f t="shared" ca="1" si="0"/>
        <v>17</v>
      </c>
      <c r="E17" t="s">
        <v>10</v>
      </c>
      <c r="F17" s="159" t="s">
        <v>50</v>
      </c>
      <c r="G17" t="s">
        <v>40</v>
      </c>
      <c r="H17" s="160"/>
      <c r="I17" s="62"/>
      <c r="J17" s="161" t="s">
        <v>244</v>
      </c>
      <c r="K17" s="161"/>
      <c r="L17" s="160"/>
      <c r="M17">
        <v>189</v>
      </c>
      <c r="N17" s="161" t="s">
        <v>244</v>
      </c>
      <c r="O17" s="161" t="s">
        <v>244</v>
      </c>
      <c r="P17" s="161" t="s">
        <v>244</v>
      </c>
      <c r="Q17" s="161" t="s">
        <v>244</v>
      </c>
      <c r="R17" s="161" t="s">
        <v>244</v>
      </c>
      <c r="S17" s="190"/>
      <c r="T17" s="161" t="s">
        <v>244</v>
      </c>
      <c r="U17" s="160"/>
      <c r="V17" s="161" t="s">
        <v>244</v>
      </c>
      <c r="W17" s="161" t="s">
        <v>244</v>
      </c>
      <c r="X17" s="161" t="s">
        <v>244</v>
      </c>
      <c r="Y17" s="161" t="s">
        <v>244</v>
      </c>
      <c r="Z17" s="161" t="s">
        <v>244</v>
      </c>
      <c r="AA17" s="161" t="s">
        <v>244</v>
      </c>
      <c r="AB17" s="161" t="s">
        <v>244</v>
      </c>
      <c r="AC17" s="161" t="s">
        <v>244</v>
      </c>
      <c r="AD17" s="161" t="s">
        <v>244</v>
      </c>
      <c r="AE17" s="161" t="s">
        <v>244</v>
      </c>
      <c r="AF17" s="163" t="s">
        <v>244</v>
      </c>
      <c r="AG17" s="163" t="s">
        <v>244</v>
      </c>
      <c r="AH17" s="163" t="s">
        <v>244</v>
      </c>
      <c r="AI17" s="163"/>
      <c r="AJ17" s="163"/>
      <c r="AK17" s="163"/>
      <c r="AL17" s="163"/>
      <c r="AM17" s="163"/>
      <c r="AN17" s="163"/>
      <c r="AO17" s="163"/>
      <c r="AP17" s="163"/>
      <c r="AQ17" s="163"/>
      <c r="AR17" s="163"/>
      <c r="AS17" s="163"/>
      <c r="AT17" s="163"/>
      <c r="AU17" s="163"/>
      <c r="AV17" s="163"/>
      <c r="AW17" s="163"/>
      <c r="AX17" s="163"/>
      <c r="AY17" s="163"/>
      <c r="AZ17" s="163"/>
      <c r="BA17" s="163"/>
      <c r="BB17" s="163"/>
      <c r="BC17" s="163" t="b">
        <v>0</v>
      </c>
      <c r="BD17" s="163" t="b">
        <v>1</v>
      </c>
      <c r="BE17" s="163" t="b">
        <v>1</v>
      </c>
      <c r="BF17" s="163" t="b">
        <v>0</v>
      </c>
      <c r="BG17" s="164" t="b">
        <v>0</v>
      </c>
      <c r="BH17" s="163" t="b">
        <v>1</v>
      </c>
      <c r="BI17" s="163"/>
      <c r="BJ17" s="163"/>
      <c r="BK17" s="163"/>
      <c r="BL17" s="163"/>
      <c r="BM17" s="163"/>
      <c r="BN17" s="163"/>
      <c r="BO17" s="163"/>
      <c r="BP17" s="163"/>
      <c r="BQ17" s="163" t="b">
        <v>0</v>
      </c>
      <c r="BR17" s="163"/>
      <c r="BS17" s="163"/>
      <c r="BT17" s="163"/>
      <c r="BU17" s="163"/>
      <c r="BV17" s="163"/>
      <c r="BW17" s="163"/>
      <c r="BX17" s="163"/>
      <c r="BY17" s="163"/>
      <c r="BZ17" s="163"/>
      <c r="CA17" s="163"/>
      <c r="CB17" s="163"/>
      <c r="CC17" s="163"/>
      <c r="CD17" s="163"/>
      <c r="CE17" s="163"/>
      <c r="CF17" s="163"/>
      <c r="CG17" s="163"/>
      <c r="CH17" s="163"/>
      <c r="CI17" s="163"/>
      <c r="CJ17" s="163"/>
      <c r="CK17" s="163"/>
      <c r="CL17" s="163"/>
      <c r="CM17" s="163"/>
      <c r="CN17" s="163"/>
      <c r="CO17" s="163"/>
      <c r="CP17" s="163"/>
      <c r="CQ17" s="163"/>
      <c r="CR17" s="163"/>
      <c r="CS17" s="163"/>
      <c r="CT17" s="163"/>
      <c r="CU17" s="163"/>
      <c r="CV17" s="163"/>
      <c r="CW17" s="163"/>
      <c r="CX17" s="163"/>
      <c r="CY17" s="163"/>
      <c r="CZ17" s="163"/>
      <c r="DA17" s="163">
        <v>110</v>
      </c>
      <c r="DB17" s="163"/>
      <c r="DC17" s="163"/>
      <c r="DD17" s="163"/>
      <c r="DE17" s="163"/>
      <c r="DF17" s="163"/>
      <c r="DG17" s="208"/>
      <c r="DH17" s="163"/>
      <c r="DI17" s="163"/>
      <c r="DJ17" s="163"/>
      <c r="DK17" s="163"/>
      <c r="DL17" s="163"/>
      <c r="DM17" s="163"/>
      <c r="DN17" s="163"/>
      <c r="DO17" s="163"/>
      <c r="DP17" s="163"/>
      <c r="DQ17" s="163"/>
      <c r="DR17" s="163"/>
      <c r="DS17" s="163"/>
      <c r="DT17" s="163"/>
      <c r="DU17" s="163"/>
      <c r="DV17" s="163"/>
      <c r="DW17" s="163"/>
      <c r="DX17" s="163"/>
      <c r="DY17" s="163"/>
      <c r="DZ17" s="163"/>
      <c r="EA17" s="163"/>
      <c r="EB17" s="163"/>
      <c r="EC17" s="163"/>
      <c r="ED17" s="163"/>
      <c r="EE17" s="163"/>
      <c r="EF17" s="163"/>
      <c r="EG17" s="163"/>
      <c r="EH17" s="160">
        <f>IF([Chambre]*1='CHAMBRES FILLES 2e ETAGE'!$A$5,1,0)</f>
        <v>0</v>
      </c>
      <c r="EI17" s="161">
        <f>IF([Occurrence2]=0,0,SUM($EH$2:EH17))</f>
        <v>0</v>
      </c>
      <c r="EJ17" s="160">
        <f>IF([Chambre]*1='CHAMBRES FILLES 2e ETAGE'!$A$11,1,0)</f>
        <v>0</v>
      </c>
      <c r="EK17" s="160">
        <f>IF([Occurrence3]=0,0,SUM($EJ$2:EJ17))</f>
        <v>0</v>
      </c>
      <c r="EL17" s="160">
        <f>IF([Chambre]*1='CHAMBRES FILLES 2e ETAGE'!$A$17,1,0)</f>
        <v>0</v>
      </c>
      <c r="EM17" s="160">
        <f>IF([Occurrence4]=0,0,SUM($EL$2:EL17))</f>
        <v>0</v>
      </c>
      <c r="EN17" s="160">
        <f>IF([Chambre]*1='CHAMBRES FILLES 2e ETAGE'!$A$23,1,0)</f>
        <v>0</v>
      </c>
      <c r="EO17" s="160">
        <f>IF([Occurrence5]=0,0,SUM($EN$2:EN17))</f>
        <v>0</v>
      </c>
      <c r="EP17" s="160">
        <f>IF([Chambre]*1='CHAMBRES FILLES 2e ETAGE'!$A$29,1,0)</f>
        <v>0</v>
      </c>
      <c r="EQ17" s="160">
        <f>IF([Occurrence6]=0,0,SUM($EP$2:EP17))</f>
        <v>0</v>
      </c>
      <c r="ER17" s="160">
        <f>IF([Chambre]*1='CHAMBRES FILLES 2e ETAGE'!$A$35,1,0)</f>
        <v>0</v>
      </c>
      <c r="ES17" s="160">
        <f>IF([Occurrence7]=0,0,SUM($ER$2:ER17))</f>
        <v>0</v>
      </c>
      <c r="ET17" s="160">
        <f>IF([Chambre]*1='CHAMBRES FILLES 2e ETAGE'!$A$41,1,0)</f>
        <v>0</v>
      </c>
      <c r="EU17" s="160">
        <f>IF([Occurrence8]=0,0,SUM($ET$2:ET17))</f>
        <v>0</v>
      </c>
      <c r="EV17" s="160">
        <f>IF([Chambre]*1='CHAMBRES FILLES 2e ETAGE'!$A$47,1,0)</f>
        <v>0</v>
      </c>
      <c r="EW17" s="160">
        <f>IF([Occurrence9]=0,0,SUM($EV$2:EV17))</f>
        <v>0</v>
      </c>
      <c r="EX17" s="160">
        <f>IF([Chambre]*1='CHAMBRES FILLES 2e ETAGE'!$A$53,1,0)</f>
        <v>0</v>
      </c>
      <c r="EY17" s="160">
        <f>IF([Occurrence10]=0,0,SUM($EX$2:EX17))</f>
        <v>0</v>
      </c>
      <c r="EZ17" s="160">
        <f>IF([Chambre]*1='CHAMBRES FILLES 2e ETAGE'!$A$59,1,0)</f>
        <v>0</v>
      </c>
      <c r="FA17" s="160">
        <f>IF([Occurrence11]=0,0,SUM($EZ$2:EZ17))</f>
        <v>0</v>
      </c>
      <c r="FB17" s="160">
        <f>IF([Chambre]*1='CHAMBRES FILLES 2e ETAGE'!$A$65,1,0)</f>
        <v>0</v>
      </c>
      <c r="FC17" s="160">
        <f>IF([Occurrence12]=0,0,SUM($FB$2:FB17))</f>
        <v>0</v>
      </c>
      <c r="FD17" s="160">
        <f>IF([Chambre]*1='CHAMBRES FILLES 2e ETAGE'!$A$71,1,0)</f>
        <v>0</v>
      </c>
      <c r="FE17" s="160">
        <f>IF([Occurrence13]=0,0,SUM($FD$2:FD17))</f>
        <v>0</v>
      </c>
      <c r="FF17" s="160">
        <f>IF([Chambre]*1='CHAMBRES FILLES 2e ETAGE'!$A$77,1,0)</f>
        <v>0</v>
      </c>
      <c r="FG17" s="160">
        <f>IF([Occurrence14]=0,0,SUM($FF$2:FF17))</f>
        <v>0</v>
      </c>
      <c r="FH17" s="160">
        <f>IF([Chambre]*1='CHAMBRES FILLES 2e ETAGE'!$A$83,1,0)</f>
        <v>0</v>
      </c>
      <c r="FI17" s="160">
        <f>IF([Occurrence15]=0,0,SUM($FH$2:FH17))</f>
        <v>0</v>
      </c>
      <c r="FJ17" s="160">
        <f>IF([Chambre]*1='CHAMBRES FILLES 2e ETAGE'!$A$89,1,0)</f>
        <v>0</v>
      </c>
      <c r="FK17" s="160">
        <f>IF([Occurrence16]=0,0,SUM($FJ$2:FJ17))</f>
        <v>0</v>
      </c>
      <c r="FL17" s="160">
        <f>IF([Chambre]*1='CHAMBRES FILLES 2e ETAGE'!$A$95,1,0)</f>
        <v>0</v>
      </c>
      <c r="FM17" s="160">
        <f>IF([Occurrence17]=0,0,SUM($FL$2:FL17))</f>
        <v>0</v>
      </c>
      <c r="FN17" s="160">
        <f>IF([Chambre2]*1='CHAMBRES FILLES 1e ETAGE'!$A$5,1,0)</f>
        <v>0</v>
      </c>
      <c r="FO17" s="160">
        <f>IF([Occurrence18]=0,0,SUM($FN$2:FN17))</f>
        <v>0</v>
      </c>
      <c r="FP17" s="160">
        <f>IF([Chambre2]*1='CHAMBRES FILLES 1e ETAGE'!$A$11,1,0)</f>
        <v>0</v>
      </c>
      <c r="FQ17" s="160">
        <f>IF([Occurrence19]=0,0,SUM($FP$2:FP17))</f>
        <v>0</v>
      </c>
      <c r="FR17" s="160">
        <f>IF([Chambre2]*1='CHAMBRES FILLES 1e ETAGE'!$A$17,1,0)</f>
        <v>0</v>
      </c>
      <c r="FS17" s="160">
        <f>IF([Occurrence20]=0,0,SUM($FR$2:FR17))</f>
        <v>0</v>
      </c>
      <c r="FT17" s="160">
        <f>IF([Chambre2]*1='CHAMBRES FILLES 1e ETAGE'!$A$23,1,0)</f>
        <v>0</v>
      </c>
      <c r="FU17" s="160">
        <f>IF([Occurrence21]=0,0,SUM($FT$2:FT17))</f>
        <v>0</v>
      </c>
      <c r="FV17" s="160">
        <f>IF([Chambre2]*1='CHAMBRES FILLES 1e ETAGE'!$A$29,1,0)</f>
        <v>0</v>
      </c>
      <c r="FW17" s="160">
        <f>IF([Occurrence22]=0,0,SUM($FV$2:FV17))</f>
        <v>0</v>
      </c>
      <c r="FX17" s="160">
        <f>IF([Chambre2]*1='CHAMBRES FILLES 1e ETAGE'!$A$35,1,0)</f>
        <v>0</v>
      </c>
      <c r="FY17" s="160">
        <f>IF([Occurrence23]=0,0,SUM($FX$2:FX17))</f>
        <v>0</v>
      </c>
      <c r="FZ17" s="160">
        <f>IF([Chambre2]*1='CHAMBRES FILLES 1e ETAGE'!$A$41,1,0)</f>
        <v>0</v>
      </c>
      <c r="GA17" s="160">
        <f>IF([Occurrence24]=0,0,SUM($FZ$2:FZ17))</f>
        <v>0</v>
      </c>
      <c r="GB17" s="160">
        <f>IF([Chambre2]*1='CHAMBRES FILLES 1e ETAGE'!$A$47,1,0)</f>
        <v>0</v>
      </c>
      <c r="GC17" s="160">
        <f>IF([Occurrence25]=0,0,SUM($GB$2:GB17))</f>
        <v>0</v>
      </c>
      <c r="GD17" s="160">
        <f>IF([Chambre2]*1='CHAMBRES FILLES 1e ETAGE'!$A$53,1,0)</f>
        <v>0</v>
      </c>
      <c r="GE17" s="160">
        <f>IF([Occurrence26]=0,0,SUM($GD$2:GD17))</f>
        <v>0</v>
      </c>
      <c r="GF17" s="160">
        <f>IF([chambre4]*1='CHAMBRES GARCONS 1e ETAGE'!$A$5,1,0)</f>
        <v>0</v>
      </c>
      <c r="GG17" s="160">
        <f>IF([Occurrence27]=0,0,SUM($GF$2:GF17))</f>
        <v>0</v>
      </c>
      <c r="GH17" s="160">
        <f>IF([chambre4]*1='CHAMBRES GARCONS 1e ETAGE'!$A$11,1,0)</f>
        <v>0</v>
      </c>
      <c r="GI17" s="160">
        <f>IF([Occurrence28]=0,0,SUM($GH$2:GH17))</f>
        <v>0</v>
      </c>
      <c r="GJ17" s="160">
        <f>IF([chambre4]*1='CHAMBRES GARCONS 1e ETAGE'!$A$17,1,0)</f>
        <v>0</v>
      </c>
      <c r="GK17" s="160">
        <f>IF([Occurrence29]=0,0,SUM($GJ$2:GJ17))</f>
        <v>0</v>
      </c>
      <c r="GL17" s="160">
        <f>IF([chambre4]*1='CHAMBRES GARCONS 1e ETAGE'!$A$23,1,0)</f>
        <v>0</v>
      </c>
      <c r="GM17" s="160">
        <f>IF([Occurrence30]=0,0,SUM($GL$2:GL17))</f>
        <v>0</v>
      </c>
      <c r="GN17" s="160">
        <f>IF([chambre4]*1='CHAMBRES GARCONS 1e ETAGE'!$A$29,1,0)</f>
        <v>0</v>
      </c>
      <c r="GO17" s="160">
        <f>IF([Occurrence31]=0,0,SUM($GN$2:GN17))</f>
        <v>0</v>
      </c>
      <c r="GP17" s="160">
        <f>IF([chambre4]*1='CHAMBRES GARCONS 1e ETAGE'!$A$35,1,0)</f>
        <v>0</v>
      </c>
      <c r="GQ17" s="160">
        <f>IF([Occurrence32]=0,0,SUM($GP$2:GP17))</f>
        <v>0</v>
      </c>
      <c r="GR17" s="160">
        <f>IF([chambre3]*1='CHAMBRES GARCONS RDC'!$A$5,1,0)</f>
        <v>0</v>
      </c>
      <c r="GS17" s="160">
        <f>IF([Occurrence33]=0,0,SUM($GR$2:GR17))</f>
        <v>0</v>
      </c>
      <c r="GT17" s="160">
        <f>IF([chambre3]*1='CHAMBRES GARCONS RDC'!$A$11,1,0)</f>
        <v>0</v>
      </c>
      <c r="GU17" s="160">
        <f>IF([Occurrence34]=0,0,SUM($GT$2:GT17))</f>
        <v>0</v>
      </c>
      <c r="GV17" s="160">
        <f>IF([chambre3]*1='CHAMBRES GARCONS RDC'!$A$17,1,0)</f>
        <v>0</v>
      </c>
      <c r="GW17" s="160">
        <f>IF([Occurrence35]=0,0,SUM($GV$2:GV17))</f>
        <v>0</v>
      </c>
      <c r="GX17" s="160">
        <f>IF([chambre3]*1='CHAMBRES GARCONS RDC'!$A$23,1,0)</f>
        <v>0</v>
      </c>
      <c r="GY17" s="160">
        <f>IF([Occurrence36]=0,0,SUM($GX$2:GX17))</f>
        <v>0</v>
      </c>
      <c r="GZ17" s="160">
        <f>IF([chambre3]*1='CHAMBRES GARCONS RDC'!$A$29,1,0)</f>
        <v>0</v>
      </c>
      <c r="HA17" s="160">
        <f>IF([Occurrence37]=0,0,SUM($GZ$2:GZ17))</f>
        <v>0</v>
      </c>
      <c r="HB17" s="160">
        <f>IF([chambre3]*1='CHAMBRES GARCONS RDC'!$A$35,1,0)</f>
        <v>0</v>
      </c>
      <c r="HC17" s="160">
        <f>IF([Occurrence38]=0,0,SUM($HB$2:HB17))</f>
        <v>0</v>
      </c>
      <c r="HD17" s="160">
        <f>IF([chambre3]*1='CHAMBRES GARCONS RDC'!$A$41,1,0)</f>
        <v>0</v>
      </c>
      <c r="HE17" s="160">
        <f>IF([Occurrence39]=0,0,SUM($HD$2:HD17))</f>
        <v>0</v>
      </c>
      <c r="HF17" s="160">
        <f>IF([chambre3]*1='CHAMBRES GARCONS RDC'!$A$47,1,0)</f>
        <v>0</v>
      </c>
      <c r="HG17" s="160">
        <f>IF([Occurrence40]=0,0,SUM($HF$2:HF17))</f>
        <v>0</v>
      </c>
      <c r="HH17" s="160">
        <f>IF([chambre3]*1='CHAMBRES GARCONS RDC'!$A$53,1,0)</f>
        <v>0</v>
      </c>
      <c r="HI17" s="160">
        <f>IF([Occurrence41]=0,0,SUM($HH$2:HH17))</f>
        <v>0</v>
      </c>
      <c r="HJ17" s="160">
        <f>IF([chambre3]*1='CHAMBRES GARCONS RDC'!$A$59,1,0)</f>
        <v>0</v>
      </c>
      <c r="HK17" s="160">
        <f>IF([Occurrence42]=0,0,SUM($HJ$2:HJ17))</f>
        <v>0</v>
      </c>
      <c r="HL17" s="160">
        <f>IF([chambre3]*1='CHAMBRES GARCONS RDC'!$A$65,1,0)</f>
        <v>0</v>
      </c>
      <c r="HM17" s="160">
        <f>IF([Occurrence43]=0,0,SUM($HL$2:HL17))</f>
        <v>0</v>
      </c>
      <c r="HN17" s="160">
        <f>IF([chambre3]*1='CHAMBRES GARCONS RDC'!$A$71,1,0)</f>
        <v>1</v>
      </c>
      <c r="HO17" s="160">
        <f>IF([Occurrence44]=0,0,SUM($HN$2:HN17))</f>
        <v>2</v>
      </c>
      <c r="HP17" s="160">
        <f>IF([chambre3]*1='CHAMBRES GARCONS RDC'!$A$77,1,0)</f>
        <v>0</v>
      </c>
      <c r="HQ17" s="160">
        <f>IF([Occurrence45]=0,0,SUM($HP$2:HP17))</f>
        <v>0</v>
      </c>
      <c r="HR17" s="160">
        <f>IF([chambre3]*1='CHAMBRES GARCONS RDC'!$A$83,1,0)</f>
        <v>0</v>
      </c>
      <c r="HS17" s="160">
        <f>IF([Occurrence46]=0,0,SUM($HR$2:HR17))</f>
        <v>0</v>
      </c>
      <c r="HT17" s="160">
        <f>IF([chambre3]*1='CHAMBRES GARCONS RDC'!$A$89,1,0)</f>
        <v>0</v>
      </c>
      <c r="HU17" s="160">
        <f>IF([Occurrence47]=0,0,SUM($HT$2:HT17))</f>
        <v>0</v>
      </c>
      <c r="HV17" s="160">
        <f>IF([chambre3]*1='CHAMBRES GARCONS RDC'!$A$95,1,0)</f>
        <v>0</v>
      </c>
      <c r="HW17" s="160">
        <f>IF([Occurrence48]=0,0,SUM($HV$2:HV17))</f>
        <v>0</v>
      </c>
      <c r="HX17" s="160"/>
      <c r="HY17" s="160"/>
      <c r="HZ17" s="160">
        <f>IF([Classe]='Liste élève par classes'!$B$5,1,0)</f>
        <v>0</v>
      </c>
      <c r="IA17" s="160">
        <f>IF([Occurrence]=0,0,SUM($HZ$2:HZ17))</f>
        <v>0</v>
      </c>
      <c r="IB1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110</v>
      </c>
      <c r="IC17" s="208"/>
    </row>
    <row r="18" spans="1:237">
      <c r="A18" t="s">
        <v>276</v>
      </c>
      <c r="B18" t="s">
        <v>277</v>
      </c>
      <c r="C18" s="158">
        <v>37259</v>
      </c>
      <c r="D18" s="62">
        <f t="shared" ca="1" si="0"/>
        <v>15</v>
      </c>
      <c r="E18" t="s">
        <v>11</v>
      </c>
      <c r="F18" s="159" t="s">
        <v>50</v>
      </c>
      <c r="G18" t="s">
        <v>45</v>
      </c>
      <c r="H18" s="160"/>
      <c r="I18" s="62"/>
      <c r="J18" s="62" t="s">
        <v>244</v>
      </c>
      <c r="K18" s="62"/>
      <c r="L18" s="160"/>
      <c r="M18">
        <v>157</v>
      </c>
      <c r="N18" s="62" t="s">
        <v>244</v>
      </c>
      <c r="O18" s="62" t="s">
        <v>244</v>
      </c>
      <c r="P18" s="62" t="s">
        <v>244</v>
      </c>
      <c r="Q18" s="62" t="s">
        <v>244</v>
      </c>
      <c r="R18" s="62" t="s">
        <v>244</v>
      </c>
      <c r="S18" s="191"/>
      <c r="T18" s="62" t="s">
        <v>244</v>
      </c>
      <c r="U18" s="61">
        <v>143</v>
      </c>
      <c r="V18" s="62" t="s">
        <v>244</v>
      </c>
      <c r="W18" s="62" t="s">
        <v>244</v>
      </c>
      <c r="X18" s="62" t="s">
        <v>244</v>
      </c>
      <c r="Y18" s="62" t="s">
        <v>244</v>
      </c>
      <c r="Z18" s="62" t="s">
        <v>244</v>
      </c>
      <c r="AA18" s="62" t="s">
        <v>244</v>
      </c>
      <c r="AB18" s="62" t="s">
        <v>244</v>
      </c>
      <c r="AC18" s="62" t="s">
        <v>244</v>
      </c>
      <c r="AD18" s="62" t="s">
        <v>244</v>
      </c>
      <c r="AE18" s="62" t="s">
        <v>244</v>
      </c>
      <c r="AF18" s="163" t="s">
        <v>244</v>
      </c>
      <c r="AG18" s="163" t="s">
        <v>244</v>
      </c>
      <c r="AH18" s="163" t="s">
        <v>244</v>
      </c>
      <c r="AI18" s="163"/>
      <c r="AJ18" s="163"/>
      <c r="AK18" s="163"/>
      <c r="AL18" s="163"/>
      <c r="AM18" s="163"/>
      <c r="AN18" s="163"/>
      <c r="AO18" s="163"/>
      <c r="AP18" s="163"/>
      <c r="AQ18" s="163"/>
      <c r="AR18" s="163"/>
      <c r="AS18" s="163"/>
      <c r="AT18" s="163"/>
      <c r="AU18" s="163"/>
      <c r="AV18" s="163"/>
      <c r="AW18" s="163"/>
      <c r="AX18" s="163"/>
      <c r="AY18" s="163"/>
      <c r="AZ18" s="163"/>
      <c r="BA18" s="163"/>
      <c r="BB18" s="163"/>
      <c r="BC18" s="163" t="b">
        <v>0</v>
      </c>
      <c r="BD18" s="163" t="b">
        <v>1</v>
      </c>
      <c r="BE18" s="163" t="b">
        <v>1</v>
      </c>
      <c r="BF18" s="163" t="b">
        <v>0</v>
      </c>
      <c r="BG18" s="164" t="b">
        <v>0</v>
      </c>
      <c r="BH18" s="163" t="b">
        <v>1</v>
      </c>
      <c r="BI18" s="163"/>
      <c r="BJ18" s="163"/>
      <c r="BK18" s="163"/>
      <c r="BL18" s="163"/>
      <c r="BM18" s="163"/>
      <c r="BN18" s="163"/>
      <c r="BO18" s="163"/>
      <c r="BP18" s="163"/>
      <c r="BQ18" s="163" t="b">
        <v>0</v>
      </c>
      <c r="BR18" s="163"/>
      <c r="BS18" s="163"/>
      <c r="BT18" s="163"/>
      <c r="BU18" s="163"/>
      <c r="BV18" s="163"/>
      <c r="BW18" s="163"/>
      <c r="BX18" s="163"/>
      <c r="BY18" s="163"/>
      <c r="BZ18" s="163"/>
      <c r="CA18" s="163"/>
      <c r="CB18" s="163"/>
      <c r="CC18" s="163"/>
      <c r="CD18" s="163"/>
      <c r="CE18" s="163"/>
      <c r="CF18" s="163"/>
      <c r="CG18" s="163"/>
      <c r="CH18" s="163"/>
      <c r="CI18" s="163"/>
      <c r="CJ18" s="163"/>
      <c r="CK18" s="163"/>
      <c r="CL18" s="163"/>
      <c r="CM18" s="163"/>
      <c r="CN18" s="163"/>
      <c r="CO18" s="163"/>
      <c r="CP18" s="163"/>
      <c r="CQ18" s="163"/>
      <c r="CR18" s="163"/>
      <c r="CS18" s="163"/>
      <c r="CT18" s="163"/>
      <c r="CU18" s="163"/>
      <c r="CV18" s="163"/>
      <c r="CW18" s="163"/>
      <c r="CX18" s="163"/>
      <c r="CY18" s="163"/>
      <c r="CZ18" s="163"/>
      <c r="DA18" s="163"/>
      <c r="DB18" s="163"/>
      <c r="DC18" s="163"/>
      <c r="DD18" s="163"/>
      <c r="DE18" s="163"/>
      <c r="DF18" s="163"/>
      <c r="DG18" s="208"/>
      <c r="DH18" s="163"/>
      <c r="DI18" s="163"/>
      <c r="DJ18" s="163"/>
      <c r="DK18" s="163"/>
      <c r="DL18" s="163"/>
      <c r="DM18" s="163"/>
      <c r="DN18" s="163"/>
      <c r="DO18" s="163"/>
      <c r="DP18" s="163"/>
      <c r="DQ18" s="163"/>
      <c r="DR18" s="163"/>
      <c r="DS18" s="163"/>
      <c r="DT18" s="163"/>
      <c r="DU18" s="163"/>
      <c r="DV18" s="163"/>
      <c r="DW18" s="163"/>
      <c r="DX18" s="163"/>
      <c r="DY18" s="163"/>
      <c r="DZ18" s="163"/>
      <c r="EA18" s="163"/>
      <c r="EB18" s="163"/>
      <c r="EC18" s="163"/>
      <c r="ED18" s="163"/>
      <c r="EE18" s="163"/>
      <c r="EF18" s="163"/>
      <c r="EG18" s="163"/>
      <c r="EH18" s="160">
        <f>IF([Chambre]*1='CHAMBRES FILLES 2e ETAGE'!$A$5,1,0)</f>
        <v>0</v>
      </c>
      <c r="EI18" s="161">
        <f>IF([Occurrence2]=0,0,SUM($EH$2:EH18))</f>
        <v>0</v>
      </c>
      <c r="EJ18" s="160">
        <f>IF([Chambre]*1='CHAMBRES FILLES 2e ETAGE'!$A$11,1,0)</f>
        <v>0</v>
      </c>
      <c r="EK18" s="160">
        <f>IF([Occurrence3]=0,0,SUM($EJ$2:EJ18))</f>
        <v>0</v>
      </c>
      <c r="EL18" s="160">
        <f>IF([Chambre]*1='CHAMBRES FILLES 2e ETAGE'!$A$17,1,0)</f>
        <v>0</v>
      </c>
      <c r="EM18" s="160">
        <f>IF([Occurrence4]=0,0,SUM($EL$2:EL18))</f>
        <v>0</v>
      </c>
      <c r="EN18" s="160">
        <f>IF([Chambre]*1='CHAMBRES FILLES 2e ETAGE'!$A$23,1,0)</f>
        <v>0</v>
      </c>
      <c r="EO18" s="160">
        <f>IF([Occurrence5]=0,0,SUM($EN$2:EN18))</f>
        <v>0</v>
      </c>
      <c r="EP18" s="160">
        <f>IF([Chambre]*1='CHAMBRES FILLES 2e ETAGE'!$A$29,1,0)</f>
        <v>0</v>
      </c>
      <c r="EQ18" s="160">
        <f>IF([Occurrence6]=0,0,SUM($EP$2:EP18))</f>
        <v>0</v>
      </c>
      <c r="ER18" s="160">
        <f>IF([Chambre]*1='CHAMBRES FILLES 2e ETAGE'!$A$35,1,0)</f>
        <v>0</v>
      </c>
      <c r="ES18" s="160">
        <f>IF([Occurrence7]=0,0,SUM($ER$2:ER18))</f>
        <v>0</v>
      </c>
      <c r="ET18" s="160">
        <f>IF([Chambre]*1='CHAMBRES FILLES 2e ETAGE'!$A$41,1,0)</f>
        <v>0</v>
      </c>
      <c r="EU18" s="160">
        <f>IF([Occurrence8]=0,0,SUM($ET$2:ET18))</f>
        <v>0</v>
      </c>
      <c r="EV18" s="160">
        <f>IF([Chambre]*1='CHAMBRES FILLES 2e ETAGE'!$A$47,1,0)</f>
        <v>0</v>
      </c>
      <c r="EW18" s="160">
        <f>IF([Occurrence9]=0,0,SUM($EV$2:EV18))</f>
        <v>0</v>
      </c>
      <c r="EX18" s="160">
        <f>IF([Chambre]*1='CHAMBRES FILLES 2e ETAGE'!$A$53,1,0)</f>
        <v>0</v>
      </c>
      <c r="EY18" s="160">
        <f>IF([Occurrence10]=0,0,SUM($EX$2:EX18))</f>
        <v>0</v>
      </c>
      <c r="EZ18" s="160">
        <f>IF([Chambre]*1='CHAMBRES FILLES 2e ETAGE'!$A$59,1,0)</f>
        <v>0</v>
      </c>
      <c r="FA18" s="160">
        <f>IF([Occurrence11]=0,0,SUM($EZ$2:EZ18))</f>
        <v>0</v>
      </c>
      <c r="FB18" s="160">
        <f>IF([Chambre]*1='CHAMBRES FILLES 2e ETAGE'!$A$65,1,0)</f>
        <v>0</v>
      </c>
      <c r="FC18" s="160">
        <f>IF([Occurrence12]=0,0,SUM($FB$2:FB18))</f>
        <v>0</v>
      </c>
      <c r="FD18" s="160">
        <f>IF([Chambre]*1='CHAMBRES FILLES 2e ETAGE'!$A$71,1,0)</f>
        <v>0</v>
      </c>
      <c r="FE18" s="160">
        <f>IF([Occurrence13]=0,0,SUM($FD$2:FD18))</f>
        <v>0</v>
      </c>
      <c r="FF18" s="160">
        <f>IF([Chambre]*1='CHAMBRES FILLES 2e ETAGE'!$A$77,1,0)</f>
        <v>0</v>
      </c>
      <c r="FG18" s="160">
        <f>IF([Occurrence14]=0,0,SUM($FF$2:FF18))</f>
        <v>0</v>
      </c>
      <c r="FH18" s="160">
        <f>IF([Chambre]*1='CHAMBRES FILLES 2e ETAGE'!$A$83,1,0)</f>
        <v>0</v>
      </c>
      <c r="FI18" s="160">
        <f>IF([Occurrence15]=0,0,SUM($FH$2:FH18))</f>
        <v>0</v>
      </c>
      <c r="FJ18" s="160">
        <f>IF([Chambre]*1='CHAMBRES FILLES 2e ETAGE'!$A$89,1,0)</f>
        <v>0</v>
      </c>
      <c r="FK18" s="160">
        <f>IF([Occurrence16]=0,0,SUM($FJ$2:FJ18))</f>
        <v>0</v>
      </c>
      <c r="FL18" s="160">
        <f>IF([Chambre]*1='CHAMBRES FILLES 2e ETAGE'!$A$95,1,0)</f>
        <v>0</v>
      </c>
      <c r="FM18" s="160">
        <f>IF([Occurrence17]=0,0,SUM($FL$2:FL18))</f>
        <v>0</v>
      </c>
      <c r="FN18" s="160">
        <f>IF([Chambre2]*1='CHAMBRES FILLES 1e ETAGE'!$A$5,1,0)</f>
        <v>0</v>
      </c>
      <c r="FO18" s="160">
        <f>IF([Occurrence18]=0,0,SUM($FN$2:FN18))</f>
        <v>0</v>
      </c>
      <c r="FP18" s="160">
        <f>IF([Chambre2]*1='CHAMBRES FILLES 1e ETAGE'!$A$11,1,0)</f>
        <v>0</v>
      </c>
      <c r="FQ18" s="160">
        <f>IF([Occurrence19]=0,0,SUM($FP$2:FP18))</f>
        <v>0</v>
      </c>
      <c r="FR18" s="160">
        <f>IF([Chambre2]*1='CHAMBRES FILLES 1e ETAGE'!$A$17,1,0)</f>
        <v>0</v>
      </c>
      <c r="FS18" s="160">
        <f>IF([Occurrence20]=0,0,SUM($FR$2:FR18))</f>
        <v>0</v>
      </c>
      <c r="FT18" s="160">
        <f>IF([Chambre2]*1='CHAMBRES FILLES 1e ETAGE'!$A$23,1,0)</f>
        <v>0</v>
      </c>
      <c r="FU18" s="160">
        <f>IF([Occurrence21]=0,0,SUM($FT$2:FT18))</f>
        <v>0</v>
      </c>
      <c r="FV18" s="160">
        <f>IF([Chambre2]*1='CHAMBRES FILLES 1e ETAGE'!$A$29,1,0)</f>
        <v>0</v>
      </c>
      <c r="FW18" s="160">
        <f>IF([Occurrence22]=0,0,SUM($FV$2:FV18))</f>
        <v>0</v>
      </c>
      <c r="FX18" s="160">
        <f>IF([Chambre2]*1='CHAMBRES FILLES 1e ETAGE'!$A$35,1,0)</f>
        <v>0</v>
      </c>
      <c r="FY18" s="160">
        <f>IF([Occurrence23]=0,0,SUM($FX$2:FX18))</f>
        <v>0</v>
      </c>
      <c r="FZ18" s="160">
        <f>IF([Chambre2]*1='CHAMBRES FILLES 1e ETAGE'!$A$41,1,0)</f>
        <v>1</v>
      </c>
      <c r="GA18" s="160">
        <f>IF([Occurrence24]=0,0,SUM($FZ$2:FZ18))</f>
        <v>1</v>
      </c>
      <c r="GB18" s="160">
        <f>IF([Chambre2]*1='CHAMBRES FILLES 1e ETAGE'!$A$47,1,0)</f>
        <v>0</v>
      </c>
      <c r="GC18" s="160">
        <f>IF([Occurrence25]=0,0,SUM($GB$2:GB18))</f>
        <v>0</v>
      </c>
      <c r="GD18" s="160">
        <f>IF([Chambre2]*1='CHAMBRES FILLES 1e ETAGE'!$A$53,1,0)</f>
        <v>0</v>
      </c>
      <c r="GE18" s="160">
        <f>IF([Occurrence26]=0,0,SUM($GD$2:GD18))</f>
        <v>0</v>
      </c>
      <c r="GF18" s="160">
        <f>IF([chambre4]*1='CHAMBRES GARCONS 1e ETAGE'!$A$5,1,0)</f>
        <v>0</v>
      </c>
      <c r="GG18" s="160">
        <f>IF([Occurrence27]=0,0,SUM($GF$2:GF18))</f>
        <v>0</v>
      </c>
      <c r="GH18" s="160">
        <f>IF([chambre4]*1='CHAMBRES GARCONS 1e ETAGE'!$A$11,1,0)</f>
        <v>0</v>
      </c>
      <c r="GI18" s="160">
        <f>IF([Occurrence28]=0,0,SUM($GH$2:GH18))</f>
        <v>0</v>
      </c>
      <c r="GJ18" s="160">
        <f>IF([chambre4]*1='CHAMBRES GARCONS 1e ETAGE'!$A$17,1,0)</f>
        <v>0</v>
      </c>
      <c r="GK18" s="160">
        <f>IF([Occurrence29]=0,0,SUM($GJ$2:GJ18))</f>
        <v>0</v>
      </c>
      <c r="GL18" s="160">
        <f>IF([chambre4]*1='CHAMBRES GARCONS 1e ETAGE'!$A$23,1,0)</f>
        <v>0</v>
      </c>
      <c r="GM18" s="160">
        <f>IF([Occurrence30]=0,0,SUM($GL$2:GL18))</f>
        <v>0</v>
      </c>
      <c r="GN18" s="160">
        <f>IF([chambre4]*1='CHAMBRES GARCONS 1e ETAGE'!$A$29,1,0)</f>
        <v>0</v>
      </c>
      <c r="GO18" s="160">
        <f>IF([Occurrence31]=0,0,SUM($GN$2:GN18))</f>
        <v>0</v>
      </c>
      <c r="GP18" s="160">
        <f>IF([chambre4]*1='CHAMBRES GARCONS 1e ETAGE'!$A$35,1,0)</f>
        <v>0</v>
      </c>
      <c r="GQ18" s="160">
        <f>IF([Occurrence32]=0,0,SUM($GP$2:GP18))</f>
        <v>0</v>
      </c>
      <c r="GR18" s="160">
        <f>IF([chambre3]*1='CHAMBRES GARCONS RDC'!$A$5,1,0)</f>
        <v>0</v>
      </c>
      <c r="GS18" s="160">
        <f>IF([Occurrence33]=0,0,SUM($GR$2:GR18))</f>
        <v>0</v>
      </c>
      <c r="GT18" s="160">
        <f>IF([chambre3]*1='CHAMBRES GARCONS RDC'!$A$11,1,0)</f>
        <v>0</v>
      </c>
      <c r="GU18" s="160">
        <f>IF([Occurrence34]=0,0,SUM($GT$2:GT18))</f>
        <v>0</v>
      </c>
      <c r="GV18" s="160">
        <f>IF([chambre3]*1='CHAMBRES GARCONS RDC'!$A$17,1,0)</f>
        <v>0</v>
      </c>
      <c r="GW18" s="160">
        <f>IF([Occurrence35]=0,0,SUM($GV$2:GV18))</f>
        <v>0</v>
      </c>
      <c r="GX18" s="160">
        <f>IF([chambre3]*1='CHAMBRES GARCONS RDC'!$A$23,1,0)</f>
        <v>0</v>
      </c>
      <c r="GY18" s="160">
        <f>IF([Occurrence36]=0,0,SUM($GX$2:GX18))</f>
        <v>0</v>
      </c>
      <c r="GZ18" s="160">
        <f>IF([chambre3]*1='CHAMBRES GARCONS RDC'!$A$29,1,0)</f>
        <v>0</v>
      </c>
      <c r="HA18" s="160">
        <f>IF([Occurrence37]=0,0,SUM($GZ$2:GZ18))</f>
        <v>0</v>
      </c>
      <c r="HB18" s="160">
        <f>IF([chambre3]*1='CHAMBRES GARCONS RDC'!$A$35,1,0)</f>
        <v>0</v>
      </c>
      <c r="HC18" s="160">
        <f>IF([Occurrence38]=0,0,SUM($HB$2:HB18))</f>
        <v>0</v>
      </c>
      <c r="HD18" s="160">
        <f>IF([chambre3]*1='CHAMBRES GARCONS RDC'!$A$41,1,0)</f>
        <v>0</v>
      </c>
      <c r="HE18" s="160">
        <f>IF([Occurrence39]=0,0,SUM($HD$2:HD18))</f>
        <v>0</v>
      </c>
      <c r="HF18" s="160">
        <f>IF([chambre3]*1='CHAMBRES GARCONS RDC'!$A$47,1,0)</f>
        <v>0</v>
      </c>
      <c r="HG18" s="160">
        <f>IF([Occurrence40]=0,0,SUM($HF$2:HF18))</f>
        <v>0</v>
      </c>
      <c r="HH18" s="160">
        <f>IF([chambre3]*1='CHAMBRES GARCONS RDC'!$A$53,1,0)</f>
        <v>0</v>
      </c>
      <c r="HI18" s="160">
        <f>IF([Occurrence41]=0,0,SUM($HH$2:HH18))</f>
        <v>0</v>
      </c>
      <c r="HJ18" s="160">
        <f>IF([chambre3]*1='CHAMBRES GARCONS RDC'!$A$59,1,0)</f>
        <v>0</v>
      </c>
      <c r="HK18" s="160">
        <f>IF([Occurrence42]=0,0,SUM($HJ$2:HJ18))</f>
        <v>0</v>
      </c>
      <c r="HL18" s="160">
        <f>IF([chambre3]*1='CHAMBRES GARCONS RDC'!$A$65,1,0)</f>
        <v>0</v>
      </c>
      <c r="HM18" s="160">
        <f>IF([Occurrence43]=0,0,SUM($HL$2:HL18))</f>
        <v>0</v>
      </c>
      <c r="HN18" s="160">
        <f>IF([chambre3]*1='CHAMBRES GARCONS RDC'!$A$71,1,0)</f>
        <v>0</v>
      </c>
      <c r="HO18" s="160">
        <f>IF([Occurrence44]=0,0,SUM($HN$2:HN18))</f>
        <v>0</v>
      </c>
      <c r="HP18" s="160">
        <f>IF([chambre3]*1='CHAMBRES GARCONS RDC'!$A$77,1,0)</f>
        <v>0</v>
      </c>
      <c r="HQ18" s="160">
        <f>IF([Occurrence45]=0,0,SUM($HP$2:HP18))</f>
        <v>0</v>
      </c>
      <c r="HR18" s="160">
        <f>IF([chambre3]*1='CHAMBRES GARCONS RDC'!$A$83,1,0)</f>
        <v>0</v>
      </c>
      <c r="HS18" s="160">
        <f>IF([Occurrence46]=0,0,SUM($HR$2:HR18))</f>
        <v>0</v>
      </c>
      <c r="HT18" s="160">
        <f>IF([chambre3]*1='CHAMBRES GARCONS RDC'!$A$89,1,0)</f>
        <v>0</v>
      </c>
      <c r="HU18" s="160">
        <f>IF([Occurrence47]=0,0,SUM($HT$2:HT18))</f>
        <v>0</v>
      </c>
      <c r="HV18" s="160">
        <f>IF([chambre3]*1='CHAMBRES GARCONS RDC'!$A$95,1,0)</f>
        <v>0</v>
      </c>
      <c r="HW18" s="160">
        <f>IF([Occurrence48]=0,0,SUM($HV$2:HV18))</f>
        <v>0</v>
      </c>
      <c r="HX18" s="160"/>
      <c r="HY18" s="160"/>
      <c r="HZ18" s="160">
        <f>IF([Classe]='Liste élève par classes'!$B$5,1,0)</f>
        <v>0</v>
      </c>
      <c r="IA18" s="160">
        <f>IF([Occurrence]=0,0,SUM($HZ$2:HZ18))</f>
        <v>0</v>
      </c>
      <c r="IB1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143</v>
      </c>
      <c r="IC18" s="208"/>
    </row>
    <row r="19" spans="1:237">
      <c r="A19" t="s">
        <v>278</v>
      </c>
      <c r="B19" t="s">
        <v>255</v>
      </c>
      <c r="C19" s="158">
        <v>37245</v>
      </c>
      <c r="D19" s="62">
        <f t="shared" ca="1" si="0"/>
        <v>15</v>
      </c>
      <c r="E19" t="s">
        <v>7</v>
      </c>
      <c r="F19" s="159" t="s">
        <v>50</v>
      </c>
      <c r="G19" t="s">
        <v>45</v>
      </c>
      <c r="H19" s="160"/>
      <c r="I19" s="62"/>
      <c r="J19" s="62" t="s">
        <v>244</v>
      </c>
      <c r="K19" s="62"/>
      <c r="L19" s="160">
        <v>169</v>
      </c>
      <c r="M19">
        <v>1</v>
      </c>
      <c r="N19" s="62" t="s">
        <v>244</v>
      </c>
      <c r="O19" s="62" t="s">
        <v>244</v>
      </c>
      <c r="P19" s="62" t="s">
        <v>244</v>
      </c>
      <c r="Q19" s="62" t="s">
        <v>244</v>
      </c>
      <c r="R19" s="62" t="s">
        <v>244</v>
      </c>
      <c r="S19" s="191"/>
      <c r="T19" s="62" t="s">
        <v>244</v>
      </c>
      <c r="U19" s="61"/>
      <c r="V19" s="62" t="s">
        <v>244</v>
      </c>
      <c r="W19" s="62" t="s">
        <v>244</v>
      </c>
      <c r="X19" s="62" t="s">
        <v>244</v>
      </c>
      <c r="Y19" s="62" t="s">
        <v>244</v>
      </c>
      <c r="Z19" s="62" t="s">
        <v>244</v>
      </c>
      <c r="AA19" s="62" t="s">
        <v>244</v>
      </c>
      <c r="AB19" s="62" t="s">
        <v>244</v>
      </c>
      <c r="AC19" s="62" t="s">
        <v>244</v>
      </c>
      <c r="AD19" s="62" t="s">
        <v>244</v>
      </c>
      <c r="AE19" s="62" t="s">
        <v>244</v>
      </c>
      <c r="AF19" s="166" t="s">
        <v>244</v>
      </c>
      <c r="AG19" s="166" t="s">
        <v>244</v>
      </c>
      <c r="AH19" s="166" t="s">
        <v>244</v>
      </c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  <c r="AT19" s="166"/>
      <c r="AU19" s="166"/>
      <c r="AV19" s="166"/>
      <c r="AW19" s="166"/>
      <c r="AX19" s="166"/>
      <c r="AY19" s="166"/>
      <c r="AZ19" s="166"/>
      <c r="BA19" s="166"/>
      <c r="BB19" s="166"/>
      <c r="BC19" s="163" t="b">
        <v>0</v>
      </c>
      <c r="BD19" s="163" t="b">
        <v>1</v>
      </c>
      <c r="BE19" s="163" t="b">
        <v>1</v>
      </c>
      <c r="BF19" s="163" t="b">
        <v>0</v>
      </c>
      <c r="BG19" s="164" t="b">
        <v>0</v>
      </c>
      <c r="BH19" s="163" t="b">
        <v>1</v>
      </c>
      <c r="BI19" s="166"/>
      <c r="BJ19" s="166"/>
      <c r="BK19" s="166"/>
      <c r="BL19" s="166"/>
      <c r="BM19" s="166"/>
      <c r="BN19" s="166"/>
      <c r="BO19" s="166"/>
      <c r="BP19" s="166"/>
      <c r="BQ19" s="163" t="b">
        <v>0</v>
      </c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6"/>
      <c r="CI19" s="166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212"/>
      <c r="DH19" s="166"/>
      <c r="DI19" s="166"/>
      <c r="DJ19" s="166"/>
      <c r="DK19" s="166"/>
      <c r="DL19" s="166"/>
      <c r="DM19" s="166"/>
      <c r="DN19" s="166"/>
      <c r="DO19" s="166"/>
      <c r="DP19" s="166"/>
      <c r="DQ19" s="166"/>
      <c r="DR19" s="166"/>
      <c r="DS19" s="166"/>
      <c r="DT19" s="166"/>
      <c r="DU19" s="166"/>
      <c r="DV19" s="166"/>
      <c r="DW19" s="166"/>
      <c r="DX19" s="166"/>
      <c r="DY19" s="166"/>
      <c r="DZ19" s="166"/>
      <c r="EA19" s="166"/>
      <c r="EB19" s="166"/>
      <c r="EC19" s="166"/>
      <c r="ED19" s="166"/>
      <c r="EE19" s="166"/>
      <c r="EF19" s="166"/>
      <c r="EG19" s="166"/>
      <c r="EH19" s="160">
        <f>IF([Chambre]*1='CHAMBRES FILLES 2e ETAGE'!$A$5,1,0)</f>
        <v>0</v>
      </c>
      <c r="EI19" s="161">
        <f>IF([Occurrence2]=0,0,SUM($EH$2:EH19))</f>
        <v>0</v>
      </c>
      <c r="EJ19" s="160">
        <f>IF([Chambre]*1='CHAMBRES FILLES 2e ETAGE'!$A$11,1,0)</f>
        <v>0</v>
      </c>
      <c r="EK19" s="160">
        <f>IF([Occurrence3]=0,0,SUM($EJ$2:EJ19))</f>
        <v>0</v>
      </c>
      <c r="EL19" s="160">
        <f>IF([Chambre]*1='CHAMBRES FILLES 2e ETAGE'!$A$17,1,0)</f>
        <v>0</v>
      </c>
      <c r="EM19" s="160">
        <f>IF([Occurrence4]=0,0,SUM($EL$2:EL19))</f>
        <v>0</v>
      </c>
      <c r="EN19" s="160">
        <f>IF([Chambre]*1='CHAMBRES FILLES 2e ETAGE'!$A$23,1,0)</f>
        <v>0</v>
      </c>
      <c r="EO19" s="160">
        <f>IF([Occurrence5]=0,0,SUM($EN$2:EN19))</f>
        <v>0</v>
      </c>
      <c r="EP19" s="160">
        <f>IF([Chambre]*1='CHAMBRES FILLES 2e ETAGE'!$A$29,1,0)</f>
        <v>0</v>
      </c>
      <c r="EQ19" s="160">
        <f>IF([Occurrence6]=0,0,SUM($EP$2:EP19))</f>
        <v>0</v>
      </c>
      <c r="ER19" s="160">
        <f>IF([Chambre]*1='CHAMBRES FILLES 2e ETAGE'!$A$35,1,0)</f>
        <v>0</v>
      </c>
      <c r="ES19" s="160">
        <f>IF([Occurrence7]=0,0,SUM($ER$2:ER19))</f>
        <v>0</v>
      </c>
      <c r="ET19" s="160">
        <f>IF([Chambre]*1='CHAMBRES FILLES 2e ETAGE'!$A$41,1,0)</f>
        <v>1</v>
      </c>
      <c r="EU19" s="160">
        <f>IF([Occurrence8]=0,0,SUM($ET$2:ET19))</f>
        <v>1</v>
      </c>
      <c r="EV19" s="160">
        <f>IF([Chambre]*1='CHAMBRES FILLES 2e ETAGE'!$A$47,1,0)</f>
        <v>0</v>
      </c>
      <c r="EW19" s="160">
        <f>IF([Occurrence9]=0,0,SUM($EV$2:EV19))</f>
        <v>0</v>
      </c>
      <c r="EX19" s="160">
        <f>IF([Chambre]*1='CHAMBRES FILLES 2e ETAGE'!$A$53,1,0)</f>
        <v>0</v>
      </c>
      <c r="EY19" s="160">
        <f>IF([Occurrence10]=0,0,SUM($EX$2:EX19))</f>
        <v>0</v>
      </c>
      <c r="EZ19" s="160">
        <f>IF([Chambre]*1='CHAMBRES FILLES 2e ETAGE'!$A$59,1,0)</f>
        <v>0</v>
      </c>
      <c r="FA19" s="160">
        <f>IF([Occurrence11]=0,0,SUM($EZ$2:EZ19))</f>
        <v>0</v>
      </c>
      <c r="FB19" s="160">
        <f>IF([Chambre]*1='CHAMBRES FILLES 2e ETAGE'!$A$65,1,0)</f>
        <v>0</v>
      </c>
      <c r="FC19" s="160">
        <f>IF([Occurrence12]=0,0,SUM($FB$2:FB19))</f>
        <v>0</v>
      </c>
      <c r="FD19" s="160">
        <f>IF([Chambre]*1='CHAMBRES FILLES 2e ETAGE'!$A$71,1,0)</f>
        <v>0</v>
      </c>
      <c r="FE19" s="160">
        <f>IF([Occurrence13]=0,0,SUM($FD$2:FD19))</f>
        <v>0</v>
      </c>
      <c r="FF19" s="160">
        <f>IF([Chambre]*1='CHAMBRES FILLES 2e ETAGE'!$A$77,1,0)</f>
        <v>0</v>
      </c>
      <c r="FG19" s="160">
        <f>IF([Occurrence14]=0,0,SUM($FF$2:FF19))</f>
        <v>0</v>
      </c>
      <c r="FH19" s="160">
        <f>IF([Chambre]*1='CHAMBRES FILLES 2e ETAGE'!$A$83,1,0)</f>
        <v>0</v>
      </c>
      <c r="FI19" s="160">
        <f>IF([Occurrence15]=0,0,SUM($FH$2:FH19))</f>
        <v>0</v>
      </c>
      <c r="FJ19" s="160">
        <f>IF([Chambre]*1='CHAMBRES FILLES 2e ETAGE'!$A$89,1,0)</f>
        <v>0</v>
      </c>
      <c r="FK19" s="160">
        <f>IF([Occurrence16]=0,0,SUM($FJ$2:FJ19))</f>
        <v>0</v>
      </c>
      <c r="FL19" s="160">
        <f>IF([Chambre]*1='CHAMBRES FILLES 2e ETAGE'!$A$95,1,0)</f>
        <v>0</v>
      </c>
      <c r="FM19" s="160">
        <f>IF([Occurrence17]=0,0,SUM($FL$2:FL19))</f>
        <v>0</v>
      </c>
      <c r="FN19" s="160">
        <f>IF([Chambre2]*1='CHAMBRES FILLES 1e ETAGE'!$A$5,1,0)</f>
        <v>0</v>
      </c>
      <c r="FO19" s="160">
        <f>IF([Occurrence18]=0,0,SUM($FN$2:FN19))</f>
        <v>0</v>
      </c>
      <c r="FP19" s="160">
        <f>IF([Chambre2]*1='CHAMBRES FILLES 1e ETAGE'!$A$11,1,0)</f>
        <v>0</v>
      </c>
      <c r="FQ19" s="160">
        <f>IF([Occurrence19]=0,0,SUM($FP$2:FP19))</f>
        <v>0</v>
      </c>
      <c r="FR19" s="160">
        <f>IF([Chambre2]*1='CHAMBRES FILLES 1e ETAGE'!$A$17,1,0)</f>
        <v>0</v>
      </c>
      <c r="FS19" s="160">
        <f>IF([Occurrence20]=0,0,SUM($FR$2:FR19))</f>
        <v>0</v>
      </c>
      <c r="FT19" s="160">
        <f>IF([Chambre2]*1='CHAMBRES FILLES 1e ETAGE'!$A$23,1,0)</f>
        <v>0</v>
      </c>
      <c r="FU19" s="160">
        <f>IF([Occurrence21]=0,0,SUM($FT$2:FT19))</f>
        <v>0</v>
      </c>
      <c r="FV19" s="160">
        <f>IF([Chambre2]*1='CHAMBRES FILLES 1e ETAGE'!$A$29,1,0)</f>
        <v>0</v>
      </c>
      <c r="FW19" s="160">
        <f>IF([Occurrence22]=0,0,SUM($FV$2:FV19))</f>
        <v>0</v>
      </c>
      <c r="FX19" s="160">
        <f>IF([Chambre2]*1='CHAMBRES FILLES 1e ETAGE'!$A$35,1,0)</f>
        <v>0</v>
      </c>
      <c r="FY19" s="160">
        <f>IF([Occurrence23]=0,0,SUM($FX$2:FX19))</f>
        <v>0</v>
      </c>
      <c r="FZ19" s="160">
        <f>IF([Chambre2]*1='CHAMBRES FILLES 1e ETAGE'!$A$41,1,0)</f>
        <v>0</v>
      </c>
      <c r="GA19" s="160">
        <f>IF([Occurrence24]=0,0,SUM($FZ$2:FZ19))</f>
        <v>0</v>
      </c>
      <c r="GB19" s="160">
        <f>IF([Chambre2]*1='CHAMBRES FILLES 1e ETAGE'!$A$47,1,0)</f>
        <v>0</v>
      </c>
      <c r="GC19" s="160">
        <f>IF([Occurrence25]=0,0,SUM($GB$2:GB19))</f>
        <v>0</v>
      </c>
      <c r="GD19" s="160">
        <f>IF([Chambre2]*1='CHAMBRES FILLES 1e ETAGE'!$A$53,1,0)</f>
        <v>0</v>
      </c>
      <c r="GE19" s="160">
        <f>IF([Occurrence26]=0,0,SUM($GD$2:GD19))</f>
        <v>0</v>
      </c>
      <c r="GF19" s="160">
        <f>IF([chambre4]*1='CHAMBRES GARCONS 1e ETAGE'!$A$5,1,0)</f>
        <v>0</v>
      </c>
      <c r="GG19" s="160">
        <f>IF([Occurrence27]=0,0,SUM($GF$2:GF19))</f>
        <v>0</v>
      </c>
      <c r="GH19" s="160">
        <f>IF([chambre4]*1='CHAMBRES GARCONS 1e ETAGE'!$A$11,1,0)</f>
        <v>0</v>
      </c>
      <c r="GI19" s="160">
        <f>IF([Occurrence28]=0,0,SUM($GH$2:GH19))</f>
        <v>0</v>
      </c>
      <c r="GJ19" s="160">
        <f>IF([chambre4]*1='CHAMBRES GARCONS 1e ETAGE'!$A$17,1,0)</f>
        <v>0</v>
      </c>
      <c r="GK19" s="160">
        <f>IF([Occurrence29]=0,0,SUM($GJ$2:GJ19))</f>
        <v>0</v>
      </c>
      <c r="GL19" s="160">
        <f>IF([chambre4]*1='CHAMBRES GARCONS 1e ETAGE'!$A$23,1,0)</f>
        <v>0</v>
      </c>
      <c r="GM19" s="160">
        <f>IF([Occurrence30]=0,0,SUM($GL$2:GL19))</f>
        <v>0</v>
      </c>
      <c r="GN19" s="160">
        <f>IF([chambre4]*1='CHAMBRES GARCONS 1e ETAGE'!$A$29,1,0)</f>
        <v>0</v>
      </c>
      <c r="GO19" s="160">
        <f>IF([Occurrence31]=0,0,SUM($GN$2:GN19))</f>
        <v>0</v>
      </c>
      <c r="GP19" s="160">
        <f>IF([chambre4]*1='CHAMBRES GARCONS 1e ETAGE'!$A$35,1,0)</f>
        <v>0</v>
      </c>
      <c r="GQ19" s="160">
        <f>IF([Occurrence32]=0,0,SUM($GP$2:GP19))</f>
        <v>0</v>
      </c>
      <c r="GR19" s="160">
        <f>IF([chambre3]*1='CHAMBRES GARCONS RDC'!$A$5,1,0)</f>
        <v>0</v>
      </c>
      <c r="GS19" s="160">
        <f>IF([Occurrence33]=0,0,SUM($GR$2:GR19))</f>
        <v>0</v>
      </c>
      <c r="GT19" s="160">
        <f>IF([chambre3]*1='CHAMBRES GARCONS RDC'!$A$11,1,0)</f>
        <v>0</v>
      </c>
      <c r="GU19" s="160">
        <f>IF([Occurrence34]=0,0,SUM($GT$2:GT19))</f>
        <v>0</v>
      </c>
      <c r="GV19" s="160">
        <f>IF([chambre3]*1='CHAMBRES GARCONS RDC'!$A$17,1,0)</f>
        <v>0</v>
      </c>
      <c r="GW19" s="160">
        <f>IF([Occurrence35]=0,0,SUM($GV$2:GV19))</f>
        <v>0</v>
      </c>
      <c r="GX19" s="160">
        <f>IF([chambre3]*1='CHAMBRES GARCONS RDC'!$A$23,1,0)</f>
        <v>0</v>
      </c>
      <c r="GY19" s="160">
        <f>IF([Occurrence36]=0,0,SUM($GX$2:GX19))</f>
        <v>0</v>
      </c>
      <c r="GZ19" s="160">
        <f>IF([chambre3]*1='CHAMBRES GARCONS RDC'!$A$29,1,0)</f>
        <v>0</v>
      </c>
      <c r="HA19" s="160">
        <f>IF([Occurrence37]=0,0,SUM($GZ$2:GZ19))</f>
        <v>0</v>
      </c>
      <c r="HB19" s="160">
        <f>IF([chambre3]*1='CHAMBRES GARCONS RDC'!$A$35,1,0)</f>
        <v>0</v>
      </c>
      <c r="HC19" s="160">
        <f>IF([Occurrence38]=0,0,SUM($HB$2:HB19))</f>
        <v>0</v>
      </c>
      <c r="HD19" s="160">
        <f>IF([chambre3]*1='CHAMBRES GARCONS RDC'!$A$41,1,0)</f>
        <v>0</v>
      </c>
      <c r="HE19" s="160">
        <f>IF([Occurrence39]=0,0,SUM($HD$2:HD19))</f>
        <v>0</v>
      </c>
      <c r="HF19" s="160">
        <f>IF([chambre3]*1='CHAMBRES GARCONS RDC'!$A$47,1,0)</f>
        <v>0</v>
      </c>
      <c r="HG19" s="160">
        <f>IF([Occurrence40]=0,0,SUM($HF$2:HF19))</f>
        <v>0</v>
      </c>
      <c r="HH19" s="160">
        <f>IF([chambre3]*1='CHAMBRES GARCONS RDC'!$A$53,1,0)</f>
        <v>0</v>
      </c>
      <c r="HI19" s="160">
        <f>IF([Occurrence41]=0,0,SUM($HH$2:HH19))</f>
        <v>0</v>
      </c>
      <c r="HJ19" s="160">
        <f>IF([chambre3]*1='CHAMBRES GARCONS RDC'!$A$59,1,0)</f>
        <v>0</v>
      </c>
      <c r="HK19" s="160">
        <f>IF([Occurrence42]=0,0,SUM($HJ$2:HJ19))</f>
        <v>0</v>
      </c>
      <c r="HL19" s="160">
        <f>IF([chambre3]*1='CHAMBRES GARCONS RDC'!$A$65,1,0)</f>
        <v>0</v>
      </c>
      <c r="HM19" s="160">
        <f>IF([Occurrence43]=0,0,SUM($HL$2:HL19))</f>
        <v>0</v>
      </c>
      <c r="HN19" s="160">
        <f>IF([chambre3]*1='CHAMBRES GARCONS RDC'!$A$71,1,0)</f>
        <v>0</v>
      </c>
      <c r="HO19" s="160">
        <f>IF([Occurrence44]=0,0,SUM($HN$2:HN19))</f>
        <v>0</v>
      </c>
      <c r="HP19" s="160">
        <f>IF([chambre3]*1='CHAMBRES GARCONS RDC'!$A$77,1,0)</f>
        <v>0</v>
      </c>
      <c r="HQ19" s="160">
        <f>IF([Occurrence45]=0,0,SUM($HP$2:HP19))</f>
        <v>0</v>
      </c>
      <c r="HR19" s="160">
        <f>IF([chambre3]*1='CHAMBRES GARCONS RDC'!$A$83,1,0)</f>
        <v>0</v>
      </c>
      <c r="HS19" s="160">
        <f>IF([Occurrence46]=0,0,SUM($HR$2:HR19))</f>
        <v>0</v>
      </c>
      <c r="HT19" s="160">
        <f>IF([chambre3]*1='CHAMBRES GARCONS RDC'!$A$89,1,0)</f>
        <v>0</v>
      </c>
      <c r="HU19" s="160">
        <f>IF([Occurrence47]=0,0,SUM($HT$2:HT19))</f>
        <v>0</v>
      </c>
      <c r="HV19" s="160">
        <f>IF([chambre3]*1='CHAMBRES GARCONS RDC'!$A$95,1,0)</f>
        <v>0</v>
      </c>
      <c r="HW19" s="160">
        <f>IF([Occurrence48]=0,0,SUM($HV$2:HV19))</f>
        <v>0</v>
      </c>
      <c r="HX19" s="160"/>
      <c r="HY19" s="160"/>
      <c r="HZ19" s="160">
        <f>IF([Classe]='Liste élève par classes'!$B$5,1,0)</f>
        <v>0</v>
      </c>
      <c r="IA19" s="160">
        <f>IF([Occurrence]=0,0,SUM($HZ$2:HZ19))</f>
        <v>0</v>
      </c>
      <c r="IB1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169</v>
      </c>
      <c r="IC19" s="208"/>
    </row>
    <row r="20" spans="1:237">
      <c r="A20" t="s">
        <v>279</v>
      </c>
      <c r="B20" t="s">
        <v>280</v>
      </c>
      <c r="C20" s="158">
        <v>36842</v>
      </c>
      <c r="D20" s="62">
        <f t="shared" ca="1" si="0"/>
        <v>16</v>
      </c>
      <c r="E20" t="s">
        <v>10</v>
      </c>
      <c r="F20" s="159" t="s">
        <v>50</v>
      </c>
      <c r="G20" t="s">
        <v>45</v>
      </c>
      <c r="H20" s="160"/>
      <c r="I20" s="62"/>
      <c r="J20" s="62"/>
      <c r="K20" s="62"/>
      <c r="L20" s="160">
        <v>167</v>
      </c>
      <c r="M20">
        <v>190</v>
      </c>
      <c r="N20" s="62"/>
      <c r="O20" s="62"/>
      <c r="P20" s="62"/>
      <c r="Q20" s="62"/>
      <c r="R20" s="62"/>
      <c r="S20" s="191"/>
      <c r="T20" s="62"/>
      <c r="U20" s="61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163"/>
      <c r="AG20" s="163"/>
      <c r="AH20" s="163"/>
      <c r="AI20" s="163"/>
      <c r="AJ20" s="163"/>
      <c r="AK20" s="163"/>
      <c r="AL20" s="163"/>
      <c r="AM20" s="163"/>
      <c r="AN20" s="163"/>
      <c r="AO20" s="163"/>
      <c r="AP20" s="163"/>
      <c r="AQ20" s="163"/>
      <c r="AR20" s="163"/>
      <c r="AS20" s="163"/>
      <c r="AT20" s="163"/>
      <c r="AU20" s="163"/>
      <c r="AV20" s="163"/>
      <c r="AW20" s="163"/>
      <c r="AX20" s="163"/>
      <c r="AY20" s="163"/>
      <c r="AZ20" s="163"/>
      <c r="BA20" s="163"/>
      <c r="BB20" s="163"/>
      <c r="BC20" s="163" t="b">
        <v>0</v>
      </c>
      <c r="BD20" s="163" t="b">
        <v>1</v>
      </c>
      <c r="BE20" s="163" t="b">
        <v>1</v>
      </c>
      <c r="BF20" s="163" t="b">
        <v>0</v>
      </c>
      <c r="BG20" s="163" t="b">
        <v>1</v>
      </c>
      <c r="BH20" s="163" t="b">
        <v>0</v>
      </c>
      <c r="BI20" s="163"/>
      <c r="BJ20" s="163"/>
      <c r="BK20" s="163"/>
      <c r="BL20" s="163"/>
      <c r="BM20" s="163"/>
      <c r="BN20" s="163"/>
      <c r="BO20" s="163"/>
      <c r="BP20" s="163"/>
      <c r="BQ20" s="163" t="b">
        <v>0</v>
      </c>
      <c r="BR20" s="163"/>
      <c r="BS20" s="163"/>
      <c r="BT20" s="163"/>
      <c r="BU20" s="163"/>
      <c r="BV20" s="163"/>
      <c r="BW20" s="163"/>
      <c r="BX20" s="163"/>
      <c r="BY20" s="163"/>
      <c r="BZ20" s="163"/>
      <c r="CA20" s="163"/>
      <c r="CB20" s="163"/>
      <c r="CC20" s="163"/>
      <c r="CD20" s="163"/>
      <c r="CE20" s="163"/>
      <c r="CF20" s="163"/>
      <c r="CG20" s="163"/>
      <c r="CH20" s="163"/>
      <c r="CI20" s="163"/>
      <c r="CJ20" s="163"/>
      <c r="CK20" s="163"/>
      <c r="CL20" s="163"/>
      <c r="CM20" s="163"/>
      <c r="CN20" s="163"/>
      <c r="CO20" s="163"/>
      <c r="CP20" s="163"/>
      <c r="CQ20" s="163"/>
      <c r="CR20" s="163"/>
      <c r="CS20" s="163"/>
      <c r="CT20" s="163"/>
      <c r="CU20" s="163"/>
      <c r="CV20" s="163"/>
      <c r="CW20" s="163"/>
      <c r="CX20" s="163"/>
      <c r="CY20" s="163"/>
      <c r="CZ20" s="163"/>
      <c r="DA20" s="163"/>
      <c r="DB20" s="163"/>
      <c r="DC20" s="163"/>
      <c r="DD20" s="163"/>
      <c r="DE20" s="163"/>
      <c r="DF20" s="163"/>
      <c r="DG20" s="208"/>
      <c r="DH20" s="163"/>
      <c r="DI20" s="163"/>
      <c r="DJ20" s="163"/>
      <c r="DK20" s="163"/>
      <c r="DL20" s="163"/>
      <c r="DM20" s="163"/>
      <c r="DN20" s="163"/>
      <c r="DO20" s="163"/>
      <c r="DP20" s="163"/>
      <c r="DQ20" s="163"/>
      <c r="DR20" s="163"/>
      <c r="DS20" s="163"/>
      <c r="DT20" s="163"/>
      <c r="DU20" s="163"/>
      <c r="DV20" s="163"/>
      <c r="DW20" s="163"/>
      <c r="DX20" s="163"/>
      <c r="DY20" s="163"/>
      <c r="DZ20" s="163"/>
      <c r="EA20" s="163"/>
      <c r="EB20" s="163"/>
      <c r="EC20" s="163"/>
      <c r="ED20" s="163"/>
      <c r="EE20" s="163"/>
      <c r="EF20" s="163"/>
      <c r="EG20" s="163"/>
      <c r="EH20" s="160">
        <f>IF([Chambre]*1='CHAMBRES FILLES 2e ETAGE'!$A$5,1,0)</f>
        <v>0</v>
      </c>
      <c r="EI20" s="161">
        <f>IF([Occurrence2]=0,0,SUM($EH$2:EH20))</f>
        <v>0</v>
      </c>
      <c r="EJ20" s="160">
        <f>IF([Chambre]*1='CHAMBRES FILLES 2e ETAGE'!$A$11,1,0)</f>
        <v>0</v>
      </c>
      <c r="EK20" s="160">
        <f>IF([Occurrence3]=0,0,SUM($EJ$2:EJ20))</f>
        <v>0</v>
      </c>
      <c r="EL20" s="160">
        <f>IF([Chambre]*1='CHAMBRES FILLES 2e ETAGE'!$A$17,1,0)</f>
        <v>0</v>
      </c>
      <c r="EM20" s="160">
        <f>IF([Occurrence4]=0,0,SUM($EL$2:EL20))</f>
        <v>0</v>
      </c>
      <c r="EN20" s="160">
        <f>IF([Chambre]*1='CHAMBRES FILLES 2e ETAGE'!$A$23,1,0)</f>
        <v>1</v>
      </c>
      <c r="EO20" s="160">
        <f>IF([Occurrence5]=0,0,SUM($EN$2:EN20))</f>
        <v>2</v>
      </c>
      <c r="EP20" s="160">
        <f>IF([Chambre]*1='CHAMBRES FILLES 2e ETAGE'!$A$29,1,0)</f>
        <v>0</v>
      </c>
      <c r="EQ20" s="160">
        <f>IF([Occurrence6]=0,0,SUM($EP$2:EP20))</f>
        <v>0</v>
      </c>
      <c r="ER20" s="160">
        <f>IF([Chambre]*1='CHAMBRES FILLES 2e ETAGE'!$A$35,1,0)</f>
        <v>0</v>
      </c>
      <c r="ES20" s="160">
        <f>IF([Occurrence7]=0,0,SUM($ER$2:ER20))</f>
        <v>0</v>
      </c>
      <c r="ET20" s="160">
        <f>IF([Chambre]*1='CHAMBRES FILLES 2e ETAGE'!$A$41,1,0)</f>
        <v>0</v>
      </c>
      <c r="EU20" s="160">
        <f>IF([Occurrence8]=0,0,SUM($ET$2:ET20))</f>
        <v>0</v>
      </c>
      <c r="EV20" s="160">
        <f>IF([Chambre]*1='CHAMBRES FILLES 2e ETAGE'!$A$47,1,0)</f>
        <v>0</v>
      </c>
      <c r="EW20" s="160">
        <f>IF([Occurrence9]=0,0,SUM($EV$2:EV20))</f>
        <v>0</v>
      </c>
      <c r="EX20" s="160">
        <f>IF([Chambre]*1='CHAMBRES FILLES 2e ETAGE'!$A$53,1,0)</f>
        <v>0</v>
      </c>
      <c r="EY20" s="160">
        <f>IF([Occurrence10]=0,0,SUM($EX$2:EX20))</f>
        <v>0</v>
      </c>
      <c r="EZ20" s="160">
        <f>IF([Chambre]*1='CHAMBRES FILLES 2e ETAGE'!$A$59,1,0)</f>
        <v>0</v>
      </c>
      <c r="FA20" s="160">
        <f>IF([Occurrence11]=0,0,SUM($EZ$2:EZ20))</f>
        <v>0</v>
      </c>
      <c r="FB20" s="160">
        <f>IF([Chambre]*1='CHAMBRES FILLES 2e ETAGE'!$A$65,1,0)</f>
        <v>0</v>
      </c>
      <c r="FC20" s="160">
        <f>IF([Occurrence12]=0,0,SUM($FB$2:FB20))</f>
        <v>0</v>
      </c>
      <c r="FD20" s="160">
        <f>IF([Chambre]*1='CHAMBRES FILLES 2e ETAGE'!$A$71,1,0)</f>
        <v>0</v>
      </c>
      <c r="FE20" s="160">
        <f>IF([Occurrence13]=0,0,SUM($FD$2:FD20))</f>
        <v>0</v>
      </c>
      <c r="FF20" s="160">
        <f>IF([Chambre]*1='CHAMBRES FILLES 2e ETAGE'!$A$77,1,0)</f>
        <v>0</v>
      </c>
      <c r="FG20" s="160">
        <f>IF([Occurrence14]=0,0,SUM($FF$2:FF20))</f>
        <v>0</v>
      </c>
      <c r="FH20" s="160">
        <f>IF([Chambre]*1='CHAMBRES FILLES 2e ETAGE'!$A$83,1,0)</f>
        <v>0</v>
      </c>
      <c r="FI20" s="160">
        <f>IF([Occurrence15]=0,0,SUM($FH$2:FH20))</f>
        <v>0</v>
      </c>
      <c r="FJ20" s="160">
        <f>IF([Chambre]*1='CHAMBRES FILLES 2e ETAGE'!$A$89,1,0)</f>
        <v>0</v>
      </c>
      <c r="FK20" s="160">
        <f>IF([Occurrence16]=0,0,SUM($FJ$2:FJ20))</f>
        <v>0</v>
      </c>
      <c r="FL20" s="160">
        <f>IF([Chambre]*1='CHAMBRES FILLES 2e ETAGE'!$A$95,1,0)</f>
        <v>0</v>
      </c>
      <c r="FM20" s="160">
        <f>IF([Occurrence17]=0,0,SUM($FL$2:FL20))</f>
        <v>0</v>
      </c>
      <c r="FN20" s="160">
        <f>IF([Chambre2]*1='CHAMBRES FILLES 1e ETAGE'!$A$5,1,0)</f>
        <v>0</v>
      </c>
      <c r="FO20" s="160">
        <f>IF([Occurrence18]=0,0,SUM($FN$2:FN20))</f>
        <v>0</v>
      </c>
      <c r="FP20" s="160">
        <f>IF([Chambre2]*1='CHAMBRES FILLES 1e ETAGE'!$A$11,1,0)</f>
        <v>0</v>
      </c>
      <c r="FQ20" s="160">
        <f>IF([Occurrence19]=0,0,SUM($FP$2:FP20))</f>
        <v>0</v>
      </c>
      <c r="FR20" s="160">
        <f>IF([Chambre2]*1='CHAMBRES FILLES 1e ETAGE'!$A$17,1,0)</f>
        <v>0</v>
      </c>
      <c r="FS20" s="160">
        <f>IF([Occurrence20]=0,0,SUM($FR$2:FR20))</f>
        <v>0</v>
      </c>
      <c r="FT20" s="160">
        <f>IF([Chambre2]*1='CHAMBRES FILLES 1e ETAGE'!$A$23,1,0)</f>
        <v>0</v>
      </c>
      <c r="FU20" s="160">
        <f>IF([Occurrence21]=0,0,SUM($FT$2:FT20))</f>
        <v>0</v>
      </c>
      <c r="FV20" s="160">
        <f>IF([Chambre2]*1='CHAMBRES FILLES 1e ETAGE'!$A$29,1,0)</f>
        <v>0</v>
      </c>
      <c r="FW20" s="160">
        <f>IF([Occurrence22]=0,0,SUM($FV$2:FV20))</f>
        <v>0</v>
      </c>
      <c r="FX20" s="160">
        <f>IF([Chambre2]*1='CHAMBRES FILLES 1e ETAGE'!$A$35,1,0)</f>
        <v>0</v>
      </c>
      <c r="FY20" s="160">
        <f>IF([Occurrence23]=0,0,SUM($FX$2:FX20))</f>
        <v>0</v>
      </c>
      <c r="FZ20" s="160">
        <f>IF([Chambre2]*1='CHAMBRES FILLES 1e ETAGE'!$A$41,1,0)</f>
        <v>0</v>
      </c>
      <c r="GA20" s="160">
        <f>IF([Occurrence24]=0,0,SUM($FZ$2:FZ20))</f>
        <v>0</v>
      </c>
      <c r="GB20" s="160">
        <f>IF([Chambre2]*1='CHAMBRES FILLES 1e ETAGE'!$A$47,1,0)</f>
        <v>0</v>
      </c>
      <c r="GC20" s="160">
        <f>IF([Occurrence25]=0,0,SUM($GB$2:GB20))</f>
        <v>0</v>
      </c>
      <c r="GD20" s="160">
        <f>IF([Chambre2]*1='CHAMBRES FILLES 1e ETAGE'!$A$53,1,0)</f>
        <v>0</v>
      </c>
      <c r="GE20" s="160">
        <f>IF([Occurrence26]=0,0,SUM($GD$2:GD20))</f>
        <v>0</v>
      </c>
      <c r="GF20" s="160">
        <f>IF([chambre4]*1='CHAMBRES GARCONS 1e ETAGE'!$A$5,1,0)</f>
        <v>0</v>
      </c>
      <c r="GG20" s="160">
        <f>IF([Occurrence27]=0,0,SUM($GF$2:GF20))</f>
        <v>0</v>
      </c>
      <c r="GH20" s="160">
        <f>IF([chambre4]*1='CHAMBRES GARCONS 1e ETAGE'!$A$11,1,0)</f>
        <v>0</v>
      </c>
      <c r="GI20" s="160">
        <f>IF([Occurrence28]=0,0,SUM($GH$2:GH20))</f>
        <v>0</v>
      </c>
      <c r="GJ20" s="160">
        <f>IF([chambre4]*1='CHAMBRES GARCONS 1e ETAGE'!$A$17,1,0)</f>
        <v>0</v>
      </c>
      <c r="GK20" s="160">
        <f>IF([Occurrence29]=0,0,SUM($GJ$2:GJ20))</f>
        <v>0</v>
      </c>
      <c r="GL20" s="160">
        <f>IF([chambre4]*1='CHAMBRES GARCONS 1e ETAGE'!$A$23,1,0)</f>
        <v>0</v>
      </c>
      <c r="GM20" s="160">
        <f>IF([Occurrence30]=0,0,SUM($GL$2:GL20))</f>
        <v>0</v>
      </c>
      <c r="GN20" s="160">
        <f>IF([chambre4]*1='CHAMBRES GARCONS 1e ETAGE'!$A$29,1,0)</f>
        <v>0</v>
      </c>
      <c r="GO20" s="160">
        <f>IF([Occurrence31]=0,0,SUM($GN$2:GN20))</f>
        <v>0</v>
      </c>
      <c r="GP20" s="160">
        <f>IF([chambre4]*1='CHAMBRES GARCONS 1e ETAGE'!$A$35,1,0)</f>
        <v>0</v>
      </c>
      <c r="GQ20" s="160">
        <f>IF([Occurrence32]=0,0,SUM($GP$2:GP20))</f>
        <v>0</v>
      </c>
      <c r="GR20" s="160">
        <f>IF([chambre3]*1='CHAMBRES GARCONS RDC'!$A$5,1,0)</f>
        <v>0</v>
      </c>
      <c r="GS20" s="160">
        <f>IF([Occurrence33]=0,0,SUM($GR$2:GR20))</f>
        <v>0</v>
      </c>
      <c r="GT20" s="160">
        <f>IF([chambre3]*1='CHAMBRES GARCONS RDC'!$A$11,1,0)</f>
        <v>0</v>
      </c>
      <c r="GU20" s="160">
        <f>IF([Occurrence34]=0,0,SUM($GT$2:GT20))</f>
        <v>0</v>
      </c>
      <c r="GV20" s="160">
        <f>IF([chambre3]*1='CHAMBRES GARCONS RDC'!$A$17,1,0)</f>
        <v>0</v>
      </c>
      <c r="GW20" s="160">
        <f>IF([Occurrence35]=0,0,SUM($GV$2:GV20))</f>
        <v>0</v>
      </c>
      <c r="GX20" s="160">
        <f>IF([chambre3]*1='CHAMBRES GARCONS RDC'!$A$23,1,0)</f>
        <v>0</v>
      </c>
      <c r="GY20" s="160">
        <f>IF([Occurrence36]=0,0,SUM($GX$2:GX20))</f>
        <v>0</v>
      </c>
      <c r="GZ20" s="160">
        <f>IF([chambre3]*1='CHAMBRES GARCONS RDC'!$A$29,1,0)</f>
        <v>0</v>
      </c>
      <c r="HA20" s="160">
        <f>IF([Occurrence37]=0,0,SUM($GZ$2:GZ20))</f>
        <v>0</v>
      </c>
      <c r="HB20" s="160">
        <f>IF([chambre3]*1='CHAMBRES GARCONS RDC'!$A$35,1,0)</f>
        <v>0</v>
      </c>
      <c r="HC20" s="160">
        <f>IF([Occurrence38]=0,0,SUM($HB$2:HB20))</f>
        <v>0</v>
      </c>
      <c r="HD20" s="160">
        <f>IF([chambre3]*1='CHAMBRES GARCONS RDC'!$A$41,1,0)</f>
        <v>0</v>
      </c>
      <c r="HE20" s="160">
        <f>IF([Occurrence39]=0,0,SUM($HD$2:HD20))</f>
        <v>0</v>
      </c>
      <c r="HF20" s="160">
        <f>IF([chambre3]*1='CHAMBRES GARCONS RDC'!$A$47,1,0)</f>
        <v>0</v>
      </c>
      <c r="HG20" s="160">
        <f>IF([Occurrence40]=0,0,SUM($HF$2:HF20))</f>
        <v>0</v>
      </c>
      <c r="HH20" s="160">
        <f>IF([chambre3]*1='CHAMBRES GARCONS RDC'!$A$53,1,0)</f>
        <v>0</v>
      </c>
      <c r="HI20" s="160">
        <f>IF([Occurrence41]=0,0,SUM($HH$2:HH20))</f>
        <v>0</v>
      </c>
      <c r="HJ20" s="160">
        <f>IF([chambre3]*1='CHAMBRES GARCONS RDC'!$A$59,1,0)</f>
        <v>0</v>
      </c>
      <c r="HK20" s="160">
        <f>IF([Occurrence42]=0,0,SUM($HJ$2:HJ20))</f>
        <v>0</v>
      </c>
      <c r="HL20" s="160">
        <f>IF([chambre3]*1='CHAMBRES GARCONS RDC'!$A$65,1,0)</f>
        <v>0</v>
      </c>
      <c r="HM20" s="160">
        <f>IF([Occurrence43]=0,0,SUM($HL$2:HL20))</f>
        <v>0</v>
      </c>
      <c r="HN20" s="160">
        <f>IF([chambre3]*1='CHAMBRES GARCONS RDC'!$A$71,1,0)</f>
        <v>0</v>
      </c>
      <c r="HO20" s="160">
        <f>IF([Occurrence44]=0,0,SUM($HN$2:HN20))</f>
        <v>0</v>
      </c>
      <c r="HP20" s="160">
        <f>IF([chambre3]*1='CHAMBRES GARCONS RDC'!$A$77,1,0)</f>
        <v>0</v>
      </c>
      <c r="HQ20" s="160">
        <f>IF([Occurrence45]=0,0,SUM($HP$2:HP20))</f>
        <v>0</v>
      </c>
      <c r="HR20" s="160">
        <f>IF([chambre3]*1='CHAMBRES GARCONS RDC'!$A$83,1,0)</f>
        <v>0</v>
      </c>
      <c r="HS20" s="160">
        <f>IF([Occurrence46]=0,0,SUM($HR$2:HR20))</f>
        <v>0</v>
      </c>
      <c r="HT20" s="160">
        <f>IF([chambre3]*1='CHAMBRES GARCONS RDC'!$A$89,1,0)</f>
        <v>0</v>
      </c>
      <c r="HU20" s="160">
        <f>IF([Occurrence47]=0,0,SUM($HT$2:HT20))</f>
        <v>0</v>
      </c>
      <c r="HV20" s="160">
        <f>IF([chambre3]*1='CHAMBRES GARCONS RDC'!$A$95,1,0)</f>
        <v>0</v>
      </c>
      <c r="HW20" s="160">
        <f>IF([Occurrence48]=0,0,SUM($HV$2:HV20))</f>
        <v>0</v>
      </c>
      <c r="HX20" s="160"/>
      <c r="HY20" s="160"/>
      <c r="HZ20" s="160">
        <f>IF([Classe]='Liste élève par classes'!$B$5,1,0)</f>
        <v>0</v>
      </c>
      <c r="IA20" s="160">
        <f>IF([Occurrence]=0,0,SUM($HZ$2:HZ20))</f>
        <v>0</v>
      </c>
      <c r="IB2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167</v>
      </c>
      <c r="IC20" s="208"/>
    </row>
    <row r="21" spans="1:237">
      <c r="A21" t="s">
        <v>281</v>
      </c>
      <c r="B21" t="s">
        <v>282</v>
      </c>
      <c r="C21" s="158">
        <v>37168</v>
      </c>
      <c r="D21" s="62">
        <f t="shared" ca="1" si="0"/>
        <v>16</v>
      </c>
      <c r="E21" t="s">
        <v>10</v>
      </c>
      <c r="F21" s="159" t="s">
        <v>50</v>
      </c>
      <c r="G21" t="s">
        <v>45</v>
      </c>
      <c r="H21" s="160"/>
      <c r="I21" s="62"/>
      <c r="J21" s="62" t="s">
        <v>244</v>
      </c>
      <c r="K21" s="62"/>
      <c r="L21" s="61">
        <v>160</v>
      </c>
      <c r="M21">
        <v>191</v>
      </c>
      <c r="N21" s="62" t="s">
        <v>244</v>
      </c>
      <c r="O21" s="62" t="s">
        <v>244</v>
      </c>
      <c r="P21" s="62" t="s">
        <v>244</v>
      </c>
      <c r="Q21" s="62" t="s">
        <v>244</v>
      </c>
      <c r="R21" s="62" t="s">
        <v>244</v>
      </c>
      <c r="S21" s="191"/>
      <c r="T21" s="62" t="s">
        <v>244</v>
      </c>
      <c r="U21" s="61"/>
      <c r="V21" s="62" t="s">
        <v>244</v>
      </c>
      <c r="W21" s="62" t="s">
        <v>244</v>
      </c>
      <c r="X21" s="62" t="s">
        <v>244</v>
      </c>
      <c r="Y21" s="62" t="s">
        <v>244</v>
      </c>
      <c r="Z21" s="62" t="s">
        <v>244</v>
      </c>
      <c r="AA21" s="62" t="s">
        <v>244</v>
      </c>
      <c r="AB21" s="62" t="s">
        <v>244</v>
      </c>
      <c r="AC21" s="62" t="s">
        <v>244</v>
      </c>
      <c r="AD21" s="62" t="s">
        <v>244</v>
      </c>
      <c r="AE21" s="62" t="s">
        <v>244</v>
      </c>
      <c r="AF21" s="163" t="s">
        <v>244</v>
      </c>
      <c r="AG21" s="163" t="s">
        <v>244</v>
      </c>
      <c r="AH21" s="163" t="s">
        <v>244</v>
      </c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163" t="b">
        <v>0</v>
      </c>
      <c r="BD21" s="163" t="b">
        <v>1</v>
      </c>
      <c r="BE21" s="163" t="b">
        <v>1</v>
      </c>
      <c r="BF21" s="163" t="b">
        <v>0</v>
      </c>
      <c r="BG21" s="164" t="b">
        <v>0</v>
      </c>
      <c r="BH21" s="163" t="b">
        <v>1</v>
      </c>
      <c r="BI21" s="163"/>
      <c r="BJ21" s="163"/>
      <c r="BK21" s="163"/>
      <c r="BL21" s="163"/>
      <c r="BM21" s="163"/>
      <c r="BN21" s="163"/>
      <c r="BO21" s="163"/>
      <c r="BP21" s="163"/>
      <c r="BQ21" s="163" t="b">
        <v>0</v>
      </c>
      <c r="BR21" s="163"/>
      <c r="BS21" s="163"/>
      <c r="BT21" s="163"/>
      <c r="BU21" s="163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63"/>
      <c r="CG21" s="163"/>
      <c r="CH21" s="163"/>
      <c r="CI21" s="163"/>
      <c r="CJ21" s="163"/>
      <c r="CK21" s="163"/>
      <c r="CL21" s="163"/>
      <c r="CM21" s="163"/>
      <c r="CN21" s="163"/>
      <c r="CO21" s="163"/>
      <c r="CP21" s="163"/>
      <c r="CQ21" s="163"/>
      <c r="CR21" s="163"/>
      <c r="CS21" s="163"/>
      <c r="CT21" s="163"/>
      <c r="CU21" s="163"/>
      <c r="CV21" s="163"/>
      <c r="CW21" s="163"/>
      <c r="CX21" s="163"/>
      <c r="CY21" s="163"/>
      <c r="CZ21" s="163"/>
      <c r="DA21" s="163"/>
      <c r="DB21" s="163"/>
      <c r="DC21" s="163"/>
      <c r="DD21" s="163"/>
      <c r="DE21" s="163"/>
      <c r="DF21" s="163"/>
      <c r="DG21" s="208"/>
      <c r="DH21" s="163"/>
      <c r="DI21" s="163"/>
      <c r="DJ21" s="163"/>
      <c r="DK21" s="163"/>
      <c r="DL21" s="163"/>
      <c r="DM21" s="163"/>
      <c r="DN21" s="163"/>
      <c r="DO21" s="163"/>
      <c r="DP21" s="163"/>
      <c r="DQ21" s="163"/>
      <c r="DR21" s="163"/>
      <c r="DS21" s="163"/>
      <c r="DT21" s="163"/>
      <c r="DU21" s="163"/>
      <c r="DV21" s="163"/>
      <c r="DW21" s="163"/>
      <c r="DX21" s="163"/>
      <c r="DY21" s="163"/>
      <c r="DZ21" s="163"/>
      <c r="EA21" s="163"/>
      <c r="EB21" s="163"/>
      <c r="EC21" s="163"/>
      <c r="ED21" s="163"/>
      <c r="EE21" s="163"/>
      <c r="EF21" s="163"/>
      <c r="EG21" s="163"/>
      <c r="EH21" s="160">
        <f>IF([Chambre]*1='CHAMBRES FILLES 2e ETAGE'!$A$5,1,0)</f>
        <v>0</v>
      </c>
      <c r="EI21" s="161">
        <f>IF([Occurrence2]=0,0,SUM($EH$2:EH21))</f>
        <v>0</v>
      </c>
      <c r="EJ21" s="160">
        <f>IF([Chambre]*1='CHAMBRES FILLES 2e ETAGE'!$A$11,1,0)</f>
        <v>0</v>
      </c>
      <c r="EK21" s="160">
        <f>IF([Occurrence3]=0,0,SUM($EJ$2:EJ21))</f>
        <v>0</v>
      </c>
      <c r="EL21" s="160">
        <f>IF([Chambre]*1='CHAMBRES FILLES 2e ETAGE'!$A$17,1,0)</f>
        <v>1</v>
      </c>
      <c r="EM21" s="160">
        <f>IF([Occurrence4]=0,0,SUM($EL$2:EL21))</f>
        <v>1</v>
      </c>
      <c r="EN21" s="160">
        <f>IF([Chambre]*1='CHAMBRES FILLES 2e ETAGE'!$A$23,1,0)</f>
        <v>0</v>
      </c>
      <c r="EO21" s="160">
        <f>IF([Occurrence5]=0,0,SUM($EN$2:EN21))</f>
        <v>0</v>
      </c>
      <c r="EP21" s="160">
        <f>IF([Chambre]*1='CHAMBRES FILLES 2e ETAGE'!$A$29,1,0)</f>
        <v>0</v>
      </c>
      <c r="EQ21" s="160">
        <f>IF([Occurrence6]=0,0,SUM($EP$2:EP21))</f>
        <v>0</v>
      </c>
      <c r="ER21" s="160">
        <f>IF([Chambre]*1='CHAMBRES FILLES 2e ETAGE'!$A$35,1,0)</f>
        <v>0</v>
      </c>
      <c r="ES21" s="160">
        <f>IF([Occurrence7]=0,0,SUM($ER$2:ER21))</f>
        <v>0</v>
      </c>
      <c r="ET21" s="160">
        <f>IF([Chambre]*1='CHAMBRES FILLES 2e ETAGE'!$A$41,1,0)</f>
        <v>0</v>
      </c>
      <c r="EU21" s="160">
        <f>IF([Occurrence8]=0,0,SUM($ET$2:ET21))</f>
        <v>0</v>
      </c>
      <c r="EV21" s="160">
        <f>IF([Chambre]*1='CHAMBRES FILLES 2e ETAGE'!$A$47,1,0)</f>
        <v>0</v>
      </c>
      <c r="EW21" s="160">
        <f>IF([Occurrence9]=0,0,SUM($EV$2:EV21))</f>
        <v>0</v>
      </c>
      <c r="EX21" s="160">
        <f>IF([Chambre]*1='CHAMBRES FILLES 2e ETAGE'!$A$53,1,0)</f>
        <v>0</v>
      </c>
      <c r="EY21" s="160">
        <f>IF([Occurrence10]=0,0,SUM($EX$2:EX21))</f>
        <v>0</v>
      </c>
      <c r="EZ21" s="160">
        <f>IF([Chambre]*1='CHAMBRES FILLES 2e ETAGE'!$A$59,1,0)</f>
        <v>0</v>
      </c>
      <c r="FA21" s="160">
        <f>IF([Occurrence11]=0,0,SUM($EZ$2:EZ21))</f>
        <v>0</v>
      </c>
      <c r="FB21" s="160">
        <f>IF([Chambre]*1='CHAMBRES FILLES 2e ETAGE'!$A$65,1,0)</f>
        <v>0</v>
      </c>
      <c r="FC21" s="160">
        <f>IF([Occurrence12]=0,0,SUM($FB$2:FB21))</f>
        <v>0</v>
      </c>
      <c r="FD21" s="160">
        <f>IF([Chambre]*1='CHAMBRES FILLES 2e ETAGE'!$A$71,1,0)</f>
        <v>0</v>
      </c>
      <c r="FE21" s="160">
        <f>IF([Occurrence13]=0,0,SUM($FD$2:FD21))</f>
        <v>0</v>
      </c>
      <c r="FF21" s="160">
        <f>IF([Chambre]*1='CHAMBRES FILLES 2e ETAGE'!$A$77,1,0)</f>
        <v>0</v>
      </c>
      <c r="FG21" s="160">
        <f>IF([Occurrence14]=0,0,SUM($FF$2:FF21))</f>
        <v>0</v>
      </c>
      <c r="FH21" s="160">
        <f>IF([Chambre]*1='CHAMBRES FILLES 2e ETAGE'!$A$83,1,0)</f>
        <v>0</v>
      </c>
      <c r="FI21" s="160">
        <f>IF([Occurrence15]=0,0,SUM($FH$2:FH21))</f>
        <v>0</v>
      </c>
      <c r="FJ21" s="160">
        <f>IF([Chambre]*1='CHAMBRES FILLES 2e ETAGE'!$A$89,1,0)</f>
        <v>0</v>
      </c>
      <c r="FK21" s="160">
        <f>IF([Occurrence16]=0,0,SUM($FJ$2:FJ21))</f>
        <v>0</v>
      </c>
      <c r="FL21" s="160">
        <f>IF([Chambre]*1='CHAMBRES FILLES 2e ETAGE'!$A$95,1,0)</f>
        <v>0</v>
      </c>
      <c r="FM21" s="160">
        <f>IF([Occurrence17]=0,0,SUM($FL$2:FL21))</f>
        <v>0</v>
      </c>
      <c r="FN21" s="160">
        <f>IF([Chambre2]*1='CHAMBRES FILLES 1e ETAGE'!$A$5,1,0)</f>
        <v>0</v>
      </c>
      <c r="FO21" s="160">
        <f>IF([Occurrence18]=0,0,SUM($FN$2:FN21))</f>
        <v>0</v>
      </c>
      <c r="FP21" s="160">
        <f>IF([Chambre2]*1='CHAMBRES FILLES 1e ETAGE'!$A$11,1,0)</f>
        <v>0</v>
      </c>
      <c r="FQ21" s="160">
        <f>IF([Occurrence19]=0,0,SUM($FP$2:FP21))</f>
        <v>0</v>
      </c>
      <c r="FR21" s="160">
        <f>IF([Chambre2]*1='CHAMBRES FILLES 1e ETAGE'!$A$17,1,0)</f>
        <v>0</v>
      </c>
      <c r="FS21" s="160">
        <f>IF([Occurrence20]=0,0,SUM($FR$2:FR21))</f>
        <v>0</v>
      </c>
      <c r="FT21" s="160">
        <f>IF([Chambre2]*1='CHAMBRES FILLES 1e ETAGE'!$A$23,1,0)</f>
        <v>0</v>
      </c>
      <c r="FU21" s="160">
        <f>IF([Occurrence21]=0,0,SUM($FT$2:FT21))</f>
        <v>0</v>
      </c>
      <c r="FV21" s="160">
        <f>IF([Chambre2]*1='CHAMBRES FILLES 1e ETAGE'!$A$29,1,0)</f>
        <v>0</v>
      </c>
      <c r="FW21" s="160">
        <f>IF([Occurrence22]=0,0,SUM($FV$2:FV21))</f>
        <v>0</v>
      </c>
      <c r="FX21" s="160">
        <f>IF([Chambre2]*1='CHAMBRES FILLES 1e ETAGE'!$A$35,1,0)</f>
        <v>0</v>
      </c>
      <c r="FY21" s="160">
        <f>IF([Occurrence23]=0,0,SUM($FX$2:FX21))</f>
        <v>0</v>
      </c>
      <c r="FZ21" s="160">
        <f>IF([Chambre2]*1='CHAMBRES FILLES 1e ETAGE'!$A$41,1,0)</f>
        <v>0</v>
      </c>
      <c r="GA21" s="160">
        <f>IF([Occurrence24]=0,0,SUM($FZ$2:FZ21))</f>
        <v>0</v>
      </c>
      <c r="GB21" s="160">
        <f>IF([Chambre2]*1='CHAMBRES FILLES 1e ETAGE'!$A$47,1,0)</f>
        <v>0</v>
      </c>
      <c r="GC21" s="160">
        <f>IF([Occurrence25]=0,0,SUM($GB$2:GB21))</f>
        <v>0</v>
      </c>
      <c r="GD21" s="160">
        <f>IF([Chambre2]*1='CHAMBRES FILLES 1e ETAGE'!$A$53,1,0)</f>
        <v>0</v>
      </c>
      <c r="GE21" s="160">
        <f>IF([Occurrence26]=0,0,SUM($GD$2:GD21))</f>
        <v>0</v>
      </c>
      <c r="GF21" s="160">
        <f>IF([chambre4]*1='CHAMBRES GARCONS 1e ETAGE'!$A$5,1,0)</f>
        <v>0</v>
      </c>
      <c r="GG21" s="160">
        <f>IF([Occurrence27]=0,0,SUM($GF$2:GF21))</f>
        <v>0</v>
      </c>
      <c r="GH21" s="160">
        <f>IF([chambre4]*1='CHAMBRES GARCONS 1e ETAGE'!$A$11,1,0)</f>
        <v>0</v>
      </c>
      <c r="GI21" s="160">
        <f>IF([Occurrence28]=0,0,SUM($GH$2:GH21))</f>
        <v>0</v>
      </c>
      <c r="GJ21" s="160">
        <f>IF([chambre4]*1='CHAMBRES GARCONS 1e ETAGE'!$A$17,1,0)</f>
        <v>0</v>
      </c>
      <c r="GK21" s="160">
        <f>IF([Occurrence29]=0,0,SUM($GJ$2:GJ21))</f>
        <v>0</v>
      </c>
      <c r="GL21" s="160">
        <f>IF([chambre4]*1='CHAMBRES GARCONS 1e ETAGE'!$A$23,1,0)</f>
        <v>0</v>
      </c>
      <c r="GM21" s="160">
        <f>IF([Occurrence30]=0,0,SUM($GL$2:GL21))</f>
        <v>0</v>
      </c>
      <c r="GN21" s="160">
        <f>IF([chambre4]*1='CHAMBRES GARCONS 1e ETAGE'!$A$29,1,0)</f>
        <v>0</v>
      </c>
      <c r="GO21" s="160">
        <f>IF([Occurrence31]=0,0,SUM($GN$2:GN21))</f>
        <v>0</v>
      </c>
      <c r="GP21" s="160">
        <f>IF([chambre4]*1='CHAMBRES GARCONS 1e ETAGE'!$A$35,1,0)</f>
        <v>0</v>
      </c>
      <c r="GQ21" s="160">
        <f>IF([Occurrence32]=0,0,SUM($GP$2:GP21))</f>
        <v>0</v>
      </c>
      <c r="GR21" s="160">
        <f>IF([chambre3]*1='CHAMBRES GARCONS RDC'!$A$5,1,0)</f>
        <v>0</v>
      </c>
      <c r="GS21" s="160">
        <f>IF([Occurrence33]=0,0,SUM($GR$2:GR21))</f>
        <v>0</v>
      </c>
      <c r="GT21" s="160">
        <f>IF([chambre3]*1='CHAMBRES GARCONS RDC'!$A$11,1,0)</f>
        <v>0</v>
      </c>
      <c r="GU21" s="160">
        <f>IF([Occurrence34]=0,0,SUM($GT$2:GT21))</f>
        <v>0</v>
      </c>
      <c r="GV21" s="160">
        <f>IF([chambre3]*1='CHAMBRES GARCONS RDC'!$A$17,1,0)</f>
        <v>0</v>
      </c>
      <c r="GW21" s="160">
        <f>IF([Occurrence35]=0,0,SUM($GV$2:GV21))</f>
        <v>0</v>
      </c>
      <c r="GX21" s="160">
        <f>IF([chambre3]*1='CHAMBRES GARCONS RDC'!$A$23,1,0)</f>
        <v>0</v>
      </c>
      <c r="GY21" s="160">
        <f>IF([Occurrence36]=0,0,SUM($GX$2:GX21))</f>
        <v>0</v>
      </c>
      <c r="GZ21" s="160">
        <f>IF([chambre3]*1='CHAMBRES GARCONS RDC'!$A$29,1,0)</f>
        <v>0</v>
      </c>
      <c r="HA21" s="160">
        <f>IF([Occurrence37]=0,0,SUM($GZ$2:GZ21))</f>
        <v>0</v>
      </c>
      <c r="HB21" s="160">
        <f>IF([chambre3]*1='CHAMBRES GARCONS RDC'!$A$35,1,0)</f>
        <v>0</v>
      </c>
      <c r="HC21" s="160">
        <f>IF([Occurrence38]=0,0,SUM($HB$2:HB21))</f>
        <v>0</v>
      </c>
      <c r="HD21" s="160">
        <f>IF([chambre3]*1='CHAMBRES GARCONS RDC'!$A$41,1,0)</f>
        <v>0</v>
      </c>
      <c r="HE21" s="160">
        <f>IF([Occurrence39]=0,0,SUM($HD$2:HD21))</f>
        <v>0</v>
      </c>
      <c r="HF21" s="160">
        <f>IF([chambre3]*1='CHAMBRES GARCONS RDC'!$A$47,1,0)</f>
        <v>0</v>
      </c>
      <c r="HG21" s="160">
        <f>IF([Occurrence40]=0,0,SUM($HF$2:HF21))</f>
        <v>0</v>
      </c>
      <c r="HH21" s="160">
        <f>IF([chambre3]*1='CHAMBRES GARCONS RDC'!$A$53,1,0)</f>
        <v>0</v>
      </c>
      <c r="HI21" s="160">
        <f>IF([Occurrence41]=0,0,SUM($HH$2:HH21))</f>
        <v>0</v>
      </c>
      <c r="HJ21" s="160">
        <f>IF([chambre3]*1='CHAMBRES GARCONS RDC'!$A$59,1,0)</f>
        <v>0</v>
      </c>
      <c r="HK21" s="160">
        <f>IF([Occurrence42]=0,0,SUM($HJ$2:HJ21))</f>
        <v>0</v>
      </c>
      <c r="HL21" s="160">
        <f>IF([chambre3]*1='CHAMBRES GARCONS RDC'!$A$65,1,0)</f>
        <v>0</v>
      </c>
      <c r="HM21" s="160">
        <f>IF([Occurrence43]=0,0,SUM($HL$2:HL21))</f>
        <v>0</v>
      </c>
      <c r="HN21" s="160">
        <f>IF([chambre3]*1='CHAMBRES GARCONS RDC'!$A$71,1,0)</f>
        <v>0</v>
      </c>
      <c r="HO21" s="160">
        <f>IF([Occurrence44]=0,0,SUM($HN$2:HN21))</f>
        <v>0</v>
      </c>
      <c r="HP21" s="160">
        <f>IF([chambre3]*1='CHAMBRES GARCONS RDC'!$A$77,1,0)</f>
        <v>0</v>
      </c>
      <c r="HQ21" s="160">
        <f>IF([Occurrence45]=0,0,SUM($HP$2:HP21))</f>
        <v>0</v>
      </c>
      <c r="HR21" s="160">
        <f>IF([chambre3]*1='CHAMBRES GARCONS RDC'!$A$83,1,0)</f>
        <v>0</v>
      </c>
      <c r="HS21" s="160">
        <f>IF([Occurrence46]=0,0,SUM($HR$2:HR21))</f>
        <v>0</v>
      </c>
      <c r="HT21" s="160">
        <f>IF([chambre3]*1='CHAMBRES GARCONS RDC'!$A$89,1,0)</f>
        <v>0</v>
      </c>
      <c r="HU21" s="160">
        <f>IF([Occurrence47]=0,0,SUM($HT$2:HT21))</f>
        <v>0</v>
      </c>
      <c r="HV21" s="160">
        <f>IF([chambre3]*1='CHAMBRES GARCONS RDC'!$A$95,1,0)</f>
        <v>0</v>
      </c>
      <c r="HW21" s="160">
        <f>IF([Occurrence48]=0,0,SUM($HV$2:HV21))</f>
        <v>0</v>
      </c>
      <c r="HX21" s="160"/>
      <c r="HY21" s="160"/>
      <c r="HZ21" s="160">
        <f>IF([Classe]='Liste élève par classes'!$B$5,1,0)</f>
        <v>0</v>
      </c>
      <c r="IA21" s="160">
        <f>IF([Occurrence]=0,0,SUM($HZ$2:HZ21))</f>
        <v>0</v>
      </c>
      <c r="IB2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160</v>
      </c>
      <c r="IC21" s="208"/>
    </row>
    <row r="22" spans="1:237">
      <c r="A22" t="s">
        <v>283</v>
      </c>
      <c r="B22" t="s">
        <v>284</v>
      </c>
      <c r="C22" s="158">
        <v>36334</v>
      </c>
      <c r="D22" s="62">
        <f t="shared" ca="1" si="0"/>
        <v>18</v>
      </c>
      <c r="E22" t="s">
        <v>9</v>
      </c>
      <c r="F22" s="159" t="s">
        <v>50</v>
      </c>
      <c r="G22" t="s">
        <v>45</v>
      </c>
      <c r="H22" s="160"/>
      <c r="I22" s="161"/>
      <c r="J22" s="161"/>
      <c r="K22" s="161"/>
      <c r="L22" s="160">
        <v>172</v>
      </c>
      <c r="M22">
        <v>27</v>
      </c>
      <c r="N22" s="161"/>
      <c r="O22" s="161"/>
      <c r="P22" s="161"/>
      <c r="Q22" s="161"/>
      <c r="R22" s="161"/>
      <c r="S22" s="190"/>
      <c r="T22" s="161"/>
      <c r="U22" s="160"/>
      <c r="V22" s="161"/>
      <c r="W22" s="161"/>
      <c r="X22" s="161"/>
      <c r="Y22" s="161"/>
      <c r="Z22" s="161"/>
      <c r="AA22" s="161"/>
      <c r="AB22" s="161"/>
      <c r="AC22" s="161"/>
      <c r="AD22" s="161"/>
      <c r="AE22" s="161"/>
      <c r="AF22" s="163"/>
      <c r="AG22" s="163"/>
      <c r="AH22" s="163"/>
      <c r="AI22" s="163"/>
      <c r="AJ22" s="163"/>
      <c r="AK22" s="163"/>
      <c r="AL22" s="163"/>
      <c r="AM22" s="163"/>
      <c r="AN22" s="163"/>
      <c r="AO22" s="163"/>
      <c r="AP22" s="163"/>
      <c r="AQ22" s="163"/>
      <c r="AR22" s="163"/>
      <c r="AS22" s="163"/>
      <c r="AT22" s="163"/>
      <c r="AU22" s="163"/>
      <c r="AV22" s="163"/>
      <c r="AW22" s="163"/>
      <c r="AX22" s="163"/>
      <c r="AY22" s="163"/>
      <c r="AZ22" s="163"/>
      <c r="BA22" s="163"/>
      <c r="BB22" s="163"/>
      <c r="BC22" s="163" t="b">
        <v>0</v>
      </c>
      <c r="BD22" s="163" t="b">
        <v>1</v>
      </c>
      <c r="BE22" s="163" t="b">
        <v>1</v>
      </c>
      <c r="BF22" s="163" t="b">
        <v>0</v>
      </c>
      <c r="BG22" s="164" t="b">
        <v>0</v>
      </c>
      <c r="BH22" s="163" t="b">
        <v>1</v>
      </c>
      <c r="BI22" s="163"/>
      <c r="BJ22" s="163"/>
      <c r="BK22" s="163"/>
      <c r="BL22" s="163"/>
      <c r="BM22" s="163"/>
      <c r="BN22" s="163"/>
      <c r="BO22" s="163"/>
      <c r="BP22" s="163"/>
      <c r="BQ22" s="163" t="b">
        <v>1</v>
      </c>
      <c r="BR22" s="163"/>
      <c r="BS22" s="163"/>
      <c r="BT22" s="163"/>
      <c r="BU22" s="163"/>
      <c r="BV22" s="163"/>
      <c r="BW22" s="163"/>
      <c r="BX22" s="163"/>
      <c r="BY22" s="163"/>
      <c r="BZ22" s="163"/>
      <c r="CA22" s="163"/>
      <c r="CB22" s="163"/>
      <c r="CC22" s="163"/>
      <c r="CD22" s="163"/>
      <c r="CE22" s="163"/>
      <c r="CF22" s="163"/>
      <c r="CG22" s="163"/>
      <c r="CH22" s="163"/>
      <c r="CI22" s="163"/>
      <c r="CJ22" s="163"/>
      <c r="CK22" s="163"/>
      <c r="CL22" s="163"/>
      <c r="CM22" s="163"/>
      <c r="CN22" s="163"/>
      <c r="CO22" s="163"/>
      <c r="CP22" s="163"/>
      <c r="CQ22" s="163"/>
      <c r="CR22" s="163"/>
      <c r="CS22" s="163"/>
      <c r="CT22" s="163"/>
      <c r="CU22" s="163"/>
      <c r="CV22" s="163"/>
      <c r="CW22" s="163"/>
      <c r="CX22" s="163"/>
      <c r="CY22" s="163"/>
      <c r="CZ22" s="163"/>
      <c r="DA22" s="163"/>
      <c r="DB22" s="163"/>
      <c r="DC22" s="163"/>
      <c r="DD22" s="163"/>
      <c r="DE22" s="163"/>
      <c r="DF22" s="163"/>
      <c r="DG22" s="208"/>
      <c r="DH22" s="163"/>
      <c r="DI22" s="163"/>
      <c r="DJ22" s="163"/>
      <c r="DK22" s="163"/>
      <c r="DL22" s="163"/>
      <c r="DM22" s="163"/>
      <c r="DN22" s="163"/>
      <c r="DO22" s="163"/>
      <c r="DP22" s="163"/>
      <c r="DQ22" s="163"/>
      <c r="DR22" s="163"/>
      <c r="DS22" s="163"/>
      <c r="DT22" s="163"/>
      <c r="DU22" s="163"/>
      <c r="DV22" s="163"/>
      <c r="DW22" s="163"/>
      <c r="DX22" s="163"/>
      <c r="DY22" s="163"/>
      <c r="DZ22" s="163"/>
      <c r="EA22" s="163"/>
      <c r="EB22" s="163"/>
      <c r="EC22" s="163"/>
      <c r="ED22" s="163"/>
      <c r="EE22" s="163"/>
      <c r="EF22" s="163"/>
      <c r="EG22" s="163"/>
      <c r="EH22" s="160">
        <f>IF([Chambre]*1='CHAMBRES FILLES 2e ETAGE'!$A$5,1,0)</f>
        <v>0</v>
      </c>
      <c r="EI22" s="161">
        <f>IF([Occurrence2]=0,0,SUM($EH$2:EH22))</f>
        <v>0</v>
      </c>
      <c r="EJ22" s="160">
        <f>IF([Chambre]*1='CHAMBRES FILLES 2e ETAGE'!$A$11,1,0)</f>
        <v>0</v>
      </c>
      <c r="EK22" s="160">
        <f>IF([Occurrence3]=0,0,SUM($EJ$2:EJ22))</f>
        <v>0</v>
      </c>
      <c r="EL22" s="160">
        <f>IF([Chambre]*1='CHAMBRES FILLES 2e ETAGE'!$A$17,1,0)</f>
        <v>0</v>
      </c>
      <c r="EM22" s="160">
        <f>IF([Occurrence4]=0,0,SUM($EL$2:EL22))</f>
        <v>0</v>
      </c>
      <c r="EN22" s="160">
        <f>IF([Chambre]*1='CHAMBRES FILLES 2e ETAGE'!$A$23,1,0)</f>
        <v>0</v>
      </c>
      <c r="EO22" s="160">
        <f>IF([Occurrence5]=0,0,SUM($EN$2:EN22))</f>
        <v>0</v>
      </c>
      <c r="EP22" s="160">
        <f>IF([Chambre]*1='CHAMBRES FILLES 2e ETAGE'!$A$29,1,0)</f>
        <v>0</v>
      </c>
      <c r="EQ22" s="160">
        <f>IF([Occurrence6]=0,0,SUM($EP$2:EP22))</f>
        <v>0</v>
      </c>
      <c r="ER22" s="160">
        <f>IF([Chambre]*1='CHAMBRES FILLES 2e ETAGE'!$A$35,1,0)</f>
        <v>0</v>
      </c>
      <c r="ES22" s="160">
        <f>IF([Occurrence7]=0,0,SUM($ER$2:ER22))</f>
        <v>0</v>
      </c>
      <c r="ET22" s="160">
        <f>IF([Chambre]*1='CHAMBRES FILLES 2e ETAGE'!$A$41,1,0)</f>
        <v>0</v>
      </c>
      <c r="EU22" s="160">
        <f>IF([Occurrence8]=0,0,SUM($ET$2:ET22))</f>
        <v>0</v>
      </c>
      <c r="EV22" s="160">
        <f>IF([Chambre]*1='CHAMBRES FILLES 2e ETAGE'!$A$47,1,0)</f>
        <v>0</v>
      </c>
      <c r="EW22" s="160">
        <f>IF([Occurrence9]=0,0,SUM($EV$2:EV22))</f>
        <v>0</v>
      </c>
      <c r="EX22" s="160">
        <f>IF([Chambre]*1='CHAMBRES FILLES 2e ETAGE'!$A$53,1,0)</f>
        <v>0</v>
      </c>
      <c r="EY22" s="160">
        <f>IF([Occurrence10]=0,0,SUM($EX$2:EX22))</f>
        <v>0</v>
      </c>
      <c r="EZ22" s="160">
        <f>IF([Chambre]*1='CHAMBRES FILLES 2e ETAGE'!$A$59,1,0)</f>
        <v>0</v>
      </c>
      <c r="FA22" s="160">
        <f>IF([Occurrence11]=0,0,SUM($EZ$2:EZ22))</f>
        <v>0</v>
      </c>
      <c r="FB22" s="160">
        <f>IF([Chambre]*1='CHAMBRES FILLES 2e ETAGE'!$A$65,1,0)</f>
        <v>1</v>
      </c>
      <c r="FC22" s="160">
        <f>IF([Occurrence12]=0,0,SUM($FB$2:FB22))</f>
        <v>1</v>
      </c>
      <c r="FD22" s="160">
        <f>IF([Chambre]*1='CHAMBRES FILLES 2e ETAGE'!$A$71,1,0)</f>
        <v>0</v>
      </c>
      <c r="FE22" s="160">
        <f>IF([Occurrence13]=0,0,SUM($FD$2:FD22))</f>
        <v>0</v>
      </c>
      <c r="FF22" s="160">
        <f>IF([Chambre]*1='CHAMBRES FILLES 2e ETAGE'!$A$77,1,0)</f>
        <v>0</v>
      </c>
      <c r="FG22" s="160">
        <f>IF([Occurrence14]=0,0,SUM($FF$2:FF22))</f>
        <v>0</v>
      </c>
      <c r="FH22" s="160">
        <f>IF([Chambre]*1='CHAMBRES FILLES 2e ETAGE'!$A$83,1,0)</f>
        <v>0</v>
      </c>
      <c r="FI22" s="160">
        <f>IF([Occurrence15]=0,0,SUM($FH$2:FH22))</f>
        <v>0</v>
      </c>
      <c r="FJ22" s="160">
        <f>IF([Chambre]*1='CHAMBRES FILLES 2e ETAGE'!$A$89,1,0)</f>
        <v>0</v>
      </c>
      <c r="FK22" s="160">
        <f>IF([Occurrence16]=0,0,SUM($FJ$2:FJ22))</f>
        <v>0</v>
      </c>
      <c r="FL22" s="160">
        <f>IF([Chambre]*1='CHAMBRES FILLES 2e ETAGE'!$A$95,1,0)</f>
        <v>0</v>
      </c>
      <c r="FM22" s="160">
        <f>IF([Occurrence17]=0,0,SUM($FL$2:FL22))</f>
        <v>0</v>
      </c>
      <c r="FN22" s="160">
        <f>IF([Chambre2]*1='CHAMBRES FILLES 1e ETAGE'!$A$5,1,0)</f>
        <v>0</v>
      </c>
      <c r="FO22" s="160">
        <f>IF([Occurrence18]=0,0,SUM($FN$2:FN22))</f>
        <v>0</v>
      </c>
      <c r="FP22" s="160">
        <f>IF([Chambre2]*1='CHAMBRES FILLES 1e ETAGE'!$A$11,1,0)</f>
        <v>0</v>
      </c>
      <c r="FQ22" s="160">
        <f>IF([Occurrence19]=0,0,SUM($FP$2:FP22))</f>
        <v>0</v>
      </c>
      <c r="FR22" s="160">
        <f>IF([Chambre2]*1='CHAMBRES FILLES 1e ETAGE'!$A$17,1,0)</f>
        <v>0</v>
      </c>
      <c r="FS22" s="160">
        <f>IF([Occurrence20]=0,0,SUM($FR$2:FR22))</f>
        <v>0</v>
      </c>
      <c r="FT22" s="160">
        <f>IF([Chambre2]*1='CHAMBRES FILLES 1e ETAGE'!$A$23,1,0)</f>
        <v>0</v>
      </c>
      <c r="FU22" s="160">
        <f>IF([Occurrence21]=0,0,SUM($FT$2:FT22))</f>
        <v>0</v>
      </c>
      <c r="FV22" s="160">
        <f>IF([Chambre2]*1='CHAMBRES FILLES 1e ETAGE'!$A$29,1,0)</f>
        <v>0</v>
      </c>
      <c r="FW22" s="160">
        <f>IF([Occurrence22]=0,0,SUM($FV$2:FV22))</f>
        <v>0</v>
      </c>
      <c r="FX22" s="160">
        <f>IF([Chambre2]*1='CHAMBRES FILLES 1e ETAGE'!$A$35,1,0)</f>
        <v>0</v>
      </c>
      <c r="FY22" s="160">
        <f>IF([Occurrence23]=0,0,SUM($FX$2:FX22))</f>
        <v>0</v>
      </c>
      <c r="FZ22" s="160">
        <f>IF([Chambre2]*1='CHAMBRES FILLES 1e ETAGE'!$A$41,1,0)</f>
        <v>0</v>
      </c>
      <c r="GA22" s="160">
        <f>IF([Occurrence24]=0,0,SUM($FZ$2:FZ22))</f>
        <v>0</v>
      </c>
      <c r="GB22" s="160">
        <f>IF([Chambre2]*1='CHAMBRES FILLES 1e ETAGE'!$A$47,1,0)</f>
        <v>0</v>
      </c>
      <c r="GC22" s="160">
        <f>IF([Occurrence25]=0,0,SUM($GB$2:GB22))</f>
        <v>0</v>
      </c>
      <c r="GD22" s="160">
        <f>IF([Chambre2]*1='CHAMBRES FILLES 1e ETAGE'!$A$53,1,0)</f>
        <v>0</v>
      </c>
      <c r="GE22" s="160">
        <f>IF([Occurrence26]=0,0,SUM($GD$2:GD22))</f>
        <v>0</v>
      </c>
      <c r="GF22" s="160">
        <f>IF([chambre4]*1='CHAMBRES GARCONS 1e ETAGE'!$A$5,1,0)</f>
        <v>0</v>
      </c>
      <c r="GG22" s="160">
        <f>IF([Occurrence27]=0,0,SUM($GF$2:GF22))</f>
        <v>0</v>
      </c>
      <c r="GH22" s="160">
        <f>IF([chambre4]*1='CHAMBRES GARCONS 1e ETAGE'!$A$11,1,0)</f>
        <v>0</v>
      </c>
      <c r="GI22" s="160">
        <f>IF([Occurrence28]=0,0,SUM($GH$2:GH22))</f>
        <v>0</v>
      </c>
      <c r="GJ22" s="160">
        <f>IF([chambre4]*1='CHAMBRES GARCONS 1e ETAGE'!$A$17,1,0)</f>
        <v>0</v>
      </c>
      <c r="GK22" s="160">
        <f>IF([Occurrence29]=0,0,SUM($GJ$2:GJ22))</f>
        <v>0</v>
      </c>
      <c r="GL22" s="160">
        <f>IF([chambre4]*1='CHAMBRES GARCONS 1e ETAGE'!$A$23,1,0)</f>
        <v>0</v>
      </c>
      <c r="GM22" s="160">
        <f>IF([Occurrence30]=0,0,SUM($GL$2:GL22))</f>
        <v>0</v>
      </c>
      <c r="GN22" s="160">
        <f>IF([chambre4]*1='CHAMBRES GARCONS 1e ETAGE'!$A$29,1,0)</f>
        <v>0</v>
      </c>
      <c r="GO22" s="160">
        <f>IF([Occurrence31]=0,0,SUM($GN$2:GN22))</f>
        <v>0</v>
      </c>
      <c r="GP22" s="160">
        <f>IF([chambre4]*1='CHAMBRES GARCONS 1e ETAGE'!$A$35,1,0)</f>
        <v>0</v>
      </c>
      <c r="GQ22" s="160">
        <f>IF([Occurrence32]=0,0,SUM($GP$2:GP22))</f>
        <v>0</v>
      </c>
      <c r="GR22" s="160">
        <f>IF([chambre3]*1='CHAMBRES GARCONS RDC'!$A$5,1,0)</f>
        <v>0</v>
      </c>
      <c r="GS22" s="160">
        <f>IF([Occurrence33]=0,0,SUM($GR$2:GR22))</f>
        <v>0</v>
      </c>
      <c r="GT22" s="160">
        <f>IF([chambre3]*1='CHAMBRES GARCONS RDC'!$A$11,1,0)</f>
        <v>0</v>
      </c>
      <c r="GU22" s="160">
        <f>IF([Occurrence34]=0,0,SUM($GT$2:GT22))</f>
        <v>0</v>
      </c>
      <c r="GV22" s="160">
        <f>IF([chambre3]*1='CHAMBRES GARCONS RDC'!$A$17,1,0)</f>
        <v>0</v>
      </c>
      <c r="GW22" s="160">
        <f>IF([Occurrence35]=0,0,SUM($GV$2:GV22))</f>
        <v>0</v>
      </c>
      <c r="GX22" s="160">
        <f>IF([chambre3]*1='CHAMBRES GARCONS RDC'!$A$23,1,0)</f>
        <v>0</v>
      </c>
      <c r="GY22" s="160">
        <f>IF([Occurrence36]=0,0,SUM($GX$2:GX22))</f>
        <v>0</v>
      </c>
      <c r="GZ22" s="160">
        <f>IF([chambre3]*1='CHAMBRES GARCONS RDC'!$A$29,1,0)</f>
        <v>0</v>
      </c>
      <c r="HA22" s="160">
        <f>IF([Occurrence37]=0,0,SUM($GZ$2:GZ22))</f>
        <v>0</v>
      </c>
      <c r="HB22" s="160">
        <f>IF([chambre3]*1='CHAMBRES GARCONS RDC'!$A$35,1,0)</f>
        <v>0</v>
      </c>
      <c r="HC22" s="160">
        <f>IF([Occurrence38]=0,0,SUM($HB$2:HB22))</f>
        <v>0</v>
      </c>
      <c r="HD22" s="160">
        <f>IF([chambre3]*1='CHAMBRES GARCONS RDC'!$A$41,1,0)</f>
        <v>0</v>
      </c>
      <c r="HE22" s="160">
        <f>IF([Occurrence39]=0,0,SUM($HD$2:HD22))</f>
        <v>0</v>
      </c>
      <c r="HF22" s="160">
        <f>IF([chambre3]*1='CHAMBRES GARCONS RDC'!$A$47,1,0)</f>
        <v>0</v>
      </c>
      <c r="HG22" s="160">
        <f>IF([Occurrence40]=0,0,SUM($HF$2:HF22))</f>
        <v>0</v>
      </c>
      <c r="HH22" s="160">
        <f>IF([chambre3]*1='CHAMBRES GARCONS RDC'!$A$53,1,0)</f>
        <v>0</v>
      </c>
      <c r="HI22" s="160">
        <f>IF([Occurrence41]=0,0,SUM($HH$2:HH22))</f>
        <v>0</v>
      </c>
      <c r="HJ22" s="160">
        <f>IF([chambre3]*1='CHAMBRES GARCONS RDC'!$A$59,1,0)</f>
        <v>0</v>
      </c>
      <c r="HK22" s="160">
        <f>IF([Occurrence42]=0,0,SUM($HJ$2:HJ22))</f>
        <v>0</v>
      </c>
      <c r="HL22" s="160">
        <f>IF([chambre3]*1='CHAMBRES GARCONS RDC'!$A$65,1,0)</f>
        <v>0</v>
      </c>
      <c r="HM22" s="160">
        <f>IF([Occurrence43]=0,0,SUM($HL$2:HL22))</f>
        <v>0</v>
      </c>
      <c r="HN22" s="160">
        <f>IF([chambre3]*1='CHAMBRES GARCONS RDC'!$A$71,1,0)</f>
        <v>0</v>
      </c>
      <c r="HO22" s="160">
        <f>IF([Occurrence44]=0,0,SUM($HN$2:HN22))</f>
        <v>0</v>
      </c>
      <c r="HP22" s="160">
        <f>IF([chambre3]*1='CHAMBRES GARCONS RDC'!$A$77,1,0)</f>
        <v>0</v>
      </c>
      <c r="HQ22" s="160">
        <f>IF([Occurrence45]=0,0,SUM($HP$2:HP22))</f>
        <v>0</v>
      </c>
      <c r="HR22" s="160">
        <f>IF([chambre3]*1='CHAMBRES GARCONS RDC'!$A$83,1,0)</f>
        <v>0</v>
      </c>
      <c r="HS22" s="160">
        <f>IF([Occurrence46]=0,0,SUM($HR$2:HR22))</f>
        <v>0</v>
      </c>
      <c r="HT22" s="160">
        <f>IF([chambre3]*1='CHAMBRES GARCONS RDC'!$A$89,1,0)</f>
        <v>0</v>
      </c>
      <c r="HU22" s="160">
        <f>IF([Occurrence47]=0,0,SUM($HT$2:HT22))</f>
        <v>0</v>
      </c>
      <c r="HV22" s="160">
        <f>IF([chambre3]*1='CHAMBRES GARCONS RDC'!$A$95,1,0)</f>
        <v>0</v>
      </c>
      <c r="HW22" s="160">
        <f>IF([Occurrence48]=0,0,SUM($HV$2:HV22))</f>
        <v>0</v>
      </c>
      <c r="HX22" s="160"/>
      <c r="HY22" s="160"/>
      <c r="HZ22" s="160">
        <f>IF([Classe]='Liste élève par classes'!$B$5,1,0)</f>
        <v>0</v>
      </c>
      <c r="IA22" s="160">
        <f>IF([Occurrence]=0,0,SUM($HZ$2:HZ22))</f>
        <v>0</v>
      </c>
      <c r="IB2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172</v>
      </c>
      <c r="IC22" s="208"/>
    </row>
    <row r="23" spans="1:237">
      <c r="A23" t="s">
        <v>285</v>
      </c>
      <c r="B23" t="s">
        <v>286</v>
      </c>
      <c r="C23" s="158">
        <v>37138</v>
      </c>
      <c r="D23" s="62">
        <f t="shared" ca="1" si="0"/>
        <v>16</v>
      </c>
      <c r="E23" t="s">
        <v>6</v>
      </c>
      <c r="F23" s="159" t="s">
        <v>46</v>
      </c>
      <c r="G23" t="s">
        <v>40</v>
      </c>
      <c r="H23" s="160"/>
      <c r="I23" s="62"/>
      <c r="J23" s="62"/>
      <c r="K23" s="62"/>
      <c r="L23" s="61"/>
      <c r="M23">
        <v>53</v>
      </c>
      <c r="N23" s="62"/>
      <c r="O23" s="62"/>
      <c r="P23" s="62"/>
      <c r="Q23" s="62"/>
      <c r="R23" s="62"/>
      <c r="S23" s="62"/>
      <c r="T23" s="62"/>
      <c r="U23" s="61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163"/>
      <c r="AG23" s="163"/>
      <c r="AH23" s="163"/>
      <c r="AI23" s="163"/>
      <c r="AJ23" s="163"/>
      <c r="AK23" s="163"/>
      <c r="AL23" s="163"/>
      <c r="AM23" s="163"/>
      <c r="AN23" s="163"/>
      <c r="AO23" s="163"/>
      <c r="AP23" s="163"/>
      <c r="AQ23" s="163"/>
      <c r="AR23" s="163"/>
      <c r="AS23" s="163"/>
      <c r="AT23" s="163"/>
      <c r="AU23" s="163"/>
      <c r="AV23" s="163"/>
      <c r="AW23" s="163"/>
      <c r="AX23" s="163"/>
      <c r="AY23" s="163"/>
      <c r="AZ23" s="163"/>
      <c r="BA23" s="163"/>
      <c r="BB23" s="163"/>
      <c r="BC23" s="163"/>
      <c r="BD23" s="163"/>
      <c r="BE23" s="163"/>
      <c r="BF23" s="163"/>
      <c r="BG23" s="163"/>
      <c r="BH23" s="163"/>
      <c r="BI23" s="163"/>
      <c r="BJ23" s="163"/>
      <c r="BK23" s="163"/>
      <c r="BL23" s="163"/>
      <c r="BM23" s="163"/>
      <c r="BN23" s="163"/>
      <c r="BO23" s="163"/>
      <c r="BP23" s="163"/>
      <c r="BQ23" s="163"/>
      <c r="BR23" s="163"/>
      <c r="BS23" s="163"/>
      <c r="BT23" s="163"/>
      <c r="BU23" s="163"/>
      <c r="BV23" s="163"/>
      <c r="BW23" s="163"/>
      <c r="BX23" s="163"/>
      <c r="BY23" s="163"/>
      <c r="BZ23" s="163"/>
      <c r="CA23" s="163"/>
      <c r="CB23" s="163"/>
      <c r="CC23" s="163"/>
      <c r="CD23" s="163"/>
      <c r="CE23" s="163"/>
      <c r="CF23" s="163"/>
      <c r="CG23" s="163"/>
      <c r="CH23" s="163"/>
      <c r="CI23" s="163"/>
      <c r="CJ23" s="163"/>
      <c r="CK23" s="163"/>
      <c r="CL23" s="163"/>
      <c r="CM23" s="163"/>
      <c r="CN23" s="163"/>
      <c r="CO23" s="163"/>
      <c r="CP23" s="163"/>
      <c r="CQ23" s="163"/>
      <c r="CR23" s="163"/>
      <c r="CS23" s="163"/>
      <c r="CT23" s="163"/>
      <c r="CU23" s="163"/>
      <c r="CV23" s="163"/>
      <c r="CW23" s="163"/>
      <c r="CX23" s="163"/>
      <c r="CY23" s="163"/>
      <c r="CZ23" s="163"/>
      <c r="DA23" s="163"/>
      <c r="DB23" s="163"/>
      <c r="DC23" s="163"/>
      <c r="DD23" s="163"/>
      <c r="DE23" s="163"/>
      <c r="DF23" s="163"/>
      <c r="DG23" s="163"/>
      <c r="DH23" s="163"/>
      <c r="DI23" s="163"/>
      <c r="DJ23" s="163"/>
      <c r="DK23" s="163"/>
      <c r="DL23" s="163"/>
      <c r="DM23" s="163"/>
      <c r="DN23" s="163"/>
      <c r="DO23" s="163"/>
      <c r="DP23" s="163"/>
      <c r="DQ23" s="163"/>
      <c r="DR23" s="163"/>
      <c r="DS23" s="163"/>
      <c r="DT23" s="163"/>
      <c r="DU23" s="163"/>
      <c r="DV23" s="163"/>
      <c r="DW23" s="163"/>
      <c r="DX23" s="163"/>
      <c r="DY23" s="163"/>
      <c r="DZ23" s="163"/>
      <c r="EA23" s="163"/>
      <c r="EB23" s="163"/>
      <c r="EC23" s="163"/>
      <c r="ED23" s="163"/>
      <c r="EE23" s="163"/>
      <c r="EF23" s="163"/>
      <c r="EG23" s="163"/>
      <c r="EH23" s="160">
        <f>IF([Chambre]*1='CHAMBRES FILLES 2e ETAGE'!$A$5,1,0)</f>
        <v>0</v>
      </c>
      <c r="EI23" s="161">
        <f>IF([Occurrence2]=0,0,SUM($EH$2:EH23))</f>
        <v>0</v>
      </c>
      <c r="EJ23" s="160">
        <f>IF([Chambre]*1='CHAMBRES FILLES 2e ETAGE'!$A$11,1,0)</f>
        <v>0</v>
      </c>
      <c r="EK23" s="160">
        <f>IF([Occurrence3]=0,0,SUM($EJ$2:EJ23))</f>
        <v>0</v>
      </c>
      <c r="EL23" s="160">
        <f>IF([Chambre]*1='CHAMBRES FILLES 2e ETAGE'!$A$17,1,0)</f>
        <v>0</v>
      </c>
      <c r="EM23" s="160">
        <f>IF([Occurrence4]=0,0,SUM($EL$2:EL23))</f>
        <v>0</v>
      </c>
      <c r="EN23" s="160">
        <f>IF([Chambre]*1='CHAMBRES FILLES 2e ETAGE'!$A$23,1,0)</f>
        <v>0</v>
      </c>
      <c r="EO23" s="160">
        <f>IF([Occurrence5]=0,0,SUM($EN$2:EN23))</f>
        <v>0</v>
      </c>
      <c r="EP23" s="160">
        <f>IF([Chambre]*1='CHAMBRES FILLES 2e ETAGE'!$A$29,1,0)</f>
        <v>0</v>
      </c>
      <c r="EQ23" s="160">
        <f>IF([Occurrence6]=0,0,SUM($EP$2:EP23))</f>
        <v>0</v>
      </c>
      <c r="ER23" s="160">
        <f>IF([Chambre]*1='CHAMBRES FILLES 2e ETAGE'!$A$35,1,0)</f>
        <v>0</v>
      </c>
      <c r="ES23" s="160">
        <f>IF([Occurrence7]=0,0,SUM($ER$2:ER23))</f>
        <v>0</v>
      </c>
      <c r="ET23" s="160">
        <f>IF([Chambre]*1='CHAMBRES FILLES 2e ETAGE'!$A$41,1,0)</f>
        <v>0</v>
      </c>
      <c r="EU23" s="160">
        <f>IF([Occurrence8]=0,0,SUM($ET$2:ET23))</f>
        <v>0</v>
      </c>
      <c r="EV23" s="160">
        <f>IF([Chambre]*1='CHAMBRES FILLES 2e ETAGE'!$A$47,1,0)</f>
        <v>0</v>
      </c>
      <c r="EW23" s="160">
        <f>IF([Occurrence9]=0,0,SUM($EV$2:EV23))</f>
        <v>0</v>
      </c>
      <c r="EX23" s="160">
        <f>IF([Chambre]*1='CHAMBRES FILLES 2e ETAGE'!$A$53,1,0)</f>
        <v>0</v>
      </c>
      <c r="EY23" s="160">
        <f>IF([Occurrence10]=0,0,SUM($EX$2:EX23))</f>
        <v>0</v>
      </c>
      <c r="EZ23" s="160">
        <f>IF([Chambre]*1='CHAMBRES FILLES 2e ETAGE'!$A$59,1,0)</f>
        <v>0</v>
      </c>
      <c r="FA23" s="160">
        <f>IF([Occurrence11]=0,0,SUM($EZ$2:EZ23))</f>
        <v>0</v>
      </c>
      <c r="FB23" s="160">
        <f>IF([Chambre]*1='CHAMBRES FILLES 2e ETAGE'!$A$65,1,0)</f>
        <v>0</v>
      </c>
      <c r="FC23" s="160">
        <f>IF([Occurrence12]=0,0,SUM($FB$2:FB23))</f>
        <v>0</v>
      </c>
      <c r="FD23" s="160">
        <f>IF([Chambre]*1='CHAMBRES FILLES 2e ETAGE'!$A$71,1,0)</f>
        <v>0</v>
      </c>
      <c r="FE23" s="160">
        <f>IF([Occurrence13]=0,0,SUM($FD$2:FD23))</f>
        <v>0</v>
      </c>
      <c r="FF23" s="160">
        <f>IF([Chambre]*1='CHAMBRES FILLES 2e ETAGE'!$A$77,1,0)</f>
        <v>0</v>
      </c>
      <c r="FG23" s="160">
        <f>IF([Occurrence14]=0,0,SUM($FF$2:FF23))</f>
        <v>0</v>
      </c>
      <c r="FH23" s="160">
        <f>IF([Chambre]*1='CHAMBRES FILLES 2e ETAGE'!$A$83,1,0)</f>
        <v>0</v>
      </c>
      <c r="FI23" s="160">
        <f>IF([Occurrence15]=0,0,SUM($FH$2:FH23))</f>
        <v>0</v>
      </c>
      <c r="FJ23" s="160">
        <f>IF([Chambre]*1='CHAMBRES FILLES 2e ETAGE'!$A$89,1,0)</f>
        <v>0</v>
      </c>
      <c r="FK23" s="160">
        <f>IF([Occurrence16]=0,0,SUM($FJ$2:FJ23))</f>
        <v>0</v>
      </c>
      <c r="FL23" s="160">
        <f>IF([Chambre]*1='CHAMBRES FILLES 2e ETAGE'!$A$95,1,0)</f>
        <v>0</v>
      </c>
      <c r="FM23" s="160">
        <f>IF([Occurrence17]=0,0,SUM($FL$2:FL23))</f>
        <v>0</v>
      </c>
      <c r="FN23" s="160">
        <f>IF([Chambre2]*1='CHAMBRES FILLES 1e ETAGE'!$A$5,1,0)</f>
        <v>0</v>
      </c>
      <c r="FO23" s="160">
        <f>IF([Occurrence18]=0,0,SUM($FN$2:FN23))</f>
        <v>0</v>
      </c>
      <c r="FP23" s="160">
        <f>IF([Chambre2]*1='CHAMBRES FILLES 1e ETAGE'!$A$11,1,0)</f>
        <v>0</v>
      </c>
      <c r="FQ23" s="160">
        <f>IF([Occurrence19]=0,0,SUM($FP$2:FP23))</f>
        <v>0</v>
      </c>
      <c r="FR23" s="160">
        <f>IF([Chambre2]*1='CHAMBRES FILLES 1e ETAGE'!$A$17,1,0)</f>
        <v>0</v>
      </c>
      <c r="FS23" s="160">
        <f>IF([Occurrence20]=0,0,SUM($FR$2:FR23))</f>
        <v>0</v>
      </c>
      <c r="FT23" s="160">
        <f>IF([Chambre2]*1='CHAMBRES FILLES 1e ETAGE'!$A$23,1,0)</f>
        <v>0</v>
      </c>
      <c r="FU23" s="160">
        <f>IF([Occurrence21]=0,0,SUM($FT$2:FT23))</f>
        <v>0</v>
      </c>
      <c r="FV23" s="160">
        <f>IF([Chambre2]*1='CHAMBRES FILLES 1e ETAGE'!$A$29,1,0)</f>
        <v>0</v>
      </c>
      <c r="FW23" s="160">
        <f>IF([Occurrence22]=0,0,SUM($FV$2:FV23))</f>
        <v>0</v>
      </c>
      <c r="FX23" s="160">
        <f>IF([Chambre2]*1='CHAMBRES FILLES 1e ETAGE'!$A$35,1,0)</f>
        <v>0</v>
      </c>
      <c r="FY23" s="160">
        <f>IF([Occurrence23]=0,0,SUM($FX$2:FX23))</f>
        <v>0</v>
      </c>
      <c r="FZ23" s="160">
        <f>IF([Chambre2]*1='CHAMBRES FILLES 1e ETAGE'!$A$41,1,0)</f>
        <v>0</v>
      </c>
      <c r="GA23" s="160">
        <f>IF([Occurrence24]=0,0,SUM($FZ$2:FZ23))</f>
        <v>0</v>
      </c>
      <c r="GB23" s="160">
        <f>IF([Chambre2]*1='CHAMBRES FILLES 1e ETAGE'!$A$47,1,0)</f>
        <v>0</v>
      </c>
      <c r="GC23" s="160">
        <f>IF([Occurrence25]=0,0,SUM($GB$2:GB23))</f>
        <v>0</v>
      </c>
      <c r="GD23" s="160">
        <f>IF([Chambre2]*1='CHAMBRES FILLES 1e ETAGE'!$A$53,1,0)</f>
        <v>0</v>
      </c>
      <c r="GE23" s="160">
        <f>IF([Occurrence26]=0,0,SUM($GD$2:GD23))</f>
        <v>0</v>
      </c>
      <c r="GF23" s="160">
        <f>IF([chambre4]*1='CHAMBRES GARCONS 1e ETAGE'!$A$5,1,0)</f>
        <v>0</v>
      </c>
      <c r="GG23" s="160">
        <f>IF([Occurrence27]=0,0,SUM($GF$2:GF23))</f>
        <v>0</v>
      </c>
      <c r="GH23" s="160">
        <f>IF([chambre4]*1='CHAMBRES GARCONS 1e ETAGE'!$A$11,1,0)</f>
        <v>0</v>
      </c>
      <c r="GI23" s="160">
        <f>IF([Occurrence28]=0,0,SUM($GH$2:GH23))</f>
        <v>0</v>
      </c>
      <c r="GJ23" s="160">
        <f>IF([chambre4]*1='CHAMBRES GARCONS 1e ETAGE'!$A$17,1,0)</f>
        <v>0</v>
      </c>
      <c r="GK23" s="160">
        <f>IF([Occurrence29]=0,0,SUM($GJ$2:GJ23))</f>
        <v>0</v>
      </c>
      <c r="GL23" s="160">
        <f>IF([chambre4]*1='CHAMBRES GARCONS 1e ETAGE'!$A$23,1,0)</f>
        <v>0</v>
      </c>
      <c r="GM23" s="160">
        <f>IF([Occurrence30]=0,0,SUM($GL$2:GL23))</f>
        <v>0</v>
      </c>
      <c r="GN23" s="160">
        <f>IF([chambre4]*1='CHAMBRES GARCONS 1e ETAGE'!$A$29,1,0)</f>
        <v>0</v>
      </c>
      <c r="GO23" s="160">
        <f>IF([Occurrence31]=0,0,SUM($GN$2:GN23))</f>
        <v>0</v>
      </c>
      <c r="GP23" s="160">
        <f>IF([chambre4]*1='CHAMBRES GARCONS 1e ETAGE'!$A$35,1,0)</f>
        <v>0</v>
      </c>
      <c r="GQ23" s="160">
        <f>IF([Occurrence32]=0,0,SUM($GP$2:GP23))</f>
        <v>0</v>
      </c>
      <c r="GR23" s="160">
        <f>IF([chambre3]*1='CHAMBRES GARCONS RDC'!$A$5,1,0)</f>
        <v>0</v>
      </c>
      <c r="GS23" s="160">
        <f>IF([Occurrence33]=0,0,SUM($GR$2:GR23))</f>
        <v>0</v>
      </c>
      <c r="GT23" s="160">
        <f>IF([chambre3]*1='CHAMBRES GARCONS RDC'!$A$11,1,0)</f>
        <v>0</v>
      </c>
      <c r="GU23" s="160">
        <f>IF([Occurrence34]=0,0,SUM($GT$2:GT23))</f>
        <v>0</v>
      </c>
      <c r="GV23" s="160">
        <f>IF([chambre3]*1='CHAMBRES GARCONS RDC'!$A$17,1,0)</f>
        <v>0</v>
      </c>
      <c r="GW23" s="160">
        <f>IF([Occurrence35]=0,0,SUM($GV$2:GV23))</f>
        <v>0</v>
      </c>
      <c r="GX23" s="160">
        <f>IF([chambre3]*1='CHAMBRES GARCONS RDC'!$A$23,1,0)</f>
        <v>0</v>
      </c>
      <c r="GY23" s="160">
        <f>IF([Occurrence36]=0,0,SUM($GX$2:GX23))</f>
        <v>0</v>
      </c>
      <c r="GZ23" s="160">
        <f>IF([chambre3]*1='CHAMBRES GARCONS RDC'!$A$29,1,0)</f>
        <v>0</v>
      </c>
      <c r="HA23" s="160">
        <f>IF([Occurrence37]=0,0,SUM($GZ$2:GZ23))</f>
        <v>0</v>
      </c>
      <c r="HB23" s="160">
        <f>IF([chambre3]*1='CHAMBRES GARCONS RDC'!$A$35,1,0)</f>
        <v>0</v>
      </c>
      <c r="HC23" s="160">
        <f>IF([Occurrence38]=0,0,SUM($HB$2:HB23))</f>
        <v>0</v>
      </c>
      <c r="HD23" s="160">
        <f>IF([chambre3]*1='CHAMBRES GARCONS RDC'!$A$41,1,0)</f>
        <v>0</v>
      </c>
      <c r="HE23" s="160">
        <f>IF([Occurrence39]=0,0,SUM($HD$2:HD23))</f>
        <v>0</v>
      </c>
      <c r="HF23" s="160">
        <f>IF([chambre3]*1='CHAMBRES GARCONS RDC'!$A$47,1,0)</f>
        <v>0</v>
      </c>
      <c r="HG23" s="160">
        <f>IF([Occurrence40]=0,0,SUM($HF$2:HF23))</f>
        <v>0</v>
      </c>
      <c r="HH23" s="160">
        <f>IF([chambre3]*1='CHAMBRES GARCONS RDC'!$A$53,1,0)</f>
        <v>0</v>
      </c>
      <c r="HI23" s="160">
        <f>IF([Occurrence41]=0,0,SUM($HH$2:HH23))</f>
        <v>0</v>
      </c>
      <c r="HJ23" s="160">
        <f>IF([chambre3]*1='CHAMBRES GARCONS RDC'!$A$59,1,0)</f>
        <v>0</v>
      </c>
      <c r="HK23" s="160">
        <f>IF([Occurrence42]=0,0,SUM($HJ$2:HJ23))</f>
        <v>0</v>
      </c>
      <c r="HL23" s="160">
        <f>IF([chambre3]*1='CHAMBRES GARCONS RDC'!$A$65,1,0)</f>
        <v>0</v>
      </c>
      <c r="HM23" s="160">
        <f>IF([Occurrence43]=0,0,SUM($HL$2:HL23))</f>
        <v>0</v>
      </c>
      <c r="HN23" s="160">
        <f>IF([chambre3]*1='CHAMBRES GARCONS RDC'!$A$71,1,0)</f>
        <v>0</v>
      </c>
      <c r="HO23" s="160">
        <f>IF([Occurrence44]=0,0,SUM($HN$2:HN23))</f>
        <v>0</v>
      </c>
      <c r="HP23" s="160">
        <f>IF([chambre3]*1='CHAMBRES GARCONS RDC'!$A$77,1,0)</f>
        <v>0</v>
      </c>
      <c r="HQ23" s="160">
        <f>IF([Occurrence45]=0,0,SUM($HP$2:HP23))</f>
        <v>0</v>
      </c>
      <c r="HR23" s="160">
        <f>IF([chambre3]*1='CHAMBRES GARCONS RDC'!$A$83,1,0)</f>
        <v>0</v>
      </c>
      <c r="HS23" s="160">
        <f>IF([Occurrence46]=0,0,SUM($HR$2:HR23))</f>
        <v>0</v>
      </c>
      <c r="HT23" s="160">
        <f>IF([chambre3]*1='CHAMBRES GARCONS RDC'!$A$89,1,0)</f>
        <v>0</v>
      </c>
      <c r="HU23" s="160">
        <f>IF([Occurrence47]=0,0,SUM($HT$2:HT23))</f>
        <v>0</v>
      </c>
      <c r="HV23" s="160">
        <f>IF([chambre3]*1='CHAMBRES GARCONS RDC'!$A$95,1,0)</f>
        <v>0</v>
      </c>
      <c r="HW23" s="160">
        <f>IF([Occurrence48]=0,0,SUM($HV$2:HV23))</f>
        <v>0</v>
      </c>
      <c r="HX23" s="160"/>
      <c r="HY23" s="160"/>
      <c r="HZ23" s="160">
        <f>IF([Classe]='Liste élève par classes'!$B$5,1,0)</f>
        <v>0</v>
      </c>
      <c r="IA23" s="160">
        <f>IF([Occurrence]=0,0,SUM($HZ$2:HZ23))</f>
        <v>0</v>
      </c>
      <c r="IB2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3" s="208"/>
    </row>
    <row r="24" spans="1:237">
      <c r="A24" t="s">
        <v>285</v>
      </c>
      <c r="B24" t="s">
        <v>287</v>
      </c>
      <c r="C24" s="158">
        <v>36788</v>
      </c>
      <c r="D24" s="62">
        <f t="shared" ca="1" si="0"/>
        <v>17</v>
      </c>
      <c r="E24" t="s">
        <v>0</v>
      </c>
      <c r="F24" s="159" t="s">
        <v>50</v>
      </c>
      <c r="G24" t="s">
        <v>45</v>
      </c>
      <c r="H24" s="160"/>
      <c r="I24" s="161"/>
      <c r="J24" s="161"/>
      <c r="K24" s="161"/>
      <c r="L24" s="160">
        <v>171</v>
      </c>
      <c r="M24">
        <v>206</v>
      </c>
      <c r="N24" s="161"/>
      <c r="O24" s="161"/>
      <c r="P24" s="161"/>
      <c r="Q24" s="161"/>
      <c r="R24" s="161"/>
      <c r="S24" s="190"/>
      <c r="T24" s="161"/>
      <c r="U24" s="160"/>
      <c r="V24" s="161"/>
      <c r="W24" s="161"/>
      <c r="X24" s="161"/>
      <c r="Y24" s="161"/>
      <c r="Z24" s="161"/>
      <c r="AA24" s="161"/>
      <c r="AB24" s="161"/>
      <c r="AC24" s="161"/>
      <c r="AD24" s="161"/>
      <c r="AE24" s="161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3"/>
      <c r="AR24" s="163"/>
      <c r="AS24" s="163"/>
      <c r="AT24" s="163"/>
      <c r="AU24" s="163"/>
      <c r="AV24" s="163"/>
      <c r="AW24" s="163"/>
      <c r="AX24" s="163"/>
      <c r="AY24" s="163"/>
      <c r="AZ24" s="163"/>
      <c r="BA24" s="163"/>
      <c r="BB24" s="163"/>
      <c r="BC24" s="163" t="b">
        <v>0</v>
      </c>
      <c r="BD24" s="163" t="b">
        <v>1</v>
      </c>
      <c r="BE24" s="163" t="b">
        <v>1</v>
      </c>
      <c r="BF24" s="163" t="b">
        <v>0</v>
      </c>
      <c r="BG24" s="164" t="b">
        <v>0</v>
      </c>
      <c r="BH24" s="163" t="b">
        <v>1</v>
      </c>
      <c r="BI24" s="163"/>
      <c r="BJ24" s="163"/>
      <c r="BK24" s="163"/>
      <c r="BL24" s="163"/>
      <c r="BM24" s="163"/>
      <c r="BN24" s="163"/>
      <c r="BO24" s="163"/>
      <c r="BP24" s="163"/>
      <c r="BQ24" s="163" t="b">
        <v>0</v>
      </c>
      <c r="BR24" s="163"/>
      <c r="BS24" s="163"/>
      <c r="BT24" s="163"/>
      <c r="BU24" s="163"/>
      <c r="BV24" s="163"/>
      <c r="BW24" s="163"/>
      <c r="BX24" s="163"/>
      <c r="BY24" s="163"/>
      <c r="BZ24" s="163"/>
      <c r="CA24" s="163"/>
      <c r="CB24" s="163"/>
      <c r="CC24" s="163"/>
      <c r="CD24" s="163"/>
      <c r="CE24" s="163"/>
      <c r="CF24" s="163"/>
      <c r="CG24" s="163"/>
      <c r="CH24" s="163"/>
      <c r="CI24" s="163"/>
      <c r="CJ24" s="163"/>
      <c r="CK24" s="163"/>
      <c r="CL24" s="163"/>
      <c r="CM24" s="163"/>
      <c r="CN24" s="163"/>
      <c r="CO24" s="163"/>
      <c r="CP24" s="163"/>
      <c r="CQ24" s="163"/>
      <c r="CR24" s="163"/>
      <c r="CS24" s="163"/>
      <c r="CT24" s="163"/>
      <c r="CU24" s="163"/>
      <c r="CV24" s="163"/>
      <c r="CW24" s="163"/>
      <c r="CX24" s="163"/>
      <c r="CY24" s="163"/>
      <c r="CZ24" s="163"/>
      <c r="DA24" s="163"/>
      <c r="DB24" s="163"/>
      <c r="DC24" s="163"/>
      <c r="DD24" s="163"/>
      <c r="DE24" s="163"/>
      <c r="DF24" s="163"/>
      <c r="DG24" s="208"/>
      <c r="DH24" s="163"/>
      <c r="DI24" s="163"/>
      <c r="DJ24" s="163"/>
      <c r="DK24" s="163"/>
      <c r="DL24" s="163"/>
      <c r="DM24" s="163"/>
      <c r="DN24" s="163"/>
      <c r="DO24" s="163"/>
      <c r="DP24" s="163"/>
      <c r="DQ24" s="163"/>
      <c r="DR24" s="163"/>
      <c r="DS24" s="163"/>
      <c r="DT24" s="163"/>
      <c r="DU24" s="163"/>
      <c r="DV24" s="163"/>
      <c r="DW24" s="163"/>
      <c r="DX24" s="163"/>
      <c r="DY24" s="163"/>
      <c r="DZ24" s="163"/>
      <c r="EA24" s="163"/>
      <c r="EB24" s="163"/>
      <c r="EC24" s="163"/>
      <c r="ED24" s="163"/>
      <c r="EE24" s="163"/>
      <c r="EF24" s="163"/>
      <c r="EG24" s="163"/>
      <c r="EH24" s="160">
        <f>IF([Chambre]*1='CHAMBRES FILLES 2e ETAGE'!$A$5,1,0)</f>
        <v>0</v>
      </c>
      <c r="EI24" s="161">
        <f>IF([Occurrence2]=0,0,SUM($EH$2:EH24))</f>
        <v>0</v>
      </c>
      <c r="EJ24" s="160">
        <f>IF([Chambre]*1='CHAMBRES FILLES 2e ETAGE'!$A$11,1,0)</f>
        <v>0</v>
      </c>
      <c r="EK24" s="160">
        <f>IF([Occurrence3]=0,0,SUM($EJ$2:EJ24))</f>
        <v>0</v>
      </c>
      <c r="EL24" s="160">
        <f>IF([Chambre]*1='CHAMBRES FILLES 2e ETAGE'!$A$17,1,0)</f>
        <v>0</v>
      </c>
      <c r="EM24" s="160">
        <f>IF([Occurrence4]=0,0,SUM($EL$2:EL24))</f>
        <v>0</v>
      </c>
      <c r="EN24" s="160">
        <f>IF([Chambre]*1='CHAMBRES FILLES 2e ETAGE'!$A$23,1,0)</f>
        <v>0</v>
      </c>
      <c r="EO24" s="160">
        <f>IF([Occurrence5]=0,0,SUM($EN$2:EN24))</f>
        <v>0</v>
      </c>
      <c r="EP24" s="160">
        <f>IF([Chambre]*1='CHAMBRES FILLES 2e ETAGE'!$A$29,1,0)</f>
        <v>0</v>
      </c>
      <c r="EQ24" s="160">
        <f>IF([Occurrence6]=0,0,SUM($EP$2:EP24))</f>
        <v>0</v>
      </c>
      <c r="ER24" s="160">
        <f>IF([Chambre]*1='CHAMBRES FILLES 2e ETAGE'!$A$35,1,0)</f>
        <v>0</v>
      </c>
      <c r="ES24" s="160">
        <f>IF([Occurrence7]=0,0,SUM($ER$2:ER24))</f>
        <v>0</v>
      </c>
      <c r="ET24" s="160">
        <f>IF([Chambre]*1='CHAMBRES FILLES 2e ETAGE'!$A$41,1,0)</f>
        <v>0</v>
      </c>
      <c r="EU24" s="160">
        <f>IF([Occurrence8]=0,0,SUM($ET$2:ET24))</f>
        <v>0</v>
      </c>
      <c r="EV24" s="160">
        <f>IF([Chambre]*1='CHAMBRES FILLES 2e ETAGE'!$A$47,1,0)</f>
        <v>0</v>
      </c>
      <c r="EW24" s="160">
        <f>IF([Occurrence9]=0,0,SUM($EV$2:EV24))</f>
        <v>0</v>
      </c>
      <c r="EX24" s="160">
        <f>IF([Chambre]*1='CHAMBRES FILLES 2e ETAGE'!$A$53,1,0)</f>
        <v>0</v>
      </c>
      <c r="EY24" s="160">
        <f>IF([Occurrence10]=0,0,SUM($EX$2:EX24))</f>
        <v>0</v>
      </c>
      <c r="EZ24" s="160">
        <f>IF([Chambre]*1='CHAMBRES FILLES 2e ETAGE'!$A$59,1,0)</f>
        <v>0</v>
      </c>
      <c r="FA24" s="160">
        <f>IF([Occurrence11]=0,0,SUM($EZ$2:EZ24))</f>
        <v>0</v>
      </c>
      <c r="FB24" s="160">
        <f>IF([Chambre]*1='CHAMBRES FILLES 2e ETAGE'!$A$65,1,0)</f>
        <v>0</v>
      </c>
      <c r="FC24" s="160">
        <f>IF([Occurrence12]=0,0,SUM($FB$2:FB24))</f>
        <v>0</v>
      </c>
      <c r="FD24" s="160">
        <f>IF([Chambre]*1='CHAMBRES FILLES 2e ETAGE'!$A$71,1,0)</f>
        <v>0</v>
      </c>
      <c r="FE24" s="160">
        <f>IF([Occurrence13]=0,0,SUM($FD$2:FD24))</f>
        <v>0</v>
      </c>
      <c r="FF24" s="160">
        <f>IF([Chambre]*1='CHAMBRES FILLES 2e ETAGE'!$A$77,1,0)</f>
        <v>0</v>
      </c>
      <c r="FG24" s="160">
        <f>IF([Occurrence14]=0,0,SUM($FF$2:FF24))</f>
        <v>0</v>
      </c>
      <c r="FH24" s="160">
        <f>IF([Chambre]*1='CHAMBRES FILLES 2e ETAGE'!$A$83,1,0)</f>
        <v>0</v>
      </c>
      <c r="FI24" s="160">
        <f>IF([Occurrence15]=0,0,SUM($FH$2:FH24))</f>
        <v>0</v>
      </c>
      <c r="FJ24" s="160">
        <f>IF([Chambre]*1='CHAMBRES FILLES 2e ETAGE'!$A$89,1,0)</f>
        <v>0</v>
      </c>
      <c r="FK24" s="160">
        <f>IF([Occurrence16]=0,0,SUM($FJ$2:FJ24))</f>
        <v>0</v>
      </c>
      <c r="FL24" s="160">
        <f>IF([Chambre]*1='CHAMBRES FILLES 2e ETAGE'!$A$95,1,0)</f>
        <v>1</v>
      </c>
      <c r="FM24" s="160">
        <f>IF([Occurrence17]=0,0,SUM($FL$2:FL24))</f>
        <v>2</v>
      </c>
      <c r="FN24" s="160">
        <f>IF([Chambre2]*1='CHAMBRES FILLES 1e ETAGE'!$A$5,1,0)</f>
        <v>0</v>
      </c>
      <c r="FO24" s="160">
        <f>IF([Occurrence18]=0,0,SUM($FN$2:FN24))</f>
        <v>0</v>
      </c>
      <c r="FP24" s="160">
        <f>IF([Chambre2]*1='CHAMBRES FILLES 1e ETAGE'!$A$11,1,0)</f>
        <v>0</v>
      </c>
      <c r="FQ24" s="160">
        <f>IF([Occurrence19]=0,0,SUM($FP$2:FP24))</f>
        <v>0</v>
      </c>
      <c r="FR24" s="160">
        <f>IF([Chambre2]*1='CHAMBRES FILLES 1e ETAGE'!$A$17,1,0)</f>
        <v>0</v>
      </c>
      <c r="FS24" s="160">
        <f>IF([Occurrence20]=0,0,SUM($FR$2:FR24))</f>
        <v>0</v>
      </c>
      <c r="FT24" s="160">
        <f>IF([Chambre2]*1='CHAMBRES FILLES 1e ETAGE'!$A$23,1,0)</f>
        <v>0</v>
      </c>
      <c r="FU24" s="160">
        <f>IF([Occurrence21]=0,0,SUM($FT$2:FT24))</f>
        <v>0</v>
      </c>
      <c r="FV24" s="160">
        <f>IF([Chambre2]*1='CHAMBRES FILLES 1e ETAGE'!$A$29,1,0)</f>
        <v>0</v>
      </c>
      <c r="FW24" s="160">
        <f>IF([Occurrence22]=0,0,SUM($FV$2:FV24))</f>
        <v>0</v>
      </c>
      <c r="FX24" s="160">
        <f>IF([Chambre2]*1='CHAMBRES FILLES 1e ETAGE'!$A$35,1,0)</f>
        <v>0</v>
      </c>
      <c r="FY24" s="160">
        <f>IF([Occurrence23]=0,0,SUM($FX$2:FX24))</f>
        <v>0</v>
      </c>
      <c r="FZ24" s="160">
        <f>IF([Chambre2]*1='CHAMBRES FILLES 1e ETAGE'!$A$41,1,0)</f>
        <v>0</v>
      </c>
      <c r="GA24" s="160">
        <f>IF([Occurrence24]=0,0,SUM($FZ$2:FZ24))</f>
        <v>0</v>
      </c>
      <c r="GB24" s="160">
        <f>IF([Chambre2]*1='CHAMBRES FILLES 1e ETAGE'!$A$47,1,0)</f>
        <v>0</v>
      </c>
      <c r="GC24" s="160">
        <f>IF([Occurrence25]=0,0,SUM($GB$2:GB24))</f>
        <v>0</v>
      </c>
      <c r="GD24" s="160">
        <f>IF([Chambre2]*1='CHAMBRES FILLES 1e ETAGE'!$A$53,1,0)</f>
        <v>0</v>
      </c>
      <c r="GE24" s="160">
        <f>IF([Occurrence26]=0,0,SUM($GD$2:GD24))</f>
        <v>0</v>
      </c>
      <c r="GF24" s="160">
        <f>IF([chambre4]*1='CHAMBRES GARCONS 1e ETAGE'!$A$5,1,0)</f>
        <v>0</v>
      </c>
      <c r="GG24" s="160">
        <f>IF([Occurrence27]=0,0,SUM($GF$2:GF24))</f>
        <v>0</v>
      </c>
      <c r="GH24" s="160">
        <f>IF([chambre4]*1='CHAMBRES GARCONS 1e ETAGE'!$A$11,1,0)</f>
        <v>0</v>
      </c>
      <c r="GI24" s="160">
        <f>IF([Occurrence28]=0,0,SUM($GH$2:GH24))</f>
        <v>0</v>
      </c>
      <c r="GJ24" s="160">
        <f>IF([chambre4]*1='CHAMBRES GARCONS 1e ETAGE'!$A$17,1,0)</f>
        <v>0</v>
      </c>
      <c r="GK24" s="160">
        <f>IF([Occurrence29]=0,0,SUM($GJ$2:GJ24))</f>
        <v>0</v>
      </c>
      <c r="GL24" s="160">
        <f>IF([chambre4]*1='CHAMBRES GARCONS 1e ETAGE'!$A$23,1,0)</f>
        <v>0</v>
      </c>
      <c r="GM24" s="160">
        <f>IF([Occurrence30]=0,0,SUM($GL$2:GL24))</f>
        <v>0</v>
      </c>
      <c r="GN24" s="160">
        <f>IF([chambre4]*1='CHAMBRES GARCONS 1e ETAGE'!$A$29,1,0)</f>
        <v>0</v>
      </c>
      <c r="GO24" s="160">
        <f>IF([Occurrence31]=0,0,SUM($GN$2:GN24))</f>
        <v>0</v>
      </c>
      <c r="GP24" s="160">
        <f>IF([chambre4]*1='CHAMBRES GARCONS 1e ETAGE'!$A$35,1,0)</f>
        <v>0</v>
      </c>
      <c r="GQ24" s="160">
        <f>IF([Occurrence32]=0,0,SUM($GP$2:GP24))</f>
        <v>0</v>
      </c>
      <c r="GR24" s="160">
        <f>IF([chambre3]*1='CHAMBRES GARCONS RDC'!$A$5,1,0)</f>
        <v>0</v>
      </c>
      <c r="GS24" s="160">
        <f>IF([Occurrence33]=0,0,SUM($GR$2:GR24))</f>
        <v>0</v>
      </c>
      <c r="GT24" s="160">
        <f>IF([chambre3]*1='CHAMBRES GARCONS RDC'!$A$11,1,0)</f>
        <v>0</v>
      </c>
      <c r="GU24" s="160">
        <f>IF([Occurrence34]=0,0,SUM($GT$2:GT24))</f>
        <v>0</v>
      </c>
      <c r="GV24" s="160">
        <f>IF([chambre3]*1='CHAMBRES GARCONS RDC'!$A$17,1,0)</f>
        <v>0</v>
      </c>
      <c r="GW24" s="160">
        <f>IF([Occurrence35]=0,0,SUM($GV$2:GV24))</f>
        <v>0</v>
      </c>
      <c r="GX24" s="160">
        <f>IF([chambre3]*1='CHAMBRES GARCONS RDC'!$A$23,1,0)</f>
        <v>0</v>
      </c>
      <c r="GY24" s="160">
        <f>IF([Occurrence36]=0,0,SUM($GX$2:GX24))</f>
        <v>0</v>
      </c>
      <c r="GZ24" s="160">
        <f>IF([chambre3]*1='CHAMBRES GARCONS RDC'!$A$29,1,0)</f>
        <v>0</v>
      </c>
      <c r="HA24" s="160">
        <f>IF([Occurrence37]=0,0,SUM($GZ$2:GZ24))</f>
        <v>0</v>
      </c>
      <c r="HB24" s="160">
        <f>IF([chambre3]*1='CHAMBRES GARCONS RDC'!$A$35,1,0)</f>
        <v>0</v>
      </c>
      <c r="HC24" s="160">
        <f>IF([Occurrence38]=0,0,SUM($HB$2:HB24))</f>
        <v>0</v>
      </c>
      <c r="HD24" s="160">
        <f>IF([chambre3]*1='CHAMBRES GARCONS RDC'!$A$41,1,0)</f>
        <v>0</v>
      </c>
      <c r="HE24" s="160">
        <f>IF([Occurrence39]=0,0,SUM($HD$2:HD24))</f>
        <v>0</v>
      </c>
      <c r="HF24" s="160">
        <f>IF([chambre3]*1='CHAMBRES GARCONS RDC'!$A$47,1,0)</f>
        <v>0</v>
      </c>
      <c r="HG24" s="160">
        <f>IF([Occurrence40]=0,0,SUM($HF$2:HF24))</f>
        <v>0</v>
      </c>
      <c r="HH24" s="160">
        <f>IF([chambre3]*1='CHAMBRES GARCONS RDC'!$A$53,1,0)</f>
        <v>0</v>
      </c>
      <c r="HI24" s="160">
        <f>IF([Occurrence41]=0,0,SUM($HH$2:HH24))</f>
        <v>0</v>
      </c>
      <c r="HJ24" s="160">
        <f>IF([chambre3]*1='CHAMBRES GARCONS RDC'!$A$59,1,0)</f>
        <v>0</v>
      </c>
      <c r="HK24" s="160">
        <f>IF([Occurrence42]=0,0,SUM($HJ$2:HJ24))</f>
        <v>0</v>
      </c>
      <c r="HL24" s="160">
        <f>IF([chambre3]*1='CHAMBRES GARCONS RDC'!$A$65,1,0)</f>
        <v>0</v>
      </c>
      <c r="HM24" s="160">
        <f>IF([Occurrence43]=0,0,SUM($HL$2:HL24))</f>
        <v>0</v>
      </c>
      <c r="HN24" s="160">
        <f>IF([chambre3]*1='CHAMBRES GARCONS RDC'!$A$71,1,0)</f>
        <v>0</v>
      </c>
      <c r="HO24" s="160">
        <f>IF([Occurrence44]=0,0,SUM($HN$2:HN24))</f>
        <v>0</v>
      </c>
      <c r="HP24" s="160">
        <f>IF([chambre3]*1='CHAMBRES GARCONS RDC'!$A$77,1,0)</f>
        <v>0</v>
      </c>
      <c r="HQ24" s="160">
        <f>IF([Occurrence45]=0,0,SUM($HP$2:HP24))</f>
        <v>0</v>
      </c>
      <c r="HR24" s="160">
        <f>IF([chambre3]*1='CHAMBRES GARCONS RDC'!$A$83,1,0)</f>
        <v>0</v>
      </c>
      <c r="HS24" s="160">
        <f>IF([Occurrence46]=0,0,SUM($HR$2:HR24))</f>
        <v>0</v>
      </c>
      <c r="HT24" s="160">
        <f>IF([chambre3]*1='CHAMBRES GARCONS RDC'!$A$89,1,0)</f>
        <v>0</v>
      </c>
      <c r="HU24" s="160">
        <f>IF([Occurrence47]=0,0,SUM($HT$2:HT24))</f>
        <v>0</v>
      </c>
      <c r="HV24" s="160">
        <f>IF([chambre3]*1='CHAMBRES GARCONS RDC'!$A$95,1,0)</f>
        <v>0</v>
      </c>
      <c r="HW24" s="160">
        <f>IF([Occurrence48]=0,0,SUM($HV$2:HV24))</f>
        <v>0</v>
      </c>
      <c r="HX24" s="160"/>
      <c r="HY24" s="160"/>
      <c r="HZ24" s="160">
        <f>IF([Classe]='Liste élève par classes'!$B$5,1,0)</f>
        <v>0</v>
      </c>
      <c r="IA24" s="160">
        <f>IF([Occurrence]=0,0,SUM($HZ$2:HZ24))</f>
        <v>0</v>
      </c>
      <c r="IB2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171</v>
      </c>
      <c r="IC24" s="208"/>
    </row>
    <row r="25" spans="1:237">
      <c r="A25" t="s">
        <v>288</v>
      </c>
      <c r="B25" t="s">
        <v>289</v>
      </c>
      <c r="C25" s="158">
        <v>36358</v>
      </c>
      <c r="D25" s="62">
        <f t="shared" ca="1" si="0"/>
        <v>18</v>
      </c>
      <c r="E25" t="s">
        <v>3</v>
      </c>
      <c r="F25" s="165" t="s">
        <v>46</v>
      </c>
      <c r="G25" t="s">
        <v>45</v>
      </c>
      <c r="H25" s="160"/>
      <c r="I25" s="62"/>
      <c r="J25" s="62"/>
      <c r="K25" s="62"/>
      <c r="L25" s="61"/>
      <c r="M25" s="62"/>
      <c r="N25" s="62"/>
      <c r="O25" s="62"/>
      <c r="P25" s="62"/>
      <c r="Q25" s="62"/>
      <c r="R25" s="62"/>
      <c r="S25" s="62"/>
      <c r="T25" s="62"/>
      <c r="U25" s="61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163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  <c r="AS25" s="163"/>
      <c r="AT25" s="163"/>
      <c r="AU25" s="163"/>
      <c r="AV25" s="163"/>
      <c r="AW25" s="163"/>
      <c r="AX25" s="163"/>
      <c r="AY25" s="163"/>
      <c r="AZ25" s="163"/>
      <c r="BA25" s="163"/>
      <c r="BB25" s="163"/>
      <c r="BC25" s="163" t="b">
        <v>0</v>
      </c>
      <c r="BD25" s="163" t="b">
        <v>0</v>
      </c>
      <c r="BE25" s="163" t="b">
        <v>0</v>
      </c>
      <c r="BF25" s="163" t="b">
        <v>0</v>
      </c>
      <c r="BG25" s="163" t="b">
        <v>0</v>
      </c>
      <c r="BH25" s="163" t="b">
        <v>0</v>
      </c>
      <c r="BI25" s="163" t="b">
        <v>1</v>
      </c>
      <c r="BJ25" s="163" t="b">
        <v>0</v>
      </c>
      <c r="BK25" s="163" t="b">
        <v>0</v>
      </c>
      <c r="BL25" s="163" t="b">
        <v>0</v>
      </c>
      <c r="BM25" s="163"/>
      <c r="BN25" s="163"/>
      <c r="BO25" s="163"/>
      <c r="BP25" s="163"/>
      <c r="BQ25" s="163"/>
      <c r="BR25" s="163"/>
      <c r="BS25" s="163"/>
      <c r="BT25" s="163"/>
      <c r="BU25" s="163"/>
      <c r="BV25" s="163"/>
      <c r="BW25" s="163"/>
      <c r="BX25" s="163"/>
      <c r="BY25" s="163"/>
      <c r="BZ25" s="163"/>
      <c r="CA25" s="163"/>
      <c r="CB25" s="163"/>
      <c r="CC25" s="163"/>
      <c r="CD25" s="163"/>
      <c r="CE25" s="163"/>
      <c r="CF25" s="163"/>
      <c r="CG25" s="163"/>
      <c r="CH25" s="163"/>
      <c r="CI25" s="163"/>
      <c r="CJ25" s="163"/>
      <c r="CK25" s="163"/>
      <c r="CL25" s="163"/>
      <c r="CM25" s="163"/>
      <c r="CN25" s="163"/>
      <c r="CO25" s="163"/>
      <c r="CP25" s="163"/>
      <c r="CQ25" s="163"/>
      <c r="CR25" s="163"/>
      <c r="CS25" s="163"/>
      <c r="CT25" s="163"/>
      <c r="CU25" s="163"/>
      <c r="CV25" s="163"/>
      <c r="CW25" s="163"/>
      <c r="CX25" s="163"/>
      <c r="CY25" s="163"/>
      <c r="CZ25" s="163"/>
      <c r="DA25" s="163"/>
      <c r="DB25" s="163"/>
      <c r="DC25" s="163"/>
      <c r="DD25" s="163"/>
      <c r="DE25" s="163"/>
      <c r="DF25" s="163"/>
      <c r="DG25" s="163"/>
      <c r="DH25" s="163"/>
      <c r="DI25" s="163"/>
      <c r="DJ25" s="163"/>
      <c r="DK25" s="163"/>
      <c r="DL25" s="163"/>
      <c r="DM25" s="163"/>
      <c r="DN25" s="163"/>
      <c r="DO25" s="163"/>
      <c r="DP25" s="163"/>
      <c r="DQ25" s="163"/>
      <c r="DR25" s="163"/>
      <c r="DS25" s="163"/>
      <c r="DT25" s="163"/>
      <c r="DU25" s="163"/>
      <c r="DV25" s="163"/>
      <c r="DW25" s="163"/>
      <c r="DX25" s="163"/>
      <c r="DY25" s="163"/>
      <c r="DZ25" s="163"/>
      <c r="EA25" s="163"/>
      <c r="EB25" s="163"/>
      <c r="EC25" s="163"/>
      <c r="ED25" s="163"/>
      <c r="EE25" s="163"/>
      <c r="EF25" s="163"/>
      <c r="EG25" s="163"/>
      <c r="EH25" s="160">
        <f>IF([Chambre]*1='CHAMBRES FILLES 2e ETAGE'!$A$5,1,0)</f>
        <v>0</v>
      </c>
      <c r="EI25" s="161">
        <f>IF([Occurrence2]=0,0,SUM($EH$2:EH25))</f>
        <v>0</v>
      </c>
      <c r="EJ25" s="160">
        <f>IF([Chambre]*1='CHAMBRES FILLES 2e ETAGE'!$A$11,1,0)</f>
        <v>0</v>
      </c>
      <c r="EK25" s="160">
        <f>IF([Occurrence3]=0,0,SUM($EJ$2:EJ25))</f>
        <v>0</v>
      </c>
      <c r="EL25" s="160">
        <f>IF([Chambre]*1='CHAMBRES FILLES 2e ETAGE'!$A$17,1,0)</f>
        <v>0</v>
      </c>
      <c r="EM25" s="160">
        <f>IF([Occurrence4]=0,0,SUM($EL$2:EL25))</f>
        <v>0</v>
      </c>
      <c r="EN25" s="160">
        <f>IF([Chambre]*1='CHAMBRES FILLES 2e ETAGE'!$A$23,1,0)</f>
        <v>0</v>
      </c>
      <c r="EO25" s="160">
        <f>IF([Occurrence5]=0,0,SUM($EN$2:EN25))</f>
        <v>0</v>
      </c>
      <c r="EP25" s="160">
        <f>IF([Chambre]*1='CHAMBRES FILLES 2e ETAGE'!$A$29,1,0)</f>
        <v>0</v>
      </c>
      <c r="EQ25" s="160">
        <f>IF([Occurrence6]=0,0,SUM($EP$2:EP25))</f>
        <v>0</v>
      </c>
      <c r="ER25" s="160">
        <f>IF([Chambre]*1='CHAMBRES FILLES 2e ETAGE'!$A$35,1,0)</f>
        <v>0</v>
      </c>
      <c r="ES25" s="160">
        <f>IF([Occurrence7]=0,0,SUM($ER$2:ER25))</f>
        <v>0</v>
      </c>
      <c r="ET25" s="160">
        <f>IF([Chambre]*1='CHAMBRES FILLES 2e ETAGE'!$A$41,1,0)</f>
        <v>0</v>
      </c>
      <c r="EU25" s="160">
        <f>IF([Occurrence8]=0,0,SUM($ET$2:ET25))</f>
        <v>0</v>
      </c>
      <c r="EV25" s="160">
        <f>IF([Chambre]*1='CHAMBRES FILLES 2e ETAGE'!$A$47,1,0)</f>
        <v>0</v>
      </c>
      <c r="EW25" s="160">
        <f>IF([Occurrence9]=0,0,SUM($EV$2:EV25))</f>
        <v>0</v>
      </c>
      <c r="EX25" s="160">
        <f>IF([Chambre]*1='CHAMBRES FILLES 2e ETAGE'!$A$53,1,0)</f>
        <v>0</v>
      </c>
      <c r="EY25" s="160">
        <f>IF([Occurrence10]=0,0,SUM($EX$2:EX25))</f>
        <v>0</v>
      </c>
      <c r="EZ25" s="160">
        <f>IF([Chambre]*1='CHAMBRES FILLES 2e ETAGE'!$A$59,1,0)</f>
        <v>0</v>
      </c>
      <c r="FA25" s="160">
        <f>IF([Occurrence11]=0,0,SUM($EZ$2:EZ25))</f>
        <v>0</v>
      </c>
      <c r="FB25" s="160">
        <f>IF([Chambre]*1='CHAMBRES FILLES 2e ETAGE'!$A$65,1,0)</f>
        <v>0</v>
      </c>
      <c r="FC25" s="160">
        <f>IF([Occurrence12]=0,0,SUM($FB$2:FB25))</f>
        <v>0</v>
      </c>
      <c r="FD25" s="160">
        <f>IF([Chambre]*1='CHAMBRES FILLES 2e ETAGE'!$A$71,1,0)</f>
        <v>0</v>
      </c>
      <c r="FE25" s="160">
        <f>IF([Occurrence13]=0,0,SUM($FD$2:FD25))</f>
        <v>0</v>
      </c>
      <c r="FF25" s="160">
        <f>IF([Chambre]*1='CHAMBRES FILLES 2e ETAGE'!$A$77,1,0)</f>
        <v>0</v>
      </c>
      <c r="FG25" s="160">
        <f>IF([Occurrence14]=0,0,SUM($FF$2:FF25))</f>
        <v>0</v>
      </c>
      <c r="FH25" s="160">
        <f>IF([Chambre]*1='CHAMBRES FILLES 2e ETAGE'!$A$83,1,0)</f>
        <v>0</v>
      </c>
      <c r="FI25" s="160">
        <f>IF([Occurrence15]=0,0,SUM($FH$2:FH25))</f>
        <v>0</v>
      </c>
      <c r="FJ25" s="160">
        <f>IF([Chambre]*1='CHAMBRES FILLES 2e ETAGE'!$A$89,1,0)</f>
        <v>0</v>
      </c>
      <c r="FK25" s="160">
        <f>IF([Occurrence16]=0,0,SUM($FJ$2:FJ25))</f>
        <v>0</v>
      </c>
      <c r="FL25" s="160">
        <f>IF([Chambre]*1='CHAMBRES FILLES 2e ETAGE'!$A$95,1,0)</f>
        <v>0</v>
      </c>
      <c r="FM25" s="160">
        <f>IF([Occurrence17]=0,0,SUM($FL$2:FL25))</f>
        <v>0</v>
      </c>
      <c r="FN25" s="160">
        <f>IF([Chambre2]*1='CHAMBRES FILLES 1e ETAGE'!$A$5,1,0)</f>
        <v>0</v>
      </c>
      <c r="FO25" s="160">
        <f>IF([Occurrence18]=0,0,SUM($FN$2:FN25))</f>
        <v>0</v>
      </c>
      <c r="FP25" s="160">
        <f>IF([Chambre2]*1='CHAMBRES FILLES 1e ETAGE'!$A$11,1,0)</f>
        <v>0</v>
      </c>
      <c r="FQ25" s="160">
        <f>IF([Occurrence19]=0,0,SUM($FP$2:FP25))</f>
        <v>0</v>
      </c>
      <c r="FR25" s="160">
        <f>IF([Chambre2]*1='CHAMBRES FILLES 1e ETAGE'!$A$17,1,0)</f>
        <v>0</v>
      </c>
      <c r="FS25" s="160">
        <f>IF([Occurrence20]=0,0,SUM($FR$2:FR25))</f>
        <v>0</v>
      </c>
      <c r="FT25" s="160">
        <f>IF([Chambre2]*1='CHAMBRES FILLES 1e ETAGE'!$A$23,1,0)</f>
        <v>0</v>
      </c>
      <c r="FU25" s="160">
        <f>IF([Occurrence21]=0,0,SUM($FT$2:FT25))</f>
        <v>0</v>
      </c>
      <c r="FV25" s="160">
        <f>IF([Chambre2]*1='CHAMBRES FILLES 1e ETAGE'!$A$29,1,0)</f>
        <v>0</v>
      </c>
      <c r="FW25" s="160">
        <f>IF([Occurrence22]=0,0,SUM($FV$2:FV25))</f>
        <v>0</v>
      </c>
      <c r="FX25" s="160">
        <f>IF([Chambre2]*1='CHAMBRES FILLES 1e ETAGE'!$A$35,1,0)</f>
        <v>0</v>
      </c>
      <c r="FY25" s="160">
        <f>IF([Occurrence23]=0,0,SUM($FX$2:FX25))</f>
        <v>0</v>
      </c>
      <c r="FZ25" s="160">
        <f>IF([Chambre2]*1='CHAMBRES FILLES 1e ETAGE'!$A$41,1,0)</f>
        <v>0</v>
      </c>
      <c r="GA25" s="160">
        <f>IF([Occurrence24]=0,0,SUM($FZ$2:FZ25))</f>
        <v>0</v>
      </c>
      <c r="GB25" s="160">
        <f>IF([Chambre2]*1='CHAMBRES FILLES 1e ETAGE'!$A$47,1,0)</f>
        <v>0</v>
      </c>
      <c r="GC25" s="160">
        <f>IF([Occurrence25]=0,0,SUM($GB$2:GB25))</f>
        <v>0</v>
      </c>
      <c r="GD25" s="160">
        <f>IF([Chambre2]*1='CHAMBRES FILLES 1e ETAGE'!$A$53,1,0)</f>
        <v>0</v>
      </c>
      <c r="GE25" s="160">
        <f>IF([Occurrence26]=0,0,SUM($GD$2:GD25))</f>
        <v>0</v>
      </c>
      <c r="GF25" s="160">
        <f>IF([chambre4]*1='CHAMBRES GARCONS 1e ETAGE'!$A$5,1,0)</f>
        <v>0</v>
      </c>
      <c r="GG25" s="160">
        <f>IF([Occurrence27]=0,0,SUM($GF$2:GF25))</f>
        <v>0</v>
      </c>
      <c r="GH25" s="160">
        <f>IF([chambre4]*1='CHAMBRES GARCONS 1e ETAGE'!$A$11,1,0)</f>
        <v>0</v>
      </c>
      <c r="GI25" s="160">
        <f>IF([Occurrence28]=0,0,SUM($GH$2:GH25))</f>
        <v>0</v>
      </c>
      <c r="GJ25" s="160">
        <f>IF([chambre4]*1='CHAMBRES GARCONS 1e ETAGE'!$A$17,1,0)</f>
        <v>0</v>
      </c>
      <c r="GK25" s="160">
        <f>IF([Occurrence29]=0,0,SUM($GJ$2:GJ25))</f>
        <v>0</v>
      </c>
      <c r="GL25" s="160">
        <f>IF([chambre4]*1='CHAMBRES GARCONS 1e ETAGE'!$A$23,1,0)</f>
        <v>0</v>
      </c>
      <c r="GM25" s="160">
        <f>IF([Occurrence30]=0,0,SUM($GL$2:GL25))</f>
        <v>0</v>
      </c>
      <c r="GN25" s="160">
        <f>IF([chambre4]*1='CHAMBRES GARCONS 1e ETAGE'!$A$29,1,0)</f>
        <v>0</v>
      </c>
      <c r="GO25" s="160">
        <f>IF([Occurrence31]=0,0,SUM($GN$2:GN25))</f>
        <v>0</v>
      </c>
      <c r="GP25" s="160">
        <f>IF([chambre4]*1='CHAMBRES GARCONS 1e ETAGE'!$A$35,1,0)</f>
        <v>0</v>
      </c>
      <c r="GQ25" s="160">
        <f>IF([Occurrence32]=0,0,SUM($GP$2:GP25))</f>
        <v>0</v>
      </c>
      <c r="GR25" s="160">
        <f>IF([chambre3]*1='CHAMBRES GARCONS RDC'!$A$5,1,0)</f>
        <v>0</v>
      </c>
      <c r="GS25" s="160">
        <f>IF([Occurrence33]=0,0,SUM($GR$2:GR25))</f>
        <v>0</v>
      </c>
      <c r="GT25" s="160">
        <f>IF([chambre3]*1='CHAMBRES GARCONS RDC'!$A$11,1,0)</f>
        <v>0</v>
      </c>
      <c r="GU25" s="160">
        <f>IF([Occurrence34]=0,0,SUM($GT$2:GT25))</f>
        <v>0</v>
      </c>
      <c r="GV25" s="160">
        <f>IF([chambre3]*1='CHAMBRES GARCONS RDC'!$A$17,1,0)</f>
        <v>0</v>
      </c>
      <c r="GW25" s="160">
        <f>IF([Occurrence35]=0,0,SUM($GV$2:GV25))</f>
        <v>0</v>
      </c>
      <c r="GX25" s="160">
        <f>IF([chambre3]*1='CHAMBRES GARCONS RDC'!$A$23,1,0)</f>
        <v>0</v>
      </c>
      <c r="GY25" s="160">
        <f>IF([Occurrence36]=0,0,SUM($GX$2:GX25))</f>
        <v>0</v>
      </c>
      <c r="GZ25" s="160">
        <f>IF([chambre3]*1='CHAMBRES GARCONS RDC'!$A$29,1,0)</f>
        <v>0</v>
      </c>
      <c r="HA25" s="160">
        <f>IF([Occurrence37]=0,0,SUM($GZ$2:GZ25))</f>
        <v>0</v>
      </c>
      <c r="HB25" s="160">
        <f>IF([chambre3]*1='CHAMBRES GARCONS RDC'!$A$35,1,0)</f>
        <v>0</v>
      </c>
      <c r="HC25" s="160">
        <f>IF([Occurrence38]=0,0,SUM($HB$2:HB25))</f>
        <v>0</v>
      </c>
      <c r="HD25" s="160">
        <f>IF([chambre3]*1='CHAMBRES GARCONS RDC'!$A$41,1,0)</f>
        <v>0</v>
      </c>
      <c r="HE25" s="160">
        <f>IF([Occurrence39]=0,0,SUM($HD$2:HD25))</f>
        <v>0</v>
      </c>
      <c r="HF25" s="160">
        <f>IF([chambre3]*1='CHAMBRES GARCONS RDC'!$A$47,1,0)</f>
        <v>0</v>
      </c>
      <c r="HG25" s="160">
        <f>IF([Occurrence40]=0,0,SUM($HF$2:HF25))</f>
        <v>0</v>
      </c>
      <c r="HH25" s="160">
        <f>IF([chambre3]*1='CHAMBRES GARCONS RDC'!$A$53,1,0)</f>
        <v>0</v>
      </c>
      <c r="HI25" s="160">
        <f>IF([Occurrence41]=0,0,SUM($HH$2:HH25))</f>
        <v>0</v>
      </c>
      <c r="HJ25" s="160">
        <f>IF([chambre3]*1='CHAMBRES GARCONS RDC'!$A$59,1,0)</f>
        <v>0</v>
      </c>
      <c r="HK25" s="160">
        <f>IF([Occurrence42]=0,0,SUM($HJ$2:HJ25))</f>
        <v>0</v>
      </c>
      <c r="HL25" s="160">
        <f>IF([chambre3]*1='CHAMBRES GARCONS RDC'!$A$65,1,0)</f>
        <v>0</v>
      </c>
      <c r="HM25" s="160">
        <f>IF([Occurrence43]=0,0,SUM($HL$2:HL25))</f>
        <v>0</v>
      </c>
      <c r="HN25" s="160">
        <f>IF([chambre3]*1='CHAMBRES GARCONS RDC'!$A$71,1,0)</f>
        <v>0</v>
      </c>
      <c r="HO25" s="160">
        <f>IF([Occurrence44]=0,0,SUM($HN$2:HN25))</f>
        <v>0</v>
      </c>
      <c r="HP25" s="160">
        <f>IF([chambre3]*1='CHAMBRES GARCONS RDC'!$A$77,1,0)</f>
        <v>0</v>
      </c>
      <c r="HQ25" s="160">
        <f>IF([Occurrence45]=0,0,SUM($HP$2:HP25))</f>
        <v>0</v>
      </c>
      <c r="HR25" s="160">
        <f>IF([chambre3]*1='CHAMBRES GARCONS RDC'!$A$83,1,0)</f>
        <v>0</v>
      </c>
      <c r="HS25" s="160">
        <f>IF([Occurrence46]=0,0,SUM($HR$2:HR25))</f>
        <v>0</v>
      </c>
      <c r="HT25" s="160">
        <f>IF([chambre3]*1='CHAMBRES GARCONS RDC'!$A$89,1,0)</f>
        <v>0</v>
      </c>
      <c r="HU25" s="160">
        <f>IF([Occurrence47]=0,0,SUM($HT$2:HT25))</f>
        <v>0</v>
      </c>
      <c r="HV25" s="160">
        <f>IF([chambre3]*1='CHAMBRES GARCONS RDC'!$A$95,1,0)</f>
        <v>0</v>
      </c>
      <c r="HW25" s="160">
        <f>IF([Occurrence48]=0,0,SUM($HV$2:HV25))</f>
        <v>0</v>
      </c>
      <c r="HX25" s="160"/>
      <c r="HY25" s="160"/>
      <c r="HZ25" s="160">
        <f>IF([Classe]='Liste élève par classes'!$B$5,1,0)</f>
        <v>0</v>
      </c>
      <c r="IA25" s="160">
        <f>IF([Occurrence]=0,0,SUM($HZ$2:HZ25))</f>
        <v>0</v>
      </c>
      <c r="IB2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5" s="208"/>
    </row>
    <row r="26" spans="1:237">
      <c r="A26" t="s">
        <v>290</v>
      </c>
      <c r="B26" t="s">
        <v>291</v>
      </c>
      <c r="C26" s="158">
        <v>36964</v>
      </c>
      <c r="D26" s="62">
        <f t="shared" ca="1" si="0"/>
        <v>16</v>
      </c>
      <c r="E26" t="s">
        <v>6</v>
      </c>
      <c r="F26" s="159" t="s">
        <v>50</v>
      </c>
      <c r="G26" t="s">
        <v>45</v>
      </c>
      <c r="H26" s="160"/>
      <c r="I26" s="62"/>
      <c r="J26" s="62"/>
      <c r="K26" s="62"/>
      <c r="L26" s="61"/>
      <c r="M26">
        <v>54</v>
      </c>
      <c r="N26" s="62"/>
      <c r="O26" s="62"/>
      <c r="P26" s="62"/>
      <c r="Q26" s="62"/>
      <c r="R26" s="62"/>
      <c r="S26" s="191"/>
      <c r="T26" s="62"/>
      <c r="U26" s="61">
        <v>134</v>
      </c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163"/>
      <c r="AG26" s="163"/>
      <c r="AH26" s="163"/>
      <c r="AI26" s="163"/>
      <c r="AJ26" s="163"/>
      <c r="AK26" s="163"/>
      <c r="AL26" s="163"/>
      <c r="AM26" s="163"/>
      <c r="AN26" s="163"/>
      <c r="AO26" s="163"/>
      <c r="AP26" s="163"/>
      <c r="AQ26" s="163"/>
      <c r="AR26" s="163"/>
      <c r="AS26" s="163"/>
      <c r="AT26" s="163"/>
      <c r="AU26" s="163"/>
      <c r="AV26" s="163"/>
      <c r="AW26" s="163"/>
      <c r="AX26" s="163"/>
      <c r="AY26" s="163"/>
      <c r="AZ26" s="163"/>
      <c r="BA26" s="163"/>
      <c r="BB26" s="163"/>
      <c r="BC26" s="163" t="b">
        <v>0</v>
      </c>
      <c r="BD26" s="163" t="b">
        <v>1</v>
      </c>
      <c r="BE26" s="163" t="b">
        <v>1</v>
      </c>
      <c r="BF26" s="163" t="b">
        <v>0</v>
      </c>
      <c r="BG26" s="164" t="b">
        <v>0</v>
      </c>
      <c r="BH26" s="163" t="b">
        <v>1</v>
      </c>
      <c r="BI26" s="163"/>
      <c r="BJ26" s="163"/>
      <c r="BK26" s="163"/>
      <c r="BL26" s="163"/>
      <c r="BM26" s="163"/>
      <c r="BN26" s="163"/>
      <c r="BO26" s="163"/>
      <c r="BP26" s="163"/>
      <c r="BQ26" s="163" t="b">
        <v>0</v>
      </c>
      <c r="BR26" s="163"/>
      <c r="BS26" s="163"/>
      <c r="BT26" s="163"/>
      <c r="BU26" s="163"/>
      <c r="BV26" s="163"/>
      <c r="BW26" s="163"/>
      <c r="BX26" s="163"/>
      <c r="BY26" s="163"/>
      <c r="BZ26" s="163"/>
      <c r="CA26" s="163"/>
      <c r="CB26" s="163"/>
      <c r="CC26" s="163"/>
      <c r="CD26" s="163"/>
      <c r="CE26" s="163"/>
      <c r="CF26" s="163"/>
      <c r="CG26" s="163"/>
      <c r="CH26" s="163"/>
      <c r="CI26" s="163"/>
      <c r="CJ26" s="163"/>
      <c r="CK26" s="163"/>
      <c r="CL26" s="163"/>
      <c r="CM26" s="163"/>
      <c r="CN26" s="163"/>
      <c r="CO26" s="163"/>
      <c r="CP26" s="163"/>
      <c r="CQ26" s="163"/>
      <c r="CR26" s="163"/>
      <c r="CS26" s="163"/>
      <c r="CT26" s="163"/>
      <c r="CU26" s="163"/>
      <c r="CV26" s="163"/>
      <c r="CW26" s="163"/>
      <c r="CX26" s="163"/>
      <c r="CY26" s="163"/>
      <c r="CZ26" s="163"/>
      <c r="DA26" s="163"/>
      <c r="DB26" s="163"/>
      <c r="DC26" s="163"/>
      <c r="DD26" s="163"/>
      <c r="DE26" s="163"/>
      <c r="DF26" s="163"/>
      <c r="DG26" s="208"/>
      <c r="DH26" s="163"/>
      <c r="DI26" s="163"/>
      <c r="DJ26" s="163"/>
      <c r="DK26" s="163"/>
      <c r="DL26" s="163"/>
      <c r="DM26" s="163"/>
      <c r="DN26" s="163"/>
      <c r="DO26" s="163"/>
      <c r="DP26" s="163"/>
      <c r="DQ26" s="163"/>
      <c r="DR26" s="163"/>
      <c r="DS26" s="163"/>
      <c r="DT26" s="163"/>
      <c r="DU26" s="163"/>
      <c r="DV26" s="163"/>
      <c r="DW26" s="163"/>
      <c r="DX26" s="163"/>
      <c r="DY26" s="163"/>
      <c r="DZ26" s="163"/>
      <c r="EA26" s="163"/>
      <c r="EB26" s="163"/>
      <c r="EC26" s="163"/>
      <c r="ED26" s="163"/>
      <c r="EE26" s="163"/>
      <c r="EF26" s="163"/>
      <c r="EG26" s="163"/>
      <c r="EH26" s="160">
        <f>IF([Chambre]*1='CHAMBRES FILLES 2e ETAGE'!$A$5,1,0)</f>
        <v>0</v>
      </c>
      <c r="EI26" s="161">
        <f>IF([Occurrence2]=0,0,SUM($EH$2:EH26))</f>
        <v>0</v>
      </c>
      <c r="EJ26" s="160">
        <f>IF([Chambre]*1='CHAMBRES FILLES 2e ETAGE'!$A$11,1,0)</f>
        <v>0</v>
      </c>
      <c r="EK26" s="160">
        <f>IF([Occurrence3]=0,0,SUM($EJ$2:EJ26))</f>
        <v>0</v>
      </c>
      <c r="EL26" s="160">
        <f>IF([Chambre]*1='CHAMBRES FILLES 2e ETAGE'!$A$17,1,0)</f>
        <v>0</v>
      </c>
      <c r="EM26" s="160">
        <f>IF([Occurrence4]=0,0,SUM($EL$2:EL26))</f>
        <v>0</v>
      </c>
      <c r="EN26" s="160">
        <f>IF([Chambre]*1='CHAMBRES FILLES 2e ETAGE'!$A$23,1,0)</f>
        <v>0</v>
      </c>
      <c r="EO26" s="160">
        <f>IF([Occurrence5]=0,0,SUM($EN$2:EN26))</f>
        <v>0</v>
      </c>
      <c r="EP26" s="160">
        <f>IF([Chambre]*1='CHAMBRES FILLES 2e ETAGE'!$A$29,1,0)</f>
        <v>0</v>
      </c>
      <c r="EQ26" s="160">
        <f>IF([Occurrence6]=0,0,SUM($EP$2:EP26))</f>
        <v>0</v>
      </c>
      <c r="ER26" s="160">
        <f>IF([Chambre]*1='CHAMBRES FILLES 2e ETAGE'!$A$35,1,0)</f>
        <v>0</v>
      </c>
      <c r="ES26" s="160">
        <f>IF([Occurrence7]=0,0,SUM($ER$2:ER26))</f>
        <v>0</v>
      </c>
      <c r="ET26" s="160">
        <f>IF([Chambre]*1='CHAMBRES FILLES 2e ETAGE'!$A$41,1,0)</f>
        <v>0</v>
      </c>
      <c r="EU26" s="160">
        <f>IF([Occurrence8]=0,0,SUM($ET$2:ET26))</f>
        <v>0</v>
      </c>
      <c r="EV26" s="160">
        <f>IF([Chambre]*1='CHAMBRES FILLES 2e ETAGE'!$A$47,1,0)</f>
        <v>0</v>
      </c>
      <c r="EW26" s="160">
        <f>IF([Occurrence9]=0,0,SUM($EV$2:EV26))</f>
        <v>0</v>
      </c>
      <c r="EX26" s="160">
        <f>IF([Chambre]*1='CHAMBRES FILLES 2e ETAGE'!$A$53,1,0)</f>
        <v>0</v>
      </c>
      <c r="EY26" s="160">
        <f>IF([Occurrence10]=0,0,SUM($EX$2:EX26))</f>
        <v>0</v>
      </c>
      <c r="EZ26" s="160">
        <f>IF([Chambre]*1='CHAMBRES FILLES 2e ETAGE'!$A$59,1,0)</f>
        <v>0</v>
      </c>
      <c r="FA26" s="160">
        <f>IF([Occurrence11]=0,0,SUM($EZ$2:EZ26))</f>
        <v>0</v>
      </c>
      <c r="FB26" s="160">
        <f>IF([Chambre]*1='CHAMBRES FILLES 2e ETAGE'!$A$65,1,0)</f>
        <v>0</v>
      </c>
      <c r="FC26" s="160">
        <f>IF([Occurrence12]=0,0,SUM($FB$2:FB26))</f>
        <v>0</v>
      </c>
      <c r="FD26" s="160">
        <f>IF([Chambre]*1='CHAMBRES FILLES 2e ETAGE'!$A$71,1,0)</f>
        <v>0</v>
      </c>
      <c r="FE26" s="160">
        <f>IF([Occurrence13]=0,0,SUM($FD$2:FD26))</f>
        <v>0</v>
      </c>
      <c r="FF26" s="160">
        <f>IF([Chambre]*1='CHAMBRES FILLES 2e ETAGE'!$A$77,1,0)</f>
        <v>0</v>
      </c>
      <c r="FG26" s="160">
        <f>IF([Occurrence14]=0,0,SUM($FF$2:FF26))</f>
        <v>0</v>
      </c>
      <c r="FH26" s="160">
        <f>IF([Chambre]*1='CHAMBRES FILLES 2e ETAGE'!$A$83,1,0)</f>
        <v>0</v>
      </c>
      <c r="FI26" s="160">
        <f>IF([Occurrence15]=0,0,SUM($FH$2:FH26))</f>
        <v>0</v>
      </c>
      <c r="FJ26" s="160">
        <f>IF([Chambre]*1='CHAMBRES FILLES 2e ETAGE'!$A$89,1,0)</f>
        <v>0</v>
      </c>
      <c r="FK26" s="160">
        <f>IF([Occurrence16]=0,0,SUM($FJ$2:FJ26))</f>
        <v>0</v>
      </c>
      <c r="FL26" s="160">
        <f>IF([Chambre]*1='CHAMBRES FILLES 2e ETAGE'!$A$95,1,0)</f>
        <v>0</v>
      </c>
      <c r="FM26" s="160">
        <f>IF([Occurrence17]=0,0,SUM($FL$2:FL26))</f>
        <v>0</v>
      </c>
      <c r="FN26" s="160">
        <f>IF([Chambre2]*1='CHAMBRES FILLES 1e ETAGE'!$A$5,1,0)</f>
        <v>0</v>
      </c>
      <c r="FO26" s="160">
        <f>IF([Occurrence18]=0,0,SUM($FN$2:FN26))</f>
        <v>0</v>
      </c>
      <c r="FP26" s="160">
        <f>IF([Chambre2]*1='CHAMBRES FILLES 1e ETAGE'!$A$11,1,0)</f>
        <v>0</v>
      </c>
      <c r="FQ26" s="160">
        <f>IF([Occurrence19]=0,0,SUM($FP$2:FP26))</f>
        <v>0</v>
      </c>
      <c r="FR26" s="160">
        <f>IF([Chambre2]*1='CHAMBRES FILLES 1e ETAGE'!$A$17,1,0)</f>
        <v>1</v>
      </c>
      <c r="FS26" s="160">
        <f>IF([Occurrence20]=0,0,SUM($FR$2:FR26))</f>
        <v>1</v>
      </c>
      <c r="FT26" s="160">
        <f>IF([Chambre2]*1='CHAMBRES FILLES 1e ETAGE'!$A$23,1,0)</f>
        <v>0</v>
      </c>
      <c r="FU26" s="160">
        <f>IF([Occurrence21]=0,0,SUM($FT$2:FT26))</f>
        <v>0</v>
      </c>
      <c r="FV26" s="160">
        <f>IF([Chambre2]*1='CHAMBRES FILLES 1e ETAGE'!$A$29,1,0)</f>
        <v>0</v>
      </c>
      <c r="FW26" s="160">
        <f>IF([Occurrence22]=0,0,SUM($FV$2:FV26))</f>
        <v>0</v>
      </c>
      <c r="FX26" s="160">
        <f>IF([Chambre2]*1='CHAMBRES FILLES 1e ETAGE'!$A$35,1,0)</f>
        <v>0</v>
      </c>
      <c r="FY26" s="160">
        <f>IF([Occurrence23]=0,0,SUM($FX$2:FX26))</f>
        <v>0</v>
      </c>
      <c r="FZ26" s="160">
        <f>IF([Chambre2]*1='CHAMBRES FILLES 1e ETAGE'!$A$41,1,0)</f>
        <v>0</v>
      </c>
      <c r="GA26" s="160">
        <f>IF([Occurrence24]=0,0,SUM($FZ$2:FZ26))</f>
        <v>0</v>
      </c>
      <c r="GB26" s="160">
        <f>IF([Chambre2]*1='CHAMBRES FILLES 1e ETAGE'!$A$47,1,0)</f>
        <v>0</v>
      </c>
      <c r="GC26" s="160">
        <f>IF([Occurrence25]=0,0,SUM($GB$2:GB26))</f>
        <v>0</v>
      </c>
      <c r="GD26" s="160">
        <f>IF([Chambre2]*1='CHAMBRES FILLES 1e ETAGE'!$A$53,1,0)</f>
        <v>0</v>
      </c>
      <c r="GE26" s="160">
        <f>IF([Occurrence26]=0,0,SUM($GD$2:GD26))</f>
        <v>0</v>
      </c>
      <c r="GF26" s="160">
        <f>IF([chambre4]*1='CHAMBRES GARCONS 1e ETAGE'!$A$5,1,0)</f>
        <v>0</v>
      </c>
      <c r="GG26" s="160">
        <f>IF([Occurrence27]=0,0,SUM($GF$2:GF26))</f>
        <v>0</v>
      </c>
      <c r="GH26" s="160">
        <f>IF([chambre4]*1='CHAMBRES GARCONS 1e ETAGE'!$A$11,1,0)</f>
        <v>0</v>
      </c>
      <c r="GI26" s="160">
        <f>IF([Occurrence28]=0,0,SUM($GH$2:GH26))</f>
        <v>0</v>
      </c>
      <c r="GJ26" s="160">
        <f>IF([chambre4]*1='CHAMBRES GARCONS 1e ETAGE'!$A$17,1,0)</f>
        <v>0</v>
      </c>
      <c r="GK26" s="160">
        <f>IF([Occurrence29]=0,0,SUM($GJ$2:GJ26))</f>
        <v>0</v>
      </c>
      <c r="GL26" s="160">
        <f>IF([chambre4]*1='CHAMBRES GARCONS 1e ETAGE'!$A$23,1,0)</f>
        <v>0</v>
      </c>
      <c r="GM26" s="160">
        <f>IF([Occurrence30]=0,0,SUM($GL$2:GL26))</f>
        <v>0</v>
      </c>
      <c r="GN26" s="160">
        <f>IF([chambre4]*1='CHAMBRES GARCONS 1e ETAGE'!$A$29,1,0)</f>
        <v>0</v>
      </c>
      <c r="GO26" s="160">
        <f>IF([Occurrence31]=0,0,SUM($GN$2:GN26))</f>
        <v>0</v>
      </c>
      <c r="GP26" s="160">
        <f>IF([chambre4]*1='CHAMBRES GARCONS 1e ETAGE'!$A$35,1,0)</f>
        <v>0</v>
      </c>
      <c r="GQ26" s="160">
        <f>IF([Occurrence32]=0,0,SUM($GP$2:GP26))</f>
        <v>0</v>
      </c>
      <c r="GR26" s="160">
        <f>IF([chambre3]*1='CHAMBRES GARCONS RDC'!$A$5,1,0)</f>
        <v>0</v>
      </c>
      <c r="GS26" s="160">
        <f>IF([Occurrence33]=0,0,SUM($GR$2:GR26))</f>
        <v>0</v>
      </c>
      <c r="GT26" s="160">
        <f>IF([chambre3]*1='CHAMBRES GARCONS RDC'!$A$11,1,0)</f>
        <v>0</v>
      </c>
      <c r="GU26" s="160">
        <f>IF([Occurrence34]=0,0,SUM($GT$2:GT26))</f>
        <v>0</v>
      </c>
      <c r="GV26" s="160">
        <f>IF([chambre3]*1='CHAMBRES GARCONS RDC'!$A$17,1,0)</f>
        <v>0</v>
      </c>
      <c r="GW26" s="160">
        <f>IF([Occurrence35]=0,0,SUM($GV$2:GV26))</f>
        <v>0</v>
      </c>
      <c r="GX26" s="160">
        <f>IF([chambre3]*1='CHAMBRES GARCONS RDC'!$A$23,1,0)</f>
        <v>0</v>
      </c>
      <c r="GY26" s="160">
        <f>IF([Occurrence36]=0,0,SUM($GX$2:GX26))</f>
        <v>0</v>
      </c>
      <c r="GZ26" s="160">
        <f>IF([chambre3]*1='CHAMBRES GARCONS RDC'!$A$29,1,0)</f>
        <v>0</v>
      </c>
      <c r="HA26" s="160">
        <f>IF([Occurrence37]=0,0,SUM($GZ$2:GZ26))</f>
        <v>0</v>
      </c>
      <c r="HB26" s="160">
        <f>IF([chambre3]*1='CHAMBRES GARCONS RDC'!$A$35,1,0)</f>
        <v>0</v>
      </c>
      <c r="HC26" s="160">
        <f>IF([Occurrence38]=0,0,SUM($HB$2:HB26))</f>
        <v>0</v>
      </c>
      <c r="HD26" s="160">
        <f>IF([chambre3]*1='CHAMBRES GARCONS RDC'!$A$41,1,0)</f>
        <v>0</v>
      </c>
      <c r="HE26" s="160">
        <f>IF([Occurrence39]=0,0,SUM($HD$2:HD26))</f>
        <v>0</v>
      </c>
      <c r="HF26" s="160">
        <f>IF([chambre3]*1='CHAMBRES GARCONS RDC'!$A$47,1,0)</f>
        <v>0</v>
      </c>
      <c r="HG26" s="160">
        <f>IF([Occurrence40]=0,0,SUM($HF$2:HF26))</f>
        <v>0</v>
      </c>
      <c r="HH26" s="160">
        <f>IF([chambre3]*1='CHAMBRES GARCONS RDC'!$A$53,1,0)</f>
        <v>0</v>
      </c>
      <c r="HI26" s="160">
        <f>IF([Occurrence41]=0,0,SUM($HH$2:HH26))</f>
        <v>0</v>
      </c>
      <c r="HJ26" s="160">
        <f>IF([chambre3]*1='CHAMBRES GARCONS RDC'!$A$59,1,0)</f>
        <v>0</v>
      </c>
      <c r="HK26" s="160">
        <f>IF([Occurrence42]=0,0,SUM($HJ$2:HJ26))</f>
        <v>0</v>
      </c>
      <c r="HL26" s="160">
        <f>IF([chambre3]*1='CHAMBRES GARCONS RDC'!$A$65,1,0)</f>
        <v>0</v>
      </c>
      <c r="HM26" s="160">
        <f>IF([Occurrence43]=0,0,SUM($HL$2:HL26))</f>
        <v>0</v>
      </c>
      <c r="HN26" s="160">
        <f>IF([chambre3]*1='CHAMBRES GARCONS RDC'!$A$71,1,0)</f>
        <v>0</v>
      </c>
      <c r="HO26" s="160">
        <f>IF([Occurrence44]=0,0,SUM($HN$2:HN26))</f>
        <v>0</v>
      </c>
      <c r="HP26" s="160">
        <f>IF([chambre3]*1='CHAMBRES GARCONS RDC'!$A$77,1,0)</f>
        <v>0</v>
      </c>
      <c r="HQ26" s="160">
        <f>IF([Occurrence45]=0,0,SUM($HP$2:HP26))</f>
        <v>0</v>
      </c>
      <c r="HR26" s="160">
        <f>IF([chambre3]*1='CHAMBRES GARCONS RDC'!$A$83,1,0)</f>
        <v>0</v>
      </c>
      <c r="HS26" s="160">
        <f>IF([Occurrence46]=0,0,SUM($HR$2:HR26))</f>
        <v>0</v>
      </c>
      <c r="HT26" s="160">
        <f>IF([chambre3]*1='CHAMBRES GARCONS RDC'!$A$89,1,0)</f>
        <v>0</v>
      </c>
      <c r="HU26" s="160">
        <f>IF([Occurrence47]=0,0,SUM($HT$2:HT26))</f>
        <v>0</v>
      </c>
      <c r="HV26" s="160">
        <f>IF([chambre3]*1='CHAMBRES GARCONS RDC'!$A$95,1,0)</f>
        <v>0</v>
      </c>
      <c r="HW26" s="160">
        <f>IF([Occurrence48]=0,0,SUM($HV$2:HV26))</f>
        <v>0</v>
      </c>
      <c r="HX26" s="160"/>
      <c r="HY26" s="160"/>
      <c r="HZ26" s="160">
        <f>IF([Classe]='Liste élève par classes'!$B$5,1,0)</f>
        <v>0</v>
      </c>
      <c r="IA26" s="160">
        <f>IF([Occurrence]=0,0,SUM($HZ$2:HZ26))</f>
        <v>0</v>
      </c>
      <c r="IB2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134</v>
      </c>
      <c r="IC26" s="208"/>
    </row>
    <row r="27" spans="1:237">
      <c r="A27" t="s">
        <v>292</v>
      </c>
      <c r="B27" t="s">
        <v>293</v>
      </c>
      <c r="C27" s="158">
        <v>35639</v>
      </c>
      <c r="D27" s="62">
        <f t="shared" ca="1" si="0"/>
        <v>20</v>
      </c>
      <c r="E27" t="s">
        <v>4</v>
      </c>
      <c r="F27" s="159" t="s">
        <v>46</v>
      </c>
      <c r="G27" t="s">
        <v>40</v>
      </c>
      <c r="H27" s="160"/>
      <c r="I27" s="62"/>
      <c r="J27" s="62"/>
      <c r="K27" s="62"/>
      <c r="L27" s="61"/>
      <c r="M27" s="62"/>
      <c r="N27" s="62"/>
      <c r="O27" s="62"/>
      <c r="P27" s="62"/>
      <c r="Q27" s="62"/>
      <c r="R27" s="62"/>
      <c r="S27" s="62"/>
      <c r="T27" s="62"/>
      <c r="U27" s="61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163"/>
      <c r="AG27" s="163"/>
      <c r="AH27" s="163"/>
      <c r="AI27" s="163"/>
      <c r="AJ27" s="163"/>
      <c r="AK27" s="163"/>
      <c r="AL27" s="163"/>
      <c r="AM27" s="163"/>
      <c r="AN27" s="163"/>
      <c r="AO27" s="163"/>
      <c r="AP27" s="163"/>
      <c r="AQ27" s="163"/>
      <c r="AR27" s="163"/>
      <c r="AS27" s="163"/>
      <c r="AT27" s="163"/>
      <c r="AU27" s="163"/>
      <c r="AV27" s="163"/>
      <c r="AW27" s="163"/>
      <c r="AX27" s="163"/>
      <c r="AY27" s="163"/>
      <c r="AZ27" s="163"/>
      <c r="BA27" s="163"/>
      <c r="BB27" s="163"/>
      <c r="BC27" s="163" t="b">
        <v>0</v>
      </c>
      <c r="BD27" s="163" t="b">
        <v>0</v>
      </c>
      <c r="BE27" s="163" t="b">
        <v>0</v>
      </c>
      <c r="BF27" s="163" t="b">
        <v>0</v>
      </c>
      <c r="BG27" s="163" t="b">
        <v>0</v>
      </c>
      <c r="BH27" s="163" t="b">
        <v>0</v>
      </c>
      <c r="BI27" s="163" t="b">
        <v>1</v>
      </c>
      <c r="BJ27" s="163" t="b">
        <v>0</v>
      </c>
      <c r="BK27" s="163" t="b">
        <v>0</v>
      </c>
      <c r="BL27" s="163" t="b">
        <v>0</v>
      </c>
      <c r="BM27" s="163"/>
      <c r="BN27" s="163"/>
      <c r="BO27" s="163"/>
      <c r="BP27" s="163"/>
      <c r="BQ27" s="163"/>
      <c r="BR27" s="163"/>
      <c r="BS27" s="163"/>
      <c r="BT27" s="163"/>
      <c r="BU27" s="163"/>
      <c r="BV27" s="163"/>
      <c r="BW27" s="163"/>
      <c r="BX27" s="163"/>
      <c r="BY27" s="163"/>
      <c r="BZ27" s="163"/>
      <c r="CA27" s="163"/>
      <c r="CB27" s="163"/>
      <c r="CC27" s="163"/>
      <c r="CD27" s="163"/>
      <c r="CE27" s="163"/>
      <c r="CF27" s="163"/>
      <c r="CG27" s="163"/>
      <c r="CH27" s="163"/>
      <c r="CI27" s="163"/>
      <c r="CJ27" s="163"/>
      <c r="CK27" s="163"/>
      <c r="CL27" s="163"/>
      <c r="CM27" s="163"/>
      <c r="CN27" s="163"/>
      <c r="CO27" s="163"/>
      <c r="CP27" s="163"/>
      <c r="CQ27" s="163"/>
      <c r="CR27" s="163"/>
      <c r="CS27" s="163"/>
      <c r="CT27" s="163"/>
      <c r="CU27" s="163"/>
      <c r="CV27" s="163"/>
      <c r="CW27" s="163"/>
      <c r="CX27" s="163"/>
      <c r="CY27" s="163"/>
      <c r="CZ27" s="163"/>
      <c r="DA27" s="163"/>
      <c r="DB27" s="163"/>
      <c r="DC27" s="163"/>
      <c r="DD27" s="163"/>
      <c r="DE27" s="163"/>
      <c r="DF27" s="163"/>
      <c r="DG27" s="163"/>
      <c r="DH27" s="163"/>
      <c r="DI27" s="163"/>
      <c r="DJ27" s="163"/>
      <c r="DK27" s="163"/>
      <c r="DL27" s="163"/>
      <c r="DM27" s="163"/>
      <c r="DN27" s="163"/>
      <c r="DO27" s="163"/>
      <c r="DP27" s="163"/>
      <c r="DQ27" s="163"/>
      <c r="DR27" s="163"/>
      <c r="DS27" s="163"/>
      <c r="DT27" s="163"/>
      <c r="DU27" s="163"/>
      <c r="DV27" s="163"/>
      <c r="DW27" s="163"/>
      <c r="DX27" s="163"/>
      <c r="DY27" s="163"/>
      <c r="DZ27" s="163"/>
      <c r="EA27" s="163"/>
      <c r="EB27" s="163"/>
      <c r="EC27" s="163"/>
      <c r="ED27" s="163"/>
      <c r="EE27" s="163"/>
      <c r="EF27" s="163"/>
      <c r="EG27" s="163"/>
      <c r="EH27" s="160">
        <f>IF([Chambre]*1='CHAMBRES FILLES 2e ETAGE'!$A$5,1,0)</f>
        <v>0</v>
      </c>
      <c r="EI27" s="161">
        <f>IF([Occurrence2]=0,0,SUM($EH$2:EH27))</f>
        <v>0</v>
      </c>
      <c r="EJ27" s="160">
        <f>IF([Chambre]*1='CHAMBRES FILLES 2e ETAGE'!$A$11,1,0)</f>
        <v>0</v>
      </c>
      <c r="EK27" s="160">
        <f>IF([Occurrence3]=0,0,SUM($EJ$2:EJ27))</f>
        <v>0</v>
      </c>
      <c r="EL27" s="160">
        <f>IF([Chambre]*1='CHAMBRES FILLES 2e ETAGE'!$A$17,1,0)</f>
        <v>0</v>
      </c>
      <c r="EM27" s="160">
        <f>IF([Occurrence4]=0,0,SUM($EL$2:EL27))</f>
        <v>0</v>
      </c>
      <c r="EN27" s="160">
        <f>IF([Chambre]*1='CHAMBRES FILLES 2e ETAGE'!$A$23,1,0)</f>
        <v>0</v>
      </c>
      <c r="EO27" s="160">
        <f>IF([Occurrence5]=0,0,SUM($EN$2:EN27))</f>
        <v>0</v>
      </c>
      <c r="EP27" s="160">
        <f>IF([Chambre]*1='CHAMBRES FILLES 2e ETAGE'!$A$29,1,0)</f>
        <v>0</v>
      </c>
      <c r="EQ27" s="160">
        <f>IF([Occurrence6]=0,0,SUM($EP$2:EP27))</f>
        <v>0</v>
      </c>
      <c r="ER27" s="160">
        <f>IF([Chambre]*1='CHAMBRES FILLES 2e ETAGE'!$A$35,1,0)</f>
        <v>0</v>
      </c>
      <c r="ES27" s="160">
        <f>IF([Occurrence7]=0,0,SUM($ER$2:ER27))</f>
        <v>0</v>
      </c>
      <c r="ET27" s="160">
        <f>IF([Chambre]*1='CHAMBRES FILLES 2e ETAGE'!$A$41,1,0)</f>
        <v>0</v>
      </c>
      <c r="EU27" s="160">
        <f>IF([Occurrence8]=0,0,SUM($ET$2:ET27))</f>
        <v>0</v>
      </c>
      <c r="EV27" s="160">
        <f>IF([Chambre]*1='CHAMBRES FILLES 2e ETAGE'!$A$47,1,0)</f>
        <v>0</v>
      </c>
      <c r="EW27" s="160">
        <f>IF([Occurrence9]=0,0,SUM($EV$2:EV27))</f>
        <v>0</v>
      </c>
      <c r="EX27" s="160">
        <f>IF([Chambre]*1='CHAMBRES FILLES 2e ETAGE'!$A$53,1,0)</f>
        <v>0</v>
      </c>
      <c r="EY27" s="160">
        <f>IF([Occurrence10]=0,0,SUM($EX$2:EX27))</f>
        <v>0</v>
      </c>
      <c r="EZ27" s="160">
        <f>IF([Chambre]*1='CHAMBRES FILLES 2e ETAGE'!$A$59,1,0)</f>
        <v>0</v>
      </c>
      <c r="FA27" s="160">
        <f>IF([Occurrence11]=0,0,SUM($EZ$2:EZ27))</f>
        <v>0</v>
      </c>
      <c r="FB27" s="160">
        <f>IF([Chambre]*1='CHAMBRES FILLES 2e ETAGE'!$A$65,1,0)</f>
        <v>0</v>
      </c>
      <c r="FC27" s="160">
        <f>IF([Occurrence12]=0,0,SUM($FB$2:FB27))</f>
        <v>0</v>
      </c>
      <c r="FD27" s="160">
        <f>IF([Chambre]*1='CHAMBRES FILLES 2e ETAGE'!$A$71,1,0)</f>
        <v>0</v>
      </c>
      <c r="FE27" s="160">
        <f>IF([Occurrence13]=0,0,SUM($FD$2:FD27))</f>
        <v>0</v>
      </c>
      <c r="FF27" s="160">
        <f>IF([Chambre]*1='CHAMBRES FILLES 2e ETAGE'!$A$77,1,0)</f>
        <v>0</v>
      </c>
      <c r="FG27" s="160">
        <f>IF([Occurrence14]=0,0,SUM($FF$2:FF27))</f>
        <v>0</v>
      </c>
      <c r="FH27" s="160">
        <f>IF([Chambre]*1='CHAMBRES FILLES 2e ETAGE'!$A$83,1,0)</f>
        <v>0</v>
      </c>
      <c r="FI27" s="160">
        <f>IF([Occurrence15]=0,0,SUM($FH$2:FH27))</f>
        <v>0</v>
      </c>
      <c r="FJ27" s="160">
        <f>IF([Chambre]*1='CHAMBRES FILLES 2e ETAGE'!$A$89,1,0)</f>
        <v>0</v>
      </c>
      <c r="FK27" s="160">
        <f>IF([Occurrence16]=0,0,SUM($FJ$2:FJ27))</f>
        <v>0</v>
      </c>
      <c r="FL27" s="160">
        <f>IF([Chambre]*1='CHAMBRES FILLES 2e ETAGE'!$A$95,1,0)</f>
        <v>0</v>
      </c>
      <c r="FM27" s="160">
        <f>IF([Occurrence17]=0,0,SUM($FL$2:FL27))</f>
        <v>0</v>
      </c>
      <c r="FN27" s="160">
        <f>IF([Chambre2]*1='CHAMBRES FILLES 1e ETAGE'!$A$5,1,0)</f>
        <v>0</v>
      </c>
      <c r="FO27" s="160">
        <f>IF([Occurrence18]=0,0,SUM($FN$2:FN27))</f>
        <v>0</v>
      </c>
      <c r="FP27" s="160">
        <f>IF([Chambre2]*1='CHAMBRES FILLES 1e ETAGE'!$A$11,1,0)</f>
        <v>0</v>
      </c>
      <c r="FQ27" s="160">
        <f>IF([Occurrence19]=0,0,SUM($FP$2:FP27))</f>
        <v>0</v>
      </c>
      <c r="FR27" s="160">
        <f>IF([Chambre2]*1='CHAMBRES FILLES 1e ETAGE'!$A$17,1,0)</f>
        <v>0</v>
      </c>
      <c r="FS27" s="160">
        <f>IF([Occurrence20]=0,0,SUM($FR$2:FR27))</f>
        <v>0</v>
      </c>
      <c r="FT27" s="160">
        <f>IF([Chambre2]*1='CHAMBRES FILLES 1e ETAGE'!$A$23,1,0)</f>
        <v>0</v>
      </c>
      <c r="FU27" s="160">
        <f>IF([Occurrence21]=0,0,SUM($FT$2:FT27))</f>
        <v>0</v>
      </c>
      <c r="FV27" s="160">
        <f>IF([Chambre2]*1='CHAMBRES FILLES 1e ETAGE'!$A$29,1,0)</f>
        <v>0</v>
      </c>
      <c r="FW27" s="160">
        <f>IF([Occurrence22]=0,0,SUM($FV$2:FV27))</f>
        <v>0</v>
      </c>
      <c r="FX27" s="160">
        <f>IF([Chambre2]*1='CHAMBRES FILLES 1e ETAGE'!$A$35,1,0)</f>
        <v>0</v>
      </c>
      <c r="FY27" s="160">
        <f>IF([Occurrence23]=0,0,SUM($FX$2:FX27))</f>
        <v>0</v>
      </c>
      <c r="FZ27" s="160">
        <f>IF([Chambre2]*1='CHAMBRES FILLES 1e ETAGE'!$A$41,1,0)</f>
        <v>0</v>
      </c>
      <c r="GA27" s="160">
        <f>IF([Occurrence24]=0,0,SUM($FZ$2:FZ27))</f>
        <v>0</v>
      </c>
      <c r="GB27" s="160">
        <f>IF([Chambre2]*1='CHAMBRES FILLES 1e ETAGE'!$A$47,1,0)</f>
        <v>0</v>
      </c>
      <c r="GC27" s="160">
        <f>IF([Occurrence25]=0,0,SUM($GB$2:GB27))</f>
        <v>0</v>
      </c>
      <c r="GD27" s="160">
        <f>IF([Chambre2]*1='CHAMBRES FILLES 1e ETAGE'!$A$53,1,0)</f>
        <v>0</v>
      </c>
      <c r="GE27" s="160">
        <f>IF([Occurrence26]=0,0,SUM($GD$2:GD27))</f>
        <v>0</v>
      </c>
      <c r="GF27" s="160">
        <f>IF([chambre4]*1='CHAMBRES GARCONS 1e ETAGE'!$A$5,1,0)</f>
        <v>0</v>
      </c>
      <c r="GG27" s="160">
        <f>IF([Occurrence27]=0,0,SUM($GF$2:GF27))</f>
        <v>0</v>
      </c>
      <c r="GH27" s="160">
        <f>IF([chambre4]*1='CHAMBRES GARCONS 1e ETAGE'!$A$11,1,0)</f>
        <v>0</v>
      </c>
      <c r="GI27" s="160">
        <f>IF([Occurrence28]=0,0,SUM($GH$2:GH27))</f>
        <v>0</v>
      </c>
      <c r="GJ27" s="160">
        <f>IF([chambre4]*1='CHAMBRES GARCONS 1e ETAGE'!$A$17,1,0)</f>
        <v>0</v>
      </c>
      <c r="GK27" s="160">
        <f>IF([Occurrence29]=0,0,SUM($GJ$2:GJ27))</f>
        <v>0</v>
      </c>
      <c r="GL27" s="160">
        <f>IF([chambre4]*1='CHAMBRES GARCONS 1e ETAGE'!$A$23,1,0)</f>
        <v>0</v>
      </c>
      <c r="GM27" s="160">
        <f>IF([Occurrence30]=0,0,SUM($GL$2:GL27))</f>
        <v>0</v>
      </c>
      <c r="GN27" s="160">
        <f>IF([chambre4]*1='CHAMBRES GARCONS 1e ETAGE'!$A$29,1,0)</f>
        <v>0</v>
      </c>
      <c r="GO27" s="160">
        <f>IF([Occurrence31]=0,0,SUM($GN$2:GN27))</f>
        <v>0</v>
      </c>
      <c r="GP27" s="160">
        <f>IF([chambre4]*1='CHAMBRES GARCONS 1e ETAGE'!$A$35,1,0)</f>
        <v>0</v>
      </c>
      <c r="GQ27" s="160">
        <f>IF([Occurrence32]=0,0,SUM($GP$2:GP27))</f>
        <v>0</v>
      </c>
      <c r="GR27" s="160">
        <f>IF([chambre3]*1='CHAMBRES GARCONS RDC'!$A$5,1,0)</f>
        <v>0</v>
      </c>
      <c r="GS27" s="160">
        <f>IF([Occurrence33]=0,0,SUM($GR$2:GR27))</f>
        <v>0</v>
      </c>
      <c r="GT27" s="160">
        <f>IF([chambre3]*1='CHAMBRES GARCONS RDC'!$A$11,1,0)</f>
        <v>0</v>
      </c>
      <c r="GU27" s="160">
        <f>IF([Occurrence34]=0,0,SUM($GT$2:GT27))</f>
        <v>0</v>
      </c>
      <c r="GV27" s="160">
        <f>IF([chambre3]*1='CHAMBRES GARCONS RDC'!$A$17,1,0)</f>
        <v>0</v>
      </c>
      <c r="GW27" s="160">
        <f>IF([Occurrence35]=0,0,SUM($GV$2:GV27))</f>
        <v>0</v>
      </c>
      <c r="GX27" s="160">
        <f>IF([chambre3]*1='CHAMBRES GARCONS RDC'!$A$23,1,0)</f>
        <v>0</v>
      </c>
      <c r="GY27" s="160">
        <f>IF([Occurrence36]=0,0,SUM($GX$2:GX27))</f>
        <v>0</v>
      </c>
      <c r="GZ27" s="160">
        <f>IF([chambre3]*1='CHAMBRES GARCONS RDC'!$A$29,1,0)</f>
        <v>0</v>
      </c>
      <c r="HA27" s="160">
        <f>IF([Occurrence37]=0,0,SUM($GZ$2:GZ27))</f>
        <v>0</v>
      </c>
      <c r="HB27" s="160">
        <f>IF([chambre3]*1='CHAMBRES GARCONS RDC'!$A$35,1,0)</f>
        <v>0</v>
      </c>
      <c r="HC27" s="160">
        <f>IF([Occurrence38]=0,0,SUM($HB$2:HB27))</f>
        <v>0</v>
      </c>
      <c r="HD27" s="160">
        <f>IF([chambre3]*1='CHAMBRES GARCONS RDC'!$A$41,1,0)</f>
        <v>0</v>
      </c>
      <c r="HE27" s="160">
        <f>IF([Occurrence39]=0,0,SUM($HD$2:HD27))</f>
        <v>0</v>
      </c>
      <c r="HF27" s="160">
        <f>IF([chambre3]*1='CHAMBRES GARCONS RDC'!$A$47,1,0)</f>
        <v>0</v>
      </c>
      <c r="HG27" s="160">
        <f>IF([Occurrence40]=0,0,SUM($HF$2:HF27))</f>
        <v>0</v>
      </c>
      <c r="HH27" s="160">
        <f>IF([chambre3]*1='CHAMBRES GARCONS RDC'!$A$53,1,0)</f>
        <v>0</v>
      </c>
      <c r="HI27" s="160">
        <f>IF([Occurrence41]=0,0,SUM($HH$2:HH27))</f>
        <v>0</v>
      </c>
      <c r="HJ27" s="160">
        <f>IF([chambre3]*1='CHAMBRES GARCONS RDC'!$A$59,1,0)</f>
        <v>0</v>
      </c>
      <c r="HK27" s="160">
        <f>IF([Occurrence42]=0,0,SUM($HJ$2:HJ27))</f>
        <v>0</v>
      </c>
      <c r="HL27" s="160">
        <f>IF([chambre3]*1='CHAMBRES GARCONS RDC'!$A$65,1,0)</f>
        <v>0</v>
      </c>
      <c r="HM27" s="160">
        <f>IF([Occurrence43]=0,0,SUM($HL$2:HL27))</f>
        <v>0</v>
      </c>
      <c r="HN27" s="160">
        <f>IF([chambre3]*1='CHAMBRES GARCONS RDC'!$A$71,1,0)</f>
        <v>0</v>
      </c>
      <c r="HO27" s="160">
        <f>IF([Occurrence44]=0,0,SUM($HN$2:HN27))</f>
        <v>0</v>
      </c>
      <c r="HP27" s="160">
        <f>IF([chambre3]*1='CHAMBRES GARCONS RDC'!$A$77,1,0)</f>
        <v>0</v>
      </c>
      <c r="HQ27" s="160">
        <f>IF([Occurrence45]=0,0,SUM($HP$2:HP27))</f>
        <v>0</v>
      </c>
      <c r="HR27" s="160">
        <f>IF([chambre3]*1='CHAMBRES GARCONS RDC'!$A$83,1,0)</f>
        <v>0</v>
      </c>
      <c r="HS27" s="160">
        <f>IF([Occurrence46]=0,0,SUM($HR$2:HR27))</f>
        <v>0</v>
      </c>
      <c r="HT27" s="160">
        <f>IF([chambre3]*1='CHAMBRES GARCONS RDC'!$A$89,1,0)</f>
        <v>0</v>
      </c>
      <c r="HU27" s="160">
        <f>IF([Occurrence47]=0,0,SUM($HT$2:HT27))</f>
        <v>0</v>
      </c>
      <c r="HV27" s="160">
        <f>IF([chambre3]*1='CHAMBRES GARCONS RDC'!$A$95,1,0)</f>
        <v>0</v>
      </c>
      <c r="HW27" s="160">
        <f>IF([Occurrence48]=0,0,SUM($HV$2:HV27))</f>
        <v>0</v>
      </c>
      <c r="HX27" s="160"/>
      <c r="HY27" s="160"/>
      <c r="HZ27" s="160">
        <f>IF([Classe]='Liste élève par classes'!$B$5,1,0)</f>
        <v>0</v>
      </c>
      <c r="IA27" s="160">
        <f>IF([Occurrence]=0,0,SUM($HZ$2:HZ27))</f>
        <v>0</v>
      </c>
      <c r="IB2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7" s="208"/>
    </row>
    <row r="28" spans="1:237">
      <c r="A28" t="s">
        <v>294</v>
      </c>
      <c r="B28" t="s">
        <v>295</v>
      </c>
      <c r="C28" s="158">
        <v>37433</v>
      </c>
      <c r="D28" s="62">
        <f t="shared" ca="1" si="0"/>
        <v>15</v>
      </c>
      <c r="E28" t="s">
        <v>2</v>
      </c>
      <c r="F28" s="159" t="s">
        <v>50</v>
      </c>
      <c r="G28" t="s">
        <v>45</v>
      </c>
      <c r="H28" s="160"/>
      <c r="I28" s="62"/>
      <c r="J28" s="62" t="s">
        <v>244</v>
      </c>
      <c r="K28" s="62"/>
      <c r="L28" s="61">
        <v>158</v>
      </c>
      <c r="M28">
        <v>141</v>
      </c>
      <c r="N28" s="62" t="s">
        <v>244</v>
      </c>
      <c r="O28" s="62" t="s">
        <v>244</v>
      </c>
      <c r="P28" s="62" t="s">
        <v>244</v>
      </c>
      <c r="Q28" s="62" t="s">
        <v>244</v>
      </c>
      <c r="R28" s="62" t="s">
        <v>244</v>
      </c>
      <c r="S28" s="191"/>
      <c r="T28" s="62" t="s">
        <v>244</v>
      </c>
      <c r="U28" s="61"/>
      <c r="V28" s="62" t="s">
        <v>244</v>
      </c>
      <c r="W28" s="62" t="s">
        <v>244</v>
      </c>
      <c r="X28" s="62" t="s">
        <v>244</v>
      </c>
      <c r="Y28" s="62" t="s">
        <v>244</v>
      </c>
      <c r="Z28" s="62" t="s">
        <v>244</v>
      </c>
      <c r="AA28" s="62" t="s">
        <v>244</v>
      </c>
      <c r="AB28" s="62" t="s">
        <v>244</v>
      </c>
      <c r="AC28" s="62" t="s">
        <v>244</v>
      </c>
      <c r="AD28" s="62" t="s">
        <v>244</v>
      </c>
      <c r="AE28" s="62" t="s">
        <v>244</v>
      </c>
      <c r="AF28" s="166" t="s">
        <v>244</v>
      </c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3" t="b">
        <v>0</v>
      </c>
      <c r="BD28" s="163" t="b">
        <v>1</v>
      </c>
      <c r="BE28" s="163" t="b">
        <v>1</v>
      </c>
      <c r="BF28" s="163" t="b">
        <v>0</v>
      </c>
      <c r="BG28" s="164" t="b">
        <v>0</v>
      </c>
      <c r="BH28" s="163" t="b">
        <v>1</v>
      </c>
      <c r="BI28" s="166"/>
      <c r="BJ28" s="166"/>
      <c r="BK28" s="166"/>
      <c r="BL28" s="166"/>
      <c r="BM28" s="166"/>
      <c r="BN28" s="166"/>
      <c r="BO28" s="166"/>
      <c r="BP28" s="166"/>
      <c r="BQ28" s="166" t="b">
        <v>1</v>
      </c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212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0">
        <f>IF([Chambre]*1='CHAMBRES FILLES 2e ETAGE'!$A$5,1,0)</f>
        <v>1</v>
      </c>
      <c r="EI28" s="161">
        <f>IF([Occurrence2]=0,0,SUM($EH$2:EH28))</f>
        <v>1</v>
      </c>
      <c r="EJ28" s="160">
        <f>IF([Chambre]*1='CHAMBRES FILLES 2e ETAGE'!$A$11,1,0)</f>
        <v>0</v>
      </c>
      <c r="EK28" s="160">
        <f>IF([Occurrence3]=0,0,SUM($EJ$2:EJ28))</f>
        <v>0</v>
      </c>
      <c r="EL28" s="160">
        <f>IF([Chambre]*1='CHAMBRES FILLES 2e ETAGE'!$A$17,1,0)</f>
        <v>0</v>
      </c>
      <c r="EM28" s="160">
        <f>IF([Occurrence4]=0,0,SUM($EL$2:EL28))</f>
        <v>0</v>
      </c>
      <c r="EN28" s="160">
        <f>IF([Chambre]*1='CHAMBRES FILLES 2e ETAGE'!$A$23,1,0)</f>
        <v>0</v>
      </c>
      <c r="EO28" s="160">
        <f>IF([Occurrence5]=0,0,SUM($EN$2:EN28))</f>
        <v>0</v>
      </c>
      <c r="EP28" s="160">
        <f>IF([Chambre]*1='CHAMBRES FILLES 2e ETAGE'!$A$29,1,0)</f>
        <v>0</v>
      </c>
      <c r="EQ28" s="160">
        <f>IF([Occurrence6]=0,0,SUM($EP$2:EP28))</f>
        <v>0</v>
      </c>
      <c r="ER28" s="160">
        <f>IF([Chambre]*1='CHAMBRES FILLES 2e ETAGE'!$A$35,1,0)</f>
        <v>0</v>
      </c>
      <c r="ES28" s="160">
        <f>IF([Occurrence7]=0,0,SUM($ER$2:ER28))</f>
        <v>0</v>
      </c>
      <c r="ET28" s="160">
        <f>IF([Chambre]*1='CHAMBRES FILLES 2e ETAGE'!$A$41,1,0)</f>
        <v>0</v>
      </c>
      <c r="EU28" s="160">
        <f>IF([Occurrence8]=0,0,SUM($ET$2:ET28))</f>
        <v>0</v>
      </c>
      <c r="EV28" s="160">
        <f>IF([Chambre]*1='CHAMBRES FILLES 2e ETAGE'!$A$47,1,0)</f>
        <v>0</v>
      </c>
      <c r="EW28" s="160">
        <f>IF([Occurrence9]=0,0,SUM($EV$2:EV28))</f>
        <v>0</v>
      </c>
      <c r="EX28" s="160">
        <f>IF([Chambre]*1='CHAMBRES FILLES 2e ETAGE'!$A$53,1,0)</f>
        <v>0</v>
      </c>
      <c r="EY28" s="160">
        <f>IF([Occurrence10]=0,0,SUM($EX$2:EX28))</f>
        <v>0</v>
      </c>
      <c r="EZ28" s="160">
        <f>IF([Chambre]*1='CHAMBRES FILLES 2e ETAGE'!$A$59,1,0)</f>
        <v>0</v>
      </c>
      <c r="FA28" s="160">
        <f>IF([Occurrence11]=0,0,SUM($EZ$2:EZ28))</f>
        <v>0</v>
      </c>
      <c r="FB28" s="160">
        <f>IF([Chambre]*1='CHAMBRES FILLES 2e ETAGE'!$A$65,1,0)</f>
        <v>0</v>
      </c>
      <c r="FC28" s="160">
        <f>IF([Occurrence12]=0,0,SUM($FB$2:FB28))</f>
        <v>0</v>
      </c>
      <c r="FD28" s="160">
        <f>IF([Chambre]*1='CHAMBRES FILLES 2e ETAGE'!$A$71,1,0)</f>
        <v>0</v>
      </c>
      <c r="FE28" s="160">
        <f>IF([Occurrence13]=0,0,SUM($FD$2:FD28))</f>
        <v>0</v>
      </c>
      <c r="FF28" s="160">
        <f>IF([Chambre]*1='CHAMBRES FILLES 2e ETAGE'!$A$77,1,0)</f>
        <v>0</v>
      </c>
      <c r="FG28" s="160">
        <f>IF([Occurrence14]=0,0,SUM($FF$2:FF28))</f>
        <v>0</v>
      </c>
      <c r="FH28" s="160">
        <f>IF([Chambre]*1='CHAMBRES FILLES 2e ETAGE'!$A$83,1,0)</f>
        <v>0</v>
      </c>
      <c r="FI28" s="160">
        <f>IF([Occurrence15]=0,0,SUM($FH$2:FH28))</f>
        <v>0</v>
      </c>
      <c r="FJ28" s="160">
        <f>IF([Chambre]*1='CHAMBRES FILLES 2e ETAGE'!$A$89,1,0)</f>
        <v>0</v>
      </c>
      <c r="FK28" s="160">
        <f>IF([Occurrence16]=0,0,SUM($FJ$2:FJ28))</f>
        <v>0</v>
      </c>
      <c r="FL28" s="160">
        <f>IF([Chambre]*1='CHAMBRES FILLES 2e ETAGE'!$A$95,1,0)</f>
        <v>0</v>
      </c>
      <c r="FM28" s="160">
        <f>IF([Occurrence17]=0,0,SUM($FL$2:FL28))</f>
        <v>0</v>
      </c>
      <c r="FN28" s="160">
        <f>IF([Chambre2]*1='CHAMBRES FILLES 1e ETAGE'!$A$5,1,0)</f>
        <v>0</v>
      </c>
      <c r="FO28" s="160">
        <f>IF([Occurrence18]=0,0,SUM($FN$2:FN28))</f>
        <v>0</v>
      </c>
      <c r="FP28" s="160">
        <f>IF([Chambre2]*1='CHAMBRES FILLES 1e ETAGE'!$A$11,1,0)</f>
        <v>0</v>
      </c>
      <c r="FQ28" s="160">
        <f>IF([Occurrence19]=0,0,SUM($FP$2:FP28))</f>
        <v>0</v>
      </c>
      <c r="FR28" s="160">
        <f>IF([Chambre2]*1='CHAMBRES FILLES 1e ETAGE'!$A$17,1,0)</f>
        <v>0</v>
      </c>
      <c r="FS28" s="160">
        <f>IF([Occurrence20]=0,0,SUM($FR$2:FR28))</f>
        <v>0</v>
      </c>
      <c r="FT28" s="160">
        <f>IF([Chambre2]*1='CHAMBRES FILLES 1e ETAGE'!$A$23,1,0)</f>
        <v>0</v>
      </c>
      <c r="FU28" s="160">
        <f>IF([Occurrence21]=0,0,SUM($FT$2:FT28))</f>
        <v>0</v>
      </c>
      <c r="FV28" s="160">
        <f>IF([Chambre2]*1='CHAMBRES FILLES 1e ETAGE'!$A$29,1,0)</f>
        <v>0</v>
      </c>
      <c r="FW28" s="160">
        <f>IF([Occurrence22]=0,0,SUM($FV$2:FV28))</f>
        <v>0</v>
      </c>
      <c r="FX28" s="160">
        <f>IF([Chambre2]*1='CHAMBRES FILLES 1e ETAGE'!$A$35,1,0)</f>
        <v>0</v>
      </c>
      <c r="FY28" s="160">
        <f>IF([Occurrence23]=0,0,SUM($FX$2:FX28))</f>
        <v>0</v>
      </c>
      <c r="FZ28" s="160">
        <f>IF([Chambre2]*1='CHAMBRES FILLES 1e ETAGE'!$A$41,1,0)</f>
        <v>0</v>
      </c>
      <c r="GA28" s="160">
        <f>IF([Occurrence24]=0,0,SUM($FZ$2:FZ28))</f>
        <v>0</v>
      </c>
      <c r="GB28" s="160">
        <f>IF([Chambre2]*1='CHAMBRES FILLES 1e ETAGE'!$A$47,1,0)</f>
        <v>0</v>
      </c>
      <c r="GC28" s="160">
        <f>IF([Occurrence25]=0,0,SUM($GB$2:GB28))</f>
        <v>0</v>
      </c>
      <c r="GD28" s="160">
        <f>IF([Chambre2]*1='CHAMBRES FILLES 1e ETAGE'!$A$53,1,0)</f>
        <v>0</v>
      </c>
      <c r="GE28" s="160">
        <f>IF([Occurrence26]=0,0,SUM($GD$2:GD28))</f>
        <v>0</v>
      </c>
      <c r="GF28" s="160">
        <f>IF([chambre4]*1='CHAMBRES GARCONS 1e ETAGE'!$A$5,1,0)</f>
        <v>0</v>
      </c>
      <c r="GG28" s="160">
        <f>IF([Occurrence27]=0,0,SUM($GF$2:GF28))</f>
        <v>0</v>
      </c>
      <c r="GH28" s="160">
        <f>IF([chambre4]*1='CHAMBRES GARCONS 1e ETAGE'!$A$11,1,0)</f>
        <v>0</v>
      </c>
      <c r="GI28" s="160">
        <f>IF([Occurrence28]=0,0,SUM($GH$2:GH28))</f>
        <v>0</v>
      </c>
      <c r="GJ28" s="160">
        <f>IF([chambre4]*1='CHAMBRES GARCONS 1e ETAGE'!$A$17,1,0)</f>
        <v>0</v>
      </c>
      <c r="GK28" s="160">
        <f>IF([Occurrence29]=0,0,SUM($GJ$2:GJ28))</f>
        <v>0</v>
      </c>
      <c r="GL28" s="160">
        <f>IF([chambre4]*1='CHAMBRES GARCONS 1e ETAGE'!$A$23,1,0)</f>
        <v>0</v>
      </c>
      <c r="GM28" s="160">
        <f>IF([Occurrence30]=0,0,SUM($GL$2:GL28))</f>
        <v>0</v>
      </c>
      <c r="GN28" s="160">
        <f>IF([chambre4]*1='CHAMBRES GARCONS 1e ETAGE'!$A$29,1,0)</f>
        <v>0</v>
      </c>
      <c r="GO28" s="160">
        <f>IF([Occurrence31]=0,0,SUM($GN$2:GN28))</f>
        <v>0</v>
      </c>
      <c r="GP28" s="160">
        <f>IF([chambre4]*1='CHAMBRES GARCONS 1e ETAGE'!$A$35,1,0)</f>
        <v>0</v>
      </c>
      <c r="GQ28" s="160">
        <f>IF([Occurrence32]=0,0,SUM($GP$2:GP28))</f>
        <v>0</v>
      </c>
      <c r="GR28" s="160">
        <f>IF([chambre3]*1='CHAMBRES GARCONS RDC'!$A$5,1,0)</f>
        <v>0</v>
      </c>
      <c r="GS28" s="160">
        <f>IF([Occurrence33]=0,0,SUM($GR$2:GR28))</f>
        <v>0</v>
      </c>
      <c r="GT28" s="160">
        <f>IF([chambre3]*1='CHAMBRES GARCONS RDC'!$A$11,1,0)</f>
        <v>0</v>
      </c>
      <c r="GU28" s="160">
        <f>IF([Occurrence34]=0,0,SUM($GT$2:GT28))</f>
        <v>0</v>
      </c>
      <c r="GV28" s="160">
        <f>IF([chambre3]*1='CHAMBRES GARCONS RDC'!$A$17,1,0)</f>
        <v>0</v>
      </c>
      <c r="GW28" s="160">
        <f>IF([Occurrence35]=0,0,SUM($GV$2:GV28))</f>
        <v>0</v>
      </c>
      <c r="GX28" s="160">
        <f>IF([chambre3]*1='CHAMBRES GARCONS RDC'!$A$23,1,0)</f>
        <v>0</v>
      </c>
      <c r="GY28" s="160">
        <f>IF([Occurrence36]=0,0,SUM($GX$2:GX28))</f>
        <v>0</v>
      </c>
      <c r="GZ28" s="160">
        <f>IF([chambre3]*1='CHAMBRES GARCONS RDC'!$A$29,1,0)</f>
        <v>0</v>
      </c>
      <c r="HA28" s="160">
        <f>IF([Occurrence37]=0,0,SUM($GZ$2:GZ28))</f>
        <v>0</v>
      </c>
      <c r="HB28" s="160">
        <f>IF([chambre3]*1='CHAMBRES GARCONS RDC'!$A$35,1,0)</f>
        <v>0</v>
      </c>
      <c r="HC28" s="160">
        <f>IF([Occurrence38]=0,0,SUM($HB$2:HB28))</f>
        <v>0</v>
      </c>
      <c r="HD28" s="160">
        <f>IF([chambre3]*1='CHAMBRES GARCONS RDC'!$A$41,1,0)</f>
        <v>0</v>
      </c>
      <c r="HE28" s="160">
        <f>IF([Occurrence39]=0,0,SUM($HD$2:HD28))</f>
        <v>0</v>
      </c>
      <c r="HF28" s="160">
        <f>IF([chambre3]*1='CHAMBRES GARCONS RDC'!$A$47,1,0)</f>
        <v>0</v>
      </c>
      <c r="HG28" s="160">
        <f>IF([Occurrence40]=0,0,SUM($HF$2:HF28))</f>
        <v>0</v>
      </c>
      <c r="HH28" s="160">
        <f>IF([chambre3]*1='CHAMBRES GARCONS RDC'!$A$53,1,0)</f>
        <v>0</v>
      </c>
      <c r="HI28" s="160">
        <f>IF([Occurrence41]=0,0,SUM($HH$2:HH28))</f>
        <v>0</v>
      </c>
      <c r="HJ28" s="160">
        <f>IF([chambre3]*1='CHAMBRES GARCONS RDC'!$A$59,1,0)</f>
        <v>0</v>
      </c>
      <c r="HK28" s="160">
        <f>IF([Occurrence42]=0,0,SUM($HJ$2:HJ28))</f>
        <v>0</v>
      </c>
      <c r="HL28" s="160">
        <f>IF([chambre3]*1='CHAMBRES GARCONS RDC'!$A$65,1,0)</f>
        <v>0</v>
      </c>
      <c r="HM28" s="160">
        <f>IF([Occurrence43]=0,0,SUM($HL$2:HL28))</f>
        <v>0</v>
      </c>
      <c r="HN28" s="160">
        <f>IF([chambre3]*1='CHAMBRES GARCONS RDC'!$A$71,1,0)</f>
        <v>0</v>
      </c>
      <c r="HO28" s="160">
        <f>IF([Occurrence44]=0,0,SUM($HN$2:HN28))</f>
        <v>0</v>
      </c>
      <c r="HP28" s="160">
        <f>IF([chambre3]*1='CHAMBRES GARCONS RDC'!$A$77,1,0)</f>
        <v>0</v>
      </c>
      <c r="HQ28" s="160">
        <f>IF([Occurrence45]=0,0,SUM($HP$2:HP28))</f>
        <v>0</v>
      </c>
      <c r="HR28" s="160">
        <f>IF([chambre3]*1='CHAMBRES GARCONS RDC'!$A$83,1,0)</f>
        <v>0</v>
      </c>
      <c r="HS28" s="160">
        <f>IF([Occurrence46]=0,0,SUM($HR$2:HR28))</f>
        <v>0</v>
      </c>
      <c r="HT28" s="160">
        <f>IF([chambre3]*1='CHAMBRES GARCONS RDC'!$A$89,1,0)</f>
        <v>0</v>
      </c>
      <c r="HU28" s="160">
        <f>IF([Occurrence47]=0,0,SUM($HT$2:HT28))</f>
        <v>0</v>
      </c>
      <c r="HV28" s="160">
        <f>IF([chambre3]*1='CHAMBRES GARCONS RDC'!$A$95,1,0)</f>
        <v>0</v>
      </c>
      <c r="HW28" s="160">
        <f>IF([Occurrence48]=0,0,SUM($HV$2:HV28))</f>
        <v>0</v>
      </c>
      <c r="HX28" s="160"/>
      <c r="HY28" s="160"/>
      <c r="HZ28" s="160">
        <f>IF([Classe]='Liste élève par classes'!$B$5,1,0)</f>
        <v>0</v>
      </c>
      <c r="IA28" s="160">
        <f>IF([Occurrence]=0,0,SUM($HZ$2:HZ28))</f>
        <v>0</v>
      </c>
      <c r="IB2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158</v>
      </c>
      <c r="IC28" s="208"/>
    </row>
    <row r="29" spans="1:237">
      <c r="A29" t="s">
        <v>296</v>
      </c>
      <c r="B29" t="s">
        <v>297</v>
      </c>
      <c r="C29" s="158">
        <v>36921</v>
      </c>
      <c r="D29" s="62">
        <f t="shared" ca="1" si="0"/>
        <v>16</v>
      </c>
      <c r="E29" t="s">
        <v>8</v>
      </c>
      <c r="F29" s="159" t="s">
        <v>50</v>
      </c>
      <c r="G29" t="s">
        <v>40</v>
      </c>
      <c r="H29" s="160"/>
      <c r="I29" s="62"/>
      <c r="J29" s="62" t="s">
        <v>244</v>
      </c>
      <c r="K29" s="62"/>
      <c r="L29" s="61"/>
      <c r="M29">
        <v>96</v>
      </c>
      <c r="N29" s="62" t="s">
        <v>244</v>
      </c>
      <c r="O29" s="62" t="s">
        <v>244</v>
      </c>
      <c r="P29" s="62" t="s">
        <v>244</v>
      </c>
      <c r="Q29" s="62" t="s">
        <v>244</v>
      </c>
      <c r="R29" s="62" t="s">
        <v>244</v>
      </c>
      <c r="S29" s="191"/>
      <c r="T29" s="62" t="s">
        <v>244</v>
      </c>
      <c r="U29" s="61"/>
      <c r="V29" s="62" t="s">
        <v>244</v>
      </c>
      <c r="W29" s="62" t="s">
        <v>244</v>
      </c>
      <c r="X29" s="62" t="s">
        <v>244</v>
      </c>
      <c r="Y29" s="62" t="s">
        <v>244</v>
      </c>
      <c r="Z29" s="62" t="s">
        <v>244</v>
      </c>
      <c r="AA29" s="62" t="s">
        <v>244</v>
      </c>
      <c r="AB29" s="62" t="s">
        <v>244</v>
      </c>
      <c r="AC29" s="62" t="s">
        <v>244</v>
      </c>
      <c r="AD29" s="62" t="s">
        <v>244</v>
      </c>
      <c r="AE29" s="62" t="s">
        <v>244</v>
      </c>
      <c r="AF29" s="163" t="s">
        <v>244</v>
      </c>
      <c r="AG29" s="163" t="s">
        <v>244</v>
      </c>
      <c r="AH29" s="163" t="s">
        <v>244</v>
      </c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  <c r="AS29" s="163"/>
      <c r="AT29" s="163"/>
      <c r="AU29" s="163"/>
      <c r="AV29" s="163"/>
      <c r="AW29" s="163"/>
      <c r="AX29" s="163"/>
      <c r="AY29" s="163"/>
      <c r="AZ29" s="163"/>
      <c r="BA29" s="163"/>
      <c r="BB29" s="163"/>
      <c r="BC29" s="163" t="b">
        <v>0</v>
      </c>
      <c r="BD29" s="163" t="b">
        <v>1</v>
      </c>
      <c r="BE29" s="163" t="b">
        <v>1</v>
      </c>
      <c r="BF29" s="163" t="b">
        <v>0</v>
      </c>
      <c r="BG29" s="164" t="b">
        <v>0</v>
      </c>
      <c r="BH29" s="163" t="b">
        <v>1</v>
      </c>
      <c r="BI29" s="163"/>
      <c r="BJ29" s="163"/>
      <c r="BK29" s="163"/>
      <c r="BL29" s="163"/>
      <c r="BM29" s="163"/>
      <c r="BN29" s="163"/>
      <c r="BO29" s="163"/>
      <c r="BP29" s="163"/>
      <c r="BQ29" s="163" t="b">
        <v>1</v>
      </c>
      <c r="BR29" s="163"/>
      <c r="BS29" s="163"/>
      <c r="BT29" s="163"/>
      <c r="BU29" s="163"/>
      <c r="BV29" s="163"/>
      <c r="BW29" s="163"/>
      <c r="BX29" s="163"/>
      <c r="BY29" s="163"/>
      <c r="BZ29" s="163"/>
      <c r="CA29" s="163"/>
      <c r="CB29" s="163"/>
      <c r="CC29" s="163"/>
      <c r="CD29" s="163"/>
      <c r="CE29" s="163"/>
      <c r="CF29" s="163"/>
      <c r="CG29" s="163"/>
      <c r="CH29" s="163"/>
      <c r="CI29" s="163"/>
      <c r="CJ29" s="163"/>
      <c r="CK29" s="163"/>
      <c r="CL29" s="163"/>
      <c r="CM29" s="163"/>
      <c r="CN29" s="163"/>
      <c r="CO29" s="163"/>
      <c r="CP29" s="163"/>
      <c r="CQ29" s="163"/>
      <c r="CR29" s="163"/>
      <c r="CS29" s="163"/>
      <c r="CT29" s="163"/>
      <c r="CU29" s="163"/>
      <c r="CV29" s="163"/>
      <c r="CW29" s="163"/>
      <c r="CX29" s="163"/>
      <c r="CY29" s="163"/>
      <c r="CZ29" s="163"/>
      <c r="DA29" s="163">
        <v>127</v>
      </c>
      <c r="DB29" s="163"/>
      <c r="DC29" s="163"/>
      <c r="DD29" s="163"/>
      <c r="DE29" s="163"/>
      <c r="DF29" s="163"/>
      <c r="DG29" s="208"/>
      <c r="DH29" s="163"/>
      <c r="DI29" s="163"/>
      <c r="DJ29" s="163"/>
      <c r="DK29" s="163"/>
      <c r="DL29" s="163"/>
      <c r="DM29" s="163"/>
      <c r="DN29" s="163"/>
      <c r="DO29" s="163"/>
      <c r="DP29" s="163"/>
      <c r="DQ29" s="163"/>
      <c r="DR29" s="163"/>
      <c r="DS29" s="163"/>
      <c r="DT29" s="163"/>
      <c r="DU29" s="163"/>
      <c r="DV29" s="163"/>
      <c r="DW29" s="163"/>
      <c r="DX29" s="163"/>
      <c r="DY29" s="163"/>
      <c r="DZ29" s="163"/>
      <c r="EA29" s="163"/>
      <c r="EB29" s="163"/>
      <c r="EC29" s="163"/>
      <c r="ED29" s="163"/>
      <c r="EE29" s="163"/>
      <c r="EF29" s="163"/>
      <c r="EG29" s="163"/>
      <c r="EH29" s="160">
        <f>IF([Chambre]*1='CHAMBRES FILLES 2e ETAGE'!$A$5,1,0)</f>
        <v>0</v>
      </c>
      <c r="EI29" s="161">
        <f>IF([Occurrence2]=0,0,SUM($EH$2:EH29))</f>
        <v>0</v>
      </c>
      <c r="EJ29" s="160">
        <f>IF([Chambre]*1='CHAMBRES FILLES 2e ETAGE'!$A$11,1,0)</f>
        <v>0</v>
      </c>
      <c r="EK29" s="160">
        <f>IF([Occurrence3]=0,0,SUM($EJ$2:EJ29))</f>
        <v>0</v>
      </c>
      <c r="EL29" s="160">
        <f>IF([Chambre]*1='CHAMBRES FILLES 2e ETAGE'!$A$17,1,0)</f>
        <v>0</v>
      </c>
      <c r="EM29" s="160">
        <f>IF([Occurrence4]=0,0,SUM($EL$2:EL29))</f>
        <v>0</v>
      </c>
      <c r="EN29" s="160">
        <f>IF([Chambre]*1='CHAMBRES FILLES 2e ETAGE'!$A$23,1,0)</f>
        <v>0</v>
      </c>
      <c r="EO29" s="160">
        <f>IF([Occurrence5]=0,0,SUM($EN$2:EN29))</f>
        <v>0</v>
      </c>
      <c r="EP29" s="160">
        <f>IF([Chambre]*1='CHAMBRES FILLES 2e ETAGE'!$A$29,1,0)</f>
        <v>0</v>
      </c>
      <c r="EQ29" s="160">
        <f>IF([Occurrence6]=0,0,SUM($EP$2:EP29))</f>
        <v>0</v>
      </c>
      <c r="ER29" s="160">
        <f>IF([Chambre]*1='CHAMBRES FILLES 2e ETAGE'!$A$35,1,0)</f>
        <v>0</v>
      </c>
      <c r="ES29" s="160">
        <f>IF([Occurrence7]=0,0,SUM($ER$2:ER29))</f>
        <v>0</v>
      </c>
      <c r="ET29" s="160">
        <f>IF([Chambre]*1='CHAMBRES FILLES 2e ETAGE'!$A$41,1,0)</f>
        <v>0</v>
      </c>
      <c r="EU29" s="160">
        <f>IF([Occurrence8]=0,0,SUM($ET$2:ET29))</f>
        <v>0</v>
      </c>
      <c r="EV29" s="160">
        <f>IF([Chambre]*1='CHAMBRES FILLES 2e ETAGE'!$A$47,1,0)</f>
        <v>0</v>
      </c>
      <c r="EW29" s="160">
        <f>IF([Occurrence9]=0,0,SUM($EV$2:EV29))</f>
        <v>0</v>
      </c>
      <c r="EX29" s="160">
        <f>IF([Chambre]*1='CHAMBRES FILLES 2e ETAGE'!$A$53,1,0)</f>
        <v>0</v>
      </c>
      <c r="EY29" s="160">
        <f>IF([Occurrence10]=0,0,SUM($EX$2:EX29))</f>
        <v>0</v>
      </c>
      <c r="EZ29" s="160">
        <f>IF([Chambre]*1='CHAMBRES FILLES 2e ETAGE'!$A$59,1,0)</f>
        <v>0</v>
      </c>
      <c r="FA29" s="160">
        <f>IF([Occurrence11]=0,0,SUM($EZ$2:EZ29))</f>
        <v>0</v>
      </c>
      <c r="FB29" s="160">
        <f>IF([Chambre]*1='CHAMBRES FILLES 2e ETAGE'!$A$65,1,0)</f>
        <v>0</v>
      </c>
      <c r="FC29" s="160">
        <f>IF([Occurrence12]=0,0,SUM($FB$2:FB29))</f>
        <v>0</v>
      </c>
      <c r="FD29" s="160">
        <f>IF([Chambre]*1='CHAMBRES FILLES 2e ETAGE'!$A$71,1,0)</f>
        <v>0</v>
      </c>
      <c r="FE29" s="160">
        <f>IF([Occurrence13]=0,0,SUM($FD$2:FD29))</f>
        <v>0</v>
      </c>
      <c r="FF29" s="160">
        <f>IF([Chambre]*1='CHAMBRES FILLES 2e ETAGE'!$A$77,1,0)</f>
        <v>0</v>
      </c>
      <c r="FG29" s="160">
        <f>IF([Occurrence14]=0,0,SUM($FF$2:FF29))</f>
        <v>0</v>
      </c>
      <c r="FH29" s="160">
        <f>IF([Chambre]*1='CHAMBRES FILLES 2e ETAGE'!$A$83,1,0)</f>
        <v>0</v>
      </c>
      <c r="FI29" s="160">
        <f>IF([Occurrence15]=0,0,SUM($FH$2:FH29))</f>
        <v>0</v>
      </c>
      <c r="FJ29" s="160">
        <f>IF([Chambre]*1='CHAMBRES FILLES 2e ETAGE'!$A$89,1,0)</f>
        <v>0</v>
      </c>
      <c r="FK29" s="160">
        <f>IF([Occurrence16]=0,0,SUM($FJ$2:FJ29))</f>
        <v>0</v>
      </c>
      <c r="FL29" s="160">
        <f>IF([Chambre]*1='CHAMBRES FILLES 2e ETAGE'!$A$95,1,0)</f>
        <v>0</v>
      </c>
      <c r="FM29" s="160">
        <f>IF([Occurrence17]=0,0,SUM($FL$2:FL29))</f>
        <v>0</v>
      </c>
      <c r="FN29" s="160">
        <f>IF([Chambre2]*1='CHAMBRES FILLES 1e ETAGE'!$A$5,1,0)</f>
        <v>0</v>
      </c>
      <c r="FO29" s="160">
        <f>IF([Occurrence18]=0,0,SUM($FN$2:FN29))</f>
        <v>0</v>
      </c>
      <c r="FP29" s="160">
        <f>IF([Chambre2]*1='CHAMBRES FILLES 1e ETAGE'!$A$11,1,0)</f>
        <v>0</v>
      </c>
      <c r="FQ29" s="160">
        <f>IF([Occurrence19]=0,0,SUM($FP$2:FP29))</f>
        <v>0</v>
      </c>
      <c r="FR29" s="160">
        <f>IF([Chambre2]*1='CHAMBRES FILLES 1e ETAGE'!$A$17,1,0)</f>
        <v>0</v>
      </c>
      <c r="FS29" s="160">
        <f>IF([Occurrence20]=0,0,SUM($FR$2:FR29))</f>
        <v>0</v>
      </c>
      <c r="FT29" s="160">
        <f>IF([Chambre2]*1='CHAMBRES FILLES 1e ETAGE'!$A$23,1,0)</f>
        <v>0</v>
      </c>
      <c r="FU29" s="160">
        <f>IF([Occurrence21]=0,0,SUM($FT$2:FT29))</f>
        <v>0</v>
      </c>
      <c r="FV29" s="160">
        <f>IF([Chambre2]*1='CHAMBRES FILLES 1e ETAGE'!$A$29,1,0)</f>
        <v>0</v>
      </c>
      <c r="FW29" s="160">
        <f>IF([Occurrence22]=0,0,SUM($FV$2:FV29))</f>
        <v>0</v>
      </c>
      <c r="FX29" s="160">
        <f>IF([Chambre2]*1='CHAMBRES FILLES 1e ETAGE'!$A$35,1,0)</f>
        <v>0</v>
      </c>
      <c r="FY29" s="160">
        <f>IF([Occurrence23]=0,0,SUM($FX$2:FX29))</f>
        <v>0</v>
      </c>
      <c r="FZ29" s="160">
        <f>IF([Chambre2]*1='CHAMBRES FILLES 1e ETAGE'!$A$41,1,0)</f>
        <v>0</v>
      </c>
      <c r="GA29" s="160">
        <f>IF([Occurrence24]=0,0,SUM($FZ$2:FZ29))</f>
        <v>0</v>
      </c>
      <c r="GB29" s="160">
        <f>IF([Chambre2]*1='CHAMBRES FILLES 1e ETAGE'!$A$47,1,0)</f>
        <v>0</v>
      </c>
      <c r="GC29" s="160">
        <f>IF([Occurrence25]=0,0,SUM($GB$2:GB29))</f>
        <v>0</v>
      </c>
      <c r="GD29" s="160">
        <f>IF([Chambre2]*1='CHAMBRES FILLES 1e ETAGE'!$A$53,1,0)</f>
        <v>0</v>
      </c>
      <c r="GE29" s="160">
        <f>IF([Occurrence26]=0,0,SUM($GD$2:GD29))</f>
        <v>0</v>
      </c>
      <c r="GF29" s="160">
        <f>IF([chambre4]*1='CHAMBRES GARCONS 1e ETAGE'!$A$5,1,0)</f>
        <v>0</v>
      </c>
      <c r="GG29" s="160">
        <f>IF([Occurrence27]=0,0,SUM($GF$2:GF29))</f>
        <v>0</v>
      </c>
      <c r="GH29" s="160">
        <f>IF([chambre4]*1='CHAMBRES GARCONS 1e ETAGE'!$A$11,1,0)</f>
        <v>0</v>
      </c>
      <c r="GI29" s="160">
        <f>IF([Occurrence28]=0,0,SUM($GH$2:GH29))</f>
        <v>0</v>
      </c>
      <c r="GJ29" s="160">
        <f>IF([chambre4]*1='CHAMBRES GARCONS 1e ETAGE'!$A$17,1,0)</f>
        <v>0</v>
      </c>
      <c r="GK29" s="160">
        <f>IF([Occurrence29]=0,0,SUM($GJ$2:GJ29))</f>
        <v>0</v>
      </c>
      <c r="GL29" s="160">
        <f>IF([chambre4]*1='CHAMBRES GARCONS 1e ETAGE'!$A$23,1,0)</f>
        <v>0</v>
      </c>
      <c r="GM29" s="160">
        <f>IF([Occurrence30]=0,0,SUM($GL$2:GL29))</f>
        <v>0</v>
      </c>
      <c r="GN29" s="160">
        <f>IF([chambre4]*1='CHAMBRES GARCONS 1e ETAGE'!$A$29,1,0)</f>
        <v>0</v>
      </c>
      <c r="GO29" s="160">
        <f>IF([Occurrence31]=0,0,SUM($GN$2:GN29))</f>
        <v>0</v>
      </c>
      <c r="GP29" s="160">
        <f>IF([chambre4]*1='CHAMBRES GARCONS 1e ETAGE'!$A$35,1,0)</f>
        <v>0</v>
      </c>
      <c r="GQ29" s="160">
        <f>IF([Occurrence32]=0,0,SUM($GP$2:GP29))</f>
        <v>0</v>
      </c>
      <c r="GR29" s="160">
        <f>IF([chambre3]*1='CHAMBRES GARCONS RDC'!$A$5,1,0)</f>
        <v>0</v>
      </c>
      <c r="GS29" s="160">
        <f>IF([Occurrence33]=0,0,SUM($GR$2:GR29))</f>
        <v>0</v>
      </c>
      <c r="GT29" s="160">
        <f>IF([chambre3]*1='CHAMBRES GARCONS RDC'!$A$11,1,0)</f>
        <v>0</v>
      </c>
      <c r="GU29" s="160">
        <f>IF([Occurrence34]=0,0,SUM($GT$2:GT29))</f>
        <v>0</v>
      </c>
      <c r="GV29" s="160">
        <f>IF([chambre3]*1='CHAMBRES GARCONS RDC'!$A$17,1,0)</f>
        <v>0</v>
      </c>
      <c r="GW29" s="160">
        <f>IF([Occurrence35]=0,0,SUM($GV$2:GV29))</f>
        <v>0</v>
      </c>
      <c r="GX29" s="160">
        <f>IF([chambre3]*1='CHAMBRES GARCONS RDC'!$A$23,1,0)</f>
        <v>0</v>
      </c>
      <c r="GY29" s="160">
        <f>IF([Occurrence36]=0,0,SUM($GX$2:GX29))</f>
        <v>0</v>
      </c>
      <c r="GZ29" s="160">
        <f>IF([chambre3]*1='CHAMBRES GARCONS RDC'!$A$29,1,0)</f>
        <v>0</v>
      </c>
      <c r="HA29" s="160">
        <f>IF([Occurrence37]=0,0,SUM($GZ$2:GZ29))</f>
        <v>0</v>
      </c>
      <c r="HB29" s="160">
        <f>IF([chambre3]*1='CHAMBRES GARCONS RDC'!$A$35,1,0)</f>
        <v>0</v>
      </c>
      <c r="HC29" s="160">
        <f>IF([Occurrence38]=0,0,SUM($HB$2:HB29))</f>
        <v>0</v>
      </c>
      <c r="HD29" s="160">
        <f>IF([chambre3]*1='CHAMBRES GARCONS RDC'!$A$41,1,0)</f>
        <v>0</v>
      </c>
      <c r="HE29" s="160">
        <f>IF([Occurrence39]=0,0,SUM($HD$2:HD29))</f>
        <v>0</v>
      </c>
      <c r="HF29" s="160">
        <f>IF([chambre3]*1='CHAMBRES GARCONS RDC'!$A$47,1,0)</f>
        <v>0</v>
      </c>
      <c r="HG29" s="160">
        <f>IF([Occurrence40]=0,0,SUM($HF$2:HF29))</f>
        <v>0</v>
      </c>
      <c r="HH29" s="160">
        <f>IF([chambre3]*1='CHAMBRES GARCONS RDC'!$A$53,1,0)</f>
        <v>0</v>
      </c>
      <c r="HI29" s="160">
        <f>IF([Occurrence41]=0,0,SUM($HH$2:HH29))</f>
        <v>0</v>
      </c>
      <c r="HJ29" s="160">
        <f>IF([chambre3]*1='CHAMBRES GARCONS RDC'!$A$59,1,0)</f>
        <v>0</v>
      </c>
      <c r="HK29" s="160">
        <f>IF([Occurrence42]=0,0,SUM($HJ$2:HJ29))</f>
        <v>0</v>
      </c>
      <c r="HL29" s="160">
        <f>IF([chambre3]*1='CHAMBRES GARCONS RDC'!$A$65,1,0)</f>
        <v>0</v>
      </c>
      <c r="HM29" s="160">
        <f>IF([Occurrence43]=0,0,SUM($HL$2:HL29))</f>
        <v>0</v>
      </c>
      <c r="HN29" s="160">
        <f>IF([chambre3]*1='CHAMBRES GARCONS RDC'!$A$71,1,0)</f>
        <v>0</v>
      </c>
      <c r="HO29" s="160">
        <f>IF([Occurrence44]=0,0,SUM($HN$2:HN29))</f>
        <v>0</v>
      </c>
      <c r="HP29" s="160">
        <f>IF([chambre3]*1='CHAMBRES GARCONS RDC'!$A$77,1,0)</f>
        <v>0</v>
      </c>
      <c r="HQ29" s="160">
        <f>IF([Occurrence45]=0,0,SUM($HP$2:HP29))</f>
        <v>0</v>
      </c>
      <c r="HR29" s="160">
        <f>IF([chambre3]*1='CHAMBRES GARCONS RDC'!$A$83,1,0)</f>
        <v>0</v>
      </c>
      <c r="HS29" s="160">
        <f>IF([Occurrence46]=0,0,SUM($HR$2:HR29))</f>
        <v>0</v>
      </c>
      <c r="HT29" s="160">
        <f>IF([chambre3]*1='CHAMBRES GARCONS RDC'!$A$89,1,0)</f>
        <v>1</v>
      </c>
      <c r="HU29" s="160">
        <f>IF([Occurrence47]=0,0,SUM($HT$2:HT29))</f>
        <v>1</v>
      </c>
      <c r="HV29" s="160">
        <f>IF([chambre3]*1='CHAMBRES GARCONS RDC'!$A$95,1,0)</f>
        <v>0</v>
      </c>
      <c r="HW29" s="160">
        <f>IF([Occurrence48]=0,0,SUM($HV$2:HV29))</f>
        <v>0</v>
      </c>
      <c r="HX29" s="160"/>
      <c r="HY29" s="160"/>
      <c r="HZ29" s="160">
        <f>IF([Classe]='Liste élève par classes'!$B$5,1,0)</f>
        <v>1</v>
      </c>
      <c r="IA29" s="160">
        <f>IF([Occurrence]=0,0,SUM($HZ$2:HZ29))</f>
        <v>2</v>
      </c>
      <c r="IB2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127</v>
      </c>
      <c r="IC29" s="208"/>
    </row>
    <row r="30" spans="1:237">
      <c r="A30" t="s">
        <v>298</v>
      </c>
      <c r="B30" t="s">
        <v>299</v>
      </c>
      <c r="C30" s="158">
        <v>37767</v>
      </c>
      <c r="D30" s="62">
        <f t="shared" ca="1" si="0"/>
        <v>14</v>
      </c>
      <c r="E30" t="s">
        <v>12</v>
      </c>
      <c r="F30" s="159" t="s">
        <v>50</v>
      </c>
      <c r="G30" t="s">
        <v>45</v>
      </c>
      <c r="H30" s="160"/>
      <c r="I30" s="62"/>
      <c r="J30" s="62" t="s">
        <v>244</v>
      </c>
      <c r="K30" s="62"/>
      <c r="L30" s="61"/>
      <c r="M30">
        <v>80</v>
      </c>
      <c r="N30" s="62" t="s">
        <v>244</v>
      </c>
      <c r="O30" s="62" t="s">
        <v>244</v>
      </c>
      <c r="P30" s="62" t="s">
        <v>244</v>
      </c>
      <c r="Q30" s="62" t="s">
        <v>244</v>
      </c>
      <c r="R30" s="62" t="s">
        <v>244</v>
      </c>
      <c r="S30" s="191"/>
      <c r="T30" s="62" t="s">
        <v>244</v>
      </c>
      <c r="U30" s="61">
        <v>143</v>
      </c>
      <c r="V30" s="62" t="s">
        <v>244</v>
      </c>
      <c r="W30" s="62" t="s">
        <v>244</v>
      </c>
      <c r="X30" s="62" t="s">
        <v>244</v>
      </c>
      <c r="Y30" s="62" t="s">
        <v>244</v>
      </c>
      <c r="Z30" s="62" t="s">
        <v>244</v>
      </c>
      <c r="AA30" s="62" t="s">
        <v>244</v>
      </c>
      <c r="AB30" s="62" t="s">
        <v>244</v>
      </c>
      <c r="AC30" s="62" t="s">
        <v>244</v>
      </c>
      <c r="AD30" s="62" t="s">
        <v>244</v>
      </c>
      <c r="AE30" s="62" t="s">
        <v>244</v>
      </c>
      <c r="AF30" s="163" t="s">
        <v>244</v>
      </c>
      <c r="AG30" s="163" t="s">
        <v>244</v>
      </c>
      <c r="AH30" s="163" t="s">
        <v>244</v>
      </c>
      <c r="AI30" s="163"/>
      <c r="AJ30" s="163"/>
      <c r="AK30" s="163"/>
      <c r="AL30" s="163"/>
      <c r="AM30" s="163"/>
      <c r="AN30" s="163"/>
      <c r="AO30" s="163"/>
      <c r="AP30" s="163"/>
      <c r="AQ30" s="163"/>
      <c r="AR30" s="163"/>
      <c r="AS30" s="163"/>
      <c r="AT30" s="163"/>
      <c r="AU30" s="163"/>
      <c r="AV30" s="163"/>
      <c r="AW30" s="163"/>
      <c r="AX30" s="163"/>
      <c r="AY30" s="163"/>
      <c r="AZ30" s="163"/>
      <c r="BA30" s="163"/>
      <c r="BB30" s="163"/>
      <c r="BC30" s="163" t="b">
        <v>0</v>
      </c>
      <c r="BD30" s="163" t="b">
        <v>1</v>
      </c>
      <c r="BE30" s="163" t="b">
        <v>1</v>
      </c>
      <c r="BF30" s="163" t="b">
        <v>0</v>
      </c>
      <c r="BG30" s="164" t="b">
        <v>0</v>
      </c>
      <c r="BH30" s="163" t="b">
        <v>1</v>
      </c>
      <c r="BI30" s="163"/>
      <c r="BJ30" s="163"/>
      <c r="BK30" s="163"/>
      <c r="BL30" s="163"/>
      <c r="BM30" s="163"/>
      <c r="BN30" s="163"/>
      <c r="BO30" s="163"/>
      <c r="BP30" s="163"/>
      <c r="BQ30" s="163" t="b">
        <v>0</v>
      </c>
      <c r="BR30" s="163"/>
      <c r="BS30" s="163"/>
      <c r="BT30" s="163"/>
      <c r="BU30" s="163"/>
      <c r="BV30" s="163"/>
      <c r="BW30" s="163"/>
      <c r="BX30" s="163"/>
      <c r="BY30" s="163"/>
      <c r="BZ30" s="163"/>
      <c r="CA30" s="163"/>
      <c r="CB30" s="163"/>
      <c r="CC30" s="163"/>
      <c r="CD30" s="163"/>
      <c r="CE30" s="163"/>
      <c r="CF30" s="163"/>
      <c r="CG30" s="163"/>
      <c r="CH30" s="163"/>
      <c r="CI30" s="163"/>
      <c r="CJ30" s="163"/>
      <c r="CK30" s="163"/>
      <c r="CL30" s="163"/>
      <c r="CM30" s="163"/>
      <c r="CN30" s="163"/>
      <c r="CO30" s="163"/>
      <c r="CP30" s="163"/>
      <c r="CQ30" s="163"/>
      <c r="CR30" s="163"/>
      <c r="CS30" s="163"/>
      <c r="CT30" s="163"/>
      <c r="CU30" s="163"/>
      <c r="CV30" s="163"/>
      <c r="CW30" s="163"/>
      <c r="CX30" s="163"/>
      <c r="CY30" s="163"/>
      <c r="CZ30" s="163"/>
      <c r="DA30" s="163"/>
      <c r="DB30" s="163"/>
      <c r="DC30" s="163"/>
      <c r="DD30" s="163"/>
      <c r="DE30" s="163"/>
      <c r="DF30" s="163"/>
      <c r="DG30" s="208"/>
      <c r="DH30" s="163"/>
      <c r="DI30" s="163"/>
      <c r="DJ30" s="163"/>
      <c r="DK30" s="163"/>
      <c r="DL30" s="163"/>
      <c r="DM30" s="163"/>
      <c r="DN30" s="163"/>
      <c r="DO30" s="163"/>
      <c r="DP30" s="163"/>
      <c r="DQ30" s="163"/>
      <c r="DR30" s="163"/>
      <c r="DS30" s="163"/>
      <c r="DT30" s="163"/>
      <c r="DU30" s="163"/>
      <c r="DV30" s="163"/>
      <c r="DW30" s="163"/>
      <c r="DX30" s="163"/>
      <c r="DY30" s="163"/>
      <c r="DZ30" s="163"/>
      <c r="EA30" s="163"/>
      <c r="EB30" s="163"/>
      <c r="EC30" s="163"/>
      <c r="ED30" s="163"/>
      <c r="EE30" s="163"/>
      <c r="EF30" s="163"/>
      <c r="EG30" s="163"/>
      <c r="EH30" s="160">
        <f>IF([Chambre]*1='CHAMBRES FILLES 2e ETAGE'!$A$5,1,0)</f>
        <v>0</v>
      </c>
      <c r="EI30" s="161">
        <f>IF([Occurrence2]=0,0,SUM($EH$2:EH30))</f>
        <v>0</v>
      </c>
      <c r="EJ30" s="160">
        <f>IF([Chambre]*1='CHAMBRES FILLES 2e ETAGE'!$A$11,1,0)</f>
        <v>0</v>
      </c>
      <c r="EK30" s="160">
        <f>IF([Occurrence3]=0,0,SUM($EJ$2:EJ30))</f>
        <v>0</v>
      </c>
      <c r="EL30" s="160">
        <f>IF([Chambre]*1='CHAMBRES FILLES 2e ETAGE'!$A$17,1,0)</f>
        <v>0</v>
      </c>
      <c r="EM30" s="160">
        <f>IF([Occurrence4]=0,0,SUM($EL$2:EL30))</f>
        <v>0</v>
      </c>
      <c r="EN30" s="160">
        <f>IF([Chambre]*1='CHAMBRES FILLES 2e ETAGE'!$A$23,1,0)</f>
        <v>0</v>
      </c>
      <c r="EO30" s="160">
        <f>IF([Occurrence5]=0,0,SUM($EN$2:EN30))</f>
        <v>0</v>
      </c>
      <c r="EP30" s="160">
        <f>IF([Chambre]*1='CHAMBRES FILLES 2e ETAGE'!$A$29,1,0)</f>
        <v>0</v>
      </c>
      <c r="EQ30" s="160">
        <f>IF([Occurrence6]=0,0,SUM($EP$2:EP30))</f>
        <v>0</v>
      </c>
      <c r="ER30" s="160">
        <f>IF([Chambre]*1='CHAMBRES FILLES 2e ETAGE'!$A$35,1,0)</f>
        <v>0</v>
      </c>
      <c r="ES30" s="160">
        <f>IF([Occurrence7]=0,0,SUM($ER$2:ER30))</f>
        <v>0</v>
      </c>
      <c r="ET30" s="160">
        <f>IF([Chambre]*1='CHAMBRES FILLES 2e ETAGE'!$A$41,1,0)</f>
        <v>0</v>
      </c>
      <c r="EU30" s="160">
        <f>IF([Occurrence8]=0,0,SUM($ET$2:ET30))</f>
        <v>0</v>
      </c>
      <c r="EV30" s="160">
        <f>IF([Chambre]*1='CHAMBRES FILLES 2e ETAGE'!$A$47,1,0)</f>
        <v>0</v>
      </c>
      <c r="EW30" s="160">
        <f>IF([Occurrence9]=0,0,SUM($EV$2:EV30))</f>
        <v>0</v>
      </c>
      <c r="EX30" s="160">
        <f>IF([Chambre]*1='CHAMBRES FILLES 2e ETAGE'!$A$53,1,0)</f>
        <v>0</v>
      </c>
      <c r="EY30" s="160">
        <f>IF([Occurrence10]=0,0,SUM($EX$2:EX30))</f>
        <v>0</v>
      </c>
      <c r="EZ30" s="160">
        <f>IF([Chambre]*1='CHAMBRES FILLES 2e ETAGE'!$A$59,1,0)</f>
        <v>0</v>
      </c>
      <c r="FA30" s="160">
        <f>IF([Occurrence11]=0,0,SUM($EZ$2:EZ30))</f>
        <v>0</v>
      </c>
      <c r="FB30" s="160">
        <f>IF([Chambre]*1='CHAMBRES FILLES 2e ETAGE'!$A$65,1,0)</f>
        <v>0</v>
      </c>
      <c r="FC30" s="160">
        <f>IF([Occurrence12]=0,0,SUM($FB$2:FB30))</f>
        <v>0</v>
      </c>
      <c r="FD30" s="160">
        <f>IF([Chambre]*1='CHAMBRES FILLES 2e ETAGE'!$A$71,1,0)</f>
        <v>0</v>
      </c>
      <c r="FE30" s="160">
        <f>IF([Occurrence13]=0,0,SUM($FD$2:FD30))</f>
        <v>0</v>
      </c>
      <c r="FF30" s="160">
        <f>IF([Chambre]*1='CHAMBRES FILLES 2e ETAGE'!$A$77,1,0)</f>
        <v>0</v>
      </c>
      <c r="FG30" s="160">
        <f>IF([Occurrence14]=0,0,SUM($FF$2:FF30))</f>
        <v>0</v>
      </c>
      <c r="FH30" s="160">
        <f>IF([Chambre]*1='CHAMBRES FILLES 2e ETAGE'!$A$83,1,0)</f>
        <v>0</v>
      </c>
      <c r="FI30" s="160">
        <f>IF([Occurrence15]=0,0,SUM($FH$2:FH30))</f>
        <v>0</v>
      </c>
      <c r="FJ30" s="160">
        <f>IF([Chambre]*1='CHAMBRES FILLES 2e ETAGE'!$A$89,1,0)</f>
        <v>0</v>
      </c>
      <c r="FK30" s="160">
        <f>IF([Occurrence16]=0,0,SUM($FJ$2:FJ30))</f>
        <v>0</v>
      </c>
      <c r="FL30" s="160">
        <f>IF([Chambre]*1='CHAMBRES FILLES 2e ETAGE'!$A$95,1,0)</f>
        <v>0</v>
      </c>
      <c r="FM30" s="160">
        <f>IF([Occurrence17]=0,0,SUM($FL$2:FL30))</f>
        <v>0</v>
      </c>
      <c r="FN30" s="160">
        <f>IF([Chambre2]*1='CHAMBRES FILLES 1e ETAGE'!$A$5,1,0)</f>
        <v>0</v>
      </c>
      <c r="FO30" s="160">
        <f>IF([Occurrence18]=0,0,SUM($FN$2:FN30))</f>
        <v>0</v>
      </c>
      <c r="FP30" s="160">
        <f>IF([Chambre2]*1='CHAMBRES FILLES 1e ETAGE'!$A$11,1,0)</f>
        <v>0</v>
      </c>
      <c r="FQ30" s="160">
        <f>IF([Occurrence19]=0,0,SUM($FP$2:FP30))</f>
        <v>0</v>
      </c>
      <c r="FR30" s="160">
        <f>IF([Chambre2]*1='CHAMBRES FILLES 1e ETAGE'!$A$17,1,0)</f>
        <v>0</v>
      </c>
      <c r="FS30" s="160">
        <f>IF([Occurrence20]=0,0,SUM($FR$2:FR30))</f>
        <v>0</v>
      </c>
      <c r="FT30" s="160">
        <f>IF([Chambre2]*1='CHAMBRES FILLES 1e ETAGE'!$A$23,1,0)</f>
        <v>0</v>
      </c>
      <c r="FU30" s="160">
        <f>IF([Occurrence21]=0,0,SUM($FT$2:FT30))</f>
        <v>0</v>
      </c>
      <c r="FV30" s="160">
        <f>IF([Chambre2]*1='CHAMBRES FILLES 1e ETAGE'!$A$29,1,0)</f>
        <v>0</v>
      </c>
      <c r="FW30" s="160">
        <f>IF([Occurrence22]=0,0,SUM($FV$2:FV30))</f>
        <v>0</v>
      </c>
      <c r="FX30" s="160">
        <f>IF([Chambre2]*1='CHAMBRES FILLES 1e ETAGE'!$A$35,1,0)</f>
        <v>0</v>
      </c>
      <c r="FY30" s="160">
        <f>IF([Occurrence23]=0,0,SUM($FX$2:FX30))</f>
        <v>0</v>
      </c>
      <c r="FZ30" s="160">
        <f>IF([Chambre2]*1='CHAMBRES FILLES 1e ETAGE'!$A$41,1,0)</f>
        <v>1</v>
      </c>
      <c r="GA30" s="160">
        <f>IF([Occurrence24]=0,0,SUM($FZ$2:FZ30))</f>
        <v>2</v>
      </c>
      <c r="GB30" s="160">
        <f>IF([Chambre2]*1='CHAMBRES FILLES 1e ETAGE'!$A$47,1,0)</f>
        <v>0</v>
      </c>
      <c r="GC30" s="160">
        <f>IF([Occurrence25]=0,0,SUM($GB$2:GB30))</f>
        <v>0</v>
      </c>
      <c r="GD30" s="160">
        <f>IF([Chambre2]*1='CHAMBRES FILLES 1e ETAGE'!$A$53,1,0)</f>
        <v>0</v>
      </c>
      <c r="GE30" s="160">
        <f>IF([Occurrence26]=0,0,SUM($GD$2:GD30))</f>
        <v>0</v>
      </c>
      <c r="GF30" s="160">
        <f>IF([chambre4]*1='CHAMBRES GARCONS 1e ETAGE'!$A$5,1,0)</f>
        <v>0</v>
      </c>
      <c r="GG30" s="160">
        <f>IF([Occurrence27]=0,0,SUM($GF$2:GF30))</f>
        <v>0</v>
      </c>
      <c r="GH30" s="160">
        <f>IF([chambre4]*1='CHAMBRES GARCONS 1e ETAGE'!$A$11,1,0)</f>
        <v>0</v>
      </c>
      <c r="GI30" s="160">
        <f>IF([Occurrence28]=0,0,SUM($GH$2:GH30))</f>
        <v>0</v>
      </c>
      <c r="GJ30" s="160">
        <f>IF([chambre4]*1='CHAMBRES GARCONS 1e ETAGE'!$A$17,1,0)</f>
        <v>0</v>
      </c>
      <c r="GK30" s="160">
        <f>IF([Occurrence29]=0,0,SUM($GJ$2:GJ30))</f>
        <v>0</v>
      </c>
      <c r="GL30" s="160">
        <f>IF([chambre4]*1='CHAMBRES GARCONS 1e ETAGE'!$A$23,1,0)</f>
        <v>0</v>
      </c>
      <c r="GM30" s="160">
        <f>IF([Occurrence30]=0,0,SUM($GL$2:GL30))</f>
        <v>0</v>
      </c>
      <c r="GN30" s="160">
        <f>IF([chambre4]*1='CHAMBRES GARCONS 1e ETAGE'!$A$29,1,0)</f>
        <v>0</v>
      </c>
      <c r="GO30" s="160">
        <f>IF([Occurrence31]=0,0,SUM($GN$2:GN30))</f>
        <v>0</v>
      </c>
      <c r="GP30" s="160">
        <f>IF([chambre4]*1='CHAMBRES GARCONS 1e ETAGE'!$A$35,1,0)</f>
        <v>0</v>
      </c>
      <c r="GQ30" s="160">
        <f>IF([Occurrence32]=0,0,SUM($GP$2:GP30))</f>
        <v>0</v>
      </c>
      <c r="GR30" s="160">
        <f>IF([chambre3]*1='CHAMBRES GARCONS RDC'!$A$5,1,0)</f>
        <v>0</v>
      </c>
      <c r="GS30" s="160">
        <f>IF([Occurrence33]=0,0,SUM($GR$2:GR30))</f>
        <v>0</v>
      </c>
      <c r="GT30" s="160">
        <f>IF([chambre3]*1='CHAMBRES GARCONS RDC'!$A$11,1,0)</f>
        <v>0</v>
      </c>
      <c r="GU30" s="160">
        <f>IF([Occurrence34]=0,0,SUM($GT$2:GT30))</f>
        <v>0</v>
      </c>
      <c r="GV30" s="160">
        <f>IF([chambre3]*1='CHAMBRES GARCONS RDC'!$A$17,1,0)</f>
        <v>0</v>
      </c>
      <c r="GW30" s="160">
        <f>IF([Occurrence35]=0,0,SUM($GV$2:GV30))</f>
        <v>0</v>
      </c>
      <c r="GX30" s="160">
        <f>IF([chambre3]*1='CHAMBRES GARCONS RDC'!$A$23,1,0)</f>
        <v>0</v>
      </c>
      <c r="GY30" s="160">
        <f>IF([Occurrence36]=0,0,SUM($GX$2:GX30))</f>
        <v>0</v>
      </c>
      <c r="GZ30" s="160">
        <f>IF([chambre3]*1='CHAMBRES GARCONS RDC'!$A$29,1,0)</f>
        <v>0</v>
      </c>
      <c r="HA30" s="160">
        <f>IF([Occurrence37]=0,0,SUM($GZ$2:GZ30))</f>
        <v>0</v>
      </c>
      <c r="HB30" s="160">
        <f>IF([chambre3]*1='CHAMBRES GARCONS RDC'!$A$35,1,0)</f>
        <v>0</v>
      </c>
      <c r="HC30" s="160">
        <f>IF([Occurrence38]=0,0,SUM($HB$2:HB30))</f>
        <v>0</v>
      </c>
      <c r="HD30" s="160">
        <f>IF([chambre3]*1='CHAMBRES GARCONS RDC'!$A$41,1,0)</f>
        <v>0</v>
      </c>
      <c r="HE30" s="160">
        <f>IF([Occurrence39]=0,0,SUM($HD$2:HD30))</f>
        <v>0</v>
      </c>
      <c r="HF30" s="160">
        <f>IF([chambre3]*1='CHAMBRES GARCONS RDC'!$A$47,1,0)</f>
        <v>0</v>
      </c>
      <c r="HG30" s="160">
        <f>IF([Occurrence40]=0,0,SUM($HF$2:HF30))</f>
        <v>0</v>
      </c>
      <c r="HH30" s="160">
        <f>IF([chambre3]*1='CHAMBRES GARCONS RDC'!$A$53,1,0)</f>
        <v>0</v>
      </c>
      <c r="HI30" s="160">
        <f>IF([Occurrence41]=0,0,SUM($HH$2:HH30))</f>
        <v>0</v>
      </c>
      <c r="HJ30" s="160">
        <f>IF([chambre3]*1='CHAMBRES GARCONS RDC'!$A$59,1,0)</f>
        <v>0</v>
      </c>
      <c r="HK30" s="160">
        <f>IF([Occurrence42]=0,0,SUM($HJ$2:HJ30))</f>
        <v>0</v>
      </c>
      <c r="HL30" s="160">
        <f>IF([chambre3]*1='CHAMBRES GARCONS RDC'!$A$65,1,0)</f>
        <v>0</v>
      </c>
      <c r="HM30" s="160">
        <f>IF([Occurrence43]=0,0,SUM($HL$2:HL30))</f>
        <v>0</v>
      </c>
      <c r="HN30" s="160">
        <f>IF([chambre3]*1='CHAMBRES GARCONS RDC'!$A$71,1,0)</f>
        <v>0</v>
      </c>
      <c r="HO30" s="160">
        <f>IF([Occurrence44]=0,0,SUM($HN$2:HN30))</f>
        <v>0</v>
      </c>
      <c r="HP30" s="160">
        <f>IF([chambre3]*1='CHAMBRES GARCONS RDC'!$A$77,1,0)</f>
        <v>0</v>
      </c>
      <c r="HQ30" s="160">
        <f>IF([Occurrence45]=0,0,SUM($HP$2:HP30))</f>
        <v>0</v>
      </c>
      <c r="HR30" s="160">
        <f>IF([chambre3]*1='CHAMBRES GARCONS RDC'!$A$83,1,0)</f>
        <v>0</v>
      </c>
      <c r="HS30" s="160">
        <f>IF([Occurrence46]=0,0,SUM($HR$2:HR30))</f>
        <v>0</v>
      </c>
      <c r="HT30" s="160">
        <f>IF([chambre3]*1='CHAMBRES GARCONS RDC'!$A$89,1,0)</f>
        <v>0</v>
      </c>
      <c r="HU30" s="160">
        <f>IF([Occurrence47]=0,0,SUM($HT$2:HT30))</f>
        <v>0</v>
      </c>
      <c r="HV30" s="160">
        <f>IF([chambre3]*1='CHAMBRES GARCONS RDC'!$A$95,1,0)</f>
        <v>0</v>
      </c>
      <c r="HW30" s="160">
        <f>IF([Occurrence48]=0,0,SUM($HV$2:HV30))</f>
        <v>0</v>
      </c>
      <c r="HX30" s="160"/>
      <c r="HY30" s="160"/>
      <c r="HZ30" s="160">
        <f>IF([Classe]='Liste élève par classes'!$B$5,1,0)</f>
        <v>0</v>
      </c>
      <c r="IA30" s="160">
        <f>IF([Occurrence]=0,0,SUM($HZ$2:HZ30))</f>
        <v>0</v>
      </c>
      <c r="IB3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143</v>
      </c>
      <c r="IC30" s="208"/>
    </row>
    <row r="31" spans="1:237">
      <c r="A31" t="s">
        <v>300</v>
      </c>
      <c r="B31" t="s">
        <v>301</v>
      </c>
      <c r="C31" s="158">
        <v>36790</v>
      </c>
      <c r="D31" s="62">
        <f t="shared" ca="1" si="0"/>
        <v>17</v>
      </c>
      <c r="E31" t="s">
        <v>13</v>
      </c>
      <c r="F31" s="159" t="s">
        <v>50</v>
      </c>
      <c r="G31" t="s">
        <v>45</v>
      </c>
      <c r="H31" s="160"/>
      <c r="I31" s="161"/>
      <c r="J31" s="161"/>
      <c r="K31" s="161"/>
      <c r="L31" s="160">
        <v>178</v>
      </c>
      <c r="M31">
        <v>115</v>
      </c>
      <c r="N31" s="161"/>
      <c r="O31" s="161"/>
      <c r="P31" s="161"/>
      <c r="Q31" s="161"/>
      <c r="R31" s="161"/>
      <c r="S31" s="190"/>
      <c r="T31" s="161"/>
      <c r="U31" s="160"/>
      <c r="V31" s="161"/>
      <c r="W31" s="161"/>
      <c r="X31" s="161"/>
      <c r="Y31" s="161"/>
      <c r="Z31" s="161"/>
      <c r="AA31" s="161"/>
      <c r="AB31" s="161"/>
      <c r="AC31" s="161"/>
      <c r="AD31" s="161"/>
      <c r="AE31" s="161"/>
      <c r="AF31" s="163"/>
      <c r="AG31" s="163"/>
      <c r="AH31" s="163"/>
      <c r="AI31" s="163"/>
      <c r="AJ31" s="163"/>
      <c r="AK31" s="163"/>
      <c r="AL31" s="163"/>
      <c r="AM31" s="163"/>
      <c r="AN31" s="163"/>
      <c r="AO31" s="163"/>
      <c r="AP31" s="163"/>
      <c r="AQ31" s="163"/>
      <c r="AR31" s="163"/>
      <c r="AS31" s="163"/>
      <c r="AT31" s="163"/>
      <c r="AU31" s="163"/>
      <c r="AV31" s="163"/>
      <c r="AW31" s="163"/>
      <c r="AX31" s="163"/>
      <c r="AY31" s="163"/>
      <c r="AZ31" s="163"/>
      <c r="BA31" s="163"/>
      <c r="BB31" s="163"/>
      <c r="BC31" s="163" t="b">
        <v>0</v>
      </c>
      <c r="BD31" s="163" t="b">
        <v>1</v>
      </c>
      <c r="BE31" s="163" t="b">
        <v>1</v>
      </c>
      <c r="BF31" s="163" t="b">
        <v>0</v>
      </c>
      <c r="BG31" s="164" t="b">
        <v>0</v>
      </c>
      <c r="BH31" s="163" t="b">
        <v>1</v>
      </c>
      <c r="BI31" s="163"/>
      <c r="BJ31" s="163"/>
      <c r="BK31" s="163"/>
      <c r="BL31" s="163"/>
      <c r="BM31" s="163"/>
      <c r="BN31" s="163"/>
      <c r="BO31" s="163"/>
      <c r="BP31" s="163"/>
      <c r="BQ31" s="163" t="b">
        <v>0</v>
      </c>
      <c r="BR31" s="163"/>
      <c r="BS31" s="163"/>
      <c r="BT31" s="163"/>
      <c r="BU31" s="163"/>
      <c r="BV31" s="163"/>
      <c r="BW31" s="163"/>
      <c r="BX31" s="163"/>
      <c r="BY31" s="163"/>
      <c r="BZ31" s="163"/>
      <c r="CA31" s="163"/>
      <c r="CB31" s="163"/>
      <c r="CC31" s="163"/>
      <c r="CD31" s="163"/>
      <c r="CE31" s="163"/>
      <c r="CF31" s="163"/>
      <c r="CG31" s="163"/>
      <c r="CH31" s="163"/>
      <c r="CI31" s="163"/>
      <c r="CJ31" s="163"/>
      <c r="CK31" s="163"/>
      <c r="CL31" s="163"/>
      <c r="CM31" s="163"/>
      <c r="CN31" s="163"/>
      <c r="CO31" s="163"/>
      <c r="CP31" s="163"/>
      <c r="CQ31" s="163"/>
      <c r="CR31" s="163"/>
      <c r="CS31" s="163"/>
      <c r="CT31" s="163"/>
      <c r="CU31" s="163"/>
      <c r="CV31" s="163"/>
      <c r="CW31" s="163"/>
      <c r="CX31" s="163"/>
      <c r="CY31" s="163"/>
      <c r="CZ31" s="163"/>
      <c r="DA31" s="163"/>
      <c r="DB31" s="163"/>
      <c r="DC31" s="163"/>
      <c r="DD31" s="163"/>
      <c r="DE31" s="163"/>
      <c r="DF31" s="163"/>
      <c r="DG31" s="208"/>
      <c r="DH31" s="163"/>
      <c r="DI31" s="163"/>
      <c r="DJ31" s="163"/>
      <c r="DK31" s="163"/>
      <c r="DL31" s="163"/>
      <c r="DM31" s="163"/>
      <c r="DN31" s="163"/>
      <c r="DO31" s="163"/>
      <c r="DP31" s="163"/>
      <c r="DQ31" s="163"/>
      <c r="DR31" s="163"/>
      <c r="DS31" s="163"/>
      <c r="DT31" s="163"/>
      <c r="DU31" s="163"/>
      <c r="DV31" s="163"/>
      <c r="DW31" s="163"/>
      <c r="DX31" s="163"/>
      <c r="DY31" s="163"/>
      <c r="DZ31" s="163"/>
      <c r="EA31" s="163"/>
      <c r="EB31" s="163"/>
      <c r="EC31" s="163"/>
      <c r="ED31" s="163"/>
      <c r="EE31" s="163"/>
      <c r="EF31" s="163"/>
      <c r="EG31" s="163"/>
      <c r="EH31" s="160">
        <f>IF([Chambre]*1='CHAMBRES FILLES 2e ETAGE'!$A$5,1,0)</f>
        <v>0</v>
      </c>
      <c r="EI31" s="161">
        <f>IF([Occurrence2]=0,0,SUM($EH$2:EH31))</f>
        <v>0</v>
      </c>
      <c r="EJ31" s="160">
        <f>IF([Chambre]*1='CHAMBRES FILLES 2e ETAGE'!$A$11,1,0)</f>
        <v>0</v>
      </c>
      <c r="EK31" s="160">
        <f>IF([Occurrence3]=0,0,SUM($EJ$2:EJ31))</f>
        <v>0</v>
      </c>
      <c r="EL31" s="160">
        <f>IF([Chambre]*1='CHAMBRES FILLES 2e ETAGE'!$A$17,1,0)</f>
        <v>0</v>
      </c>
      <c r="EM31" s="160">
        <f>IF([Occurrence4]=0,0,SUM($EL$2:EL31))</f>
        <v>0</v>
      </c>
      <c r="EN31" s="160">
        <f>IF([Chambre]*1='CHAMBRES FILLES 2e ETAGE'!$A$23,1,0)</f>
        <v>0</v>
      </c>
      <c r="EO31" s="160">
        <f>IF([Occurrence5]=0,0,SUM($EN$2:EN31))</f>
        <v>0</v>
      </c>
      <c r="EP31" s="160">
        <f>IF([Chambre]*1='CHAMBRES FILLES 2e ETAGE'!$A$29,1,0)</f>
        <v>0</v>
      </c>
      <c r="EQ31" s="160">
        <f>IF([Occurrence6]=0,0,SUM($EP$2:EP31))</f>
        <v>0</v>
      </c>
      <c r="ER31" s="160">
        <f>IF([Chambre]*1='CHAMBRES FILLES 2e ETAGE'!$A$35,1,0)</f>
        <v>0</v>
      </c>
      <c r="ES31" s="160">
        <f>IF([Occurrence7]=0,0,SUM($ER$2:ER31))</f>
        <v>0</v>
      </c>
      <c r="ET31" s="160">
        <f>IF([Chambre]*1='CHAMBRES FILLES 2e ETAGE'!$A$41,1,0)</f>
        <v>0</v>
      </c>
      <c r="EU31" s="160">
        <f>IF([Occurrence8]=0,0,SUM($ET$2:ET31))</f>
        <v>0</v>
      </c>
      <c r="EV31" s="160">
        <f>IF([Chambre]*1='CHAMBRES FILLES 2e ETAGE'!$A$47,1,0)</f>
        <v>0</v>
      </c>
      <c r="EW31" s="160">
        <f>IF([Occurrence9]=0,0,SUM($EV$2:EV31))</f>
        <v>0</v>
      </c>
      <c r="EX31" s="160">
        <f>IF([Chambre]*1='CHAMBRES FILLES 2e ETAGE'!$A$53,1,0)</f>
        <v>0</v>
      </c>
      <c r="EY31" s="160">
        <f>IF([Occurrence10]=0,0,SUM($EX$2:EX31))</f>
        <v>0</v>
      </c>
      <c r="EZ31" s="160">
        <f>IF([Chambre]*1='CHAMBRES FILLES 2e ETAGE'!$A$59,1,0)</f>
        <v>0</v>
      </c>
      <c r="FA31" s="160">
        <f>IF([Occurrence11]=0,0,SUM($EZ$2:EZ31))</f>
        <v>0</v>
      </c>
      <c r="FB31" s="160">
        <f>IF([Chambre]*1='CHAMBRES FILLES 2e ETAGE'!$A$65,1,0)</f>
        <v>0</v>
      </c>
      <c r="FC31" s="160">
        <f>IF([Occurrence12]=0,0,SUM($FB$2:FB31))</f>
        <v>0</v>
      </c>
      <c r="FD31" s="160">
        <f>IF([Chambre]*1='CHAMBRES FILLES 2e ETAGE'!$A$71,1,0)</f>
        <v>0</v>
      </c>
      <c r="FE31" s="160">
        <f>IF([Occurrence13]=0,0,SUM($FD$2:FD31))</f>
        <v>0</v>
      </c>
      <c r="FF31" s="160">
        <f>IF([Chambre]*1='CHAMBRES FILLES 2e ETAGE'!$A$77,1,0)</f>
        <v>1</v>
      </c>
      <c r="FG31" s="160">
        <f>IF([Occurrence14]=0,0,SUM($FF$2:FF31))</f>
        <v>1</v>
      </c>
      <c r="FH31" s="160">
        <f>IF([Chambre]*1='CHAMBRES FILLES 2e ETAGE'!$A$83,1,0)</f>
        <v>0</v>
      </c>
      <c r="FI31" s="160">
        <f>IF([Occurrence15]=0,0,SUM($FH$2:FH31))</f>
        <v>0</v>
      </c>
      <c r="FJ31" s="160">
        <f>IF([Chambre]*1='CHAMBRES FILLES 2e ETAGE'!$A$89,1,0)</f>
        <v>0</v>
      </c>
      <c r="FK31" s="160">
        <f>IF([Occurrence16]=0,0,SUM($FJ$2:FJ31))</f>
        <v>0</v>
      </c>
      <c r="FL31" s="160">
        <f>IF([Chambre]*1='CHAMBRES FILLES 2e ETAGE'!$A$95,1,0)</f>
        <v>0</v>
      </c>
      <c r="FM31" s="160">
        <f>IF([Occurrence17]=0,0,SUM($FL$2:FL31))</f>
        <v>0</v>
      </c>
      <c r="FN31" s="160">
        <f>IF([Chambre2]*1='CHAMBRES FILLES 1e ETAGE'!$A$5,1,0)</f>
        <v>0</v>
      </c>
      <c r="FO31" s="160">
        <f>IF([Occurrence18]=0,0,SUM($FN$2:FN31))</f>
        <v>0</v>
      </c>
      <c r="FP31" s="160">
        <f>IF([Chambre2]*1='CHAMBRES FILLES 1e ETAGE'!$A$11,1,0)</f>
        <v>0</v>
      </c>
      <c r="FQ31" s="160">
        <f>IF([Occurrence19]=0,0,SUM($FP$2:FP31))</f>
        <v>0</v>
      </c>
      <c r="FR31" s="160">
        <f>IF([Chambre2]*1='CHAMBRES FILLES 1e ETAGE'!$A$17,1,0)</f>
        <v>0</v>
      </c>
      <c r="FS31" s="160">
        <f>IF([Occurrence20]=0,0,SUM($FR$2:FR31))</f>
        <v>0</v>
      </c>
      <c r="FT31" s="160">
        <f>IF([Chambre2]*1='CHAMBRES FILLES 1e ETAGE'!$A$23,1,0)</f>
        <v>0</v>
      </c>
      <c r="FU31" s="160">
        <f>IF([Occurrence21]=0,0,SUM($FT$2:FT31))</f>
        <v>0</v>
      </c>
      <c r="FV31" s="160">
        <f>IF([Chambre2]*1='CHAMBRES FILLES 1e ETAGE'!$A$29,1,0)</f>
        <v>0</v>
      </c>
      <c r="FW31" s="160">
        <f>IF([Occurrence22]=0,0,SUM($FV$2:FV31))</f>
        <v>0</v>
      </c>
      <c r="FX31" s="160">
        <f>IF([Chambre2]*1='CHAMBRES FILLES 1e ETAGE'!$A$35,1,0)</f>
        <v>0</v>
      </c>
      <c r="FY31" s="160">
        <f>IF([Occurrence23]=0,0,SUM($FX$2:FX31))</f>
        <v>0</v>
      </c>
      <c r="FZ31" s="160">
        <f>IF([Chambre2]*1='CHAMBRES FILLES 1e ETAGE'!$A$41,1,0)</f>
        <v>0</v>
      </c>
      <c r="GA31" s="160">
        <f>IF([Occurrence24]=0,0,SUM($FZ$2:FZ31))</f>
        <v>0</v>
      </c>
      <c r="GB31" s="160">
        <f>IF([Chambre2]*1='CHAMBRES FILLES 1e ETAGE'!$A$47,1,0)</f>
        <v>0</v>
      </c>
      <c r="GC31" s="160">
        <f>IF([Occurrence25]=0,0,SUM($GB$2:GB31))</f>
        <v>0</v>
      </c>
      <c r="GD31" s="160">
        <f>IF([Chambre2]*1='CHAMBRES FILLES 1e ETAGE'!$A$53,1,0)</f>
        <v>0</v>
      </c>
      <c r="GE31" s="160">
        <f>IF([Occurrence26]=0,0,SUM($GD$2:GD31))</f>
        <v>0</v>
      </c>
      <c r="GF31" s="160">
        <f>IF([chambre4]*1='CHAMBRES GARCONS 1e ETAGE'!$A$5,1,0)</f>
        <v>0</v>
      </c>
      <c r="GG31" s="160">
        <f>IF([Occurrence27]=0,0,SUM($GF$2:GF31))</f>
        <v>0</v>
      </c>
      <c r="GH31" s="160">
        <f>IF([chambre4]*1='CHAMBRES GARCONS 1e ETAGE'!$A$11,1,0)</f>
        <v>0</v>
      </c>
      <c r="GI31" s="160">
        <f>IF([Occurrence28]=0,0,SUM($GH$2:GH31))</f>
        <v>0</v>
      </c>
      <c r="GJ31" s="160">
        <f>IF([chambre4]*1='CHAMBRES GARCONS 1e ETAGE'!$A$17,1,0)</f>
        <v>0</v>
      </c>
      <c r="GK31" s="160">
        <f>IF([Occurrence29]=0,0,SUM($GJ$2:GJ31))</f>
        <v>0</v>
      </c>
      <c r="GL31" s="160">
        <f>IF([chambre4]*1='CHAMBRES GARCONS 1e ETAGE'!$A$23,1,0)</f>
        <v>0</v>
      </c>
      <c r="GM31" s="160">
        <f>IF([Occurrence30]=0,0,SUM($GL$2:GL31))</f>
        <v>0</v>
      </c>
      <c r="GN31" s="160">
        <f>IF([chambre4]*1='CHAMBRES GARCONS 1e ETAGE'!$A$29,1,0)</f>
        <v>0</v>
      </c>
      <c r="GO31" s="160">
        <f>IF([Occurrence31]=0,0,SUM($GN$2:GN31))</f>
        <v>0</v>
      </c>
      <c r="GP31" s="160">
        <f>IF([chambre4]*1='CHAMBRES GARCONS 1e ETAGE'!$A$35,1,0)</f>
        <v>0</v>
      </c>
      <c r="GQ31" s="160">
        <f>IF([Occurrence32]=0,0,SUM($GP$2:GP31))</f>
        <v>0</v>
      </c>
      <c r="GR31" s="160">
        <f>IF([chambre3]*1='CHAMBRES GARCONS RDC'!$A$5,1,0)</f>
        <v>0</v>
      </c>
      <c r="GS31" s="160">
        <f>IF([Occurrence33]=0,0,SUM($GR$2:GR31))</f>
        <v>0</v>
      </c>
      <c r="GT31" s="160">
        <f>IF([chambre3]*1='CHAMBRES GARCONS RDC'!$A$11,1,0)</f>
        <v>0</v>
      </c>
      <c r="GU31" s="160">
        <f>IF([Occurrence34]=0,0,SUM($GT$2:GT31))</f>
        <v>0</v>
      </c>
      <c r="GV31" s="160">
        <f>IF([chambre3]*1='CHAMBRES GARCONS RDC'!$A$17,1,0)</f>
        <v>0</v>
      </c>
      <c r="GW31" s="160">
        <f>IF([Occurrence35]=0,0,SUM($GV$2:GV31))</f>
        <v>0</v>
      </c>
      <c r="GX31" s="160">
        <f>IF([chambre3]*1='CHAMBRES GARCONS RDC'!$A$23,1,0)</f>
        <v>0</v>
      </c>
      <c r="GY31" s="160">
        <f>IF([Occurrence36]=0,0,SUM($GX$2:GX31))</f>
        <v>0</v>
      </c>
      <c r="GZ31" s="160">
        <f>IF([chambre3]*1='CHAMBRES GARCONS RDC'!$A$29,1,0)</f>
        <v>0</v>
      </c>
      <c r="HA31" s="160">
        <f>IF([Occurrence37]=0,0,SUM($GZ$2:GZ31))</f>
        <v>0</v>
      </c>
      <c r="HB31" s="160">
        <f>IF([chambre3]*1='CHAMBRES GARCONS RDC'!$A$35,1,0)</f>
        <v>0</v>
      </c>
      <c r="HC31" s="160">
        <f>IF([Occurrence38]=0,0,SUM($HB$2:HB31))</f>
        <v>0</v>
      </c>
      <c r="HD31" s="160">
        <f>IF([chambre3]*1='CHAMBRES GARCONS RDC'!$A$41,1,0)</f>
        <v>0</v>
      </c>
      <c r="HE31" s="160">
        <f>IF([Occurrence39]=0,0,SUM($HD$2:HD31))</f>
        <v>0</v>
      </c>
      <c r="HF31" s="160">
        <f>IF([chambre3]*1='CHAMBRES GARCONS RDC'!$A$47,1,0)</f>
        <v>0</v>
      </c>
      <c r="HG31" s="160">
        <f>IF([Occurrence40]=0,0,SUM($HF$2:HF31))</f>
        <v>0</v>
      </c>
      <c r="HH31" s="160">
        <f>IF([chambre3]*1='CHAMBRES GARCONS RDC'!$A$53,1,0)</f>
        <v>0</v>
      </c>
      <c r="HI31" s="160">
        <f>IF([Occurrence41]=0,0,SUM($HH$2:HH31))</f>
        <v>0</v>
      </c>
      <c r="HJ31" s="160">
        <f>IF([chambre3]*1='CHAMBRES GARCONS RDC'!$A$59,1,0)</f>
        <v>0</v>
      </c>
      <c r="HK31" s="160">
        <f>IF([Occurrence42]=0,0,SUM($HJ$2:HJ31))</f>
        <v>0</v>
      </c>
      <c r="HL31" s="160">
        <f>IF([chambre3]*1='CHAMBRES GARCONS RDC'!$A$65,1,0)</f>
        <v>0</v>
      </c>
      <c r="HM31" s="160">
        <f>IF([Occurrence43]=0,0,SUM($HL$2:HL31))</f>
        <v>0</v>
      </c>
      <c r="HN31" s="160">
        <f>IF([chambre3]*1='CHAMBRES GARCONS RDC'!$A$71,1,0)</f>
        <v>0</v>
      </c>
      <c r="HO31" s="160">
        <f>IF([Occurrence44]=0,0,SUM($HN$2:HN31))</f>
        <v>0</v>
      </c>
      <c r="HP31" s="160">
        <f>IF([chambre3]*1='CHAMBRES GARCONS RDC'!$A$77,1,0)</f>
        <v>0</v>
      </c>
      <c r="HQ31" s="160">
        <f>IF([Occurrence45]=0,0,SUM($HP$2:HP31))</f>
        <v>0</v>
      </c>
      <c r="HR31" s="160">
        <f>IF([chambre3]*1='CHAMBRES GARCONS RDC'!$A$83,1,0)</f>
        <v>0</v>
      </c>
      <c r="HS31" s="160">
        <f>IF([Occurrence46]=0,0,SUM($HR$2:HR31))</f>
        <v>0</v>
      </c>
      <c r="HT31" s="160">
        <f>IF([chambre3]*1='CHAMBRES GARCONS RDC'!$A$89,1,0)</f>
        <v>0</v>
      </c>
      <c r="HU31" s="160">
        <f>IF([Occurrence47]=0,0,SUM($HT$2:HT31))</f>
        <v>0</v>
      </c>
      <c r="HV31" s="160">
        <f>IF([chambre3]*1='CHAMBRES GARCONS RDC'!$A$95,1,0)</f>
        <v>0</v>
      </c>
      <c r="HW31" s="160">
        <f>IF([Occurrence48]=0,0,SUM($HV$2:HV31))</f>
        <v>0</v>
      </c>
      <c r="HX31" s="160"/>
      <c r="HY31" s="160"/>
      <c r="HZ31" s="160">
        <f>IF([Classe]='Liste élève par classes'!$B$5,1,0)</f>
        <v>0</v>
      </c>
      <c r="IA31" s="160">
        <f>IF([Occurrence]=0,0,SUM($HZ$2:HZ31))</f>
        <v>0</v>
      </c>
      <c r="IB3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178</v>
      </c>
      <c r="IC31" s="208"/>
    </row>
    <row r="32" spans="1:237">
      <c r="A32" t="s">
        <v>302</v>
      </c>
      <c r="B32" t="s">
        <v>303</v>
      </c>
      <c r="C32" s="158">
        <v>36292</v>
      </c>
      <c r="D32" s="62">
        <f t="shared" ca="1" si="0"/>
        <v>18</v>
      </c>
      <c r="E32" t="s">
        <v>13</v>
      </c>
      <c r="F32" s="159" t="s">
        <v>46</v>
      </c>
      <c r="G32" t="s">
        <v>45</v>
      </c>
      <c r="H32" s="160"/>
      <c r="I32" s="161"/>
      <c r="J32" s="161"/>
      <c r="K32" s="161"/>
      <c r="L32" s="160"/>
      <c r="M32">
        <v>116</v>
      </c>
      <c r="N32" s="161"/>
      <c r="O32" s="161"/>
      <c r="P32" s="161"/>
      <c r="Q32" s="161"/>
      <c r="R32" s="161"/>
      <c r="S32" s="161"/>
      <c r="T32" s="161"/>
      <c r="U32" s="160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3"/>
      <c r="AG32" s="163"/>
      <c r="AH32" s="163"/>
      <c r="AI32" s="163"/>
      <c r="AJ32" s="163"/>
      <c r="AK32" s="163"/>
      <c r="AL32" s="163"/>
      <c r="AM32" s="163"/>
      <c r="AN32" s="163"/>
      <c r="AO32" s="163"/>
      <c r="AP32" s="163"/>
      <c r="AQ32" s="163"/>
      <c r="AR32" s="163"/>
      <c r="AS32" s="163"/>
      <c r="AT32" s="163"/>
      <c r="AU32" s="163"/>
      <c r="AV32" s="163"/>
      <c r="AW32" s="163"/>
      <c r="AX32" s="163"/>
      <c r="AY32" s="163"/>
      <c r="AZ32" s="163"/>
      <c r="BA32" s="163"/>
      <c r="BB32" s="163"/>
      <c r="BC32" s="163"/>
      <c r="BD32" s="163"/>
      <c r="BE32" s="163"/>
      <c r="BF32" s="163"/>
      <c r="BG32" s="163"/>
      <c r="BH32" s="163"/>
      <c r="BI32" s="163"/>
      <c r="BJ32" s="163"/>
      <c r="BK32" s="163"/>
      <c r="BL32" s="163"/>
      <c r="BM32" s="163"/>
      <c r="BN32" s="163"/>
      <c r="BO32" s="163"/>
      <c r="BP32" s="163"/>
      <c r="BQ32" s="163"/>
      <c r="BR32" s="163"/>
      <c r="BS32" s="163"/>
      <c r="BT32" s="163"/>
      <c r="BU32" s="163"/>
      <c r="BV32" s="163"/>
      <c r="BW32" s="163"/>
      <c r="BX32" s="163"/>
      <c r="BY32" s="163"/>
      <c r="BZ32" s="163"/>
      <c r="CA32" s="163"/>
      <c r="CB32" s="163"/>
      <c r="CC32" s="163"/>
      <c r="CD32" s="163"/>
      <c r="CE32" s="163"/>
      <c r="CF32" s="163"/>
      <c r="CG32" s="163"/>
      <c r="CH32" s="163"/>
      <c r="CI32" s="163"/>
      <c r="CJ32" s="163"/>
      <c r="CK32" s="163"/>
      <c r="CL32" s="163"/>
      <c r="CM32" s="163"/>
      <c r="CN32" s="163"/>
      <c r="CO32" s="163"/>
      <c r="CP32" s="163"/>
      <c r="CQ32" s="163"/>
      <c r="CR32" s="163"/>
      <c r="CS32" s="163"/>
      <c r="CT32" s="163"/>
      <c r="CU32" s="163"/>
      <c r="CV32" s="163"/>
      <c r="CW32" s="163"/>
      <c r="CX32" s="163"/>
      <c r="CY32" s="163"/>
      <c r="CZ32" s="163"/>
      <c r="DA32" s="163"/>
      <c r="DB32" s="163"/>
      <c r="DC32" s="163"/>
      <c r="DD32" s="163"/>
      <c r="DE32" s="163"/>
      <c r="DF32" s="163"/>
      <c r="DG32" s="163"/>
      <c r="DH32" s="163"/>
      <c r="DI32" s="163"/>
      <c r="DJ32" s="163"/>
      <c r="DK32" s="163"/>
      <c r="DL32" s="163"/>
      <c r="DM32" s="163"/>
      <c r="DN32" s="163"/>
      <c r="DO32" s="163"/>
      <c r="DP32" s="163"/>
      <c r="DQ32" s="163"/>
      <c r="DR32" s="163"/>
      <c r="DS32" s="163"/>
      <c r="DT32" s="163"/>
      <c r="DU32" s="163"/>
      <c r="DV32" s="163"/>
      <c r="DW32" s="163"/>
      <c r="DX32" s="163"/>
      <c r="DY32" s="163"/>
      <c r="DZ32" s="163"/>
      <c r="EA32" s="163"/>
      <c r="EB32" s="163"/>
      <c r="EC32" s="163"/>
      <c r="ED32" s="163"/>
      <c r="EE32" s="163"/>
      <c r="EF32" s="163"/>
      <c r="EG32" s="163"/>
      <c r="EH32" s="160">
        <f>IF([Chambre]*1='CHAMBRES FILLES 2e ETAGE'!$A$5,1,0)</f>
        <v>0</v>
      </c>
      <c r="EI32" s="161">
        <f>IF([Occurrence2]=0,0,SUM($EH$2:EH32))</f>
        <v>0</v>
      </c>
      <c r="EJ32" s="160">
        <f>IF([Chambre]*1='CHAMBRES FILLES 2e ETAGE'!$A$11,1,0)</f>
        <v>0</v>
      </c>
      <c r="EK32" s="160">
        <f>IF([Occurrence3]=0,0,SUM($EJ$2:EJ32))</f>
        <v>0</v>
      </c>
      <c r="EL32" s="160">
        <f>IF([Chambre]*1='CHAMBRES FILLES 2e ETAGE'!$A$17,1,0)</f>
        <v>0</v>
      </c>
      <c r="EM32" s="160">
        <f>IF([Occurrence4]=0,0,SUM($EL$2:EL32))</f>
        <v>0</v>
      </c>
      <c r="EN32" s="160">
        <f>IF([Chambre]*1='CHAMBRES FILLES 2e ETAGE'!$A$23,1,0)</f>
        <v>0</v>
      </c>
      <c r="EO32" s="160">
        <f>IF([Occurrence5]=0,0,SUM($EN$2:EN32))</f>
        <v>0</v>
      </c>
      <c r="EP32" s="160">
        <f>IF([Chambre]*1='CHAMBRES FILLES 2e ETAGE'!$A$29,1,0)</f>
        <v>0</v>
      </c>
      <c r="EQ32" s="160">
        <f>IF([Occurrence6]=0,0,SUM($EP$2:EP32))</f>
        <v>0</v>
      </c>
      <c r="ER32" s="160">
        <f>IF([Chambre]*1='CHAMBRES FILLES 2e ETAGE'!$A$35,1,0)</f>
        <v>0</v>
      </c>
      <c r="ES32" s="160">
        <f>IF([Occurrence7]=0,0,SUM($ER$2:ER32))</f>
        <v>0</v>
      </c>
      <c r="ET32" s="160">
        <f>IF([Chambre]*1='CHAMBRES FILLES 2e ETAGE'!$A$41,1,0)</f>
        <v>0</v>
      </c>
      <c r="EU32" s="160">
        <f>IF([Occurrence8]=0,0,SUM($ET$2:ET32))</f>
        <v>0</v>
      </c>
      <c r="EV32" s="160">
        <f>IF([Chambre]*1='CHAMBRES FILLES 2e ETAGE'!$A$47,1,0)</f>
        <v>0</v>
      </c>
      <c r="EW32" s="160">
        <f>IF([Occurrence9]=0,0,SUM($EV$2:EV32))</f>
        <v>0</v>
      </c>
      <c r="EX32" s="160">
        <f>IF([Chambre]*1='CHAMBRES FILLES 2e ETAGE'!$A$53,1,0)</f>
        <v>0</v>
      </c>
      <c r="EY32" s="160">
        <f>IF([Occurrence10]=0,0,SUM($EX$2:EX32))</f>
        <v>0</v>
      </c>
      <c r="EZ32" s="160">
        <f>IF([Chambre]*1='CHAMBRES FILLES 2e ETAGE'!$A$59,1,0)</f>
        <v>0</v>
      </c>
      <c r="FA32" s="160">
        <f>IF([Occurrence11]=0,0,SUM($EZ$2:EZ32))</f>
        <v>0</v>
      </c>
      <c r="FB32" s="160">
        <f>IF([Chambre]*1='CHAMBRES FILLES 2e ETAGE'!$A$65,1,0)</f>
        <v>0</v>
      </c>
      <c r="FC32" s="160">
        <f>IF([Occurrence12]=0,0,SUM($FB$2:FB32))</f>
        <v>0</v>
      </c>
      <c r="FD32" s="160">
        <f>IF([Chambre]*1='CHAMBRES FILLES 2e ETAGE'!$A$71,1,0)</f>
        <v>0</v>
      </c>
      <c r="FE32" s="160">
        <f>IF([Occurrence13]=0,0,SUM($FD$2:FD32))</f>
        <v>0</v>
      </c>
      <c r="FF32" s="160">
        <f>IF([Chambre]*1='CHAMBRES FILLES 2e ETAGE'!$A$77,1,0)</f>
        <v>0</v>
      </c>
      <c r="FG32" s="160">
        <f>IF([Occurrence14]=0,0,SUM($FF$2:FF32))</f>
        <v>0</v>
      </c>
      <c r="FH32" s="160">
        <f>IF([Chambre]*1='CHAMBRES FILLES 2e ETAGE'!$A$83,1,0)</f>
        <v>0</v>
      </c>
      <c r="FI32" s="160">
        <f>IF([Occurrence15]=0,0,SUM($FH$2:FH32))</f>
        <v>0</v>
      </c>
      <c r="FJ32" s="160">
        <f>IF([Chambre]*1='CHAMBRES FILLES 2e ETAGE'!$A$89,1,0)</f>
        <v>0</v>
      </c>
      <c r="FK32" s="160">
        <f>IF([Occurrence16]=0,0,SUM($FJ$2:FJ32))</f>
        <v>0</v>
      </c>
      <c r="FL32" s="160">
        <f>IF([Chambre]*1='CHAMBRES FILLES 2e ETAGE'!$A$95,1,0)</f>
        <v>0</v>
      </c>
      <c r="FM32" s="160">
        <f>IF([Occurrence17]=0,0,SUM($FL$2:FL32))</f>
        <v>0</v>
      </c>
      <c r="FN32" s="160">
        <f>IF([Chambre2]*1='CHAMBRES FILLES 1e ETAGE'!$A$5,1,0)</f>
        <v>0</v>
      </c>
      <c r="FO32" s="160">
        <f>IF([Occurrence18]=0,0,SUM($FN$2:FN32))</f>
        <v>0</v>
      </c>
      <c r="FP32" s="160">
        <f>IF([Chambre2]*1='CHAMBRES FILLES 1e ETAGE'!$A$11,1,0)</f>
        <v>0</v>
      </c>
      <c r="FQ32" s="160">
        <f>IF([Occurrence19]=0,0,SUM($FP$2:FP32))</f>
        <v>0</v>
      </c>
      <c r="FR32" s="160">
        <f>IF([Chambre2]*1='CHAMBRES FILLES 1e ETAGE'!$A$17,1,0)</f>
        <v>0</v>
      </c>
      <c r="FS32" s="160">
        <f>IF([Occurrence20]=0,0,SUM($FR$2:FR32))</f>
        <v>0</v>
      </c>
      <c r="FT32" s="160">
        <f>IF([Chambre2]*1='CHAMBRES FILLES 1e ETAGE'!$A$23,1,0)</f>
        <v>0</v>
      </c>
      <c r="FU32" s="160">
        <f>IF([Occurrence21]=0,0,SUM($FT$2:FT32))</f>
        <v>0</v>
      </c>
      <c r="FV32" s="160">
        <f>IF([Chambre2]*1='CHAMBRES FILLES 1e ETAGE'!$A$29,1,0)</f>
        <v>0</v>
      </c>
      <c r="FW32" s="160">
        <f>IF([Occurrence22]=0,0,SUM($FV$2:FV32))</f>
        <v>0</v>
      </c>
      <c r="FX32" s="160">
        <f>IF([Chambre2]*1='CHAMBRES FILLES 1e ETAGE'!$A$35,1,0)</f>
        <v>0</v>
      </c>
      <c r="FY32" s="160">
        <f>IF([Occurrence23]=0,0,SUM($FX$2:FX32))</f>
        <v>0</v>
      </c>
      <c r="FZ32" s="160">
        <f>IF([Chambre2]*1='CHAMBRES FILLES 1e ETAGE'!$A$41,1,0)</f>
        <v>0</v>
      </c>
      <c r="GA32" s="160">
        <f>IF([Occurrence24]=0,0,SUM($FZ$2:FZ32))</f>
        <v>0</v>
      </c>
      <c r="GB32" s="160">
        <f>IF([Chambre2]*1='CHAMBRES FILLES 1e ETAGE'!$A$47,1,0)</f>
        <v>0</v>
      </c>
      <c r="GC32" s="160">
        <f>IF([Occurrence25]=0,0,SUM($GB$2:GB32))</f>
        <v>0</v>
      </c>
      <c r="GD32" s="160">
        <f>IF([Chambre2]*1='CHAMBRES FILLES 1e ETAGE'!$A$53,1,0)</f>
        <v>0</v>
      </c>
      <c r="GE32" s="160">
        <f>IF([Occurrence26]=0,0,SUM($GD$2:GD32))</f>
        <v>0</v>
      </c>
      <c r="GF32" s="160">
        <f>IF([chambre4]*1='CHAMBRES GARCONS 1e ETAGE'!$A$5,1,0)</f>
        <v>0</v>
      </c>
      <c r="GG32" s="160">
        <f>IF([Occurrence27]=0,0,SUM($GF$2:GF32))</f>
        <v>0</v>
      </c>
      <c r="GH32" s="160">
        <f>IF([chambre4]*1='CHAMBRES GARCONS 1e ETAGE'!$A$11,1,0)</f>
        <v>0</v>
      </c>
      <c r="GI32" s="160">
        <f>IF([Occurrence28]=0,0,SUM($GH$2:GH32))</f>
        <v>0</v>
      </c>
      <c r="GJ32" s="160">
        <f>IF([chambre4]*1='CHAMBRES GARCONS 1e ETAGE'!$A$17,1,0)</f>
        <v>0</v>
      </c>
      <c r="GK32" s="160">
        <f>IF([Occurrence29]=0,0,SUM($GJ$2:GJ32))</f>
        <v>0</v>
      </c>
      <c r="GL32" s="160">
        <f>IF([chambre4]*1='CHAMBRES GARCONS 1e ETAGE'!$A$23,1,0)</f>
        <v>0</v>
      </c>
      <c r="GM32" s="160">
        <f>IF([Occurrence30]=0,0,SUM($GL$2:GL32))</f>
        <v>0</v>
      </c>
      <c r="GN32" s="160">
        <f>IF([chambre4]*1='CHAMBRES GARCONS 1e ETAGE'!$A$29,1,0)</f>
        <v>0</v>
      </c>
      <c r="GO32" s="160">
        <f>IF([Occurrence31]=0,0,SUM($GN$2:GN32))</f>
        <v>0</v>
      </c>
      <c r="GP32" s="160">
        <f>IF([chambre4]*1='CHAMBRES GARCONS 1e ETAGE'!$A$35,1,0)</f>
        <v>0</v>
      </c>
      <c r="GQ32" s="160">
        <f>IF([Occurrence32]=0,0,SUM($GP$2:GP32))</f>
        <v>0</v>
      </c>
      <c r="GR32" s="160">
        <f>IF([chambre3]*1='CHAMBRES GARCONS RDC'!$A$5,1,0)</f>
        <v>0</v>
      </c>
      <c r="GS32" s="160">
        <f>IF([Occurrence33]=0,0,SUM($GR$2:GR32))</f>
        <v>0</v>
      </c>
      <c r="GT32" s="160">
        <f>IF([chambre3]*1='CHAMBRES GARCONS RDC'!$A$11,1,0)</f>
        <v>0</v>
      </c>
      <c r="GU32" s="160">
        <f>IF([Occurrence34]=0,0,SUM($GT$2:GT32))</f>
        <v>0</v>
      </c>
      <c r="GV32" s="160">
        <f>IF([chambre3]*1='CHAMBRES GARCONS RDC'!$A$17,1,0)</f>
        <v>0</v>
      </c>
      <c r="GW32" s="160">
        <f>IF([Occurrence35]=0,0,SUM($GV$2:GV32))</f>
        <v>0</v>
      </c>
      <c r="GX32" s="160">
        <f>IF([chambre3]*1='CHAMBRES GARCONS RDC'!$A$23,1,0)</f>
        <v>0</v>
      </c>
      <c r="GY32" s="160">
        <f>IF([Occurrence36]=0,0,SUM($GX$2:GX32))</f>
        <v>0</v>
      </c>
      <c r="GZ32" s="160">
        <f>IF([chambre3]*1='CHAMBRES GARCONS RDC'!$A$29,1,0)</f>
        <v>0</v>
      </c>
      <c r="HA32" s="160">
        <f>IF([Occurrence37]=0,0,SUM($GZ$2:GZ32))</f>
        <v>0</v>
      </c>
      <c r="HB32" s="160">
        <f>IF([chambre3]*1='CHAMBRES GARCONS RDC'!$A$35,1,0)</f>
        <v>0</v>
      </c>
      <c r="HC32" s="160">
        <f>IF([Occurrence38]=0,0,SUM($HB$2:HB32))</f>
        <v>0</v>
      </c>
      <c r="HD32" s="160">
        <f>IF([chambre3]*1='CHAMBRES GARCONS RDC'!$A$41,1,0)</f>
        <v>0</v>
      </c>
      <c r="HE32" s="160">
        <f>IF([Occurrence39]=0,0,SUM($HD$2:HD32))</f>
        <v>0</v>
      </c>
      <c r="HF32" s="160">
        <f>IF([chambre3]*1='CHAMBRES GARCONS RDC'!$A$47,1,0)</f>
        <v>0</v>
      </c>
      <c r="HG32" s="160">
        <f>IF([Occurrence40]=0,0,SUM($HF$2:HF32))</f>
        <v>0</v>
      </c>
      <c r="HH32" s="160">
        <f>IF([chambre3]*1='CHAMBRES GARCONS RDC'!$A$53,1,0)</f>
        <v>0</v>
      </c>
      <c r="HI32" s="160">
        <f>IF([Occurrence41]=0,0,SUM($HH$2:HH32))</f>
        <v>0</v>
      </c>
      <c r="HJ32" s="160">
        <f>IF([chambre3]*1='CHAMBRES GARCONS RDC'!$A$59,1,0)</f>
        <v>0</v>
      </c>
      <c r="HK32" s="160">
        <f>IF([Occurrence42]=0,0,SUM($HJ$2:HJ32))</f>
        <v>0</v>
      </c>
      <c r="HL32" s="160">
        <f>IF([chambre3]*1='CHAMBRES GARCONS RDC'!$A$65,1,0)</f>
        <v>0</v>
      </c>
      <c r="HM32" s="160">
        <f>IF([Occurrence43]=0,0,SUM($HL$2:HL32))</f>
        <v>0</v>
      </c>
      <c r="HN32" s="160">
        <f>IF([chambre3]*1='CHAMBRES GARCONS RDC'!$A$71,1,0)</f>
        <v>0</v>
      </c>
      <c r="HO32" s="160">
        <f>IF([Occurrence44]=0,0,SUM($HN$2:HN32))</f>
        <v>0</v>
      </c>
      <c r="HP32" s="160">
        <f>IF([chambre3]*1='CHAMBRES GARCONS RDC'!$A$77,1,0)</f>
        <v>0</v>
      </c>
      <c r="HQ32" s="160">
        <f>IF([Occurrence45]=0,0,SUM($HP$2:HP32))</f>
        <v>0</v>
      </c>
      <c r="HR32" s="160">
        <f>IF([chambre3]*1='CHAMBRES GARCONS RDC'!$A$83,1,0)</f>
        <v>0</v>
      </c>
      <c r="HS32" s="160">
        <f>IF([Occurrence46]=0,0,SUM($HR$2:HR32))</f>
        <v>0</v>
      </c>
      <c r="HT32" s="160">
        <f>IF([chambre3]*1='CHAMBRES GARCONS RDC'!$A$89,1,0)</f>
        <v>0</v>
      </c>
      <c r="HU32" s="160">
        <f>IF([Occurrence47]=0,0,SUM($HT$2:HT32))</f>
        <v>0</v>
      </c>
      <c r="HV32" s="160">
        <f>IF([chambre3]*1='CHAMBRES GARCONS RDC'!$A$95,1,0)</f>
        <v>0</v>
      </c>
      <c r="HW32" s="160">
        <f>IF([Occurrence48]=0,0,SUM($HV$2:HV32))</f>
        <v>0</v>
      </c>
      <c r="HX32" s="160"/>
      <c r="HY32" s="160"/>
      <c r="HZ32" s="160">
        <f>IF([Classe]='Liste élève par classes'!$B$5,1,0)</f>
        <v>0</v>
      </c>
      <c r="IA32" s="160">
        <f>IF([Occurrence]=0,0,SUM($HZ$2:HZ32))</f>
        <v>0</v>
      </c>
      <c r="IB3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32" s="208"/>
    </row>
    <row r="33" spans="1:237">
      <c r="A33" t="s">
        <v>304</v>
      </c>
      <c r="B33" t="s">
        <v>284</v>
      </c>
      <c r="C33" s="158">
        <v>36780</v>
      </c>
      <c r="D33" s="62">
        <f t="shared" ca="1" si="0"/>
        <v>17</v>
      </c>
      <c r="E33" t="s">
        <v>9</v>
      </c>
      <c r="F33" s="159" t="s">
        <v>50</v>
      </c>
      <c r="G33" t="s">
        <v>45</v>
      </c>
      <c r="H33" s="160"/>
      <c r="I33" s="161"/>
      <c r="J33" s="161"/>
      <c r="K33" s="161"/>
      <c r="L33" s="160">
        <v>172</v>
      </c>
      <c r="M33">
        <v>28</v>
      </c>
      <c r="N33" s="161"/>
      <c r="O33" s="161"/>
      <c r="P33" s="161"/>
      <c r="Q33" s="161"/>
      <c r="R33" s="161"/>
      <c r="S33" s="190"/>
      <c r="T33" s="161"/>
      <c r="U33" s="160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3"/>
      <c r="AG33" s="163"/>
      <c r="AH33" s="163"/>
      <c r="AI33" s="163"/>
      <c r="AJ33" s="163"/>
      <c r="AK33" s="163"/>
      <c r="AL33" s="163"/>
      <c r="AM33" s="163"/>
      <c r="AN33" s="163"/>
      <c r="AO33" s="163"/>
      <c r="AP33" s="163"/>
      <c r="AQ33" s="163"/>
      <c r="AR33" s="163"/>
      <c r="AS33" s="163"/>
      <c r="AT33" s="163"/>
      <c r="AU33" s="163"/>
      <c r="AV33" s="163"/>
      <c r="AW33" s="163"/>
      <c r="AX33" s="163"/>
      <c r="AY33" s="163"/>
      <c r="AZ33" s="163"/>
      <c r="BA33" s="163"/>
      <c r="BB33" s="163"/>
      <c r="BC33" s="163" t="b">
        <v>0</v>
      </c>
      <c r="BD33" s="163" t="b">
        <v>1</v>
      </c>
      <c r="BE33" s="163" t="b">
        <v>1</v>
      </c>
      <c r="BF33" s="163" t="b">
        <v>0</v>
      </c>
      <c r="BG33" s="163" t="b">
        <v>1</v>
      </c>
      <c r="BH33" s="163" t="b">
        <v>0</v>
      </c>
      <c r="BI33" s="163"/>
      <c r="BJ33" s="163"/>
      <c r="BK33" s="163"/>
      <c r="BL33" s="163"/>
      <c r="BM33" s="163"/>
      <c r="BN33" s="163"/>
      <c r="BO33" s="163"/>
      <c r="BP33" s="163"/>
      <c r="BQ33" s="163" t="b">
        <v>0</v>
      </c>
      <c r="BR33" s="163"/>
      <c r="BS33" s="163"/>
      <c r="BT33" s="163"/>
      <c r="BU33" s="163"/>
      <c r="BV33" s="163"/>
      <c r="BW33" s="163"/>
      <c r="BX33" s="163"/>
      <c r="BY33" s="163"/>
      <c r="BZ33" s="163"/>
      <c r="CA33" s="163"/>
      <c r="CB33" s="163"/>
      <c r="CC33" s="163"/>
      <c r="CD33" s="163"/>
      <c r="CE33" s="163"/>
      <c r="CF33" s="163"/>
      <c r="CG33" s="163"/>
      <c r="CH33" s="163"/>
      <c r="CI33" s="163"/>
      <c r="CJ33" s="163"/>
      <c r="CK33" s="163"/>
      <c r="CL33" s="163"/>
      <c r="CM33" s="163"/>
      <c r="CN33" s="163"/>
      <c r="CO33" s="163"/>
      <c r="CP33" s="163"/>
      <c r="CQ33" s="163"/>
      <c r="CR33" s="163"/>
      <c r="CS33" s="163"/>
      <c r="CT33" s="163"/>
      <c r="CU33" s="163"/>
      <c r="CV33" s="163"/>
      <c r="CW33" s="163"/>
      <c r="CX33" s="163"/>
      <c r="CY33" s="163"/>
      <c r="CZ33" s="163"/>
      <c r="DA33" s="163"/>
      <c r="DB33" s="163"/>
      <c r="DC33" s="163"/>
      <c r="DD33" s="163"/>
      <c r="DE33" s="163"/>
      <c r="DF33" s="163"/>
      <c r="DG33" s="208"/>
      <c r="DH33" s="163"/>
      <c r="DI33" s="163"/>
      <c r="DJ33" s="163"/>
      <c r="DK33" s="163"/>
      <c r="DL33" s="163"/>
      <c r="DM33" s="163"/>
      <c r="DN33" s="163"/>
      <c r="DO33" s="163"/>
      <c r="DP33" s="163"/>
      <c r="DQ33" s="163"/>
      <c r="DR33" s="163"/>
      <c r="DS33" s="163"/>
      <c r="DT33" s="163"/>
      <c r="DU33" s="163"/>
      <c r="DV33" s="163"/>
      <c r="DW33" s="163"/>
      <c r="DX33" s="163"/>
      <c r="DY33" s="163"/>
      <c r="DZ33" s="163"/>
      <c r="EA33" s="163"/>
      <c r="EB33" s="163"/>
      <c r="EC33" s="163"/>
      <c r="ED33" s="163"/>
      <c r="EE33" s="163"/>
      <c r="EF33" s="163"/>
      <c r="EG33" s="163"/>
      <c r="EH33" s="160">
        <f>IF([Chambre]*1='CHAMBRES FILLES 2e ETAGE'!$A$5,1,0)</f>
        <v>0</v>
      </c>
      <c r="EI33" s="161">
        <f>IF([Occurrence2]=0,0,SUM($EH$2:EH33))</f>
        <v>0</v>
      </c>
      <c r="EJ33" s="160">
        <f>IF([Chambre]*1='CHAMBRES FILLES 2e ETAGE'!$A$11,1,0)</f>
        <v>0</v>
      </c>
      <c r="EK33" s="160">
        <f>IF([Occurrence3]=0,0,SUM($EJ$2:EJ33))</f>
        <v>0</v>
      </c>
      <c r="EL33" s="160">
        <f>IF([Chambre]*1='CHAMBRES FILLES 2e ETAGE'!$A$17,1,0)</f>
        <v>0</v>
      </c>
      <c r="EM33" s="160">
        <f>IF([Occurrence4]=0,0,SUM($EL$2:EL33))</f>
        <v>0</v>
      </c>
      <c r="EN33" s="160">
        <f>IF([Chambre]*1='CHAMBRES FILLES 2e ETAGE'!$A$23,1,0)</f>
        <v>0</v>
      </c>
      <c r="EO33" s="160">
        <f>IF([Occurrence5]=0,0,SUM($EN$2:EN33))</f>
        <v>0</v>
      </c>
      <c r="EP33" s="160">
        <f>IF([Chambre]*1='CHAMBRES FILLES 2e ETAGE'!$A$29,1,0)</f>
        <v>0</v>
      </c>
      <c r="EQ33" s="160">
        <f>IF([Occurrence6]=0,0,SUM($EP$2:EP33))</f>
        <v>0</v>
      </c>
      <c r="ER33" s="160">
        <f>IF([Chambre]*1='CHAMBRES FILLES 2e ETAGE'!$A$35,1,0)</f>
        <v>0</v>
      </c>
      <c r="ES33" s="160">
        <f>IF([Occurrence7]=0,0,SUM($ER$2:ER33))</f>
        <v>0</v>
      </c>
      <c r="ET33" s="160">
        <f>IF([Chambre]*1='CHAMBRES FILLES 2e ETAGE'!$A$41,1,0)</f>
        <v>0</v>
      </c>
      <c r="EU33" s="160">
        <f>IF([Occurrence8]=0,0,SUM($ET$2:ET33))</f>
        <v>0</v>
      </c>
      <c r="EV33" s="160">
        <f>IF([Chambre]*1='CHAMBRES FILLES 2e ETAGE'!$A$47,1,0)</f>
        <v>0</v>
      </c>
      <c r="EW33" s="160">
        <f>IF([Occurrence9]=0,0,SUM($EV$2:EV33))</f>
        <v>0</v>
      </c>
      <c r="EX33" s="160">
        <f>IF([Chambre]*1='CHAMBRES FILLES 2e ETAGE'!$A$53,1,0)</f>
        <v>0</v>
      </c>
      <c r="EY33" s="160">
        <f>IF([Occurrence10]=0,0,SUM($EX$2:EX33))</f>
        <v>0</v>
      </c>
      <c r="EZ33" s="160">
        <f>IF([Chambre]*1='CHAMBRES FILLES 2e ETAGE'!$A$59,1,0)</f>
        <v>0</v>
      </c>
      <c r="FA33" s="160">
        <f>IF([Occurrence11]=0,0,SUM($EZ$2:EZ33))</f>
        <v>0</v>
      </c>
      <c r="FB33" s="160">
        <f>IF([Chambre]*1='CHAMBRES FILLES 2e ETAGE'!$A$65,1,0)</f>
        <v>1</v>
      </c>
      <c r="FC33" s="160">
        <f>IF([Occurrence12]=0,0,SUM($FB$2:FB33))</f>
        <v>2</v>
      </c>
      <c r="FD33" s="160">
        <f>IF([Chambre]*1='CHAMBRES FILLES 2e ETAGE'!$A$71,1,0)</f>
        <v>0</v>
      </c>
      <c r="FE33" s="160">
        <f>IF([Occurrence13]=0,0,SUM($FD$2:FD33))</f>
        <v>0</v>
      </c>
      <c r="FF33" s="160">
        <f>IF([Chambre]*1='CHAMBRES FILLES 2e ETAGE'!$A$77,1,0)</f>
        <v>0</v>
      </c>
      <c r="FG33" s="160">
        <f>IF([Occurrence14]=0,0,SUM($FF$2:FF33))</f>
        <v>0</v>
      </c>
      <c r="FH33" s="160">
        <f>IF([Chambre]*1='CHAMBRES FILLES 2e ETAGE'!$A$83,1,0)</f>
        <v>0</v>
      </c>
      <c r="FI33" s="160">
        <f>IF([Occurrence15]=0,0,SUM($FH$2:FH33))</f>
        <v>0</v>
      </c>
      <c r="FJ33" s="160">
        <f>IF([Chambre]*1='CHAMBRES FILLES 2e ETAGE'!$A$89,1,0)</f>
        <v>0</v>
      </c>
      <c r="FK33" s="160">
        <f>IF([Occurrence16]=0,0,SUM($FJ$2:FJ33))</f>
        <v>0</v>
      </c>
      <c r="FL33" s="160">
        <f>IF([Chambre]*1='CHAMBRES FILLES 2e ETAGE'!$A$95,1,0)</f>
        <v>0</v>
      </c>
      <c r="FM33" s="160">
        <f>IF([Occurrence17]=0,0,SUM($FL$2:FL33))</f>
        <v>0</v>
      </c>
      <c r="FN33" s="160">
        <f>IF([Chambre2]*1='CHAMBRES FILLES 1e ETAGE'!$A$5,1,0)</f>
        <v>0</v>
      </c>
      <c r="FO33" s="160">
        <f>IF([Occurrence18]=0,0,SUM($FN$2:FN33))</f>
        <v>0</v>
      </c>
      <c r="FP33" s="160">
        <f>IF([Chambre2]*1='CHAMBRES FILLES 1e ETAGE'!$A$11,1,0)</f>
        <v>0</v>
      </c>
      <c r="FQ33" s="160">
        <f>IF([Occurrence19]=0,0,SUM($FP$2:FP33))</f>
        <v>0</v>
      </c>
      <c r="FR33" s="160">
        <f>IF([Chambre2]*1='CHAMBRES FILLES 1e ETAGE'!$A$17,1,0)</f>
        <v>0</v>
      </c>
      <c r="FS33" s="160">
        <f>IF([Occurrence20]=0,0,SUM($FR$2:FR33))</f>
        <v>0</v>
      </c>
      <c r="FT33" s="160">
        <f>IF([Chambre2]*1='CHAMBRES FILLES 1e ETAGE'!$A$23,1,0)</f>
        <v>0</v>
      </c>
      <c r="FU33" s="160">
        <f>IF([Occurrence21]=0,0,SUM($FT$2:FT33))</f>
        <v>0</v>
      </c>
      <c r="FV33" s="160">
        <f>IF([Chambre2]*1='CHAMBRES FILLES 1e ETAGE'!$A$29,1,0)</f>
        <v>0</v>
      </c>
      <c r="FW33" s="160">
        <f>IF([Occurrence22]=0,0,SUM($FV$2:FV33))</f>
        <v>0</v>
      </c>
      <c r="FX33" s="160">
        <f>IF([Chambre2]*1='CHAMBRES FILLES 1e ETAGE'!$A$35,1,0)</f>
        <v>0</v>
      </c>
      <c r="FY33" s="160">
        <f>IF([Occurrence23]=0,0,SUM($FX$2:FX33))</f>
        <v>0</v>
      </c>
      <c r="FZ33" s="160">
        <f>IF([Chambre2]*1='CHAMBRES FILLES 1e ETAGE'!$A$41,1,0)</f>
        <v>0</v>
      </c>
      <c r="GA33" s="160">
        <f>IF([Occurrence24]=0,0,SUM($FZ$2:FZ33))</f>
        <v>0</v>
      </c>
      <c r="GB33" s="160">
        <f>IF([Chambre2]*1='CHAMBRES FILLES 1e ETAGE'!$A$47,1,0)</f>
        <v>0</v>
      </c>
      <c r="GC33" s="160">
        <f>IF([Occurrence25]=0,0,SUM($GB$2:GB33))</f>
        <v>0</v>
      </c>
      <c r="GD33" s="160">
        <f>IF([Chambre2]*1='CHAMBRES FILLES 1e ETAGE'!$A$53,1,0)</f>
        <v>0</v>
      </c>
      <c r="GE33" s="160">
        <f>IF([Occurrence26]=0,0,SUM($GD$2:GD33))</f>
        <v>0</v>
      </c>
      <c r="GF33" s="160">
        <f>IF([chambre4]*1='CHAMBRES GARCONS 1e ETAGE'!$A$5,1,0)</f>
        <v>0</v>
      </c>
      <c r="GG33" s="160">
        <f>IF([Occurrence27]=0,0,SUM($GF$2:GF33))</f>
        <v>0</v>
      </c>
      <c r="GH33" s="160">
        <f>IF([chambre4]*1='CHAMBRES GARCONS 1e ETAGE'!$A$11,1,0)</f>
        <v>0</v>
      </c>
      <c r="GI33" s="160">
        <f>IF([Occurrence28]=0,0,SUM($GH$2:GH33))</f>
        <v>0</v>
      </c>
      <c r="GJ33" s="160">
        <f>IF([chambre4]*1='CHAMBRES GARCONS 1e ETAGE'!$A$17,1,0)</f>
        <v>0</v>
      </c>
      <c r="GK33" s="160">
        <f>IF([Occurrence29]=0,0,SUM($GJ$2:GJ33))</f>
        <v>0</v>
      </c>
      <c r="GL33" s="160">
        <f>IF([chambre4]*1='CHAMBRES GARCONS 1e ETAGE'!$A$23,1,0)</f>
        <v>0</v>
      </c>
      <c r="GM33" s="160">
        <f>IF([Occurrence30]=0,0,SUM($GL$2:GL33))</f>
        <v>0</v>
      </c>
      <c r="GN33" s="160">
        <f>IF([chambre4]*1='CHAMBRES GARCONS 1e ETAGE'!$A$29,1,0)</f>
        <v>0</v>
      </c>
      <c r="GO33" s="160">
        <f>IF([Occurrence31]=0,0,SUM($GN$2:GN33))</f>
        <v>0</v>
      </c>
      <c r="GP33" s="160">
        <f>IF([chambre4]*1='CHAMBRES GARCONS 1e ETAGE'!$A$35,1,0)</f>
        <v>0</v>
      </c>
      <c r="GQ33" s="160">
        <f>IF([Occurrence32]=0,0,SUM($GP$2:GP33))</f>
        <v>0</v>
      </c>
      <c r="GR33" s="160">
        <f>IF([chambre3]*1='CHAMBRES GARCONS RDC'!$A$5,1,0)</f>
        <v>0</v>
      </c>
      <c r="GS33" s="160">
        <f>IF([Occurrence33]=0,0,SUM($GR$2:GR33))</f>
        <v>0</v>
      </c>
      <c r="GT33" s="160">
        <f>IF([chambre3]*1='CHAMBRES GARCONS RDC'!$A$11,1,0)</f>
        <v>0</v>
      </c>
      <c r="GU33" s="160">
        <f>IF([Occurrence34]=0,0,SUM($GT$2:GT33))</f>
        <v>0</v>
      </c>
      <c r="GV33" s="160">
        <f>IF([chambre3]*1='CHAMBRES GARCONS RDC'!$A$17,1,0)</f>
        <v>0</v>
      </c>
      <c r="GW33" s="160">
        <f>IF([Occurrence35]=0,0,SUM($GV$2:GV33))</f>
        <v>0</v>
      </c>
      <c r="GX33" s="160">
        <f>IF([chambre3]*1='CHAMBRES GARCONS RDC'!$A$23,1,0)</f>
        <v>0</v>
      </c>
      <c r="GY33" s="160">
        <f>IF([Occurrence36]=0,0,SUM($GX$2:GX33))</f>
        <v>0</v>
      </c>
      <c r="GZ33" s="160">
        <f>IF([chambre3]*1='CHAMBRES GARCONS RDC'!$A$29,1,0)</f>
        <v>0</v>
      </c>
      <c r="HA33" s="160">
        <f>IF([Occurrence37]=0,0,SUM($GZ$2:GZ33))</f>
        <v>0</v>
      </c>
      <c r="HB33" s="160">
        <f>IF([chambre3]*1='CHAMBRES GARCONS RDC'!$A$35,1,0)</f>
        <v>0</v>
      </c>
      <c r="HC33" s="160">
        <f>IF([Occurrence38]=0,0,SUM($HB$2:HB33))</f>
        <v>0</v>
      </c>
      <c r="HD33" s="160">
        <f>IF([chambre3]*1='CHAMBRES GARCONS RDC'!$A$41,1,0)</f>
        <v>0</v>
      </c>
      <c r="HE33" s="160">
        <f>IF([Occurrence39]=0,0,SUM($HD$2:HD33))</f>
        <v>0</v>
      </c>
      <c r="HF33" s="160">
        <f>IF([chambre3]*1='CHAMBRES GARCONS RDC'!$A$47,1,0)</f>
        <v>0</v>
      </c>
      <c r="HG33" s="160">
        <f>IF([Occurrence40]=0,0,SUM($HF$2:HF33))</f>
        <v>0</v>
      </c>
      <c r="HH33" s="160">
        <f>IF([chambre3]*1='CHAMBRES GARCONS RDC'!$A$53,1,0)</f>
        <v>0</v>
      </c>
      <c r="HI33" s="160">
        <f>IF([Occurrence41]=0,0,SUM($HH$2:HH33))</f>
        <v>0</v>
      </c>
      <c r="HJ33" s="160">
        <f>IF([chambre3]*1='CHAMBRES GARCONS RDC'!$A$59,1,0)</f>
        <v>0</v>
      </c>
      <c r="HK33" s="160">
        <f>IF([Occurrence42]=0,0,SUM($HJ$2:HJ33))</f>
        <v>0</v>
      </c>
      <c r="HL33" s="160">
        <f>IF([chambre3]*1='CHAMBRES GARCONS RDC'!$A$65,1,0)</f>
        <v>0</v>
      </c>
      <c r="HM33" s="160">
        <f>IF([Occurrence43]=0,0,SUM($HL$2:HL33))</f>
        <v>0</v>
      </c>
      <c r="HN33" s="160">
        <f>IF([chambre3]*1='CHAMBRES GARCONS RDC'!$A$71,1,0)</f>
        <v>0</v>
      </c>
      <c r="HO33" s="160">
        <f>IF([Occurrence44]=0,0,SUM($HN$2:HN33))</f>
        <v>0</v>
      </c>
      <c r="HP33" s="160">
        <f>IF([chambre3]*1='CHAMBRES GARCONS RDC'!$A$77,1,0)</f>
        <v>0</v>
      </c>
      <c r="HQ33" s="160">
        <f>IF([Occurrence45]=0,0,SUM($HP$2:HP33))</f>
        <v>0</v>
      </c>
      <c r="HR33" s="160">
        <f>IF([chambre3]*1='CHAMBRES GARCONS RDC'!$A$83,1,0)</f>
        <v>0</v>
      </c>
      <c r="HS33" s="160">
        <f>IF([Occurrence46]=0,0,SUM($HR$2:HR33))</f>
        <v>0</v>
      </c>
      <c r="HT33" s="160">
        <f>IF([chambre3]*1='CHAMBRES GARCONS RDC'!$A$89,1,0)</f>
        <v>0</v>
      </c>
      <c r="HU33" s="160">
        <f>IF([Occurrence47]=0,0,SUM($HT$2:HT33))</f>
        <v>0</v>
      </c>
      <c r="HV33" s="160">
        <f>IF([chambre3]*1='CHAMBRES GARCONS RDC'!$A$95,1,0)</f>
        <v>0</v>
      </c>
      <c r="HW33" s="160">
        <f>IF([Occurrence48]=0,0,SUM($HV$2:HV33))</f>
        <v>0</v>
      </c>
      <c r="HX33" s="160"/>
      <c r="HY33" s="160"/>
      <c r="HZ33" s="160">
        <f>IF([Classe]='Liste élève par classes'!$B$5,1,0)</f>
        <v>0</v>
      </c>
      <c r="IA33" s="160">
        <f>IF([Occurrence]=0,0,SUM($HZ$2:HZ33))</f>
        <v>0</v>
      </c>
      <c r="IB3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172</v>
      </c>
      <c r="IC33" s="208"/>
    </row>
    <row r="34" spans="1:237">
      <c r="A34" t="s">
        <v>305</v>
      </c>
      <c r="B34" t="s">
        <v>306</v>
      </c>
      <c r="C34" s="158" t="s">
        <v>792</v>
      </c>
      <c r="D34" s="62" t="s">
        <v>703</v>
      </c>
      <c r="E34" t="s">
        <v>0</v>
      </c>
      <c r="F34" s="159" t="s">
        <v>50</v>
      </c>
      <c r="G34" t="s">
        <v>40</v>
      </c>
      <c r="H34" s="160"/>
      <c r="I34" s="161"/>
      <c r="J34" s="161"/>
      <c r="K34" s="161"/>
      <c r="L34" s="160"/>
      <c r="M34" t="s">
        <v>793</v>
      </c>
      <c r="N34" s="161"/>
      <c r="O34" s="161"/>
      <c r="P34" s="161"/>
      <c r="Q34" s="161"/>
      <c r="R34" s="161"/>
      <c r="S34" s="190"/>
      <c r="T34" s="161"/>
      <c r="U34" s="160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3"/>
      <c r="AG34" s="163"/>
      <c r="AH34" s="163"/>
      <c r="AI34" s="163" t="b">
        <v>0</v>
      </c>
      <c r="AJ34" s="163" t="b">
        <v>0</v>
      </c>
      <c r="AK34" s="163" t="b">
        <v>0</v>
      </c>
      <c r="AL34" s="163" t="b">
        <v>0</v>
      </c>
      <c r="AM34" s="163" t="b">
        <v>0</v>
      </c>
      <c r="AN34" s="163" t="b">
        <v>0</v>
      </c>
      <c r="AO34" s="163" t="b">
        <v>0</v>
      </c>
      <c r="AP34" s="163" t="b">
        <v>0</v>
      </c>
      <c r="AQ34" s="163" t="b">
        <v>0</v>
      </c>
      <c r="AR34" s="163" t="b">
        <v>0</v>
      </c>
      <c r="AS34" s="163" t="b">
        <v>0</v>
      </c>
      <c r="AT34" s="163" t="b">
        <v>0</v>
      </c>
      <c r="AU34" s="163" t="b">
        <v>0</v>
      </c>
      <c r="AV34" s="163" t="b">
        <v>0</v>
      </c>
      <c r="AW34" s="163" t="b">
        <v>0</v>
      </c>
      <c r="AX34" s="163" t="b">
        <v>0</v>
      </c>
      <c r="AY34" s="163" t="b">
        <v>0</v>
      </c>
      <c r="AZ34" s="163" t="b">
        <v>0</v>
      </c>
      <c r="BA34" s="163" t="b">
        <v>0</v>
      </c>
      <c r="BB34" s="163" t="b">
        <v>0</v>
      </c>
      <c r="BC34" s="163" t="b">
        <v>0</v>
      </c>
      <c r="BD34" s="163" t="b">
        <v>1</v>
      </c>
      <c r="BE34" s="163" t="b">
        <v>1</v>
      </c>
      <c r="BF34" s="163" t="b">
        <v>0</v>
      </c>
      <c r="BG34" s="164" t="b">
        <v>0</v>
      </c>
      <c r="BH34" s="163" t="b">
        <v>1</v>
      </c>
      <c r="BI34" s="163" t="b">
        <v>0</v>
      </c>
      <c r="BJ34" s="163" t="b">
        <v>0</v>
      </c>
      <c r="BK34" s="163" t="b">
        <v>0</v>
      </c>
      <c r="BL34" s="163" t="b">
        <v>0</v>
      </c>
      <c r="BM34" s="163"/>
      <c r="BN34" s="163" t="b">
        <v>0</v>
      </c>
      <c r="BO34" s="163" t="b">
        <v>0</v>
      </c>
      <c r="BP34" s="163"/>
      <c r="BQ34" s="163" t="b">
        <v>0</v>
      </c>
      <c r="BR34" s="163" t="b">
        <v>0</v>
      </c>
      <c r="BS34" s="163"/>
      <c r="BT34" s="163" t="b">
        <v>0</v>
      </c>
      <c r="BU34" s="163" t="b">
        <v>0</v>
      </c>
      <c r="BV34" s="163"/>
      <c r="BW34" s="163" t="b">
        <v>0</v>
      </c>
      <c r="BX34" s="163" t="b">
        <v>0</v>
      </c>
      <c r="BY34" s="163"/>
      <c r="BZ34" s="163" t="b">
        <v>0</v>
      </c>
      <c r="CA34" s="163" t="b">
        <v>0</v>
      </c>
      <c r="CB34" s="163"/>
      <c r="CC34" s="163" t="b">
        <v>0</v>
      </c>
      <c r="CD34" s="163" t="b">
        <v>0</v>
      </c>
      <c r="CE34" s="163"/>
      <c r="CF34" s="163" t="b">
        <v>0</v>
      </c>
      <c r="CG34" s="163" t="b">
        <v>0</v>
      </c>
      <c r="CH34" s="163"/>
      <c r="CI34" s="163" t="b">
        <v>0</v>
      </c>
      <c r="CJ34" s="163" t="b">
        <v>0</v>
      </c>
      <c r="CK34" s="163"/>
      <c r="CL34" s="163" t="b">
        <v>0</v>
      </c>
      <c r="CM34" s="163" t="b">
        <v>0</v>
      </c>
      <c r="CN34" s="163"/>
      <c r="CO34" s="163" t="b">
        <v>0</v>
      </c>
      <c r="CP34" s="163" t="b">
        <v>0</v>
      </c>
      <c r="CQ34" s="163"/>
      <c r="CR34" s="163" t="b">
        <v>0</v>
      </c>
      <c r="CS34" s="163" t="b">
        <v>0</v>
      </c>
      <c r="CT34" s="163" t="b">
        <v>0</v>
      </c>
      <c r="CU34" s="163" t="b">
        <v>0</v>
      </c>
      <c r="CV34" s="163"/>
      <c r="CW34" s="163" t="b">
        <v>0</v>
      </c>
      <c r="CX34" s="163" t="b">
        <v>0</v>
      </c>
      <c r="CY34" s="163" t="b">
        <v>0</v>
      </c>
      <c r="CZ34" s="163" t="b">
        <v>0</v>
      </c>
      <c r="DA34" s="163" t="s">
        <v>787</v>
      </c>
      <c r="DB34" s="163"/>
      <c r="DC34" s="163"/>
      <c r="DD34" s="163"/>
      <c r="DE34" s="163"/>
      <c r="DF34" s="163"/>
      <c r="DG34" s="208"/>
      <c r="DH34" s="163"/>
      <c r="DI34" s="163"/>
      <c r="DJ34" s="163"/>
      <c r="DK34" s="163"/>
      <c r="DL34" s="163"/>
      <c r="DM34" s="163" t="b">
        <v>0</v>
      </c>
      <c r="DN34" s="163" t="b">
        <v>0</v>
      </c>
      <c r="DO34" s="163" t="b">
        <v>0</v>
      </c>
      <c r="DP34" s="163" t="b">
        <v>0</v>
      </c>
      <c r="DQ34" s="163" t="b">
        <v>0</v>
      </c>
      <c r="DR34" s="163" t="b">
        <v>0</v>
      </c>
      <c r="DS34" s="163" t="b">
        <v>0</v>
      </c>
      <c r="DT34" s="163" t="b">
        <v>0</v>
      </c>
      <c r="DU34" s="163" t="b">
        <v>0</v>
      </c>
      <c r="DV34" s="163" t="b">
        <v>0</v>
      </c>
      <c r="DW34" s="163" t="b">
        <v>0</v>
      </c>
      <c r="DX34" s="163" t="b">
        <v>0</v>
      </c>
      <c r="DY34" s="163" t="b">
        <v>0</v>
      </c>
      <c r="DZ34" s="163" t="b">
        <v>0</v>
      </c>
      <c r="EA34" s="163" t="b">
        <v>0</v>
      </c>
      <c r="EB34" s="163" t="b">
        <v>0</v>
      </c>
      <c r="EC34" s="163" t="b">
        <v>0</v>
      </c>
      <c r="ED34" s="163" t="b">
        <v>0</v>
      </c>
      <c r="EE34" s="163" t="b">
        <v>0</v>
      </c>
      <c r="EF34" s="163" t="b">
        <v>0</v>
      </c>
      <c r="EG34" s="163"/>
      <c r="EH34" s="160">
        <f>IF([Chambre]*1='CHAMBRES FILLES 2e ETAGE'!$A$5,1,0)</f>
        <v>0</v>
      </c>
      <c r="EI34" s="161">
        <f>IF([Occurrence2]=0,0,SUM($EH$2:EH34))</f>
        <v>0</v>
      </c>
      <c r="EJ34" s="160">
        <f>IF([Chambre]*1='CHAMBRES FILLES 2e ETAGE'!$A$11,1,0)</f>
        <v>0</v>
      </c>
      <c r="EK34" s="160">
        <f>IF([Occurrence3]=0,0,SUM($EJ$2:EJ34))</f>
        <v>0</v>
      </c>
      <c r="EL34" s="160">
        <f>IF([Chambre]*1='CHAMBRES FILLES 2e ETAGE'!$A$17,1,0)</f>
        <v>0</v>
      </c>
      <c r="EM34" s="160">
        <f>IF([Occurrence4]=0,0,SUM($EL$2:EL34))</f>
        <v>0</v>
      </c>
      <c r="EN34" s="160">
        <f>IF([Chambre]*1='CHAMBRES FILLES 2e ETAGE'!$A$23,1,0)</f>
        <v>0</v>
      </c>
      <c r="EO34" s="160">
        <f>IF([Occurrence5]=0,0,SUM($EN$2:EN34))</f>
        <v>0</v>
      </c>
      <c r="EP34" s="160">
        <f>IF([Chambre]*1='CHAMBRES FILLES 2e ETAGE'!$A$29,1,0)</f>
        <v>0</v>
      </c>
      <c r="EQ34" s="160">
        <f>IF([Occurrence6]=0,0,SUM($EP$2:EP34))</f>
        <v>0</v>
      </c>
      <c r="ER34" s="160">
        <f>IF([Chambre]*1='CHAMBRES FILLES 2e ETAGE'!$A$35,1,0)</f>
        <v>0</v>
      </c>
      <c r="ES34" s="160">
        <f>IF([Occurrence7]=0,0,SUM($ER$2:ER34))</f>
        <v>0</v>
      </c>
      <c r="ET34" s="160">
        <f>IF([Chambre]*1='CHAMBRES FILLES 2e ETAGE'!$A$41,1,0)</f>
        <v>0</v>
      </c>
      <c r="EU34" s="160">
        <f>IF([Occurrence8]=0,0,SUM($ET$2:ET34))</f>
        <v>0</v>
      </c>
      <c r="EV34" s="160">
        <f>IF([Chambre]*1='CHAMBRES FILLES 2e ETAGE'!$A$47,1,0)</f>
        <v>0</v>
      </c>
      <c r="EW34" s="160">
        <f>IF([Occurrence9]=0,0,SUM($EV$2:EV34))</f>
        <v>0</v>
      </c>
      <c r="EX34" s="160">
        <f>IF([Chambre]*1='CHAMBRES FILLES 2e ETAGE'!$A$53,1,0)</f>
        <v>0</v>
      </c>
      <c r="EY34" s="160">
        <f>IF([Occurrence10]=0,0,SUM($EX$2:EX34))</f>
        <v>0</v>
      </c>
      <c r="EZ34" s="160">
        <f>IF([Chambre]*1='CHAMBRES FILLES 2e ETAGE'!$A$59,1,0)</f>
        <v>0</v>
      </c>
      <c r="FA34" s="160">
        <f>IF([Occurrence11]=0,0,SUM($EZ$2:EZ34))</f>
        <v>0</v>
      </c>
      <c r="FB34" s="160">
        <f>IF([Chambre]*1='CHAMBRES FILLES 2e ETAGE'!$A$65,1,0)</f>
        <v>0</v>
      </c>
      <c r="FC34" s="160">
        <f>IF([Occurrence12]=0,0,SUM($FB$2:FB34))</f>
        <v>0</v>
      </c>
      <c r="FD34" s="160">
        <f>IF([Chambre]*1='CHAMBRES FILLES 2e ETAGE'!$A$71,1,0)</f>
        <v>0</v>
      </c>
      <c r="FE34" s="160">
        <f>IF([Occurrence13]=0,0,SUM($FD$2:FD34))</f>
        <v>0</v>
      </c>
      <c r="FF34" s="160">
        <f>IF([Chambre]*1='CHAMBRES FILLES 2e ETAGE'!$A$77,1,0)</f>
        <v>0</v>
      </c>
      <c r="FG34" s="160">
        <f>IF([Occurrence14]=0,0,SUM($FF$2:FF34))</f>
        <v>0</v>
      </c>
      <c r="FH34" s="160">
        <f>IF([Chambre]*1='CHAMBRES FILLES 2e ETAGE'!$A$83,1,0)</f>
        <v>0</v>
      </c>
      <c r="FI34" s="160">
        <f>IF([Occurrence15]=0,0,SUM($FH$2:FH34))</f>
        <v>0</v>
      </c>
      <c r="FJ34" s="160">
        <f>IF([Chambre]*1='CHAMBRES FILLES 2e ETAGE'!$A$89,1,0)</f>
        <v>0</v>
      </c>
      <c r="FK34" s="160">
        <f>IF([Occurrence16]=0,0,SUM($FJ$2:FJ34))</f>
        <v>0</v>
      </c>
      <c r="FL34" s="160">
        <f>IF([Chambre]*1='CHAMBRES FILLES 2e ETAGE'!$A$95,1,0)</f>
        <v>0</v>
      </c>
      <c r="FM34" s="160">
        <f>IF([Occurrence17]=0,0,SUM($FL$2:FL34))</f>
        <v>0</v>
      </c>
      <c r="FN34" s="160">
        <f>IF([Chambre2]*1='CHAMBRES FILLES 1e ETAGE'!$A$5,1,0)</f>
        <v>0</v>
      </c>
      <c r="FO34" s="160">
        <f>IF([Occurrence18]=0,0,SUM($FN$2:FN34))</f>
        <v>0</v>
      </c>
      <c r="FP34" s="160">
        <f>IF([Chambre2]*1='CHAMBRES FILLES 1e ETAGE'!$A$11,1,0)</f>
        <v>0</v>
      </c>
      <c r="FQ34" s="160">
        <f>IF([Occurrence19]=0,0,SUM($FP$2:FP34))</f>
        <v>0</v>
      </c>
      <c r="FR34" s="160">
        <f>IF([Chambre2]*1='CHAMBRES FILLES 1e ETAGE'!$A$17,1,0)</f>
        <v>0</v>
      </c>
      <c r="FS34" s="160">
        <f>IF([Occurrence20]=0,0,SUM($FR$2:FR34))</f>
        <v>0</v>
      </c>
      <c r="FT34" s="160">
        <f>IF([Chambre2]*1='CHAMBRES FILLES 1e ETAGE'!$A$23,1,0)</f>
        <v>0</v>
      </c>
      <c r="FU34" s="160">
        <f>IF([Occurrence21]=0,0,SUM($FT$2:FT34))</f>
        <v>0</v>
      </c>
      <c r="FV34" s="160">
        <f>IF([Chambre2]*1='CHAMBRES FILLES 1e ETAGE'!$A$29,1,0)</f>
        <v>0</v>
      </c>
      <c r="FW34" s="160">
        <f>IF([Occurrence22]=0,0,SUM($FV$2:FV34))</f>
        <v>0</v>
      </c>
      <c r="FX34" s="160">
        <f>IF([Chambre2]*1='CHAMBRES FILLES 1e ETAGE'!$A$35,1,0)</f>
        <v>0</v>
      </c>
      <c r="FY34" s="160">
        <f>IF([Occurrence23]=0,0,SUM($FX$2:FX34))</f>
        <v>0</v>
      </c>
      <c r="FZ34" s="160">
        <f>IF([Chambre2]*1='CHAMBRES FILLES 1e ETAGE'!$A$41,1,0)</f>
        <v>0</v>
      </c>
      <c r="GA34" s="160">
        <f>IF([Occurrence24]=0,0,SUM($FZ$2:FZ34))</f>
        <v>0</v>
      </c>
      <c r="GB34" s="160">
        <f>IF([Chambre2]*1='CHAMBRES FILLES 1e ETAGE'!$A$47,1,0)</f>
        <v>0</v>
      </c>
      <c r="GC34" s="160">
        <f>IF([Occurrence25]=0,0,SUM($GB$2:GB34))</f>
        <v>0</v>
      </c>
      <c r="GD34" s="160">
        <f>IF([Chambre2]*1='CHAMBRES FILLES 1e ETAGE'!$A$53,1,0)</f>
        <v>0</v>
      </c>
      <c r="GE34" s="160">
        <f>IF([Occurrence26]=0,0,SUM($GD$2:GD34))</f>
        <v>0</v>
      </c>
      <c r="GF34" s="160">
        <f>IF([chambre4]*1='CHAMBRES GARCONS 1e ETAGE'!$A$5,1,0)</f>
        <v>0</v>
      </c>
      <c r="GG34" s="160">
        <f>IF([Occurrence27]=0,0,SUM($GF$2:GF34))</f>
        <v>0</v>
      </c>
      <c r="GH34" s="160">
        <f>IF([chambre4]*1='CHAMBRES GARCONS 1e ETAGE'!$A$11,1,0)</f>
        <v>0</v>
      </c>
      <c r="GI34" s="160">
        <f>IF([Occurrence28]=0,0,SUM($GH$2:GH34))</f>
        <v>0</v>
      </c>
      <c r="GJ34" s="160">
        <f>IF([chambre4]*1='CHAMBRES GARCONS 1e ETAGE'!$A$17,1,0)</f>
        <v>0</v>
      </c>
      <c r="GK34" s="160">
        <f>IF([Occurrence29]=0,0,SUM($GJ$2:GJ34))</f>
        <v>0</v>
      </c>
      <c r="GL34" s="160">
        <f>IF([chambre4]*1='CHAMBRES GARCONS 1e ETAGE'!$A$23,1,0)</f>
        <v>0</v>
      </c>
      <c r="GM34" s="160">
        <f>IF([Occurrence30]=0,0,SUM($GL$2:GL34))</f>
        <v>0</v>
      </c>
      <c r="GN34" s="160">
        <f>IF([chambre4]*1='CHAMBRES GARCONS 1e ETAGE'!$A$29,1,0)</f>
        <v>0</v>
      </c>
      <c r="GO34" s="160">
        <f>IF([Occurrence31]=0,0,SUM($GN$2:GN34))</f>
        <v>0</v>
      </c>
      <c r="GP34" s="160">
        <f>IF([chambre4]*1='CHAMBRES GARCONS 1e ETAGE'!$A$35,1,0)</f>
        <v>0</v>
      </c>
      <c r="GQ34" s="160">
        <f>IF([Occurrence32]=0,0,SUM($GP$2:GP34))</f>
        <v>0</v>
      </c>
      <c r="GR34" s="160">
        <f>IF([chambre3]*1='CHAMBRES GARCONS RDC'!$A$5,1,0)</f>
        <v>0</v>
      </c>
      <c r="GS34" s="160">
        <f>IF([Occurrence33]=0,0,SUM($GR$2:GR34))</f>
        <v>0</v>
      </c>
      <c r="GT34" s="160">
        <f>IF([chambre3]*1='CHAMBRES GARCONS RDC'!$A$11,1,0)</f>
        <v>0</v>
      </c>
      <c r="GU34" s="160">
        <f>IF([Occurrence34]=0,0,SUM($GT$2:GT34))</f>
        <v>0</v>
      </c>
      <c r="GV34" s="160">
        <f>IF([chambre3]*1='CHAMBRES GARCONS RDC'!$A$17,1,0)</f>
        <v>0</v>
      </c>
      <c r="GW34" s="160">
        <f>IF([Occurrence35]=0,0,SUM($GV$2:GV34))</f>
        <v>0</v>
      </c>
      <c r="GX34" s="160">
        <f>IF([chambre3]*1='CHAMBRES GARCONS RDC'!$A$23,1,0)</f>
        <v>0</v>
      </c>
      <c r="GY34" s="160">
        <f>IF([Occurrence36]=0,0,SUM($GX$2:GX34))</f>
        <v>0</v>
      </c>
      <c r="GZ34" s="160">
        <f>IF([chambre3]*1='CHAMBRES GARCONS RDC'!$A$29,1,0)</f>
        <v>0</v>
      </c>
      <c r="HA34" s="160">
        <f>IF([Occurrence37]=0,0,SUM($GZ$2:GZ34))</f>
        <v>0</v>
      </c>
      <c r="HB34" s="160">
        <f>IF([chambre3]*1='CHAMBRES GARCONS RDC'!$A$35,1,0)</f>
        <v>0</v>
      </c>
      <c r="HC34" s="160">
        <f>IF([Occurrence38]=0,0,SUM($HB$2:HB34))</f>
        <v>0</v>
      </c>
      <c r="HD34" s="160">
        <f>IF([chambre3]*1='CHAMBRES GARCONS RDC'!$A$41,1,0)</f>
        <v>0</v>
      </c>
      <c r="HE34" s="160">
        <f>IF([Occurrence39]=0,0,SUM($HD$2:HD34))</f>
        <v>0</v>
      </c>
      <c r="HF34" s="160">
        <f>IF([chambre3]*1='CHAMBRES GARCONS RDC'!$A$47,1,0)</f>
        <v>0</v>
      </c>
      <c r="HG34" s="160">
        <f>IF([Occurrence40]=0,0,SUM($HF$2:HF34))</f>
        <v>0</v>
      </c>
      <c r="HH34" s="160">
        <f>IF([chambre3]*1='CHAMBRES GARCONS RDC'!$A$53,1,0)</f>
        <v>0</v>
      </c>
      <c r="HI34" s="160">
        <f>IF([Occurrence41]=0,0,SUM($HH$2:HH34))</f>
        <v>0</v>
      </c>
      <c r="HJ34" s="160">
        <f>IF([chambre3]*1='CHAMBRES GARCONS RDC'!$A$59,1,0)</f>
        <v>0</v>
      </c>
      <c r="HK34" s="160">
        <f>IF([Occurrence42]=0,0,SUM($HJ$2:HJ34))</f>
        <v>0</v>
      </c>
      <c r="HL34" s="160">
        <f>IF([chambre3]*1='CHAMBRES GARCONS RDC'!$A$65,1,0)</f>
        <v>0</v>
      </c>
      <c r="HM34" s="160">
        <f>IF([Occurrence43]=0,0,SUM($HL$2:HL34))</f>
        <v>0</v>
      </c>
      <c r="HN34" s="160">
        <f>IF([chambre3]*1='CHAMBRES GARCONS RDC'!$A$71,1,0)</f>
        <v>0</v>
      </c>
      <c r="HO34" s="160">
        <f>IF([Occurrence44]=0,0,SUM($HN$2:HN34))</f>
        <v>0</v>
      </c>
      <c r="HP34" s="160">
        <f>IF([chambre3]*1='CHAMBRES GARCONS RDC'!$A$77,1,0)</f>
        <v>0</v>
      </c>
      <c r="HQ34" s="160">
        <f>IF([Occurrence45]=0,0,SUM($HP$2:HP34))</f>
        <v>0</v>
      </c>
      <c r="HR34" s="160">
        <f>IF([chambre3]*1='CHAMBRES GARCONS RDC'!$A$83,1,0)</f>
        <v>1</v>
      </c>
      <c r="HS34" s="160">
        <f>IF([Occurrence46]=0,0,SUM($HR$2:HR34))</f>
        <v>1</v>
      </c>
      <c r="HT34" s="160">
        <f>IF([chambre3]*1='CHAMBRES GARCONS RDC'!$A$89,1,0)</f>
        <v>0</v>
      </c>
      <c r="HU34" s="160">
        <f>IF([Occurrence47]=0,0,SUM($HT$2:HT34))</f>
        <v>0</v>
      </c>
      <c r="HV34" s="160">
        <f>IF([chambre3]*1='CHAMBRES GARCONS RDC'!$A$95,1,0)</f>
        <v>0</v>
      </c>
      <c r="HW34" s="160">
        <f>IF([Occurrence48]=0,0,SUM($HV$2:HV34))</f>
        <v>0</v>
      </c>
      <c r="HX34" s="160"/>
      <c r="HY34" s="160"/>
      <c r="HZ34" s="160">
        <f>IF([Classe]='Liste élève par classes'!$B$5,1,0)</f>
        <v>0</v>
      </c>
      <c r="IA34" s="160">
        <f>IF([Occurrence]=0,0,SUM($HZ$2:HZ34))</f>
        <v>0</v>
      </c>
      <c r="IB3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126</v>
      </c>
      <c r="IC34" s="208"/>
    </row>
    <row r="35" spans="1:237">
      <c r="A35" t="s">
        <v>307</v>
      </c>
      <c r="B35" t="s">
        <v>308</v>
      </c>
      <c r="C35" s="158">
        <v>37246</v>
      </c>
      <c r="D35" s="62">
        <f t="shared" ca="1" si="0"/>
        <v>15</v>
      </c>
      <c r="E35" t="s">
        <v>6</v>
      </c>
      <c r="F35" s="159" t="s">
        <v>50</v>
      </c>
      <c r="G35" t="s">
        <v>40</v>
      </c>
      <c r="H35" s="160"/>
      <c r="I35" s="62"/>
      <c r="J35" s="62"/>
      <c r="K35" s="62"/>
      <c r="L35" s="160"/>
      <c r="M35">
        <v>55</v>
      </c>
      <c r="N35" s="62"/>
      <c r="O35" s="62"/>
      <c r="P35" s="62"/>
      <c r="Q35" s="62"/>
      <c r="R35" s="62"/>
      <c r="S35" s="191"/>
      <c r="T35" s="62"/>
      <c r="U35" s="61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163"/>
      <c r="AG35" s="163"/>
      <c r="AH35" s="163"/>
      <c r="AI35" s="163"/>
      <c r="AJ35" s="163"/>
      <c r="AK35" s="163"/>
      <c r="AL35" s="163"/>
      <c r="AM35" s="163"/>
      <c r="AN35" s="163"/>
      <c r="AO35" s="163"/>
      <c r="AP35" s="163"/>
      <c r="AQ35" s="163"/>
      <c r="AR35" s="163"/>
      <c r="AS35" s="163"/>
      <c r="AT35" s="163"/>
      <c r="AU35" s="163"/>
      <c r="AV35" s="163"/>
      <c r="AW35" s="163"/>
      <c r="AX35" s="163"/>
      <c r="AY35" s="163"/>
      <c r="AZ35" s="163"/>
      <c r="BA35" s="163"/>
      <c r="BB35" s="163"/>
      <c r="BC35" s="163" t="b">
        <v>0</v>
      </c>
      <c r="BD35" s="163" t="b">
        <v>1</v>
      </c>
      <c r="BE35" s="163" t="b">
        <v>1</v>
      </c>
      <c r="BF35" s="163" t="b">
        <v>0</v>
      </c>
      <c r="BG35" s="164" t="b">
        <v>0</v>
      </c>
      <c r="BH35" s="163" t="b">
        <v>1</v>
      </c>
      <c r="BI35" s="163"/>
      <c r="BJ35" s="163"/>
      <c r="BK35" s="163"/>
      <c r="BL35" s="163"/>
      <c r="BM35" s="163"/>
      <c r="BN35" s="163"/>
      <c r="BO35" s="163"/>
      <c r="BP35" s="163"/>
      <c r="BQ35" s="163" t="b">
        <v>0</v>
      </c>
      <c r="BR35" s="163"/>
      <c r="BS35" s="163"/>
      <c r="BT35" s="163"/>
      <c r="BU35" s="163"/>
      <c r="BV35" s="163"/>
      <c r="BW35" s="163"/>
      <c r="BX35" s="163"/>
      <c r="BY35" s="163"/>
      <c r="BZ35" s="163"/>
      <c r="CA35" s="163"/>
      <c r="CB35" s="163"/>
      <c r="CC35" s="163"/>
      <c r="CD35" s="163"/>
      <c r="CE35" s="163"/>
      <c r="CF35" s="163"/>
      <c r="CG35" s="163"/>
      <c r="CH35" s="163"/>
      <c r="CI35" s="163"/>
      <c r="CJ35" s="163"/>
      <c r="CK35" s="163"/>
      <c r="CL35" s="163"/>
      <c r="CM35" s="163"/>
      <c r="CN35" s="163"/>
      <c r="CO35" s="163"/>
      <c r="CP35" s="163"/>
      <c r="CQ35" s="163"/>
      <c r="CR35" s="163"/>
      <c r="CS35" s="163"/>
      <c r="CT35" s="163"/>
      <c r="CU35" s="163"/>
      <c r="CV35" s="163"/>
      <c r="CW35" s="163"/>
      <c r="CX35" s="163"/>
      <c r="CY35" s="163"/>
      <c r="CZ35" s="163"/>
      <c r="DA35" s="163"/>
      <c r="DB35" s="163"/>
      <c r="DC35" s="163"/>
      <c r="DD35" s="163"/>
      <c r="DE35" s="163"/>
      <c r="DF35" s="163"/>
      <c r="DG35" s="208">
        <v>146</v>
      </c>
      <c r="DH35" s="163"/>
      <c r="DI35" s="163"/>
      <c r="DJ35" s="163"/>
      <c r="DK35" s="163"/>
      <c r="DL35" s="163"/>
      <c r="DM35" s="163"/>
      <c r="DN35" s="163"/>
      <c r="DO35" s="163"/>
      <c r="DP35" s="163"/>
      <c r="DQ35" s="163"/>
      <c r="DR35" s="163"/>
      <c r="DS35" s="163"/>
      <c r="DT35" s="163"/>
      <c r="DU35" s="163"/>
      <c r="DV35" s="163"/>
      <c r="DW35" s="163"/>
      <c r="DX35" s="163"/>
      <c r="DY35" s="163"/>
      <c r="DZ35" s="163"/>
      <c r="EA35" s="163"/>
      <c r="EB35" s="163"/>
      <c r="EC35" s="163"/>
      <c r="ED35" s="163"/>
      <c r="EE35" s="163"/>
      <c r="EF35" s="163"/>
      <c r="EG35" s="163"/>
      <c r="EH35" s="160">
        <f>IF([Chambre]*1='CHAMBRES FILLES 2e ETAGE'!$A$5,1,0)</f>
        <v>0</v>
      </c>
      <c r="EI35" s="161">
        <f>IF([Occurrence2]=0,0,SUM($EH$2:EH35))</f>
        <v>0</v>
      </c>
      <c r="EJ35" s="160">
        <f>IF([Chambre]*1='CHAMBRES FILLES 2e ETAGE'!$A$11,1,0)</f>
        <v>0</v>
      </c>
      <c r="EK35" s="160">
        <f>IF([Occurrence3]=0,0,SUM($EJ$2:EJ35))</f>
        <v>0</v>
      </c>
      <c r="EL35" s="160">
        <f>IF([Chambre]*1='CHAMBRES FILLES 2e ETAGE'!$A$17,1,0)</f>
        <v>0</v>
      </c>
      <c r="EM35" s="160">
        <f>IF([Occurrence4]=0,0,SUM($EL$2:EL35))</f>
        <v>0</v>
      </c>
      <c r="EN35" s="160">
        <f>IF([Chambre]*1='CHAMBRES FILLES 2e ETAGE'!$A$23,1,0)</f>
        <v>0</v>
      </c>
      <c r="EO35" s="160">
        <f>IF([Occurrence5]=0,0,SUM($EN$2:EN35))</f>
        <v>0</v>
      </c>
      <c r="EP35" s="160">
        <f>IF([Chambre]*1='CHAMBRES FILLES 2e ETAGE'!$A$29,1,0)</f>
        <v>0</v>
      </c>
      <c r="EQ35" s="160">
        <f>IF([Occurrence6]=0,0,SUM($EP$2:EP35))</f>
        <v>0</v>
      </c>
      <c r="ER35" s="160">
        <f>IF([Chambre]*1='CHAMBRES FILLES 2e ETAGE'!$A$35,1,0)</f>
        <v>0</v>
      </c>
      <c r="ES35" s="160">
        <f>IF([Occurrence7]=0,0,SUM($ER$2:ER35))</f>
        <v>0</v>
      </c>
      <c r="ET35" s="160">
        <f>IF([Chambre]*1='CHAMBRES FILLES 2e ETAGE'!$A$41,1,0)</f>
        <v>0</v>
      </c>
      <c r="EU35" s="160">
        <f>IF([Occurrence8]=0,0,SUM($ET$2:ET35))</f>
        <v>0</v>
      </c>
      <c r="EV35" s="160">
        <f>IF([Chambre]*1='CHAMBRES FILLES 2e ETAGE'!$A$47,1,0)</f>
        <v>0</v>
      </c>
      <c r="EW35" s="160">
        <f>IF([Occurrence9]=0,0,SUM($EV$2:EV35))</f>
        <v>0</v>
      </c>
      <c r="EX35" s="160">
        <f>IF([Chambre]*1='CHAMBRES FILLES 2e ETAGE'!$A$53,1,0)</f>
        <v>0</v>
      </c>
      <c r="EY35" s="160">
        <f>IF([Occurrence10]=0,0,SUM($EX$2:EX35))</f>
        <v>0</v>
      </c>
      <c r="EZ35" s="160">
        <f>IF([Chambre]*1='CHAMBRES FILLES 2e ETAGE'!$A$59,1,0)</f>
        <v>0</v>
      </c>
      <c r="FA35" s="160">
        <f>IF([Occurrence11]=0,0,SUM($EZ$2:EZ35))</f>
        <v>0</v>
      </c>
      <c r="FB35" s="160">
        <f>IF([Chambre]*1='CHAMBRES FILLES 2e ETAGE'!$A$65,1,0)</f>
        <v>0</v>
      </c>
      <c r="FC35" s="160">
        <f>IF([Occurrence12]=0,0,SUM($FB$2:FB35))</f>
        <v>0</v>
      </c>
      <c r="FD35" s="160">
        <f>IF([Chambre]*1='CHAMBRES FILLES 2e ETAGE'!$A$71,1,0)</f>
        <v>0</v>
      </c>
      <c r="FE35" s="160">
        <f>IF([Occurrence13]=0,0,SUM($FD$2:FD35))</f>
        <v>0</v>
      </c>
      <c r="FF35" s="160">
        <f>IF([Chambre]*1='CHAMBRES FILLES 2e ETAGE'!$A$77,1,0)</f>
        <v>0</v>
      </c>
      <c r="FG35" s="160">
        <f>IF([Occurrence14]=0,0,SUM($FF$2:FF35))</f>
        <v>0</v>
      </c>
      <c r="FH35" s="160">
        <f>IF([Chambre]*1='CHAMBRES FILLES 2e ETAGE'!$A$83,1,0)</f>
        <v>0</v>
      </c>
      <c r="FI35" s="160">
        <f>IF([Occurrence15]=0,0,SUM($FH$2:FH35))</f>
        <v>0</v>
      </c>
      <c r="FJ35" s="160">
        <f>IF([Chambre]*1='CHAMBRES FILLES 2e ETAGE'!$A$89,1,0)</f>
        <v>0</v>
      </c>
      <c r="FK35" s="160">
        <f>IF([Occurrence16]=0,0,SUM($FJ$2:FJ35))</f>
        <v>0</v>
      </c>
      <c r="FL35" s="160">
        <f>IF([Chambre]*1='CHAMBRES FILLES 2e ETAGE'!$A$95,1,0)</f>
        <v>0</v>
      </c>
      <c r="FM35" s="160">
        <f>IF([Occurrence17]=0,0,SUM($FL$2:FL35))</f>
        <v>0</v>
      </c>
      <c r="FN35" s="160">
        <f>IF([Chambre2]*1='CHAMBRES FILLES 1e ETAGE'!$A$5,1,0)</f>
        <v>0</v>
      </c>
      <c r="FO35" s="160">
        <f>IF([Occurrence18]=0,0,SUM($FN$2:FN35))</f>
        <v>0</v>
      </c>
      <c r="FP35" s="160">
        <f>IF([Chambre2]*1='CHAMBRES FILLES 1e ETAGE'!$A$11,1,0)</f>
        <v>0</v>
      </c>
      <c r="FQ35" s="160">
        <f>IF([Occurrence19]=0,0,SUM($FP$2:FP35))</f>
        <v>0</v>
      </c>
      <c r="FR35" s="160">
        <f>IF([Chambre2]*1='CHAMBRES FILLES 1e ETAGE'!$A$17,1,0)</f>
        <v>0</v>
      </c>
      <c r="FS35" s="160">
        <f>IF([Occurrence20]=0,0,SUM($FR$2:FR35))</f>
        <v>0</v>
      </c>
      <c r="FT35" s="160">
        <f>IF([Chambre2]*1='CHAMBRES FILLES 1e ETAGE'!$A$23,1,0)</f>
        <v>0</v>
      </c>
      <c r="FU35" s="160">
        <f>IF([Occurrence21]=0,0,SUM($FT$2:FT35))</f>
        <v>0</v>
      </c>
      <c r="FV35" s="160">
        <f>IF([Chambre2]*1='CHAMBRES FILLES 1e ETAGE'!$A$29,1,0)</f>
        <v>0</v>
      </c>
      <c r="FW35" s="160">
        <f>IF([Occurrence22]=0,0,SUM($FV$2:FV35))</f>
        <v>0</v>
      </c>
      <c r="FX35" s="160">
        <f>IF([Chambre2]*1='CHAMBRES FILLES 1e ETAGE'!$A$35,1,0)</f>
        <v>0</v>
      </c>
      <c r="FY35" s="160">
        <f>IF([Occurrence23]=0,0,SUM($FX$2:FX35))</f>
        <v>0</v>
      </c>
      <c r="FZ35" s="160">
        <f>IF([Chambre2]*1='CHAMBRES FILLES 1e ETAGE'!$A$41,1,0)</f>
        <v>0</v>
      </c>
      <c r="GA35" s="160">
        <f>IF([Occurrence24]=0,0,SUM($FZ$2:FZ35))</f>
        <v>0</v>
      </c>
      <c r="GB35" s="160">
        <f>IF([Chambre2]*1='CHAMBRES FILLES 1e ETAGE'!$A$47,1,0)</f>
        <v>0</v>
      </c>
      <c r="GC35" s="160">
        <f>IF([Occurrence25]=0,0,SUM($GB$2:GB35))</f>
        <v>0</v>
      </c>
      <c r="GD35" s="160">
        <f>IF([Chambre2]*1='CHAMBRES FILLES 1e ETAGE'!$A$53,1,0)</f>
        <v>0</v>
      </c>
      <c r="GE35" s="160">
        <f>IF([Occurrence26]=0,0,SUM($GD$2:GD35))</f>
        <v>0</v>
      </c>
      <c r="GF35" s="160">
        <f>IF([chambre4]*1='CHAMBRES GARCONS 1e ETAGE'!$A$5,1,0)</f>
        <v>0</v>
      </c>
      <c r="GG35" s="160">
        <f>IF([Occurrence27]=0,0,SUM($GF$2:GF35))</f>
        <v>0</v>
      </c>
      <c r="GH35" s="160">
        <f>IF([chambre4]*1='CHAMBRES GARCONS 1e ETAGE'!$A$11,1,0)</f>
        <v>0</v>
      </c>
      <c r="GI35" s="160">
        <f>IF([Occurrence28]=0,0,SUM($GH$2:GH35))</f>
        <v>0</v>
      </c>
      <c r="GJ35" s="160">
        <f>IF([chambre4]*1='CHAMBRES GARCONS 1e ETAGE'!$A$17,1,0)</f>
        <v>1</v>
      </c>
      <c r="GK35" s="160">
        <f>IF([Occurrence29]=0,0,SUM($GJ$2:GJ35))</f>
        <v>1</v>
      </c>
      <c r="GL35" s="160">
        <f>IF([chambre4]*1='CHAMBRES GARCONS 1e ETAGE'!$A$23,1,0)</f>
        <v>0</v>
      </c>
      <c r="GM35" s="160">
        <f>IF([Occurrence30]=0,0,SUM($GL$2:GL35))</f>
        <v>0</v>
      </c>
      <c r="GN35" s="160">
        <f>IF([chambre4]*1='CHAMBRES GARCONS 1e ETAGE'!$A$29,1,0)</f>
        <v>0</v>
      </c>
      <c r="GO35" s="160">
        <f>IF([Occurrence31]=0,0,SUM($GN$2:GN35))</f>
        <v>0</v>
      </c>
      <c r="GP35" s="160">
        <f>IF([chambre4]*1='CHAMBRES GARCONS 1e ETAGE'!$A$35,1,0)</f>
        <v>0</v>
      </c>
      <c r="GQ35" s="160">
        <f>IF([Occurrence32]=0,0,SUM($GP$2:GP35))</f>
        <v>0</v>
      </c>
      <c r="GR35" s="160">
        <f>IF([chambre3]*1='CHAMBRES GARCONS RDC'!$A$5,1,0)</f>
        <v>0</v>
      </c>
      <c r="GS35" s="160">
        <f>IF([Occurrence33]=0,0,SUM($GR$2:GR35))</f>
        <v>0</v>
      </c>
      <c r="GT35" s="160">
        <f>IF([chambre3]*1='CHAMBRES GARCONS RDC'!$A$11,1,0)</f>
        <v>0</v>
      </c>
      <c r="GU35" s="160">
        <f>IF([Occurrence34]=0,0,SUM($GT$2:GT35))</f>
        <v>0</v>
      </c>
      <c r="GV35" s="160">
        <f>IF([chambre3]*1='CHAMBRES GARCONS RDC'!$A$17,1,0)</f>
        <v>0</v>
      </c>
      <c r="GW35" s="160">
        <f>IF([Occurrence35]=0,0,SUM($GV$2:GV35))</f>
        <v>0</v>
      </c>
      <c r="GX35" s="160">
        <f>IF([chambre3]*1='CHAMBRES GARCONS RDC'!$A$23,1,0)</f>
        <v>0</v>
      </c>
      <c r="GY35" s="160">
        <f>IF([Occurrence36]=0,0,SUM($GX$2:GX35))</f>
        <v>0</v>
      </c>
      <c r="GZ35" s="160">
        <f>IF([chambre3]*1='CHAMBRES GARCONS RDC'!$A$29,1,0)</f>
        <v>0</v>
      </c>
      <c r="HA35" s="160">
        <f>IF([Occurrence37]=0,0,SUM($GZ$2:GZ35))</f>
        <v>0</v>
      </c>
      <c r="HB35" s="160">
        <f>IF([chambre3]*1='CHAMBRES GARCONS RDC'!$A$35,1,0)</f>
        <v>0</v>
      </c>
      <c r="HC35" s="160">
        <f>IF([Occurrence38]=0,0,SUM($HB$2:HB35))</f>
        <v>0</v>
      </c>
      <c r="HD35" s="160">
        <f>IF([chambre3]*1='CHAMBRES GARCONS RDC'!$A$41,1,0)</f>
        <v>0</v>
      </c>
      <c r="HE35" s="160">
        <f>IF([Occurrence39]=0,0,SUM($HD$2:HD35))</f>
        <v>0</v>
      </c>
      <c r="HF35" s="160">
        <f>IF([chambre3]*1='CHAMBRES GARCONS RDC'!$A$47,1,0)</f>
        <v>0</v>
      </c>
      <c r="HG35" s="160">
        <f>IF([Occurrence40]=0,0,SUM($HF$2:HF35))</f>
        <v>0</v>
      </c>
      <c r="HH35" s="160">
        <f>IF([chambre3]*1='CHAMBRES GARCONS RDC'!$A$53,1,0)</f>
        <v>0</v>
      </c>
      <c r="HI35" s="160">
        <f>IF([Occurrence41]=0,0,SUM($HH$2:HH35))</f>
        <v>0</v>
      </c>
      <c r="HJ35" s="160">
        <f>IF([chambre3]*1='CHAMBRES GARCONS RDC'!$A$59,1,0)</f>
        <v>0</v>
      </c>
      <c r="HK35" s="160">
        <f>IF([Occurrence42]=0,0,SUM($HJ$2:HJ35))</f>
        <v>0</v>
      </c>
      <c r="HL35" s="160">
        <f>IF([chambre3]*1='CHAMBRES GARCONS RDC'!$A$65,1,0)</f>
        <v>0</v>
      </c>
      <c r="HM35" s="160">
        <f>IF([Occurrence43]=0,0,SUM($HL$2:HL35))</f>
        <v>0</v>
      </c>
      <c r="HN35" s="160">
        <f>IF([chambre3]*1='CHAMBRES GARCONS RDC'!$A$71,1,0)</f>
        <v>0</v>
      </c>
      <c r="HO35" s="160">
        <f>IF([Occurrence44]=0,0,SUM($HN$2:HN35))</f>
        <v>0</v>
      </c>
      <c r="HP35" s="160">
        <f>IF([chambre3]*1='CHAMBRES GARCONS RDC'!$A$77,1,0)</f>
        <v>0</v>
      </c>
      <c r="HQ35" s="160">
        <f>IF([Occurrence45]=0,0,SUM($HP$2:HP35))</f>
        <v>0</v>
      </c>
      <c r="HR35" s="160">
        <f>IF([chambre3]*1='CHAMBRES GARCONS RDC'!$A$83,1,0)</f>
        <v>0</v>
      </c>
      <c r="HS35" s="160">
        <f>IF([Occurrence46]=0,0,SUM($HR$2:HR35))</f>
        <v>0</v>
      </c>
      <c r="HT35" s="160">
        <f>IF([chambre3]*1='CHAMBRES GARCONS RDC'!$A$89,1,0)</f>
        <v>0</v>
      </c>
      <c r="HU35" s="160">
        <f>IF([Occurrence47]=0,0,SUM($HT$2:HT35))</f>
        <v>0</v>
      </c>
      <c r="HV35" s="160">
        <f>IF([chambre3]*1='CHAMBRES GARCONS RDC'!$A$95,1,0)</f>
        <v>0</v>
      </c>
      <c r="HW35" s="160">
        <f>IF([Occurrence48]=0,0,SUM($HV$2:HV35))</f>
        <v>0</v>
      </c>
      <c r="HX35" s="160"/>
      <c r="HY35" s="160"/>
      <c r="HZ35" s="160">
        <f>IF([Classe]='Liste élève par classes'!$B$5,1,0)</f>
        <v>0</v>
      </c>
      <c r="IA35" s="160">
        <f>IF([Occurrence]=0,0,SUM($HZ$2:HZ35))</f>
        <v>0</v>
      </c>
      <c r="IB3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146</v>
      </c>
      <c r="IC35" s="208"/>
    </row>
    <row r="36" spans="1:237">
      <c r="A36" t="s">
        <v>309</v>
      </c>
      <c r="B36" t="s">
        <v>310</v>
      </c>
      <c r="C36" s="158">
        <v>36936</v>
      </c>
      <c r="D36" s="62">
        <f t="shared" ca="1" si="0"/>
        <v>16</v>
      </c>
      <c r="E36" t="s">
        <v>2</v>
      </c>
      <c r="F36" s="159" t="s">
        <v>50</v>
      </c>
      <c r="G36" t="s">
        <v>45</v>
      </c>
      <c r="H36" s="160"/>
      <c r="I36" s="62"/>
      <c r="J36" s="62" t="s">
        <v>244</v>
      </c>
      <c r="K36" s="62"/>
      <c r="L36" s="61"/>
      <c r="M36"/>
      <c r="N36" s="62" t="s">
        <v>244</v>
      </c>
      <c r="O36" s="62" t="s">
        <v>244</v>
      </c>
      <c r="P36" s="62" t="s">
        <v>244</v>
      </c>
      <c r="Q36" s="62" t="s">
        <v>244</v>
      </c>
      <c r="R36" s="62" t="s">
        <v>244</v>
      </c>
      <c r="S36" s="191"/>
      <c r="T36" s="62" t="s">
        <v>244</v>
      </c>
      <c r="U36" s="61">
        <v>141</v>
      </c>
      <c r="V36" s="62" t="s">
        <v>244</v>
      </c>
      <c r="W36" s="62" t="s">
        <v>244</v>
      </c>
      <c r="X36" s="62" t="s">
        <v>244</v>
      </c>
      <c r="Y36" s="62" t="s">
        <v>244</v>
      </c>
      <c r="Z36" s="62" t="s">
        <v>244</v>
      </c>
      <c r="AA36" s="62" t="s">
        <v>244</v>
      </c>
      <c r="AB36" s="62" t="s">
        <v>244</v>
      </c>
      <c r="AC36" s="62" t="s">
        <v>244</v>
      </c>
      <c r="AD36" s="62" t="s">
        <v>244</v>
      </c>
      <c r="AE36" s="62" t="s">
        <v>244</v>
      </c>
      <c r="AF36" s="166" t="s">
        <v>244</v>
      </c>
      <c r="AG36" s="166" t="s">
        <v>244</v>
      </c>
      <c r="AH36" s="166" t="s">
        <v>244</v>
      </c>
      <c r="AI36" s="166"/>
      <c r="AJ36" s="166"/>
      <c r="AK36" s="166"/>
      <c r="AL36" s="166"/>
      <c r="AM36" s="166"/>
      <c r="AN36" s="166"/>
      <c r="AO36" s="166"/>
      <c r="AP36" s="166"/>
      <c r="AQ36" s="166"/>
      <c r="AR36" s="166"/>
      <c r="AS36" s="166"/>
      <c r="AT36" s="166"/>
      <c r="AU36" s="166"/>
      <c r="AV36" s="166"/>
      <c r="AW36" s="166"/>
      <c r="AX36" s="166"/>
      <c r="AY36" s="166"/>
      <c r="AZ36" s="166"/>
      <c r="BA36" s="166"/>
      <c r="BB36" s="166"/>
      <c r="BC36" s="163" t="b">
        <v>0</v>
      </c>
      <c r="BD36" s="163" t="b">
        <v>1</v>
      </c>
      <c r="BE36" s="163" t="b">
        <v>1</v>
      </c>
      <c r="BF36" s="163" t="b">
        <v>0</v>
      </c>
      <c r="BG36" s="164" t="b">
        <v>0</v>
      </c>
      <c r="BH36" s="163" t="b">
        <v>1</v>
      </c>
      <c r="BI36" s="166"/>
      <c r="BJ36" s="166"/>
      <c r="BK36" s="166"/>
      <c r="BL36" s="166"/>
      <c r="BM36" s="166"/>
      <c r="BN36" s="166"/>
      <c r="BO36" s="166"/>
      <c r="BP36" s="166"/>
      <c r="BQ36" s="163" t="b">
        <v>0</v>
      </c>
      <c r="BR36" s="166"/>
      <c r="BS36" s="166"/>
      <c r="BT36" s="166"/>
      <c r="BU36" s="166"/>
      <c r="BV36" s="166"/>
      <c r="BW36" s="166"/>
      <c r="BX36" s="166"/>
      <c r="BY36" s="166"/>
      <c r="BZ36" s="166"/>
      <c r="CA36" s="166"/>
      <c r="CB36" s="166"/>
      <c r="CC36" s="166"/>
      <c r="CD36" s="166"/>
      <c r="CE36" s="166"/>
      <c r="CF36" s="166"/>
      <c r="CG36" s="166"/>
      <c r="CH36" s="166"/>
      <c r="CI36" s="166"/>
      <c r="CJ36" s="166"/>
      <c r="CK36" s="166"/>
      <c r="CL36" s="166"/>
      <c r="CM36" s="166"/>
      <c r="CN36" s="166"/>
      <c r="CO36" s="166"/>
      <c r="CP36" s="166"/>
      <c r="CQ36" s="166"/>
      <c r="CR36" s="166"/>
      <c r="CS36" s="166"/>
      <c r="CT36" s="166"/>
      <c r="CU36" s="166"/>
      <c r="CV36" s="166"/>
      <c r="CW36" s="166"/>
      <c r="CX36" s="166"/>
      <c r="CY36" s="166"/>
      <c r="CZ36" s="166"/>
      <c r="DA36" s="166"/>
      <c r="DB36" s="166"/>
      <c r="DC36" s="166"/>
      <c r="DD36" s="166"/>
      <c r="DE36" s="166"/>
      <c r="DF36" s="166"/>
      <c r="DG36" s="212"/>
      <c r="DH36" s="166"/>
      <c r="DI36" s="166"/>
      <c r="DJ36" s="166"/>
      <c r="DK36" s="166"/>
      <c r="DL36" s="166"/>
      <c r="DM36" s="166"/>
      <c r="DN36" s="166"/>
      <c r="DO36" s="166"/>
      <c r="DP36" s="166"/>
      <c r="DQ36" s="166"/>
      <c r="DR36" s="166"/>
      <c r="DS36" s="166"/>
      <c r="DT36" s="166"/>
      <c r="DU36" s="166"/>
      <c r="DV36" s="166"/>
      <c r="DW36" s="166"/>
      <c r="DX36" s="166"/>
      <c r="DY36" s="166"/>
      <c r="DZ36" s="166"/>
      <c r="EA36" s="166"/>
      <c r="EB36" s="166"/>
      <c r="EC36" s="166"/>
      <c r="ED36" s="166"/>
      <c r="EE36" s="166"/>
      <c r="EF36" s="166"/>
      <c r="EG36" s="166"/>
      <c r="EH36" s="160">
        <f>IF([Chambre]*1='CHAMBRES FILLES 2e ETAGE'!$A$5,1,0)</f>
        <v>0</v>
      </c>
      <c r="EI36" s="161">
        <f>IF([Occurrence2]=0,0,SUM($EH$2:EH36))</f>
        <v>0</v>
      </c>
      <c r="EJ36" s="160">
        <f>IF([Chambre]*1='CHAMBRES FILLES 2e ETAGE'!$A$11,1,0)</f>
        <v>0</v>
      </c>
      <c r="EK36" s="160">
        <f>IF([Occurrence3]=0,0,SUM($EJ$2:EJ36))</f>
        <v>0</v>
      </c>
      <c r="EL36" s="160">
        <f>IF([Chambre]*1='CHAMBRES FILLES 2e ETAGE'!$A$17,1,0)</f>
        <v>0</v>
      </c>
      <c r="EM36" s="160">
        <f>IF([Occurrence4]=0,0,SUM($EL$2:EL36))</f>
        <v>0</v>
      </c>
      <c r="EN36" s="160">
        <f>IF([Chambre]*1='CHAMBRES FILLES 2e ETAGE'!$A$23,1,0)</f>
        <v>0</v>
      </c>
      <c r="EO36" s="160">
        <f>IF([Occurrence5]=0,0,SUM($EN$2:EN36))</f>
        <v>0</v>
      </c>
      <c r="EP36" s="160">
        <f>IF([Chambre]*1='CHAMBRES FILLES 2e ETAGE'!$A$29,1,0)</f>
        <v>0</v>
      </c>
      <c r="EQ36" s="160">
        <f>IF([Occurrence6]=0,0,SUM($EP$2:EP36))</f>
        <v>0</v>
      </c>
      <c r="ER36" s="160">
        <f>IF([Chambre]*1='CHAMBRES FILLES 2e ETAGE'!$A$35,1,0)</f>
        <v>0</v>
      </c>
      <c r="ES36" s="160">
        <f>IF([Occurrence7]=0,0,SUM($ER$2:ER36))</f>
        <v>0</v>
      </c>
      <c r="ET36" s="160">
        <f>IF([Chambre]*1='CHAMBRES FILLES 2e ETAGE'!$A$41,1,0)</f>
        <v>0</v>
      </c>
      <c r="EU36" s="160">
        <f>IF([Occurrence8]=0,0,SUM($ET$2:ET36))</f>
        <v>0</v>
      </c>
      <c r="EV36" s="160">
        <f>IF([Chambre]*1='CHAMBRES FILLES 2e ETAGE'!$A$47,1,0)</f>
        <v>0</v>
      </c>
      <c r="EW36" s="160">
        <f>IF([Occurrence9]=0,0,SUM($EV$2:EV36))</f>
        <v>0</v>
      </c>
      <c r="EX36" s="160">
        <f>IF([Chambre]*1='CHAMBRES FILLES 2e ETAGE'!$A$53,1,0)</f>
        <v>0</v>
      </c>
      <c r="EY36" s="160">
        <f>IF([Occurrence10]=0,0,SUM($EX$2:EX36))</f>
        <v>0</v>
      </c>
      <c r="EZ36" s="160">
        <f>IF([Chambre]*1='CHAMBRES FILLES 2e ETAGE'!$A$59,1,0)</f>
        <v>0</v>
      </c>
      <c r="FA36" s="160">
        <f>IF([Occurrence11]=0,0,SUM($EZ$2:EZ36))</f>
        <v>0</v>
      </c>
      <c r="FB36" s="160">
        <f>IF([Chambre]*1='CHAMBRES FILLES 2e ETAGE'!$A$65,1,0)</f>
        <v>0</v>
      </c>
      <c r="FC36" s="160">
        <f>IF([Occurrence12]=0,0,SUM($FB$2:FB36))</f>
        <v>0</v>
      </c>
      <c r="FD36" s="160">
        <f>IF([Chambre]*1='CHAMBRES FILLES 2e ETAGE'!$A$71,1,0)</f>
        <v>0</v>
      </c>
      <c r="FE36" s="160">
        <f>IF([Occurrence13]=0,0,SUM($FD$2:FD36))</f>
        <v>0</v>
      </c>
      <c r="FF36" s="160">
        <f>IF([Chambre]*1='CHAMBRES FILLES 2e ETAGE'!$A$77,1,0)</f>
        <v>0</v>
      </c>
      <c r="FG36" s="160">
        <f>IF([Occurrence14]=0,0,SUM($FF$2:FF36))</f>
        <v>0</v>
      </c>
      <c r="FH36" s="160">
        <f>IF([Chambre]*1='CHAMBRES FILLES 2e ETAGE'!$A$83,1,0)</f>
        <v>0</v>
      </c>
      <c r="FI36" s="160">
        <f>IF([Occurrence15]=0,0,SUM($FH$2:FH36))</f>
        <v>0</v>
      </c>
      <c r="FJ36" s="160">
        <f>IF([Chambre]*1='CHAMBRES FILLES 2e ETAGE'!$A$89,1,0)</f>
        <v>0</v>
      </c>
      <c r="FK36" s="160">
        <f>IF([Occurrence16]=0,0,SUM($FJ$2:FJ36))</f>
        <v>0</v>
      </c>
      <c r="FL36" s="160">
        <f>IF([Chambre]*1='CHAMBRES FILLES 2e ETAGE'!$A$95,1,0)</f>
        <v>0</v>
      </c>
      <c r="FM36" s="160">
        <f>IF([Occurrence17]=0,0,SUM($FL$2:FL36))</f>
        <v>0</v>
      </c>
      <c r="FN36" s="160">
        <f>IF([Chambre2]*1='CHAMBRES FILLES 1e ETAGE'!$A$5,1,0)</f>
        <v>0</v>
      </c>
      <c r="FO36" s="160">
        <f>IF([Occurrence18]=0,0,SUM($FN$2:FN36))</f>
        <v>0</v>
      </c>
      <c r="FP36" s="160">
        <f>IF([Chambre2]*1='CHAMBRES FILLES 1e ETAGE'!$A$11,1,0)</f>
        <v>0</v>
      </c>
      <c r="FQ36" s="160">
        <f>IF([Occurrence19]=0,0,SUM($FP$2:FP36))</f>
        <v>0</v>
      </c>
      <c r="FR36" s="160">
        <f>IF([Chambre2]*1='CHAMBRES FILLES 1e ETAGE'!$A$17,1,0)</f>
        <v>0</v>
      </c>
      <c r="FS36" s="160">
        <f>IF([Occurrence20]=0,0,SUM($FR$2:FR36))</f>
        <v>0</v>
      </c>
      <c r="FT36" s="160">
        <f>IF([Chambre2]*1='CHAMBRES FILLES 1e ETAGE'!$A$23,1,0)</f>
        <v>1</v>
      </c>
      <c r="FU36" s="160">
        <f>IF([Occurrence21]=0,0,SUM($FT$2:FT36))</f>
        <v>1</v>
      </c>
      <c r="FV36" s="160">
        <f>IF([Chambre2]*1='CHAMBRES FILLES 1e ETAGE'!$A$29,1,0)</f>
        <v>0</v>
      </c>
      <c r="FW36" s="160">
        <f>IF([Occurrence22]=0,0,SUM($FV$2:FV36))</f>
        <v>0</v>
      </c>
      <c r="FX36" s="160">
        <f>IF([Chambre2]*1='CHAMBRES FILLES 1e ETAGE'!$A$35,1,0)</f>
        <v>0</v>
      </c>
      <c r="FY36" s="160">
        <f>IF([Occurrence23]=0,0,SUM($FX$2:FX36))</f>
        <v>0</v>
      </c>
      <c r="FZ36" s="160">
        <f>IF([Chambre2]*1='CHAMBRES FILLES 1e ETAGE'!$A$41,1,0)</f>
        <v>0</v>
      </c>
      <c r="GA36" s="160">
        <f>IF([Occurrence24]=0,0,SUM($FZ$2:FZ36))</f>
        <v>0</v>
      </c>
      <c r="GB36" s="160">
        <f>IF([Chambre2]*1='CHAMBRES FILLES 1e ETAGE'!$A$47,1,0)</f>
        <v>0</v>
      </c>
      <c r="GC36" s="160">
        <f>IF([Occurrence25]=0,0,SUM($GB$2:GB36))</f>
        <v>0</v>
      </c>
      <c r="GD36" s="160">
        <f>IF([Chambre2]*1='CHAMBRES FILLES 1e ETAGE'!$A$53,1,0)</f>
        <v>0</v>
      </c>
      <c r="GE36" s="160">
        <f>IF([Occurrence26]=0,0,SUM($GD$2:GD36))</f>
        <v>0</v>
      </c>
      <c r="GF36" s="160">
        <f>IF([chambre4]*1='CHAMBRES GARCONS 1e ETAGE'!$A$5,1,0)</f>
        <v>0</v>
      </c>
      <c r="GG36" s="160">
        <f>IF([Occurrence27]=0,0,SUM($GF$2:GF36))</f>
        <v>0</v>
      </c>
      <c r="GH36" s="160">
        <f>IF([chambre4]*1='CHAMBRES GARCONS 1e ETAGE'!$A$11,1,0)</f>
        <v>0</v>
      </c>
      <c r="GI36" s="160">
        <f>IF([Occurrence28]=0,0,SUM($GH$2:GH36))</f>
        <v>0</v>
      </c>
      <c r="GJ36" s="160">
        <f>IF([chambre4]*1='CHAMBRES GARCONS 1e ETAGE'!$A$17,1,0)</f>
        <v>0</v>
      </c>
      <c r="GK36" s="160">
        <f>IF([Occurrence29]=0,0,SUM($GJ$2:GJ36))</f>
        <v>0</v>
      </c>
      <c r="GL36" s="160">
        <f>IF([chambre4]*1='CHAMBRES GARCONS 1e ETAGE'!$A$23,1,0)</f>
        <v>0</v>
      </c>
      <c r="GM36" s="160">
        <f>IF([Occurrence30]=0,0,SUM($GL$2:GL36))</f>
        <v>0</v>
      </c>
      <c r="GN36" s="160">
        <f>IF([chambre4]*1='CHAMBRES GARCONS 1e ETAGE'!$A$29,1,0)</f>
        <v>0</v>
      </c>
      <c r="GO36" s="160">
        <f>IF([Occurrence31]=0,0,SUM($GN$2:GN36))</f>
        <v>0</v>
      </c>
      <c r="GP36" s="160">
        <f>IF([chambre4]*1='CHAMBRES GARCONS 1e ETAGE'!$A$35,1,0)</f>
        <v>0</v>
      </c>
      <c r="GQ36" s="160">
        <f>IF([Occurrence32]=0,0,SUM($GP$2:GP36))</f>
        <v>0</v>
      </c>
      <c r="GR36" s="160">
        <f>IF([chambre3]*1='CHAMBRES GARCONS RDC'!$A$5,1,0)</f>
        <v>0</v>
      </c>
      <c r="GS36" s="160">
        <f>IF([Occurrence33]=0,0,SUM($GR$2:GR36))</f>
        <v>0</v>
      </c>
      <c r="GT36" s="160">
        <f>IF([chambre3]*1='CHAMBRES GARCONS RDC'!$A$11,1,0)</f>
        <v>0</v>
      </c>
      <c r="GU36" s="160">
        <f>IF([Occurrence34]=0,0,SUM($GT$2:GT36))</f>
        <v>0</v>
      </c>
      <c r="GV36" s="160">
        <f>IF([chambre3]*1='CHAMBRES GARCONS RDC'!$A$17,1,0)</f>
        <v>0</v>
      </c>
      <c r="GW36" s="160">
        <f>IF([Occurrence35]=0,0,SUM($GV$2:GV36))</f>
        <v>0</v>
      </c>
      <c r="GX36" s="160">
        <f>IF([chambre3]*1='CHAMBRES GARCONS RDC'!$A$23,1,0)</f>
        <v>0</v>
      </c>
      <c r="GY36" s="160">
        <f>IF([Occurrence36]=0,0,SUM($GX$2:GX36))</f>
        <v>0</v>
      </c>
      <c r="GZ36" s="160">
        <f>IF([chambre3]*1='CHAMBRES GARCONS RDC'!$A$29,1,0)</f>
        <v>0</v>
      </c>
      <c r="HA36" s="160">
        <f>IF([Occurrence37]=0,0,SUM($GZ$2:GZ36))</f>
        <v>0</v>
      </c>
      <c r="HB36" s="160">
        <f>IF([chambre3]*1='CHAMBRES GARCONS RDC'!$A$35,1,0)</f>
        <v>0</v>
      </c>
      <c r="HC36" s="160">
        <f>IF([Occurrence38]=0,0,SUM($HB$2:HB36))</f>
        <v>0</v>
      </c>
      <c r="HD36" s="160">
        <f>IF([chambre3]*1='CHAMBRES GARCONS RDC'!$A$41,1,0)</f>
        <v>0</v>
      </c>
      <c r="HE36" s="160">
        <f>IF([Occurrence39]=0,0,SUM($HD$2:HD36))</f>
        <v>0</v>
      </c>
      <c r="HF36" s="160">
        <f>IF([chambre3]*1='CHAMBRES GARCONS RDC'!$A$47,1,0)</f>
        <v>0</v>
      </c>
      <c r="HG36" s="160">
        <f>IF([Occurrence40]=0,0,SUM($HF$2:HF36))</f>
        <v>0</v>
      </c>
      <c r="HH36" s="160">
        <f>IF([chambre3]*1='CHAMBRES GARCONS RDC'!$A$53,1,0)</f>
        <v>0</v>
      </c>
      <c r="HI36" s="160">
        <f>IF([Occurrence41]=0,0,SUM($HH$2:HH36))</f>
        <v>0</v>
      </c>
      <c r="HJ36" s="160">
        <f>IF([chambre3]*1='CHAMBRES GARCONS RDC'!$A$59,1,0)</f>
        <v>0</v>
      </c>
      <c r="HK36" s="160">
        <f>IF([Occurrence42]=0,0,SUM($HJ$2:HJ36))</f>
        <v>0</v>
      </c>
      <c r="HL36" s="160">
        <f>IF([chambre3]*1='CHAMBRES GARCONS RDC'!$A$65,1,0)</f>
        <v>0</v>
      </c>
      <c r="HM36" s="160">
        <f>IF([Occurrence43]=0,0,SUM($HL$2:HL36))</f>
        <v>0</v>
      </c>
      <c r="HN36" s="160">
        <f>IF([chambre3]*1='CHAMBRES GARCONS RDC'!$A$71,1,0)</f>
        <v>0</v>
      </c>
      <c r="HO36" s="160">
        <f>IF([Occurrence44]=0,0,SUM($HN$2:HN36))</f>
        <v>0</v>
      </c>
      <c r="HP36" s="160">
        <f>IF([chambre3]*1='CHAMBRES GARCONS RDC'!$A$77,1,0)</f>
        <v>0</v>
      </c>
      <c r="HQ36" s="160">
        <f>IF([Occurrence45]=0,0,SUM($HP$2:HP36))</f>
        <v>0</v>
      </c>
      <c r="HR36" s="160">
        <f>IF([chambre3]*1='CHAMBRES GARCONS RDC'!$A$83,1,0)</f>
        <v>0</v>
      </c>
      <c r="HS36" s="160">
        <f>IF([Occurrence46]=0,0,SUM($HR$2:HR36))</f>
        <v>0</v>
      </c>
      <c r="HT36" s="160">
        <f>IF([chambre3]*1='CHAMBRES GARCONS RDC'!$A$89,1,0)</f>
        <v>0</v>
      </c>
      <c r="HU36" s="160">
        <f>IF([Occurrence47]=0,0,SUM($HT$2:HT36))</f>
        <v>0</v>
      </c>
      <c r="HV36" s="160">
        <f>IF([chambre3]*1='CHAMBRES GARCONS RDC'!$A$95,1,0)</f>
        <v>0</v>
      </c>
      <c r="HW36" s="160">
        <f>IF([Occurrence48]=0,0,SUM($HV$2:HV36))</f>
        <v>0</v>
      </c>
      <c r="HX36" s="160"/>
      <c r="HY36" s="160"/>
      <c r="HZ36" s="160">
        <f>IF([Classe]='Liste élève par classes'!$B$5,1,0)</f>
        <v>0</v>
      </c>
      <c r="IA36" s="160">
        <f>IF([Occurrence]=0,0,SUM($HZ$2:HZ36))</f>
        <v>0</v>
      </c>
      <c r="IB3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141</v>
      </c>
      <c r="IC36" s="208"/>
    </row>
    <row r="37" spans="1:237">
      <c r="A37" t="s">
        <v>311</v>
      </c>
      <c r="B37" t="s">
        <v>312</v>
      </c>
      <c r="C37" s="158">
        <v>37325</v>
      </c>
      <c r="D37" s="62">
        <f t="shared" ca="1" si="0"/>
        <v>15</v>
      </c>
      <c r="E37" t="s">
        <v>7</v>
      </c>
      <c r="F37" s="159" t="s">
        <v>50</v>
      </c>
      <c r="G37" t="s">
        <v>40</v>
      </c>
      <c r="H37" s="160"/>
      <c r="I37" s="62"/>
      <c r="J37" s="62"/>
      <c r="K37" s="62"/>
      <c r="L37" s="61"/>
      <c r="M37">
        <v>93</v>
      </c>
      <c r="N37" s="62"/>
      <c r="O37" s="62"/>
      <c r="P37" s="62"/>
      <c r="Q37" s="62"/>
      <c r="R37" s="62"/>
      <c r="S37" s="191"/>
      <c r="T37" s="62"/>
      <c r="U37" s="61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163"/>
      <c r="AG37" s="163"/>
      <c r="AH37" s="163"/>
      <c r="AI37" s="163"/>
      <c r="AJ37" s="163"/>
      <c r="AK37" s="163"/>
      <c r="AL37" s="163"/>
      <c r="AM37" s="163"/>
      <c r="AN37" s="163"/>
      <c r="AO37" s="163"/>
      <c r="AP37" s="163"/>
      <c r="AQ37" s="163"/>
      <c r="AR37" s="163"/>
      <c r="AS37" s="163"/>
      <c r="AT37" s="163"/>
      <c r="AU37" s="163"/>
      <c r="AV37" s="163"/>
      <c r="AW37" s="163"/>
      <c r="AX37" s="163"/>
      <c r="AY37" s="163"/>
      <c r="AZ37" s="163"/>
      <c r="BA37" s="163"/>
      <c r="BB37" s="163"/>
      <c r="BC37" s="163" t="b">
        <v>0</v>
      </c>
      <c r="BD37" s="163" t="b">
        <v>1</v>
      </c>
      <c r="BE37" s="163" t="b">
        <v>1</v>
      </c>
      <c r="BF37" s="163" t="b">
        <v>0</v>
      </c>
      <c r="BG37" s="164" t="b">
        <v>0</v>
      </c>
      <c r="BH37" s="163" t="b">
        <v>1</v>
      </c>
      <c r="BI37" s="163"/>
      <c r="BJ37" s="163"/>
      <c r="BK37" s="163"/>
      <c r="BL37" s="163"/>
      <c r="BM37" s="163"/>
      <c r="BN37" s="163"/>
      <c r="BO37" s="163"/>
      <c r="BP37" s="163"/>
      <c r="BQ37" s="163" t="b">
        <v>0</v>
      </c>
      <c r="BR37" s="163"/>
      <c r="BS37" s="163"/>
      <c r="BT37" s="163"/>
      <c r="BU37" s="163"/>
      <c r="BV37" s="163"/>
      <c r="BW37" s="163"/>
      <c r="BX37" s="163"/>
      <c r="BY37" s="163"/>
      <c r="BZ37" s="163"/>
      <c r="CA37" s="163"/>
      <c r="CB37" s="163"/>
      <c r="CC37" s="163"/>
      <c r="CD37" s="163"/>
      <c r="CE37" s="163"/>
      <c r="CF37" s="163"/>
      <c r="CG37" s="163"/>
      <c r="CH37" s="163"/>
      <c r="CI37" s="163"/>
      <c r="CJ37" s="163"/>
      <c r="CK37" s="163"/>
      <c r="CL37" s="163"/>
      <c r="CM37" s="163"/>
      <c r="CN37" s="163"/>
      <c r="CO37" s="163"/>
      <c r="CP37" s="163"/>
      <c r="CQ37" s="163"/>
      <c r="CR37" s="163"/>
      <c r="CS37" s="163"/>
      <c r="CT37" s="163"/>
      <c r="CU37" s="163"/>
      <c r="CV37" s="163"/>
      <c r="CW37" s="163"/>
      <c r="CX37" s="163"/>
      <c r="CY37" s="163"/>
      <c r="CZ37" s="163"/>
      <c r="DA37" s="163"/>
      <c r="DB37" s="163"/>
      <c r="DC37" s="163"/>
      <c r="DD37" s="163"/>
      <c r="DE37" s="163"/>
      <c r="DF37" s="163"/>
      <c r="DG37" s="208">
        <v>147</v>
      </c>
      <c r="DH37" s="163"/>
      <c r="DI37" s="163"/>
      <c r="DJ37" s="163"/>
      <c r="DK37" s="163"/>
      <c r="DL37" s="163"/>
      <c r="DM37" s="163"/>
      <c r="DN37" s="163"/>
      <c r="DO37" s="163"/>
      <c r="DP37" s="163"/>
      <c r="DQ37" s="163"/>
      <c r="DR37" s="163"/>
      <c r="DS37" s="163"/>
      <c r="DT37" s="163"/>
      <c r="DU37" s="163"/>
      <c r="DV37" s="163"/>
      <c r="DW37" s="163"/>
      <c r="DX37" s="163"/>
      <c r="DY37" s="163"/>
      <c r="DZ37" s="163"/>
      <c r="EA37" s="163"/>
      <c r="EB37" s="163"/>
      <c r="EC37" s="163"/>
      <c r="ED37" s="163"/>
      <c r="EE37" s="163"/>
      <c r="EF37" s="163"/>
      <c r="EG37" s="163"/>
      <c r="EH37" s="160">
        <f>IF([Chambre]*1='CHAMBRES FILLES 2e ETAGE'!$A$5,1,0)</f>
        <v>0</v>
      </c>
      <c r="EI37" s="161">
        <f>IF([Occurrence2]=0,0,SUM($EH$2:EH37))</f>
        <v>0</v>
      </c>
      <c r="EJ37" s="160">
        <f>IF([Chambre]*1='CHAMBRES FILLES 2e ETAGE'!$A$11,1,0)</f>
        <v>0</v>
      </c>
      <c r="EK37" s="160">
        <f>IF([Occurrence3]=0,0,SUM($EJ$2:EJ37))</f>
        <v>0</v>
      </c>
      <c r="EL37" s="160">
        <f>IF([Chambre]*1='CHAMBRES FILLES 2e ETAGE'!$A$17,1,0)</f>
        <v>0</v>
      </c>
      <c r="EM37" s="160">
        <f>IF([Occurrence4]=0,0,SUM($EL$2:EL37))</f>
        <v>0</v>
      </c>
      <c r="EN37" s="160">
        <f>IF([Chambre]*1='CHAMBRES FILLES 2e ETAGE'!$A$23,1,0)</f>
        <v>0</v>
      </c>
      <c r="EO37" s="160">
        <f>IF([Occurrence5]=0,0,SUM($EN$2:EN37))</f>
        <v>0</v>
      </c>
      <c r="EP37" s="160">
        <f>IF([Chambre]*1='CHAMBRES FILLES 2e ETAGE'!$A$29,1,0)</f>
        <v>0</v>
      </c>
      <c r="EQ37" s="160">
        <f>IF([Occurrence6]=0,0,SUM($EP$2:EP37))</f>
        <v>0</v>
      </c>
      <c r="ER37" s="160">
        <f>IF([Chambre]*1='CHAMBRES FILLES 2e ETAGE'!$A$35,1,0)</f>
        <v>0</v>
      </c>
      <c r="ES37" s="160">
        <f>IF([Occurrence7]=0,0,SUM($ER$2:ER37))</f>
        <v>0</v>
      </c>
      <c r="ET37" s="160">
        <f>IF([Chambre]*1='CHAMBRES FILLES 2e ETAGE'!$A$41,1,0)</f>
        <v>0</v>
      </c>
      <c r="EU37" s="160">
        <f>IF([Occurrence8]=0,0,SUM($ET$2:ET37))</f>
        <v>0</v>
      </c>
      <c r="EV37" s="160">
        <f>IF([Chambre]*1='CHAMBRES FILLES 2e ETAGE'!$A$47,1,0)</f>
        <v>0</v>
      </c>
      <c r="EW37" s="160">
        <f>IF([Occurrence9]=0,0,SUM($EV$2:EV37))</f>
        <v>0</v>
      </c>
      <c r="EX37" s="160">
        <f>IF([Chambre]*1='CHAMBRES FILLES 2e ETAGE'!$A$53,1,0)</f>
        <v>0</v>
      </c>
      <c r="EY37" s="160">
        <f>IF([Occurrence10]=0,0,SUM($EX$2:EX37))</f>
        <v>0</v>
      </c>
      <c r="EZ37" s="160">
        <f>IF([Chambre]*1='CHAMBRES FILLES 2e ETAGE'!$A$59,1,0)</f>
        <v>0</v>
      </c>
      <c r="FA37" s="160">
        <f>IF([Occurrence11]=0,0,SUM($EZ$2:EZ37))</f>
        <v>0</v>
      </c>
      <c r="FB37" s="160">
        <f>IF([Chambre]*1='CHAMBRES FILLES 2e ETAGE'!$A$65,1,0)</f>
        <v>0</v>
      </c>
      <c r="FC37" s="160">
        <f>IF([Occurrence12]=0,0,SUM($FB$2:FB37))</f>
        <v>0</v>
      </c>
      <c r="FD37" s="160">
        <f>IF([Chambre]*1='CHAMBRES FILLES 2e ETAGE'!$A$71,1,0)</f>
        <v>0</v>
      </c>
      <c r="FE37" s="160">
        <f>IF([Occurrence13]=0,0,SUM($FD$2:FD37))</f>
        <v>0</v>
      </c>
      <c r="FF37" s="160">
        <f>IF([Chambre]*1='CHAMBRES FILLES 2e ETAGE'!$A$77,1,0)</f>
        <v>0</v>
      </c>
      <c r="FG37" s="160">
        <f>IF([Occurrence14]=0,0,SUM($FF$2:FF37))</f>
        <v>0</v>
      </c>
      <c r="FH37" s="160">
        <f>IF([Chambre]*1='CHAMBRES FILLES 2e ETAGE'!$A$83,1,0)</f>
        <v>0</v>
      </c>
      <c r="FI37" s="160">
        <f>IF([Occurrence15]=0,0,SUM($FH$2:FH37))</f>
        <v>0</v>
      </c>
      <c r="FJ37" s="160">
        <f>IF([Chambre]*1='CHAMBRES FILLES 2e ETAGE'!$A$89,1,0)</f>
        <v>0</v>
      </c>
      <c r="FK37" s="160">
        <f>IF([Occurrence16]=0,0,SUM($FJ$2:FJ37))</f>
        <v>0</v>
      </c>
      <c r="FL37" s="160">
        <f>IF([Chambre]*1='CHAMBRES FILLES 2e ETAGE'!$A$95,1,0)</f>
        <v>0</v>
      </c>
      <c r="FM37" s="160">
        <f>IF([Occurrence17]=0,0,SUM($FL$2:FL37))</f>
        <v>0</v>
      </c>
      <c r="FN37" s="160">
        <f>IF([Chambre2]*1='CHAMBRES FILLES 1e ETAGE'!$A$5,1,0)</f>
        <v>0</v>
      </c>
      <c r="FO37" s="160">
        <f>IF([Occurrence18]=0,0,SUM($FN$2:FN37))</f>
        <v>0</v>
      </c>
      <c r="FP37" s="160">
        <f>IF([Chambre2]*1='CHAMBRES FILLES 1e ETAGE'!$A$11,1,0)</f>
        <v>0</v>
      </c>
      <c r="FQ37" s="160">
        <f>IF([Occurrence19]=0,0,SUM($FP$2:FP37))</f>
        <v>0</v>
      </c>
      <c r="FR37" s="160">
        <f>IF([Chambre2]*1='CHAMBRES FILLES 1e ETAGE'!$A$17,1,0)</f>
        <v>0</v>
      </c>
      <c r="FS37" s="160">
        <f>IF([Occurrence20]=0,0,SUM($FR$2:FR37))</f>
        <v>0</v>
      </c>
      <c r="FT37" s="160">
        <f>IF([Chambre2]*1='CHAMBRES FILLES 1e ETAGE'!$A$23,1,0)</f>
        <v>0</v>
      </c>
      <c r="FU37" s="160">
        <f>IF([Occurrence21]=0,0,SUM($FT$2:FT37))</f>
        <v>0</v>
      </c>
      <c r="FV37" s="160">
        <f>IF([Chambre2]*1='CHAMBRES FILLES 1e ETAGE'!$A$29,1,0)</f>
        <v>0</v>
      </c>
      <c r="FW37" s="160">
        <f>IF([Occurrence22]=0,0,SUM($FV$2:FV37))</f>
        <v>0</v>
      </c>
      <c r="FX37" s="160">
        <f>IF([Chambre2]*1='CHAMBRES FILLES 1e ETAGE'!$A$35,1,0)</f>
        <v>0</v>
      </c>
      <c r="FY37" s="160">
        <f>IF([Occurrence23]=0,0,SUM($FX$2:FX37))</f>
        <v>0</v>
      </c>
      <c r="FZ37" s="160">
        <f>IF([Chambre2]*1='CHAMBRES FILLES 1e ETAGE'!$A$41,1,0)</f>
        <v>0</v>
      </c>
      <c r="GA37" s="160">
        <f>IF([Occurrence24]=0,0,SUM($FZ$2:FZ37))</f>
        <v>0</v>
      </c>
      <c r="GB37" s="160">
        <f>IF([Chambre2]*1='CHAMBRES FILLES 1e ETAGE'!$A$47,1,0)</f>
        <v>0</v>
      </c>
      <c r="GC37" s="160">
        <f>IF([Occurrence25]=0,0,SUM($GB$2:GB37))</f>
        <v>0</v>
      </c>
      <c r="GD37" s="160">
        <f>IF([Chambre2]*1='CHAMBRES FILLES 1e ETAGE'!$A$53,1,0)</f>
        <v>0</v>
      </c>
      <c r="GE37" s="160">
        <f>IF([Occurrence26]=0,0,SUM($GD$2:GD37))</f>
        <v>0</v>
      </c>
      <c r="GF37" s="160">
        <f>IF([chambre4]*1='CHAMBRES GARCONS 1e ETAGE'!$A$5,1,0)</f>
        <v>0</v>
      </c>
      <c r="GG37" s="160">
        <f>IF([Occurrence27]=0,0,SUM($GF$2:GF37))</f>
        <v>0</v>
      </c>
      <c r="GH37" s="160">
        <f>IF([chambre4]*1='CHAMBRES GARCONS 1e ETAGE'!$A$11,1,0)</f>
        <v>1</v>
      </c>
      <c r="GI37" s="160">
        <f>IF([Occurrence28]=0,0,SUM($GH$2:GH37))</f>
        <v>1</v>
      </c>
      <c r="GJ37" s="160">
        <f>IF([chambre4]*1='CHAMBRES GARCONS 1e ETAGE'!$A$17,1,0)</f>
        <v>0</v>
      </c>
      <c r="GK37" s="160">
        <f>IF([Occurrence29]=0,0,SUM($GJ$2:GJ37))</f>
        <v>0</v>
      </c>
      <c r="GL37" s="160">
        <f>IF([chambre4]*1='CHAMBRES GARCONS 1e ETAGE'!$A$23,1,0)</f>
        <v>0</v>
      </c>
      <c r="GM37" s="160">
        <f>IF([Occurrence30]=0,0,SUM($GL$2:GL37))</f>
        <v>0</v>
      </c>
      <c r="GN37" s="160">
        <f>IF([chambre4]*1='CHAMBRES GARCONS 1e ETAGE'!$A$29,1,0)</f>
        <v>0</v>
      </c>
      <c r="GO37" s="160">
        <f>IF([Occurrence31]=0,0,SUM($GN$2:GN37))</f>
        <v>0</v>
      </c>
      <c r="GP37" s="160">
        <f>IF([chambre4]*1='CHAMBRES GARCONS 1e ETAGE'!$A$35,1,0)</f>
        <v>0</v>
      </c>
      <c r="GQ37" s="160">
        <f>IF([Occurrence32]=0,0,SUM($GP$2:GP37))</f>
        <v>0</v>
      </c>
      <c r="GR37" s="160">
        <f>IF([chambre3]*1='CHAMBRES GARCONS RDC'!$A$5,1,0)</f>
        <v>0</v>
      </c>
      <c r="GS37" s="160">
        <f>IF([Occurrence33]=0,0,SUM($GR$2:GR37))</f>
        <v>0</v>
      </c>
      <c r="GT37" s="160">
        <f>IF([chambre3]*1='CHAMBRES GARCONS RDC'!$A$11,1,0)</f>
        <v>0</v>
      </c>
      <c r="GU37" s="160">
        <f>IF([Occurrence34]=0,0,SUM($GT$2:GT37))</f>
        <v>0</v>
      </c>
      <c r="GV37" s="160">
        <f>IF([chambre3]*1='CHAMBRES GARCONS RDC'!$A$17,1,0)</f>
        <v>0</v>
      </c>
      <c r="GW37" s="160">
        <f>IF([Occurrence35]=0,0,SUM($GV$2:GV37))</f>
        <v>0</v>
      </c>
      <c r="GX37" s="160">
        <f>IF([chambre3]*1='CHAMBRES GARCONS RDC'!$A$23,1,0)</f>
        <v>0</v>
      </c>
      <c r="GY37" s="160">
        <f>IF([Occurrence36]=0,0,SUM($GX$2:GX37))</f>
        <v>0</v>
      </c>
      <c r="GZ37" s="160">
        <f>IF([chambre3]*1='CHAMBRES GARCONS RDC'!$A$29,1,0)</f>
        <v>0</v>
      </c>
      <c r="HA37" s="160">
        <f>IF([Occurrence37]=0,0,SUM($GZ$2:GZ37))</f>
        <v>0</v>
      </c>
      <c r="HB37" s="160">
        <f>IF([chambre3]*1='CHAMBRES GARCONS RDC'!$A$35,1,0)</f>
        <v>0</v>
      </c>
      <c r="HC37" s="160">
        <f>IF([Occurrence38]=0,0,SUM($HB$2:HB37))</f>
        <v>0</v>
      </c>
      <c r="HD37" s="160">
        <f>IF([chambre3]*1='CHAMBRES GARCONS RDC'!$A$41,1,0)</f>
        <v>0</v>
      </c>
      <c r="HE37" s="160">
        <f>IF([Occurrence39]=0,0,SUM($HD$2:HD37))</f>
        <v>0</v>
      </c>
      <c r="HF37" s="160">
        <f>IF([chambre3]*1='CHAMBRES GARCONS RDC'!$A$47,1,0)</f>
        <v>0</v>
      </c>
      <c r="HG37" s="160">
        <f>IF([Occurrence40]=0,0,SUM($HF$2:HF37))</f>
        <v>0</v>
      </c>
      <c r="HH37" s="160">
        <f>IF([chambre3]*1='CHAMBRES GARCONS RDC'!$A$53,1,0)</f>
        <v>0</v>
      </c>
      <c r="HI37" s="160">
        <f>IF([Occurrence41]=0,0,SUM($HH$2:HH37))</f>
        <v>0</v>
      </c>
      <c r="HJ37" s="160">
        <f>IF([chambre3]*1='CHAMBRES GARCONS RDC'!$A$59,1,0)</f>
        <v>0</v>
      </c>
      <c r="HK37" s="160">
        <f>IF([Occurrence42]=0,0,SUM($HJ$2:HJ37))</f>
        <v>0</v>
      </c>
      <c r="HL37" s="160">
        <f>IF([chambre3]*1='CHAMBRES GARCONS RDC'!$A$65,1,0)</f>
        <v>0</v>
      </c>
      <c r="HM37" s="160">
        <f>IF([Occurrence43]=0,0,SUM($HL$2:HL37))</f>
        <v>0</v>
      </c>
      <c r="HN37" s="160">
        <f>IF([chambre3]*1='CHAMBRES GARCONS RDC'!$A$71,1,0)</f>
        <v>0</v>
      </c>
      <c r="HO37" s="160">
        <f>IF([Occurrence44]=0,0,SUM($HN$2:HN37))</f>
        <v>0</v>
      </c>
      <c r="HP37" s="160">
        <f>IF([chambre3]*1='CHAMBRES GARCONS RDC'!$A$77,1,0)</f>
        <v>0</v>
      </c>
      <c r="HQ37" s="160">
        <f>IF([Occurrence45]=0,0,SUM($HP$2:HP37))</f>
        <v>0</v>
      </c>
      <c r="HR37" s="160">
        <f>IF([chambre3]*1='CHAMBRES GARCONS RDC'!$A$83,1,0)</f>
        <v>0</v>
      </c>
      <c r="HS37" s="160">
        <f>IF([Occurrence46]=0,0,SUM($HR$2:HR37))</f>
        <v>0</v>
      </c>
      <c r="HT37" s="160">
        <f>IF([chambre3]*1='CHAMBRES GARCONS RDC'!$A$89,1,0)</f>
        <v>0</v>
      </c>
      <c r="HU37" s="160">
        <f>IF([Occurrence47]=0,0,SUM($HT$2:HT37))</f>
        <v>0</v>
      </c>
      <c r="HV37" s="160">
        <f>IF([chambre3]*1='CHAMBRES GARCONS RDC'!$A$95,1,0)</f>
        <v>0</v>
      </c>
      <c r="HW37" s="160">
        <f>IF([Occurrence48]=0,0,SUM($HV$2:HV37))</f>
        <v>0</v>
      </c>
      <c r="HX37" s="160"/>
      <c r="HY37" s="160"/>
      <c r="HZ37" s="160">
        <f>IF([Classe]='Liste élève par classes'!$B$5,1,0)</f>
        <v>0</v>
      </c>
      <c r="IA37" s="160">
        <f>IF([Occurrence]=0,0,SUM($HZ$2:HZ37))</f>
        <v>0</v>
      </c>
      <c r="IB3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147</v>
      </c>
      <c r="IC37" s="208"/>
    </row>
    <row r="38" spans="1:237">
      <c r="A38" t="s">
        <v>313</v>
      </c>
      <c r="B38" t="s">
        <v>314</v>
      </c>
      <c r="C38" s="158">
        <v>36950</v>
      </c>
      <c r="D38" s="62">
        <f t="shared" ca="1" si="0"/>
        <v>16</v>
      </c>
      <c r="E38" t="s">
        <v>7</v>
      </c>
      <c r="F38" s="159" t="s">
        <v>50</v>
      </c>
      <c r="G38" t="s">
        <v>40</v>
      </c>
      <c r="H38" s="160"/>
      <c r="I38" s="62"/>
      <c r="J38" s="161" t="s">
        <v>244</v>
      </c>
      <c r="K38" s="161"/>
      <c r="L38" s="160"/>
      <c r="M38">
        <v>94</v>
      </c>
      <c r="N38" s="161" t="s">
        <v>244</v>
      </c>
      <c r="O38" s="161" t="s">
        <v>244</v>
      </c>
      <c r="P38" s="161" t="s">
        <v>244</v>
      </c>
      <c r="Q38" s="161" t="s">
        <v>244</v>
      </c>
      <c r="R38" s="161" t="s">
        <v>244</v>
      </c>
      <c r="S38" s="190"/>
      <c r="T38" s="161" t="s">
        <v>244</v>
      </c>
      <c r="U38" s="160"/>
      <c r="V38" s="161" t="s">
        <v>244</v>
      </c>
      <c r="W38" s="161" t="s">
        <v>244</v>
      </c>
      <c r="X38" s="161" t="s">
        <v>244</v>
      </c>
      <c r="Y38" s="161" t="s">
        <v>244</v>
      </c>
      <c r="Z38" s="161" t="s">
        <v>244</v>
      </c>
      <c r="AA38" s="161" t="s">
        <v>244</v>
      </c>
      <c r="AB38" s="161" t="s">
        <v>244</v>
      </c>
      <c r="AC38" s="161" t="s">
        <v>244</v>
      </c>
      <c r="AD38" s="161" t="s">
        <v>244</v>
      </c>
      <c r="AE38" s="161" t="s">
        <v>244</v>
      </c>
      <c r="AF38" s="163" t="s">
        <v>244</v>
      </c>
      <c r="AG38" s="163" t="s">
        <v>244</v>
      </c>
      <c r="AH38" s="163" t="s">
        <v>244</v>
      </c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163"/>
      <c r="AU38" s="163"/>
      <c r="AV38" s="163"/>
      <c r="AW38" s="163"/>
      <c r="AX38" s="163"/>
      <c r="AY38" s="163"/>
      <c r="AZ38" s="163"/>
      <c r="BA38" s="163"/>
      <c r="BB38" s="163"/>
      <c r="BC38" s="163" t="b">
        <v>0</v>
      </c>
      <c r="BD38" s="163" t="b">
        <v>1</v>
      </c>
      <c r="BE38" s="163" t="b">
        <v>1</v>
      </c>
      <c r="BF38" s="163" t="b">
        <v>0</v>
      </c>
      <c r="BG38" s="164" t="b">
        <v>0</v>
      </c>
      <c r="BH38" s="163" t="b">
        <v>1</v>
      </c>
      <c r="BI38" s="163"/>
      <c r="BJ38" s="163"/>
      <c r="BK38" s="163"/>
      <c r="BL38" s="163"/>
      <c r="BM38" s="163"/>
      <c r="BN38" s="163"/>
      <c r="BO38" s="163"/>
      <c r="BP38" s="163"/>
      <c r="BQ38" s="163" t="b">
        <v>0</v>
      </c>
      <c r="BR38" s="163"/>
      <c r="BS38" s="163"/>
      <c r="BT38" s="163"/>
      <c r="BU38" s="163"/>
      <c r="BV38" s="163"/>
      <c r="BW38" s="163"/>
      <c r="BX38" s="163"/>
      <c r="BY38" s="163"/>
      <c r="BZ38" s="163"/>
      <c r="CA38" s="163"/>
      <c r="CB38" s="163"/>
      <c r="CC38" s="163"/>
      <c r="CD38" s="163"/>
      <c r="CE38" s="163"/>
      <c r="CF38" s="163"/>
      <c r="CG38" s="163"/>
      <c r="CH38" s="163"/>
      <c r="CI38" s="163"/>
      <c r="CJ38" s="163"/>
      <c r="CK38" s="163"/>
      <c r="CL38" s="163"/>
      <c r="CM38" s="163"/>
      <c r="CN38" s="163"/>
      <c r="CO38" s="163"/>
      <c r="CP38" s="163"/>
      <c r="CQ38" s="163"/>
      <c r="CR38" s="163"/>
      <c r="CS38" s="163"/>
      <c r="CT38" s="163"/>
      <c r="CU38" s="163"/>
      <c r="CV38" s="163"/>
      <c r="CW38" s="163"/>
      <c r="CX38" s="163"/>
      <c r="CY38" s="163"/>
      <c r="CZ38" s="163"/>
      <c r="DA38" s="163"/>
      <c r="DB38" s="163"/>
      <c r="DC38" s="163"/>
      <c r="DD38" s="163"/>
      <c r="DE38" s="163"/>
      <c r="DF38" s="163"/>
      <c r="DG38" s="208">
        <v>147</v>
      </c>
      <c r="DH38" s="163"/>
      <c r="DI38" s="163"/>
      <c r="DJ38" s="163"/>
      <c r="DK38" s="163"/>
      <c r="DL38" s="163"/>
      <c r="DM38" s="163"/>
      <c r="DN38" s="163"/>
      <c r="DO38" s="163"/>
      <c r="DP38" s="163"/>
      <c r="DQ38" s="163"/>
      <c r="DR38" s="163"/>
      <c r="DS38" s="163"/>
      <c r="DT38" s="163"/>
      <c r="DU38" s="163"/>
      <c r="DV38" s="163"/>
      <c r="DW38" s="163"/>
      <c r="DX38" s="163"/>
      <c r="DY38" s="163"/>
      <c r="DZ38" s="163"/>
      <c r="EA38" s="163"/>
      <c r="EB38" s="163"/>
      <c r="EC38" s="163"/>
      <c r="ED38" s="163"/>
      <c r="EE38" s="163"/>
      <c r="EF38" s="163"/>
      <c r="EG38" s="163"/>
      <c r="EH38" s="160">
        <f>IF([Chambre]*1='CHAMBRES FILLES 2e ETAGE'!$A$5,1,0)</f>
        <v>0</v>
      </c>
      <c r="EI38" s="161">
        <f>IF([Occurrence2]=0,0,SUM($EH$2:EH38))</f>
        <v>0</v>
      </c>
      <c r="EJ38" s="160">
        <f>IF([Chambre]*1='CHAMBRES FILLES 2e ETAGE'!$A$11,1,0)</f>
        <v>0</v>
      </c>
      <c r="EK38" s="160">
        <f>IF([Occurrence3]=0,0,SUM($EJ$2:EJ38))</f>
        <v>0</v>
      </c>
      <c r="EL38" s="160">
        <f>IF([Chambre]*1='CHAMBRES FILLES 2e ETAGE'!$A$17,1,0)</f>
        <v>0</v>
      </c>
      <c r="EM38" s="160">
        <f>IF([Occurrence4]=0,0,SUM($EL$2:EL38))</f>
        <v>0</v>
      </c>
      <c r="EN38" s="160">
        <f>IF([Chambre]*1='CHAMBRES FILLES 2e ETAGE'!$A$23,1,0)</f>
        <v>0</v>
      </c>
      <c r="EO38" s="160">
        <f>IF([Occurrence5]=0,0,SUM($EN$2:EN38))</f>
        <v>0</v>
      </c>
      <c r="EP38" s="160">
        <f>IF([Chambre]*1='CHAMBRES FILLES 2e ETAGE'!$A$29,1,0)</f>
        <v>0</v>
      </c>
      <c r="EQ38" s="160">
        <f>IF([Occurrence6]=0,0,SUM($EP$2:EP38))</f>
        <v>0</v>
      </c>
      <c r="ER38" s="160">
        <f>IF([Chambre]*1='CHAMBRES FILLES 2e ETAGE'!$A$35,1,0)</f>
        <v>0</v>
      </c>
      <c r="ES38" s="160">
        <f>IF([Occurrence7]=0,0,SUM($ER$2:ER38))</f>
        <v>0</v>
      </c>
      <c r="ET38" s="160">
        <f>IF([Chambre]*1='CHAMBRES FILLES 2e ETAGE'!$A$41,1,0)</f>
        <v>0</v>
      </c>
      <c r="EU38" s="160">
        <f>IF([Occurrence8]=0,0,SUM($ET$2:ET38))</f>
        <v>0</v>
      </c>
      <c r="EV38" s="160">
        <f>IF([Chambre]*1='CHAMBRES FILLES 2e ETAGE'!$A$47,1,0)</f>
        <v>0</v>
      </c>
      <c r="EW38" s="160">
        <f>IF([Occurrence9]=0,0,SUM($EV$2:EV38))</f>
        <v>0</v>
      </c>
      <c r="EX38" s="160">
        <f>IF([Chambre]*1='CHAMBRES FILLES 2e ETAGE'!$A$53,1,0)</f>
        <v>0</v>
      </c>
      <c r="EY38" s="160">
        <f>IF([Occurrence10]=0,0,SUM($EX$2:EX38))</f>
        <v>0</v>
      </c>
      <c r="EZ38" s="160">
        <f>IF([Chambre]*1='CHAMBRES FILLES 2e ETAGE'!$A$59,1,0)</f>
        <v>0</v>
      </c>
      <c r="FA38" s="160">
        <f>IF([Occurrence11]=0,0,SUM($EZ$2:EZ38))</f>
        <v>0</v>
      </c>
      <c r="FB38" s="160">
        <f>IF([Chambre]*1='CHAMBRES FILLES 2e ETAGE'!$A$65,1,0)</f>
        <v>0</v>
      </c>
      <c r="FC38" s="160">
        <f>IF([Occurrence12]=0,0,SUM($FB$2:FB38))</f>
        <v>0</v>
      </c>
      <c r="FD38" s="160">
        <f>IF([Chambre]*1='CHAMBRES FILLES 2e ETAGE'!$A$71,1,0)</f>
        <v>0</v>
      </c>
      <c r="FE38" s="160">
        <f>IF([Occurrence13]=0,0,SUM($FD$2:FD38))</f>
        <v>0</v>
      </c>
      <c r="FF38" s="160">
        <f>IF([Chambre]*1='CHAMBRES FILLES 2e ETAGE'!$A$77,1,0)</f>
        <v>0</v>
      </c>
      <c r="FG38" s="160">
        <f>IF([Occurrence14]=0,0,SUM($FF$2:FF38))</f>
        <v>0</v>
      </c>
      <c r="FH38" s="160">
        <f>IF([Chambre]*1='CHAMBRES FILLES 2e ETAGE'!$A$83,1,0)</f>
        <v>0</v>
      </c>
      <c r="FI38" s="160">
        <f>IF([Occurrence15]=0,0,SUM($FH$2:FH38))</f>
        <v>0</v>
      </c>
      <c r="FJ38" s="160">
        <f>IF([Chambre]*1='CHAMBRES FILLES 2e ETAGE'!$A$89,1,0)</f>
        <v>0</v>
      </c>
      <c r="FK38" s="160">
        <f>IF([Occurrence16]=0,0,SUM($FJ$2:FJ38))</f>
        <v>0</v>
      </c>
      <c r="FL38" s="160">
        <f>IF([Chambre]*1='CHAMBRES FILLES 2e ETAGE'!$A$95,1,0)</f>
        <v>0</v>
      </c>
      <c r="FM38" s="160">
        <f>IF([Occurrence17]=0,0,SUM($FL$2:FL38))</f>
        <v>0</v>
      </c>
      <c r="FN38" s="160">
        <f>IF([Chambre2]*1='CHAMBRES FILLES 1e ETAGE'!$A$5,1,0)</f>
        <v>0</v>
      </c>
      <c r="FO38" s="160">
        <f>IF([Occurrence18]=0,0,SUM($FN$2:FN38))</f>
        <v>0</v>
      </c>
      <c r="FP38" s="160">
        <f>IF([Chambre2]*1='CHAMBRES FILLES 1e ETAGE'!$A$11,1,0)</f>
        <v>0</v>
      </c>
      <c r="FQ38" s="160">
        <f>IF([Occurrence19]=0,0,SUM($FP$2:FP38))</f>
        <v>0</v>
      </c>
      <c r="FR38" s="160">
        <f>IF([Chambre2]*1='CHAMBRES FILLES 1e ETAGE'!$A$17,1,0)</f>
        <v>0</v>
      </c>
      <c r="FS38" s="160">
        <f>IF([Occurrence20]=0,0,SUM($FR$2:FR38))</f>
        <v>0</v>
      </c>
      <c r="FT38" s="160">
        <f>IF([Chambre2]*1='CHAMBRES FILLES 1e ETAGE'!$A$23,1,0)</f>
        <v>0</v>
      </c>
      <c r="FU38" s="160">
        <f>IF([Occurrence21]=0,0,SUM($FT$2:FT38))</f>
        <v>0</v>
      </c>
      <c r="FV38" s="160">
        <f>IF([Chambre2]*1='CHAMBRES FILLES 1e ETAGE'!$A$29,1,0)</f>
        <v>0</v>
      </c>
      <c r="FW38" s="160">
        <f>IF([Occurrence22]=0,0,SUM($FV$2:FV38))</f>
        <v>0</v>
      </c>
      <c r="FX38" s="160">
        <f>IF([Chambre2]*1='CHAMBRES FILLES 1e ETAGE'!$A$35,1,0)</f>
        <v>0</v>
      </c>
      <c r="FY38" s="160">
        <f>IF([Occurrence23]=0,0,SUM($FX$2:FX38))</f>
        <v>0</v>
      </c>
      <c r="FZ38" s="160">
        <f>IF([Chambre2]*1='CHAMBRES FILLES 1e ETAGE'!$A$41,1,0)</f>
        <v>0</v>
      </c>
      <c r="GA38" s="160">
        <f>IF([Occurrence24]=0,0,SUM($FZ$2:FZ38))</f>
        <v>0</v>
      </c>
      <c r="GB38" s="160">
        <f>IF([Chambre2]*1='CHAMBRES FILLES 1e ETAGE'!$A$47,1,0)</f>
        <v>0</v>
      </c>
      <c r="GC38" s="160">
        <f>IF([Occurrence25]=0,0,SUM($GB$2:GB38))</f>
        <v>0</v>
      </c>
      <c r="GD38" s="160">
        <f>IF([Chambre2]*1='CHAMBRES FILLES 1e ETAGE'!$A$53,1,0)</f>
        <v>0</v>
      </c>
      <c r="GE38" s="160">
        <f>IF([Occurrence26]=0,0,SUM($GD$2:GD38))</f>
        <v>0</v>
      </c>
      <c r="GF38" s="160">
        <f>IF([chambre4]*1='CHAMBRES GARCONS 1e ETAGE'!$A$5,1,0)</f>
        <v>0</v>
      </c>
      <c r="GG38" s="160">
        <f>IF([Occurrence27]=0,0,SUM($GF$2:GF38))</f>
        <v>0</v>
      </c>
      <c r="GH38" s="160">
        <f>IF([chambre4]*1='CHAMBRES GARCONS 1e ETAGE'!$A$11,1,0)</f>
        <v>1</v>
      </c>
      <c r="GI38" s="160">
        <f>IF([Occurrence28]=0,0,SUM($GH$2:GH38))</f>
        <v>2</v>
      </c>
      <c r="GJ38" s="160">
        <f>IF([chambre4]*1='CHAMBRES GARCONS 1e ETAGE'!$A$17,1,0)</f>
        <v>0</v>
      </c>
      <c r="GK38" s="160">
        <f>IF([Occurrence29]=0,0,SUM($GJ$2:GJ38))</f>
        <v>0</v>
      </c>
      <c r="GL38" s="160">
        <f>IF([chambre4]*1='CHAMBRES GARCONS 1e ETAGE'!$A$23,1,0)</f>
        <v>0</v>
      </c>
      <c r="GM38" s="160">
        <f>IF([Occurrence30]=0,0,SUM($GL$2:GL38))</f>
        <v>0</v>
      </c>
      <c r="GN38" s="160">
        <f>IF([chambre4]*1='CHAMBRES GARCONS 1e ETAGE'!$A$29,1,0)</f>
        <v>0</v>
      </c>
      <c r="GO38" s="160">
        <f>IF([Occurrence31]=0,0,SUM($GN$2:GN38))</f>
        <v>0</v>
      </c>
      <c r="GP38" s="160">
        <f>IF([chambre4]*1='CHAMBRES GARCONS 1e ETAGE'!$A$35,1,0)</f>
        <v>0</v>
      </c>
      <c r="GQ38" s="160">
        <f>IF([Occurrence32]=0,0,SUM($GP$2:GP38))</f>
        <v>0</v>
      </c>
      <c r="GR38" s="160">
        <f>IF([chambre3]*1='CHAMBRES GARCONS RDC'!$A$5,1,0)</f>
        <v>0</v>
      </c>
      <c r="GS38" s="160">
        <f>IF([Occurrence33]=0,0,SUM($GR$2:GR38))</f>
        <v>0</v>
      </c>
      <c r="GT38" s="160">
        <f>IF([chambre3]*1='CHAMBRES GARCONS RDC'!$A$11,1,0)</f>
        <v>0</v>
      </c>
      <c r="GU38" s="160">
        <f>IF([Occurrence34]=0,0,SUM($GT$2:GT38))</f>
        <v>0</v>
      </c>
      <c r="GV38" s="160">
        <f>IF([chambre3]*1='CHAMBRES GARCONS RDC'!$A$17,1,0)</f>
        <v>0</v>
      </c>
      <c r="GW38" s="160">
        <f>IF([Occurrence35]=0,0,SUM($GV$2:GV38))</f>
        <v>0</v>
      </c>
      <c r="GX38" s="160">
        <f>IF([chambre3]*1='CHAMBRES GARCONS RDC'!$A$23,1,0)</f>
        <v>0</v>
      </c>
      <c r="GY38" s="160">
        <f>IF([Occurrence36]=0,0,SUM($GX$2:GX38))</f>
        <v>0</v>
      </c>
      <c r="GZ38" s="160">
        <f>IF([chambre3]*1='CHAMBRES GARCONS RDC'!$A$29,1,0)</f>
        <v>0</v>
      </c>
      <c r="HA38" s="160">
        <f>IF([Occurrence37]=0,0,SUM($GZ$2:GZ38))</f>
        <v>0</v>
      </c>
      <c r="HB38" s="160">
        <f>IF([chambre3]*1='CHAMBRES GARCONS RDC'!$A$35,1,0)</f>
        <v>0</v>
      </c>
      <c r="HC38" s="160">
        <f>IF([Occurrence38]=0,0,SUM($HB$2:HB38))</f>
        <v>0</v>
      </c>
      <c r="HD38" s="160">
        <f>IF([chambre3]*1='CHAMBRES GARCONS RDC'!$A$41,1,0)</f>
        <v>0</v>
      </c>
      <c r="HE38" s="160">
        <f>IF([Occurrence39]=0,0,SUM($HD$2:HD38))</f>
        <v>0</v>
      </c>
      <c r="HF38" s="160">
        <f>IF([chambre3]*1='CHAMBRES GARCONS RDC'!$A$47,1,0)</f>
        <v>0</v>
      </c>
      <c r="HG38" s="160">
        <f>IF([Occurrence40]=0,0,SUM($HF$2:HF38))</f>
        <v>0</v>
      </c>
      <c r="HH38" s="160">
        <f>IF([chambre3]*1='CHAMBRES GARCONS RDC'!$A$53,1,0)</f>
        <v>0</v>
      </c>
      <c r="HI38" s="160">
        <f>IF([Occurrence41]=0,0,SUM($HH$2:HH38))</f>
        <v>0</v>
      </c>
      <c r="HJ38" s="160">
        <f>IF([chambre3]*1='CHAMBRES GARCONS RDC'!$A$59,1,0)</f>
        <v>0</v>
      </c>
      <c r="HK38" s="160">
        <f>IF([Occurrence42]=0,0,SUM($HJ$2:HJ38))</f>
        <v>0</v>
      </c>
      <c r="HL38" s="160">
        <f>IF([chambre3]*1='CHAMBRES GARCONS RDC'!$A$65,1,0)</f>
        <v>0</v>
      </c>
      <c r="HM38" s="160">
        <f>IF([Occurrence43]=0,0,SUM($HL$2:HL38))</f>
        <v>0</v>
      </c>
      <c r="HN38" s="160">
        <f>IF([chambre3]*1='CHAMBRES GARCONS RDC'!$A$71,1,0)</f>
        <v>0</v>
      </c>
      <c r="HO38" s="160">
        <f>IF([Occurrence44]=0,0,SUM($HN$2:HN38))</f>
        <v>0</v>
      </c>
      <c r="HP38" s="160">
        <f>IF([chambre3]*1='CHAMBRES GARCONS RDC'!$A$77,1,0)</f>
        <v>0</v>
      </c>
      <c r="HQ38" s="160">
        <f>IF([Occurrence45]=0,0,SUM($HP$2:HP38))</f>
        <v>0</v>
      </c>
      <c r="HR38" s="160">
        <f>IF([chambre3]*1='CHAMBRES GARCONS RDC'!$A$83,1,0)</f>
        <v>0</v>
      </c>
      <c r="HS38" s="160">
        <f>IF([Occurrence46]=0,0,SUM($HR$2:HR38))</f>
        <v>0</v>
      </c>
      <c r="HT38" s="160">
        <f>IF([chambre3]*1='CHAMBRES GARCONS RDC'!$A$89,1,0)</f>
        <v>0</v>
      </c>
      <c r="HU38" s="160">
        <f>IF([Occurrence47]=0,0,SUM($HT$2:HT38))</f>
        <v>0</v>
      </c>
      <c r="HV38" s="160">
        <f>IF([chambre3]*1='CHAMBRES GARCONS RDC'!$A$95,1,0)</f>
        <v>0</v>
      </c>
      <c r="HW38" s="160">
        <f>IF([Occurrence48]=0,0,SUM($HV$2:HV38))</f>
        <v>0</v>
      </c>
      <c r="HX38" s="160"/>
      <c r="HY38" s="160"/>
      <c r="HZ38" s="160">
        <f>IF([Classe]='Liste élève par classes'!$B$5,1,0)</f>
        <v>0</v>
      </c>
      <c r="IA38" s="160">
        <f>IF([Occurrence]=0,0,SUM($HZ$2:HZ38))</f>
        <v>0</v>
      </c>
      <c r="IB3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147</v>
      </c>
      <c r="IC38" s="208"/>
    </row>
    <row r="39" spans="1:237">
      <c r="A39" t="s">
        <v>315</v>
      </c>
      <c r="B39" t="s">
        <v>316</v>
      </c>
      <c r="C39" s="158">
        <v>36320</v>
      </c>
      <c r="D39" s="62">
        <f t="shared" ca="1" si="0"/>
        <v>18</v>
      </c>
      <c r="E39" t="s">
        <v>13</v>
      </c>
      <c r="F39" s="159" t="s">
        <v>50</v>
      </c>
      <c r="G39" t="s">
        <v>45</v>
      </c>
      <c r="H39" s="160"/>
      <c r="I39" s="161"/>
      <c r="J39" s="161"/>
      <c r="K39" s="161"/>
      <c r="L39" s="160">
        <v>177</v>
      </c>
      <c r="M39">
        <v>117</v>
      </c>
      <c r="N39" s="161"/>
      <c r="O39" s="161"/>
      <c r="P39" s="161"/>
      <c r="Q39" s="161"/>
      <c r="R39" s="161"/>
      <c r="S39" s="190"/>
      <c r="T39" s="161"/>
      <c r="U39" s="160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3"/>
      <c r="AG39" s="163"/>
      <c r="AH39" s="163"/>
      <c r="AI39" s="163"/>
      <c r="AJ39" s="163"/>
      <c r="AK39" s="163"/>
      <c r="AL39" s="163"/>
      <c r="AM39" s="163"/>
      <c r="AN39" s="163"/>
      <c r="AO39" s="163"/>
      <c r="AP39" s="163"/>
      <c r="AQ39" s="163"/>
      <c r="AR39" s="163"/>
      <c r="AS39" s="163"/>
      <c r="AT39" s="163"/>
      <c r="AU39" s="163"/>
      <c r="AV39" s="163"/>
      <c r="AW39" s="163"/>
      <c r="AX39" s="163"/>
      <c r="AY39" s="163"/>
      <c r="AZ39" s="163"/>
      <c r="BA39" s="163"/>
      <c r="BB39" s="163"/>
      <c r="BC39" s="163" t="b">
        <v>0</v>
      </c>
      <c r="BD39" s="163" t="b">
        <v>1</v>
      </c>
      <c r="BE39" s="163" t="b">
        <v>1</v>
      </c>
      <c r="BF39" s="163" t="b">
        <v>0</v>
      </c>
      <c r="BG39" s="164" t="b">
        <v>0</v>
      </c>
      <c r="BH39" s="163" t="b">
        <v>1</v>
      </c>
      <c r="BI39" s="163"/>
      <c r="BJ39" s="163"/>
      <c r="BK39" s="163"/>
      <c r="BL39" s="163"/>
      <c r="BM39" s="163"/>
      <c r="BN39" s="163"/>
      <c r="BO39" s="163"/>
      <c r="BP39" s="163"/>
      <c r="BQ39" s="163" t="b">
        <v>0</v>
      </c>
      <c r="BR39" s="163"/>
      <c r="BS39" s="163"/>
      <c r="BT39" s="163"/>
      <c r="BU39" s="163"/>
      <c r="BV39" s="163"/>
      <c r="BW39" s="163"/>
      <c r="BX39" s="163"/>
      <c r="BY39" s="163"/>
      <c r="BZ39" s="163"/>
      <c r="CA39" s="163"/>
      <c r="CB39" s="163"/>
      <c r="CC39" s="163"/>
      <c r="CD39" s="163"/>
      <c r="CE39" s="163"/>
      <c r="CF39" s="163"/>
      <c r="CG39" s="163"/>
      <c r="CH39" s="163"/>
      <c r="CI39" s="163"/>
      <c r="CJ39" s="163"/>
      <c r="CK39" s="163"/>
      <c r="CL39" s="163"/>
      <c r="CM39" s="163"/>
      <c r="CN39" s="163"/>
      <c r="CO39" s="163"/>
      <c r="CP39" s="163"/>
      <c r="CQ39" s="163"/>
      <c r="CR39" s="163"/>
      <c r="CS39" s="163"/>
      <c r="CT39" s="163"/>
      <c r="CU39" s="163"/>
      <c r="CV39" s="163"/>
      <c r="CW39" s="163"/>
      <c r="CX39" s="163"/>
      <c r="CY39" s="163"/>
      <c r="CZ39" s="163"/>
      <c r="DA39" s="163"/>
      <c r="DB39" s="163"/>
      <c r="DC39" s="163"/>
      <c r="DD39" s="163"/>
      <c r="DE39" s="163"/>
      <c r="DF39" s="163"/>
      <c r="DG39" s="208"/>
      <c r="DH39" s="163"/>
      <c r="DI39" s="163"/>
      <c r="DJ39" s="163"/>
      <c r="DK39" s="163"/>
      <c r="DL39" s="163"/>
      <c r="DM39" s="163"/>
      <c r="DN39" s="163"/>
      <c r="DO39" s="163"/>
      <c r="DP39" s="163"/>
      <c r="DQ39" s="163"/>
      <c r="DR39" s="163"/>
      <c r="DS39" s="163"/>
      <c r="DT39" s="163"/>
      <c r="DU39" s="163"/>
      <c r="DV39" s="163"/>
      <c r="DW39" s="163"/>
      <c r="DX39" s="163"/>
      <c r="DY39" s="163"/>
      <c r="DZ39" s="163"/>
      <c r="EA39" s="163"/>
      <c r="EB39" s="163"/>
      <c r="EC39" s="163"/>
      <c r="ED39" s="163"/>
      <c r="EE39" s="163"/>
      <c r="EF39" s="163"/>
      <c r="EG39" s="163"/>
      <c r="EH39" s="160">
        <f>IF([Chambre]*1='CHAMBRES FILLES 2e ETAGE'!$A$5,1,0)</f>
        <v>0</v>
      </c>
      <c r="EI39" s="161">
        <f>IF([Occurrence2]=0,0,SUM($EH$2:EH39))</f>
        <v>0</v>
      </c>
      <c r="EJ39" s="160">
        <f>IF([Chambre]*1='CHAMBRES FILLES 2e ETAGE'!$A$11,1,0)</f>
        <v>0</v>
      </c>
      <c r="EK39" s="160">
        <f>IF([Occurrence3]=0,0,SUM($EJ$2:EJ39))</f>
        <v>0</v>
      </c>
      <c r="EL39" s="160">
        <f>IF([Chambre]*1='CHAMBRES FILLES 2e ETAGE'!$A$17,1,0)</f>
        <v>0</v>
      </c>
      <c r="EM39" s="160">
        <f>IF([Occurrence4]=0,0,SUM($EL$2:EL39))</f>
        <v>0</v>
      </c>
      <c r="EN39" s="160">
        <f>IF([Chambre]*1='CHAMBRES FILLES 2e ETAGE'!$A$23,1,0)</f>
        <v>0</v>
      </c>
      <c r="EO39" s="160">
        <f>IF([Occurrence5]=0,0,SUM($EN$2:EN39))</f>
        <v>0</v>
      </c>
      <c r="EP39" s="160">
        <f>IF([Chambre]*1='CHAMBRES FILLES 2e ETAGE'!$A$29,1,0)</f>
        <v>0</v>
      </c>
      <c r="EQ39" s="160">
        <f>IF([Occurrence6]=0,0,SUM($EP$2:EP39))</f>
        <v>0</v>
      </c>
      <c r="ER39" s="160">
        <f>IF([Chambre]*1='CHAMBRES FILLES 2e ETAGE'!$A$35,1,0)</f>
        <v>0</v>
      </c>
      <c r="ES39" s="160">
        <f>IF([Occurrence7]=0,0,SUM($ER$2:ER39))</f>
        <v>0</v>
      </c>
      <c r="ET39" s="160">
        <f>IF([Chambre]*1='CHAMBRES FILLES 2e ETAGE'!$A$41,1,0)</f>
        <v>0</v>
      </c>
      <c r="EU39" s="160">
        <f>IF([Occurrence8]=0,0,SUM($ET$2:ET39))</f>
        <v>0</v>
      </c>
      <c r="EV39" s="160">
        <f>IF([Chambre]*1='CHAMBRES FILLES 2e ETAGE'!$A$47,1,0)</f>
        <v>0</v>
      </c>
      <c r="EW39" s="160">
        <f>IF([Occurrence9]=0,0,SUM($EV$2:EV39))</f>
        <v>0</v>
      </c>
      <c r="EX39" s="160">
        <f>IF([Chambre]*1='CHAMBRES FILLES 2e ETAGE'!$A$53,1,0)</f>
        <v>0</v>
      </c>
      <c r="EY39" s="160">
        <f>IF([Occurrence10]=0,0,SUM($EX$2:EX39))</f>
        <v>0</v>
      </c>
      <c r="EZ39" s="160">
        <f>IF([Chambre]*1='CHAMBRES FILLES 2e ETAGE'!$A$59,1,0)</f>
        <v>0</v>
      </c>
      <c r="FA39" s="160">
        <f>IF([Occurrence11]=0,0,SUM($EZ$2:EZ39))</f>
        <v>0</v>
      </c>
      <c r="FB39" s="160">
        <f>IF([Chambre]*1='CHAMBRES FILLES 2e ETAGE'!$A$65,1,0)</f>
        <v>0</v>
      </c>
      <c r="FC39" s="160">
        <f>IF([Occurrence12]=0,0,SUM($FB$2:FB39))</f>
        <v>0</v>
      </c>
      <c r="FD39" s="160">
        <f>IF([Chambre]*1='CHAMBRES FILLES 2e ETAGE'!$A$71,1,0)</f>
        <v>0</v>
      </c>
      <c r="FE39" s="160">
        <f>IF([Occurrence13]=0,0,SUM($FD$2:FD39))</f>
        <v>0</v>
      </c>
      <c r="FF39" s="160">
        <f>IF([Chambre]*1='CHAMBRES FILLES 2e ETAGE'!$A$77,1,0)</f>
        <v>0</v>
      </c>
      <c r="FG39" s="160">
        <f>IF([Occurrence14]=0,0,SUM($FF$2:FF39))</f>
        <v>0</v>
      </c>
      <c r="FH39" s="160">
        <f>IF([Chambre]*1='CHAMBRES FILLES 2e ETAGE'!$A$83,1,0)</f>
        <v>1</v>
      </c>
      <c r="FI39" s="160">
        <f>IF([Occurrence15]=0,0,SUM($FH$2:FH39))</f>
        <v>1</v>
      </c>
      <c r="FJ39" s="160">
        <f>IF([Chambre]*1='CHAMBRES FILLES 2e ETAGE'!$A$89,1,0)</f>
        <v>0</v>
      </c>
      <c r="FK39" s="160">
        <f>IF([Occurrence16]=0,0,SUM($FJ$2:FJ39))</f>
        <v>0</v>
      </c>
      <c r="FL39" s="160">
        <f>IF([Chambre]*1='CHAMBRES FILLES 2e ETAGE'!$A$95,1,0)</f>
        <v>0</v>
      </c>
      <c r="FM39" s="160">
        <f>IF([Occurrence17]=0,0,SUM($FL$2:FL39))</f>
        <v>0</v>
      </c>
      <c r="FN39" s="160">
        <f>IF([Chambre2]*1='CHAMBRES FILLES 1e ETAGE'!$A$5,1,0)</f>
        <v>0</v>
      </c>
      <c r="FO39" s="160">
        <f>IF([Occurrence18]=0,0,SUM($FN$2:FN39))</f>
        <v>0</v>
      </c>
      <c r="FP39" s="160">
        <f>IF([Chambre2]*1='CHAMBRES FILLES 1e ETAGE'!$A$11,1,0)</f>
        <v>0</v>
      </c>
      <c r="FQ39" s="160">
        <f>IF([Occurrence19]=0,0,SUM($FP$2:FP39))</f>
        <v>0</v>
      </c>
      <c r="FR39" s="160">
        <f>IF([Chambre2]*1='CHAMBRES FILLES 1e ETAGE'!$A$17,1,0)</f>
        <v>0</v>
      </c>
      <c r="FS39" s="160">
        <f>IF([Occurrence20]=0,0,SUM($FR$2:FR39))</f>
        <v>0</v>
      </c>
      <c r="FT39" s="160">
        <f>IF([Chambre2]*1='CHAMBRES FILLES 1e ETAGE'!$A$23,1,0)</f>
        <v>0</v>
      </c>
      <c r="FU39" s="160">
        <f>IF([Occurrence21]=0,0,SUM($FT$2:FT39))</f>
        <v>0</v>
      </c>
      <c r="FV39" s="160">
        <f>IF([Chambre2]*1='CHAMBRES FILLES 1e ETAGE'!$A$29,1,0)</f>
        <v>0</v>
      </c>
      <c r="FW39" s="160">
        <f>IF([Occurrence22]=0,0,SUM($FV$2:FV39))</f>
        <v>0</v>
      </c>
      <c r="FX39" s="160">
        <f>IF([Chambre2]*1='CHAMBRES FILLES 1e ETAGE'!$A$35,1,0)</f>
        <v>0</v>
      </c>
      <c r="FY39" s="160">
        <f>IF([Occurrence23]=0,0,SUM($FX$2:FX39))</f>
        <v>0</v>
      </c>
      <c r="FZ39" s="160">
        <f>IF([Chambre2]*1='CHAMBRES FILLES 1e ETAGE'!$A$41,1,0)</f>
        <v>0</v>
      </c>
      <c r="GA39" s="160">
        <f>IF([Occurrence24]=0,0,SUM($FZ$2:FZ39))</f>
        <v>0</v>
      </c>
      <c r="GB39" s="160">
        <f>IF([Chambre2]*1='CHAMBRES FILLES 1e ETAGE'!$A$47,1,0)</f>
        <v>0</v>
      </c>
      <c r="GC39" s="160">
        <f>IF([Occurrence25]=0,0,SUM($GB$2:GB39))</f>
        <v>0</v>
      </c>
      <c r="GD39" s="160">
        <f>IF([Chambre2]*1='CHAMBRES FILLES 1e ETAGE'!$A$53,1,0)</f>
        <v>0</v>
      </c>
      <c r="GE39" s="160">
        <f>IF([Occurrence26]=0,0,SUM($GD$2:GD39))</f>
        <v>0</v>
      </c>
      <c r="GF39" s="160">
        <f>IF([chambre4]*1='CHAMBRES GARCONS 1e ETAGE'!$A$5,1,0)</f>
        <v>0</v>
      </c>
      <c r="GG39" s="160">
        <f>IF([Occurrence27]=0,0,SUM($GF$2:GF39))</f>
        <v>0</v>
      </c>
      <c r="GH39" s="160">
        <f>IF([chambre4]*1='CHAMBRES GARCONS 1e ETAGE'!$A$11,1,0)</f>
        <v>0</v>
      </c>
      <c r="GI39" s="160">
        <f>IF([Occurrence28]=0,0,SUM($GH$2:GH39))</f>
        <v>0</v>
      </c>
      <c r="GJ39" s="160">
        <f>IF([chambre4]*1='CHAMBRES GARCONS 1e ETAGE'!$A$17,1,0)</f>
        <v>0</v>
      </c>
      <c r="GK39" s="160">
        <f>IF([Occurrence29]=0,0,SUM($GJ$2:GJ39))</f>
        <v>0</v>
      </c>
      <c r="GL39" s="160">
        <f>IF([chambre4]*1='CHAMBRES GARCONS 1e ETAGE'!$A$23,1,0)</f>
        <v>0</v>
      </c>
      <c r="GM39" s="160">
        <f>IF([Occurrence30]=0,0,SUM($GL$2:GL39))</f>
        <v>0</v>
      </c>
      <c r="GN39" s="160">
        <f>IF([chambre4]*1='CHAMBRES GARCONS 1e ETAGE'!$A$29,1,0)</f>
        <v>0</v>
      </c>
      <c r="GO39" s="160">
        <f>IF([Occurrence31]=0,0,SUM($GN$2:GN39))</f>
        <v>0</v>
      </c>
      <c r="GP39" s="160">
        <f>IF([chambre4]*1='CHAMBRES GARCONS 1e ETAGE'!$A$35,1,0)</f>
        <v>0</v>
      </c>
      <c r="GQ39" s="160">
        <f>IF([Occurrence32]=0,0,SUM($GP$2:GP39))</f>
        <v>0</v>
      </c>
      <c r="GR39" s="160">
        <f>IF([chambre3]*1='CHAMBRES GARCONS RDC'!$A$5,1,0)</f>
        <v>0</v>
      </c>
      <c r="GS39" s="160">
        <f>IF([Occurrence33]=0,0,SUM($GR$2:GR39))</f>
        <v>0</v>
      </c>
      <c r="GT39" s="160">
        <f>IF([chambre3]*1='CHAMBRES GARCONS RDC'!$A$11,1,0)</f>
        <v>0</v>
      </c>
      <c r="GU39" s="160">
        <f>IF([Occurrence34]=0,0,SUM($GT$2:GT39))</f>
        <v>0</v>
      </c>
      <c r="GV39" s="160">
        <f>IF([chambre3]*1='CHAMBRES GARCONS RDC'!$A$17,1,0)</f>
        <v>0</v>
      </c>
      <c r="GW39" s="160">
        <f>IF([Occurrence35]=0,0,SUM($GV$2:GV39))</f>
        <v>0</v>
      </c>
      <c r="GX39" s="160">
        <f>IF([chambre3]*1='CHAMBRES GARCONS RDC'!$A$23,1,0)</f>
        <v>0</v>
      </c>
      <c r="GY39" s="160">
        <f>IF([Occurrence36]=0,0,SUM($GX$2:GX39))</f>
        <v>0</v>
      </c>
      <c r="GZ39" s="160">
        <f>IF([chambre3]*1='CHAMBRES GARCONS RDC'!$A$29,1,0)</f>
        <v>0</v>
      </c>
      <c r="HA39" s="160">
        <f>IF([Occurrence37]=0,0,SUM($GZ$2:GZ39))</f>
        <v>0</v>
      </c>
      <c r="HB39" s="160">
        <f>IF([chambre3]*1='CHAMBRES GARCONS RDC'!$A$35,1,0)</f>
        <v>0</v>
      </c>
      <c r="HC39" s="160">
        <f>IF([Occurrence38]=0,0,SUM($HB$2:HB39))</f>
        <v>0</v>
      </c>
      <c r="HD39" s="160">
        <f>IF([chambre3]*1='CHAMBRES GARCONS RDC'!$A$41,1,0)</f>
        <v>0</v>
      </c>
      <c r="HE39" s="160">
        <f>IF([Occurrence39]=0,0,SUM($HD$2:HD39))</f>
        <v>0</v>
      </c>
      <c r="HF39" s="160">
        <f>IF([chambre3]*1='CHAMBRES GARCONS RDC'!$A$47,1,0)</f>
        <v>0</v>
      </c>
      <c r="HG39" s="160">
        <f>IF([Occurrence40]=0,0,SUM($HF$2:HF39))</f>
        <v>0</v>
      </c>
      <c r="HH39" s="160">
        <f>IF([chambre3]*1='CHAMBRES GARCONS RDC'!$A$53,1,0)</f>
        <v>0</v>
      </c>
      <c r="HI39" s="160">
        <f>IF([Occurrence41]=0,0,SUM($HH$2:HH39))</f>
        <v>0</v>
      </c>
      <c r="HJ39" s="160">
        <f>IF([chambre3]*1='CHAMBRES GARCONS RDC'!$A$59,1,0)</f>
        <v>0</v>
      </c>
      <c r="HK39" s="160">
        <f>IF([Occurrence42]=0,0,SUM($HJ$2:HJ39))</f>
        <v>0</v>
      </c>
      <c r="HL39" s="160">
        <f>IF([chambre3]*1='CHAMBRES GARCONS RDC'!$A$65,1,0)</f>
        <v>0</v>
      </c>
      <c r="HM39" s="160">
        <f>IF([Occurrence43]=0,0,SUM($HL$2:HL39))</f>
        <v>0</v>
      </c>
      <c r="HN39" s="160">
        <f>IF([chambre3]*1='CHAMBRES GARCONS RDC'!$A$71,1,0)</f>
        <v>0</v>
      </c>
      <c r="HO39" s="160">
        <f>IF([Occurrence44]=0,0,SUM($HN$2:HN39))</f>
        <v>0</v>
      </c>
      <c r="HP39" s="160">
        <f>IF([chambre3]*1='CHAMBRES GARCONS RDC'!$A$77,1,0)</f>
        <v>0</v>
      </c>
      <c r="HQ39" s="160">
        <f>IF([Occurrence45]=0,0,SUM($HP$2:HP39))</f>
        <v>0</v>
      </c>
      <c r="HR39" s="160">
        <f>IF([chambre3]*1='CHAMBRES GARCONS RDC'!$A$83,1,0)</f>
        <v>0</v>
      </c>
      <c r="HS39" s="160">
        <f>IF([Occurrence46]=0,0,SUM($HR$2:HR39))</f>
        <v>0</v>
      </c>
      <c r="HT39" s="160">
        <f>IF([chambre3]*1='CHAMBRES GARCONS RDC'!$A$89,1,0)</f>
        <v>0</v>
      </c>
      <c r="HU39" s="160">
        <f>IF([Occurrence47]=0,0,SUM($HT$2:HT39))</f>
        <v>0</v>
      </c>
      <c r="HV39" s="160">
        <f>IF([chambre3]*1='CHAMBRES GARCONS RDC'!$A$95,1,0)</f>
        <v>0</v>
      </c>
      <c r="HW39" s="160">
        <f>IF([Occurrence48]=0,0,SUM($HV$2:HV39))</f>
        <v>0</v>
      </c>
      <c r="HX39" s="160"/>
      <c r="HY39" s="160"/>
      <c r="HZ39" s="160">
        <f>IF([Classe]='Liste élève par classes'!$B$5,1,0)</f>
        <v>0</v>
      </c>
      <c r="IA39" s="160">
        <f>IF([Occurrence]=0,0,SUM($HZ$2:HZ39))</f>
        <v>0</v>
      </c>
      <c r="IB3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177</v>
      </c>
      <c r="IC39" s="208"/>
    </row>
    <row r="40" spans="1:237">
      <c r="A40" t="s">
        <v>317</v>
      </c>
      <c r="B40" t="s">
        <v>318</v>
      </c>
      <c r="C40" s="158">
        <v>36762</v>
      </c>
      <c r="D40" s="62">
        <f t="shared" ca="1" si="0"/>
        <v>17</v>
      </c>
      <c r="E40" t="s">
        <v>9</v>
      </c>
      <c r="F40" s="159" t="s">
        <v>46</v>
      </c>
      <c r="G40" t="s">
        <v>40</v>
      </c>
      <c r="H40" s="160"/>
      <c r="I40" s="161"/>
      <c r="J40" s="161"/>
      <c r="K40" s="161"/>
      <c r="L40" s="160"/>
      <c r="M40">
        <v>29</v>
      </c>
      <c r="N40" s="161"/>
      <c r="O40" s="161"/>
      <c r="P40" s="161"/>
      <c r="Q40" s="161"/>
      <c r="R40" s="161"/>
      <c r="S40" s="161"/>
      <c r="T40" s="161"/>
      <c r="U40" s="160"/>
      <c r="V40" s="161"/>
      <c r="W40" s="161"/>
      <c r="X40" s="161"/>
      <c r="Y40" s="161"/>
      <c r="Z40" s="161"/>
      <c r="AA40" s="161"/>
      <c r="AB40" s="161"/>
      <c r="AC40" s="161"/>
      <c r="AD40" s="161"/>
      <c r="AE40" s="161"/>
      <c r="AF40" s="163"/>
      <c r="AG40" s="163"/>
      <c r="AH40" s="163"/>
      <c r="AI40" s="163"/>
      <c r="AJ40" s="163"/>
      <c r="AK40" s="163"/>
      <c r="AL40" s="163"/>
      <c r="AM40" s="163"/>
      <c r="AN40" s="163"/>
      <c r="AO40" s="163"/>
      <c r="AP40" s="163"/>
      <c r="AQ40" s="163"/>
      <c r="AR40" s="163"/>
      <c r="AS40" s="163"/>
      <c r="AT40" s="163"/>
      <c r="AU40" s="163"/>
      <c r="AV40" s="163"/>
      <c r="AW40" s="163"/>
      <c r="AX40" s="163"/>
      <c r="AY40" s="163"/>
      <c r="AZ40" s="163"/>
      <c r="BA40" s="163"/>
      <c r="BB40" s="163"/>
      <c r="BC40" s="163"/>
      <c r="BD40" s="163"/>
      <c r="BE40" s="163"/>
      <c r="BF40" s="163"/>
      <c r="BG40" s="163"/>
      <c r="BH40" s="163"/>
      <c r="BI40" s="163"/>
      <c r="BJ40" s="163"/>
      <c r="BK40" s="163"/>
      <c r="BL40" s="163"/>
      <c r="BM40" s="163"/>
      <c r="BN40" s="163"/>
      <c r="BO40" s="163"/>
      <c r="BP40" s="163"/>
      <c r="BQ40" s="163"/>
      <c r="BR40" s="163"/>
      <c r="BS40" s="163"/>
      <c r="BT40" s="163"/>
      <c r="BU40" s="163"/>
      <c r="BV40" s="163"/>
      <c r="BW40" s="163"/>
      <c r="BX40" s="163"/>
      <c r="BY40" s="163"/>
      <c r="BZ40" s="163"/>
      <c r="CA40" s="163"/>
      <c r="CB40" s="163"/>
      <c r="CC40" s="163"/>
      <c r="CD40" s="163"/>
      <c r="CE40" s="163"/>
      <c r="CF40" s="163"/>
      <c r="CG40" s="163"/>
      <c r="CH40" s="163"/>
      <c r="CI40" s="163"/>
      <c r="CJ40" s="163"/>
      <c r="CK40" s="163"/>
      <c r="CL40" s="163"/>
      <c r="CM40" s="163"/>
      <c r="CN40" s="163"/>
      <c r="CO40" s="163"/>
      <c r="CP40" s="163"/>
      <c r="CQ40" s="163"/>
      <c r="CR40" s="163"/>
      <c r="CS40" s="163"/>
      <c r="CT40" s="163"/>
      <c r="CU40" s="163"/>
      <c r="CV40" s="163"/>
      <c r="CW40" s="163"/>
      <c r="CX40" s="163"/>
      <c r="CY40" s="163"/>
      <c r="CZ40" s="163"/>
      <c r="DA40" s="163"/>
      <c r="DB40" s="163"/>
      <c r="DC40" s="163"/>
      <c r="DD40" s="163"/>
      <c r="DE40" s="163"/>
      <c r="DF40" s="163"/>
      <c r="DG40" s="163"/>
      <c r="DH40" s="163"/>
      <c r="DI40" s="163"/>
      <c r="DJ40" s="163"/>
      <c r="DK40" s="163"/>
      <c r="DL40" s="163"/>
      <c r="DM40" s="163"/>
      <c r="DN40" s="163"/>
      <c r="DO40" s="163"/>
      <c r="DP40" s="163"/>
      <c r="DQ40" s="163"/>
      <c r="DR40" s="163"/>
      <c r="DS40" s="163"/>
      <c r="DT40" s="163"/>
      <c r="DU40" s="163"/>
      <c r="DV40" s="163"/>
      <c r="DW40" s="163"/>
      <c r="DX40" s="163"/>
      <c r="DY40" s="163"/>
      <c r="DZ40" s="163"/>
      <c r="EA40" s="163"/>
      <c r="EB40" s="163"/>
      <c r="EC40" s="163"/>
      <c r="ED40" s="163"/>
      <c r="EE40" s="163"/>
      <c r="EF40" s="163"/>
      <c r="EG40" s="163"/>
      <c r="EH40" s="160">
        <f>IF([Chambre]*1='CHAMBRES FILLES 2e ETAGE'!$A$5,1,0)</f>
        <v>0</v>
      </c>
      <c r="EI40" s="161">
        <f>IF([Occurrence2]=0,0,SUM($EH$2:EH40))</f>
        <v>0</v>
      </c>
      <c r="EJ40" s="160">
        <f>IF([Chambre]*1='CHAMBRES FILLES 2e ETAGE'!$A$11,1,0)</f>
        <v>0</v>
      </c>
      <c r="EK40" s="160">
        <f>IF([Occurrence3]=0,0,SUM($EJ$2:EJ40))</f>
        <v>0</v>
      </c>
      <c r="EL40" s="160">
        <f>IF([Chambre]*1='CHAMBRES FILLES 2e ETAGE'!$A$17,1,0)</f>
        <v>0</v>
      </c>
      <c r="EM40" s="160">
        <f>IF([Occurrence4]=0,0,SUM($EL$2:EL40))</f>
        <v>0</v>
      </c>
      <c r="EN40" s="160">
        <f>IF([Chambre]*1='CHAMBRES FILLES 2e ETAGE'!$A$23,1,0)</f>
        <v>0</v>
      </c>
      <c r="EO40" s="160">
        <f>IF([Occurrence5]=0,0,SUM($EN$2:EN40))</f>
        <v>0</v>
      </c>
      <c r="EP40" s="160">
        <f>IF([Chambre]*1='CHAMBRES FILLES 2e ETAGE'!$A$29,1,0)</f>
        <v>0</v>
      </c>
      <c r="EQ40" s="160">
        <f>IF([Occurrence6]=0,0,SUM($EP$2:EP40))</f>
        <v>0</v>
      </c>
      <c r="ER40" s="160">
        <f>IF([Chambre]*1='CHAMBRES FILLES 2e ETAGE'!$A$35,1,0)</f>
        <v>0</v>
      </c>
      <c r="ES40" s="160">
        <f>IF([Occurrence7]=0,0,SUM($ER$2:ER40))</f>
        <v>0</v>
      </c>
      <c r="ET40" s="160">
        <f>IF([Chambre]*1='CHAMBRES FILLES 2e ETAGE'!$A$41,1,0)</f>
        <v>0</v>
      </c>
      <c r="EU40" s="160">
        <f>IF([Occurrence8]=0,0,SUM($ET$2:ET40))</f>
        <v>0</v>
      </c>
      <c r="EV40" s="160">
        <f>IF([Chambre]*1='CHAMBRES FILLES 2e ETAGE'!$A$47,1,0)</f>
        <v>0</v>
      </c>
      <c r="EW40" s="160">
        <f>IF([Occurrence9]=0,0,SUM($EV$2:EV40))</f>
        <v>0</v>
      </c>
      <c r="EX40" s="160">
        <f>IF([Chambre]*1='CHAMBRES FILLES 2e ETAGE'!$A$53,1,0)</f>
        <v>0</v>
      </c>
      <c r="EY40" s="160">
        <f>IF([Occurrence10]=0,0,SUM($EX$2:EX40))</f>
        <v>0</v>
      </c>
      <c r="EZ40" s="160">
        <f>IF([Chambre]*1='CHAMBRES FILLES 2e ETAGE'!$A$59,1,0)</f>
        <v>0</v>
      </c>
      <c r="FA40" s="160">
        <f>IF([Occurrence11]=0,0,SUM($EZ$2:EZ40))</f>
        <v>0</v>
      </c>
      <c r="FB40" s="160">
        <f>IF([Chambre]*1='CHAMBRES FILLES 2e ETAGE'!$A$65,1,0)</f>
        <v>0</v>
      </c>
      <c r="FC40" s="160">
        <f>IF([Occurrence12]=0,0,SUM($FB$2:FB40))</f>
        <v>0</v>
      </c>
      <c r="FD40" s="160">
        <f>IF([Chambre]*1='CHAMBRES FILLES 2e ETAGE'!$A$71,1,0)</f>
        <v>0</v>
      </c>
      <c r="FE40" s="160">
        <f>IF([Occurrence13]=0,0,SUM($FD$2:FD40))</f>
        <v>0</v>
      </c>
      <c r="FF40" s="160">
        <f>IF([Chambre]*1='CHAMBRES FILLES 2e ETAGE'!$A$77,1,0)</f>
        <v>0</v>
      </c>
      <c r="FG40" s="160">
        <f>IF([Occurrence14]=0,0,SUM($FF$2:FF40))</f>
        <v>0</v>
      </c>
      <c r="FH40" s="160">
        <f>IF([Chambre]*1='CHAMBRES FILLES 2e ETAGE'!$A$83,1,0)</f>
        <v>0</v>
      </c>
      <c r="FI40" s="160">
        <f>IF([Occurrence15]=0,0,SUM($FH$2:FH40))</f>
        <v>0</v>
      </c>
      <c r="FJ40" s="160">
        <f>IF([Chambre]*1='CHAMBRES FILLES 2e ETAGE'!$A$89,1,0)</f>
        <v>0</v>
      </c>
      <c r="FK40" s="160">
        <f>IF([Occurrence16]=0,0,SUM($FJ$2:FJ40))</f>
        <v>0</v>
      </c>
      <c r="FL40" s="160">
        <f>IF([Chambre]*1='CHAMBRES FILLES 2e ETAGE'!$A$95,1,0)</f>
        <v>0</v>
      </c>
      <c r="FM40" s="160">
        <f>IF([Occurrence17]=0,0,SUM($FL$2:FL40))</f>
        <v>0</v>
      </c>
      <c r="FN40" s="160">
        <f>IF([Chambre2]*1='CHAMBRES FILLES 1e ETAGE'!$A$5,1,0)</f>
        <v>0</v>
      </c>
      <c r="FO40" s="160">
        <f>IF([Occurrence18]=0,0,SUM($FN$2:FN40))</f>
        <v>0</v>
      </c>
      <c r="FP40" s="160">
        <f>IF([Chambre2]*1='CHAMBRES FILLES 1e ETAGE'!$A$11,1,0)</f>
        <v>0</v>
      </c>
      <c r="FQ40" s="160">
        <f>IF([Occurrence19]=0,0,SUM($FP$2:FP40))</f>
        <v>0</v>
      </c>
      <c r="FR40" s="160">
        <f>IF([Chambre2]*1='CHAMBRES FILLES 1e ETAGE'!$A$17,1,0)</f>
        <v>0</v>
      </c>
      <c r="FS40" s="160">
        <f>IF([Occurrence20]=0,0,SUM($FR$2:FR40))</f>
        <v>0</v>
      </c>
      <c r="FT40" s="160">
        <f>IF([Chambre2]*1='CHAMBRES FILLES 1e ETAGE'!$A$23,1,0)</f>
        <v>0</v>
      </c>
      <c r="FU40" s="160">
        <f>IF([Occurrence21]=0,0,SUM($FT$2:FT40))</f>
        <v>0</v>
      </c>
      <c r="FV40" s="160">
        <f>IF([Chambre2]*1='CHAMBRES FILLES 1e ETAGE'!$A$29,1,0)</f>
        <v>0</v>
      </c>
      <c r="FW40" s="160">
        <f>IF([Occurrence22]=0,0,SUM($FV$2:FV40))</f>
        <v>0</v>
      </c>
      <c r="FX40" s="160">
        <f>IF([Chambre2]*1='CHAMBRES FILLES 1e ETAGE'!$A$35,1,0)</f>
        <v>0</v>
      </c>
      <c r="FY40" s="160">
        <f>IF([Occurrence23]=0,0,SUM($FX$2:FX40))</f>
        <v>0</v>
      </c>
      <c r="FZ40" s="160">
        <f>IF([Chambre2]*1='CHAMBRES FILLES 1e ETAGE'!$A$41,1,0)</f>
        <v>0</v>
      </c>
      <c r="GA40" s="160">
        <f>IF([Occurrence24]=0,0,SUM($FZ$2:FZ40))</f>
        <v>0</v>
      </c>
      <c r="GB40" s="160">
        <f>IF([Chambre2]*1='CHAMBRES FILLES 1e ETAGE'!$A$47,1,0)</f>
        <v>0</v>
      </c>
      <c r="GC40" s="160">
        <f>IF([Occurrence25]=0,0,SUM($GB$2:GB40))</f>
        <v>0</v>
      </c>
      <c r="GD40" s="160">
        <f>IF([Chambre2]*1='CHAMBRES FILLES 1e ETAGE'!$A$53,1,0)</f>
        <v>0</v>
      </c>
      <c r="GE40" s="160">
        <f>IF([Occurrence26]=0,0,SUM($GD$2:GD40))</f>
        <v>0</v>
      </c>
      <c r="GF40" s="160">
        <f>IF([chambre4]*1='CHAMBRES GARCONS 1e ETAGE'!$A$5,1,0)</f>
        <v>0</v>
      </c>
      <c r="GG40" s="160">
        <f>IF([Occurrence27]=0,0,SUM($GF$2:GF40))</f>
        <v>0</v>
      </c>
      <c r="GH40" s="160">
        <f>IF([chambre4]*1='CHAMBRES GARCONS 1e ETAGE'!$A$11,1,0)</f>
        <v>0</v>
      </c>
      <c r="GI40" s="160">
        <f>IF([Occurrence28]=0,0,SUM($GH$2:GH40))</f>
        <v>0</v>
      </c>
      <c r="GJ40" s="160">
        <f>IF([chambre4]*1='CHAMBRES GARCONS 1e ETAGE'!$A$17,1,0)</f>
        <v>0</v>
      </c>
      <c r="GK40" s="160">
        <f>IF([Occurrence29]=0,0,SUM($GJ$2:GJ40))</f>
        <v>0</v>
      </c>
      <c r="GL40" s="160">
        <f>IF([chambre4]*1='CHAMBRES GARCONS 1e ETAGE'!$A$23,1,0)</f>
        <v>0</v>
      </c>
      <c r="GM40" s="160">
        <f>IF([Occurrence30]=0,0,SUM($GL$2:GL40))</f>
        <v>0</v>
      </c>
      <c r="GN40" s="160">
        <f>IF([chambre4]*1='CHAMBRES GARCONS 1e ETAGE'!$A$29,1,0)</f>
        <v>0</v>
      </c>
      <c r="GO40" s="160">
        <f>IF([Occurrence31]=0,0,SUM($GN$2:GN40))</f>
        <v>0</v>
      </c>
      <c r="GP40" s="160">
        <f>IF([chambre4]*1='CHAMBRES GARCONS 1e ETAGE'!$A$35,1,0)</f>
        <v>0</v>
      </c>
      <c r="GQ40" s="160">
        <f>IF([Occurrence32]=0,0,SUM($GP$2:GP40))</f>
        <v>0</v>
      </c>
      <c r="GR40" s="160">
        <f>IF([chambre3]*1='CHAMBRES GARCONS RDC'!$A$5,1,0)</f>
        <v>0</v>
      </c>
      <c r="GS40" s="160">
        <f>IF([Occurrence33]=0,0,SUM($GR$2:GR40))</f>
        <v>0</v>
      </c>
      <c r="GT40" s="160">
        <f>IF([chambre3]*1='CHAMBRES GARCONS RDC'!$A$11,1,0)</f>
        <v>0</v>
      </c>
      <c r="GU40" s="160">
        <f>IF([Occurrence34]=0,0,SUM($GT$2:GT40))</f>
        <v>0</v>
      </c>
      <c r="GV40" s="160">
        <f>IF([chambre3]*1='CHAMBRES GARCONS RDC'!$A$17,1,0)</f>
        <v>0</v>
      </c>
      <c r="GW40" s="160">
        <f>IF([Occurrence35]=0,0,SUM($GV$2:GV40))</f>
        <v>0</v>
      </c>
      <c r="GX40" s="160">
        <f>IF([chambre3]*1='CHAMBRES GARCONS RDC'!$A$23,1,0)</f>
        <v>0</v>
      </c>
      <c r="GY40" s="160">
        <f>IF([Occurrence36]=0,0,SUM($GX$2:GX40))</f>
        <v>0</v>
      </c>
      <c r="GZ40" s="160">
        <f>IF([chambre3]*1='CHAMBRES GARCONS RDC'!$A$29,1,0)</f>
        <v>0</v>
      </c>
      <c r="HA40" s="160">
        <f>IF([Occurrence37]=0,0,SUM($GZ$2:GZ40))</f>
        <v>0</v>
      </c>
      <c r="HB40" s="160">
        <f>IF([chambre3]*1='CHAMBRES GARCONS RDC'!$A$35,1,0)</f>
        <v>0</v>
      </c>
      <c r="HC40" s="160">
        <f>IF([Occurrence38]=0,0,SUM($HB$2:HB40))</f>
        <v>0</v>
      </c>
      <c r="HD40" s="160">
        <f>IF([chambre3]*1='CHAMBRES GARCONS RDC'!$A$41,1,0)</f>
        <v>0</v>
      </c>
      <c r="HE40" s="160">
        <f>IF([Occurrence39]=0,0,SUM($HD$2:HD40))</f>
        <v>0</v>
      </c>
      <c r="HF40" s="160">
        <f>IF([chambre3]*1='CHAMBRES GARCONS RDC'!$A$47,1,0)</f>
        <v>0</v>
      </c>
      <c r="HG40" s="160">
        <f>IF([Occurrence40]=0,0,SUM($HF$2:HF40))</f>
        <v>0</v>
      </c>
      <c r="HH40" s="160">
        <f>IF([chambre3]*1='CHAMBRES GARCONS RDC'!$A$53,1,0)</f>
        <v>0</v>
      </c>
      <c r="HI40" s="160">
        <f>IF([Occurrence41]=0,0,SUM($HH$2:HH40))</f>
        <v>0</v>
      </c>
      <c r="HJ40" s="160">
        <f>IF([chambre3]*1='CHAMBRES GARCONS RDC'!$A$59,1,0)</f>
        <v>0</v>
      </c>
      <c r="HK40" s="160">
        <f>IF([Occurrence42]=0,0,SUM($HJ$2:HJ40))</f>
        <v>0</v>
      </c>
      <c r="HL40" s="160">
        <f>IF([chambre3]*1='CHAMBRES GARCONS RDC'!$A$65,1,0)</f>
        <v>0</v>
      </c>
      <c r="HM40" s="160">
        <f>IF([Occurrence43]=0,0,SUM($HL$2:HL40))</f>
        <v>0</v>
      </c>
      <c r="HN40" s="160">
        <f>IF([chambre3]*1='CHAMBRES GARCONS RDC'!$A$71,1,0)</f>
        <v>0</v>
      </c>
      <c r="HO40" s="160">
        <f>IF([Occurrence44]=0,0,SUM($HN$2:HN40))</f>
        <v>0</v>
      </c>
      <c r="HP40" s="160">
        <f>IF([chambre3]*1='CHAMBRES GARCONS RDC'!$A$77,1,0)</f>
        <v>0</v>
      </c>
      <c r="HQ40" s="160">
        <f>IF([Occurrence45]=0,0,SUM($HP$2:HP40))</f>
        <v>0</v>
      </c>
      <c r="HR40" s="160">
        <f>IF([chambre3]*1='CHAMBRES GARCONS RDC'!$A$83,1,0)</f>
        <v>0</v>
      </c>
      <c r="HS40" s="160">
        <f>IF([Occurrence46]=0,0,SUM($HR$2:HR40))</f>
        <v>0</v>
      </c>
      <c r="HT40" s="160">
        <f>IF([chambre3]*1='CHAMBRES GARCONS RDC'!$A$89,1,0)</f>
        <v>0</v>
      </c>
      <c r="HU40" s="160">
        <f>IF([Occurrence47]=0,0,SUM($HT$2:HT40))</f>
        <v>0</v>
      </c>
      <c r="HV40" s="160">
        <f>IF([chambre3]*1='CHAMBRES GARCONS RDC'!$A$95,1,0)</f>
        <v>0</v>
      </c>
      <c r="HW40" s="160">
        <f>IF([Occurrence48]=0,0,SUM($HV$2:HV40))</f>
        <v>0</v>
      </c>
      <c r="HX40" s="160"/>
      <c r="HY40" s="160"/>
      <c r="HZ40" s="160">
        <f>IF([Classe]='Liste élève par classes'!$B$5,1,0)</f>
        <v>0</v>
      </c>
      <c r="IA40" s="160">
        <f>IF([Occurrence]=0,0,SUM($HZ$2:HZ40))</f>
        <v>0</v>
      </c>
      <c r="IB4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40" s="208"/>
    </row>
    <row r="41" spans="1:237">
      <c r="A41" t="s">
        <v>319</v>
      </c>
      <c r="B41" t="s">
        <v>312</v>
      </c>
      <c r="C41" s="158">
        <v>37107</v>
      </c>
      <c r="D41" s="62">
        <f t="shared" ca="1" si="0"/>
        <v>16</v>
      </c>
      <c r="E41" t="s">
        <v>8</v>
      </c>
      <c r="F41" s="159" t="s">
        <v>50</v>
      </c>
      <c r="G41" t="s">
        <v>40</v>
      </c>
      <c r="H41" s="160"/>
      <c r="I41" s="62"/>
      <c r="J41" s="62"/>
      <c r="K41" s="62"/>
      <c r="L41" s="61"/>
      <c r="M41">
        <v>97</v>
      </c>
      <c r="N41" s="62"/>
      <c r="O41" s="62"/>
      <c r="P41" s="62"/>
      <c r="Q41" s="62"/>
      <c r="R41" s="62"/>
      <c r="S41" s="191"/>
      <c r="T41" s="62"/>
      <c r="U41" s="61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163"/>
      <c r="AG41" s="163"/>
      <c r="AH41" s="163"/>
      <c r="AI41" s="163"/>
      <c r="AJ41" s="163"/>
      <c r="AK41" s="163"/>
      <c r="AL41" s="163"/>
      <c r="AM41" s="163"/>
      <c r="AN41" s="163"/>
      <c r="AO41" s="163"/>
      <c r="AP41" s="163"/>
      <c r="AQ41" s="163"/>
      <c r="AR41" s="163"/>
      <c r="AS41" s="163"/>
      <c r="AT41" s="163"/>
      <c r="AU41" s="163"/>
      <c r="AV41" s="163"/>
      <c r="AW41" s="163"/>
      <c r="AX41" s="163"/>
      <c r="AY41" s="163"/>
      <c r="AZ41" s="163"/>
      <c r="BA41" s="163"/>
      <c r="BB41" s="163"/>
      <c r="BC41" s="163" t="b">
        <v>0</v>
      </c>
      <c r="BD41" s="163" t="b">
        <v>1</v>
      </c>
      <c r="BE41" s="163" t="b">
        <v>1</v>
      </c>
      <c r="BF41" s="163" t="b">
        <v>0</v>
      </c>
      <c r="BG41" s="163" t="b">
        <v>1</v>
      </c>
      <c r="BH41" s="163" t="b">
        <v>0</v>
      </c>
      <c r="BI41" s="163"/>
      <c r="BJ41" s="163"/>
      <c r="BK41" s="163"/>
      <c r="BL41" s="163"/>
      <c r="BM41" s="163"/>
      <c r="BN41" s="163"/>
      <c r="BO41" s="163"/>
      <c r="BP41" s="163"/>
      <c r="BQ41" s="163" t="b">
        <v>0</v>
      </c>
      <c r="BR41" s="163"/>
      <c r="BS41" s="163"/>
      <c r="BT41" s="163"/>
      <c r="BU41" s="163"/>
      <c r="BV41" s="163"/>
      <c r="BW41" s="163"/>
      <c r="BX41" s="163"/>
      <c r="BY41" s="163"/>
      <c r="BZ41" s="163"/>
      <c r="CA41" s="163"/>
      <c r="CB41" s="163"/>
      <c r="CC41" s="163"/>
      <c r="CD41" s="163"/>
      <c r="CE41" s="163"/>
      <c r="CF41" s="163"/>
      <c r="CG41" s="163"/>
      <c r="CH41" s="163"/>
      <c r="CI41" s="163"/>
      <c r="CJ41" s="163"/>
      <c r="CK41" s="163"/>
      <c r="CL41" s="163"/>
      <c r="CM41" s="163"/>
      <c r="CN41" s="163"/>
      <c r="CO41" s="163"/>
      <c r="CP41" s="163"/>
      <c r="CQ41" s="163"/>
      <c r="CR41" s="163"/>
      <c r="CS41" s="163"/>
      <c r="CT41" s="163"/>
      <c r="CU41" s="163"/>
      <c r="CV41" s="163"/>
      <c r="CW41" s="163"/>
      <c r="CX41" s="163"/>
      <c r="CY41" s="163"/>
      <c r="CZ41" s="163"/>
      <c r="DA41" s="163">
        <v>118</v>
      </c>
      <c r="DB41" s="163"/>
      <c r="DC41" s="163"/>
      <c r="DD41" s="163"/>
      <c r="DE41" s="163"/>
      <c r="DF41" s="163"/>
      <c r="DG41" s="208"/>
      <c r="DH41" s="163"/>
      <c r="DI41" s="163"/>
      <c r="DJ41" s="163"/>
      <c r="DK41" s="163"/>
      <c r="DL41" s="163"/>
      <c r="DM41" s="163"/>
      <c r="DN41" s="163"/>
      <c r="DO41" s="163"/>
      <c r="DP41" s="163"/>
      <c r="DQ41" s="163"/>
      <c r="DR41" s="163"/>
      <c r="DS41" s="163"/>
      <c r="DT41" s="163"/>
      <c r="DU41" s="163"/>
      <c r="DV41" s="163"/>
      <c r="DW41" s="163"/>
      <c r="DX41" s="163"/>
      <c r="DY41" s="163"/>
      <c r="DZ41" s="163"/>
      <c r="EA41" s="163"/>
      <c r="EB41" s="163"/>
      <c r="EC41" s="163"/>
      <c r="ED41" s="163"/>
      <c r="EE41" s="163"/>
      <c r="EF41" s="163"/>
      <c r="EG41" s="163"/>
      <c r="EH41" s="160">
        <f>IF([Chambre]*1='CHAMBRES FILLES 2e ETAGE'!$A$5,1,0)</f>
        <v>0</v>
      </c>
      <c r="EI41" s="161">
        <f>IF([Occurrence2]=0,0,SUM($EH$2:EH41))</f>
        <v>0</v>
      </c>
      <c r="EJ41" s="160">
        <f>IF([Chambre]*1='CHAMBRES FILLES 2e ETAGE'!$A$11,1,0)</f>
        <v>0</v>
      </c>
      <c r="EK41" s="160">
        <f>IF([Occurrence3]=0,0,SUM($EJ$2:EJ41))</f>
        <v>0</v>
      </c>
      <c r="EL41" s="160">
        <f>IF([Chambre]*1='CHAMBRES FILLES 2e ETAGE'!$A$17,1,0)</f>
        <v>0</v>
      </c>
      <c r="EM41" s="160">
        <f>IF([Occurrence4]=0,0,SUM($EL$2:EL41))</f>
        <v>0</v>
      </c>
      <c r="EN41" s="160">
        <f>IF([Chambre]*1='CHAMBRES FILLES 2e ETAGE'!$A$23,1,0)</f>
        <v>0</v>
      </c>
      <c r="EO41" s="160">
        <f>IF([Occurrence5]=0,0,SUM($EN$2:EN41))</f>
        <v>0</v>
      </c>
      <c r="EP41" s="160">
        <f>IF([Chambre]*1='CHAMBRES FILLES 2e ETAGE'!$A$29,1,0)</f>
        <v>0</v>
      </c>
      <c r="EQ41" s="160">
        <f>IF([Occurrence6]=0,0,SUM($EP$2:EP41))</f>
        <v>0</v>
      </c>
      <c r="ER41" s="160">
        <f>IF([Chambre]*1='CHAMBRES FILLES 2e ETAGE'!$A$35,1,0)</f>
        <v>0</v>
      </c>
      <c r="ES41" s="160">
        <f>IF([Occurrence7]=0,0,SUM($ER$2:ER41))</f>
        <v>0</v>
      </c>
      <c r="ET41" s="160">
        <f>IF([Chambre]*1='CHAMBRES FILLES 2e ETAGE'!$A$41,1,0)</f>
        <v>0</v>
      </c>
      <c r="EU41" s="160">
        <f>IF([Occurrence8]=0,0,SUM($ET$2:ET41))</f>
        <v>0</v>
      </c>
      <c r="EV41" s="160">
        <f>IF([Chambre]*1='CHAMBRES FILLES 2e ETAGE'!$A$47,1,0)</f>
        <v>0</v>
      </c>
      <c r="EW41" s="160">
        <f>IF([Occurrence9]=0,0,SUM($EV$2:EV41))</f>
        <v>0</v>
      </c>
      <c r="EX41" s="160">
        <f>IF([Chambre]*1='CHAMBRES FILLES 2e ETAGE'!$A$53,1,0)</f>
        <v>0</v>
      </c>
      <c r="EY41" s="160">
        <f>IF([Occurrence10]=0,0,SUM($EX$2:EX41))</f>
        <v>0</v>
      </c>
      <c r="EZ41" s="160">
        <f>IF([Chambre]*1='CHAMBRES FILLES 2e ETAGE'!$A$59,1,0)</f>
        <v>0</v>
      </c>
      <c r="FA41" s="160">
        <f>IF([Occurrence11]=0,0,SUM($EZ$2:EZ41))</f>
        <v>0</v>
      </c>
      <c r="FB41" s="160">
        <f>IF([Chambre]*1='CHAMBRES FILLES 2e ETAGE'!$A$65,1,0)</f>
        <v>0</v>
      </c>
      <c r="FC41" s="160">
        <f>IF([Occurrence12]=0,0,SUM($FB$2:FB41))</f>
        <v>0</v>
      </c>
      <c r="FD41" s="160">
        <f>IF([Chambre]*1='CHAMBRES FILLES 2e ETAGE'!$A$71,1,0)</f>
        <v>0</v>
      </c>
      <c r="FE41" s="160">
        <f>IF([Occurrence13]=0,0,SUM($FD$2:FD41))</f>
        <v>0</v>
      </c>
      <c r="FF41" s="160">
        <f>IF([Chambre]*1='CHAMBRES FILLES 2e ETAGE'!$A$77,1,0)</f>
        <v>0</v>
      </c>
      <c r="FG41" s="160">
        <f>IF([Occurrence14]=0,0,SUM($FF$2:FF41))</f>
        <v>0</v>
      </c>
      <c r="FH41" s="160">
        <f>IF([Chambre]*1='CHAMBRES FILLES 2e ETAGE'!$A$83,1,0)</f>
        <v>0</v>
      </c>
      <c r="FI41" s="160">
        <f>IF([Occurrence15]=0,0,SUM($FH$2:FH41))</f>
        <v>0</v>
      </c>
      <c r="FJ41" s="160">
        <f>IF([Chambre]*1='CHAMBRES FILLES 2e ETAGE'!$A$89,1,0)</f>
        <v>0</v>
      </c>
      <c r="FK41" s="160">
        <f>IF([Occurrence16]=0,0,SUM($FJ$2:FJ41))</f>
        <v>0</v>
      </c>
      <c r="FL41" s="160">
        <f>IF([Chambre]*1='CHAMBRES FILLES 2e ETAGE'!$A$95,1,0)</f>
        <v>0</v>
      </c>
      <c r="FM41" s="160">
        <f>IF([Occurrence17]=0,0,SUM($FL$2:FL41))</f>
        <v>0</v>
      </c>
      <c r="FN41" s="160">
        <f>IF([Chambre2]*1='CHAMBRES FILLES 1e ETAGE'!$A$5,1,0)</f>
        <v>0</v>
      </c>
      <c r="FO41" s="160">
        <f>IF([Occurrence18]=0,0,SUM($FN$2:FN41))</f>
        <v>0</v>
      </c>
      <c r="FP41" s="160">
        <f>IF([Chambre2]*1='CHAMBRES FILLES 1e ETAGE'!$A$11,1,0)</f>
        <v>0</v>
      </c>
      <c r="FQ41" s="160">
        <f>IF([Occurrence19]=0,0,SUM($FP$2:FP41))</f>
        <v>0</v>
      </c>
      <c r="FR41" s="160">
        <f>IF([Chambre2]*1='CHAMBRES FILLES 1e ETAGE'!$A$17,1,0)</f>
        <v>0</v>
      </c>
      <c r="FS41" s="160">
        <f>IF([Occurrence20]=0,0,SUM($FR$2:FR41))</f>
        <v>0</v>
      </c>
      <c r="FT41" s="160">
        <f>IF([Chambre2]*1='CHAMBRES FILLES 1e ETAGE'!$A$23,1,0)</f>
        <v>0</v>
      </c>
      <c r="FU41" s="160">
        <f>IF([Occurrence21]=0,0,SUM($FT$2:FT41))</f>
        <v>0</v>
      </c>
      <c r="FV41" s="160">
        <f>IF([Chambre2]*1='CHAMBRES FILLES 1e ETAGE'!$A$29,1,0)</f>
        <v>0</v>
      </c>
      <c r="FW41" s="160">
        <f>IF([Occurrence22]=0,0,SUM($FV$2:FV41))</f>
        <v>0</v>
      </c>
      <c r="FX41" s="160">
        <f>IF([Chambre2]*1='CHAMBRES FILLES 1e ETAGE'!$A$35,1,0)</f>
        <v>0</v>
      </c>
      <c r="FY41" s="160">
        <f>IF([Occurrence23]=0,0,SUM($FX$2:FX41))</f>
        <v>0</v>
      </c>
      <c r="FZ41" s="160">
        <f>IF([Chambre2]*1='CHAMBRES FILLES 1e ETAGE'!$A$41,1,0)</f>
        <v>0</v>
      </c>
      <c r="GA41" s="160">
        <f>IF([Occurrence24]=0,0,SUM($FZ$2:FZ41))</f>
        <v>0</v>
      </c>
      <c r="GB41" s="160">
        <f>IF([Chambre2]*1='CHAMBRES FILLES 1e ETAGE'!$A$47,1,0)</f>
        <v>0</v>
      </c>
      <c r="GC41" s="160">
        <f>IF([Occurrence25]=0,0,SUM($GB$2:GB41))</f>
        <v>0</v>
      </c>
      <c r="GD41" s="160">
        <f>IF([Chambre2]*1='CHAMBRES FILLES 1e ETAGE'!$A$53,1,0)</f>
        <v>0</v>
      </c>
      <c r="GE41" s="160">
        <f>IF([Occurrence26]=0,0,SUM($GD$2:GD41))</f>
        <v>0</v>
      </c>
      <c r="GF41" s="160">
        <f>IF([chambre4]*1='CHAMBRES GARCONS 1e ETAGE'!$A$5,1,0)</f>
        <v>0</v>
      </c>
      <c r="GG41" s="160">
        <f>IF([Occurrence27]=0,0,SUM($GF$2:GF41))</f>
        <v>0</v>
      </c>
      <c r="GH41" s="160">
        <f>IF([chambre4]*1='CHAMBRES GARCONS 1e ETAGE'!$A$11,1,0)</f>
        <v>0</v>
      </c>
      <c r="GI41" s="160">
        <f>IF([Occurrence28]=0,0,SUM($GH$2:GH41))</f>
        <v>0</v>
      </c>
      <c r="GJ41" s="160">
        <f>IF([chambre4]*1='CHAMBRES GARCONS 1e ETAGE'!$A$17,1,0)</f>
        <v>0</v>
      </c>
      <c r="GK41" s="160">
        <f>IF([Occurrence29]=0,0,SUM($GJ$2:GJ41))</f>
        <v>0</v>
      </c>
      <c r="GL41" s="160">
        <f>IF([chambre4]*1='CHAMBRES GARCONS 1e ETAGE'!$A$23,1,0)</f>
        <v>0</v>
      </c>
      <c r="GM41" s="160">
        <f>IF([Occurrence30]=0,0,SUM($GL$2:GL41))</f>
        <v>0</v>
      </c>
      <c r="GN41" s="160">
        <f>IF([chambre4]*1='CHAMBRES GARCONS 1e ETAGE'!$A$29,1,0)</f>
        <v>0</v>
      </c>
      <c r="GO41" s="160">
        <f>IF([Occurrence31]=0,0,SUM($GN$2:GN41))</f>
        <v>0</v>
      </c>
      <c r="GP41" s="160">
        <f>IF([chambre4]*1='CHAMBRES GARCONS 1e ETAGE'!$A$35,1,0)</f>
        <v>0</v>
      </c>
      <c r="GQ41" s="160">
        <f>IF([Occurrence32]=0,0,SUM($GP$2:GP41))</f>
        <v>0</v>
      </c>
      <c r="GR41" s="160">
        <f>IF([chambre3]*1='CHAMBRES GARCONS RDC'!$A$5,1,0)</f>
        <v>0</v>
      </c>
      <c r="GS41" s="160">
        <f>IF([Occurrence33]=0,0,SUM($GR$2:GR41))</f>
        <v>0</v>
      </c>
      <c r="GT41" s="160">
        <f>IF([chambre3]*1='CHAMBRES GARCONS RDC'!$A$11,1,0)</f>
        <v>0</v>
      </c>
      <c r="GU41" s="160">
        <f>IF([Occurrence34]=0,0,SUM($GT$2:GT41))</f>
        <v>0</v>
      </c>
      <c r="GV41" s="160">
        <f>IF([chambre3]*1='CHAMBRES GARCONS RDC'!$A$17,1,0)</f>
        <v>0</v>
      </c>
      <c r="GW41" s="160">
        <f>IF([Occurrence35]=0,0,SUM($GV$2:GV41))</f>
        <v>0</v>
      </c>
      <c r="GX41" s="160">
        <f>IF([chambre3]*1='CHAMBRES GARCONS RDC'!$A$23,1,0)</f>
        <v>0</v>
      </c>
      <c r="GY41" s="160">
        <f>IF([Occurrence36]=0,0,SUM($GX$2:GX41))</f>
        <v>0</v>
      </c>
      <c r="GZ41" s="160">
        <f>IF([chambre3]*1='CHAMBRES GARCONS RDC'!$A$29,1,0)</f>
        <v>0</v>
      </c>
      <c r="HA41" s="160">
        <f>IF([Occurrence37]=0,0,SUM($GZ$2:GZ41))</f>
        <v>0</v>
      </c>
      <c r="HB41" s="160">
        <f>IF([chambre3]*1='CHAMBRES GARCONS RDC'!$A$35,1,0)</f>
        <v>0</v>
      </c>
      <c r="HC41" s="160">
        <f>IF([Occurrence38]=0,0,SUM($HB$2:HB41))</f>
        <v>0</v>
      </c>
      <c r="HD41" s="160">
        <f>IF([chambre3]*1='CHAMBRES GARCONS RDC'!$A$41,1,0)</f>
        <v>0</v>
      </c>
      <c r="HE41" s="160">
        <f>IF([Occurrence39]=0,0,SUM($HD$2:HD41))</f>
        <v>0</v>
      </c>
      <c r="HF41" s="160">
        <f>IF([chambre3]*1='CHAMBRES GARCONS RDC'!$A$47,1,0)</f>
        <v>0</v>
      </c>
      <c r="HG41" s="160">
        <f>IF([Occurrence40]=0,0,SUM($HF$2:HF41))</f>
        <v>0</v>
      </c>
      <c r="HH41" s="160">
        <f>IF([chambre3]*1='CHAMBRES GARCONS RDC'!$A$53,1,0)</f>
        <v>0</v>
      </c>
      <c r="HI41" s="160">
        <f>IF([Occurrence41]=0,0,SUM($HH$2:HH41))</f>
        <v>0</v>
      </c>
      <c r="HJ41" s="160">
        <f>IF([chambre3]*1='CHAMBRES GARCONS RDC'!$A$59,1,0)</f>
        <v>0</v>
      </c>
      <c r="HK41" s="160">
        <f>IF([Occurrence42]=0,0,SUM($HJ$2:HJ41))</f>
        <v>0</v>
      </c>
      <c r="HL41" s="160">
        <f>IF([chambre3]*1='CHAMBRES GARCONS RDC'!$A$65,1,0)</f>
        <v>1</v>
      </c>
      <c r="HM41" s="160">
        <f>IF([Occurrence43]=0,0,SUM($HL$2:HL41))</f>
        <v>1</v>
      </c>
      <c r="HN41" s="160">
        <f>IF([chambre3]*1='CHAMBRES GARCONS RDC'!$A$71,1,0)</f>
        <v>0</v>
      </c>
      <c r="HO41" s="160">
        <f>IF([Occurrence44]=0,0,SUM($HN$2:HN41))</f>
        <v>0</v>
      </c>
      <c r="HP41" s="160">
        <f>IF([chambre3]*1='CHAMBRES GARCONS RDC'!$A$77,1,0)</f>
        <v>0</v>
      </c>
      <c r="HQ41" s="160">
        <f>IF([Occurrence45]=0,0,SUM($HP$2:HP41))</f>
        <v>0</v>
      </c>
      <c r="HR41" s="160">
        <f>IF([chambre3]*1='CHAMBRES GARCONS RDC'!$A$83,1,0)</f>
        <v>0</v>
      </c>
      <c r="HS41" s="160">
        <f>IF([Occurrence46]=0,0,SUM($HR$2:HR41))</f>
        <v>0</v>
      </c>
      <c r="HT41" s="160">
        <f>IF([chambre3]*1='CHAMBRES GARCONS RDC'!$A$89,1,0)</f>
        <v>0</v>
      </c>
      <c r="HU41" s="160">
        <f>IF([Occurrence47]=0,0,SUM($HT$2:HT41))</f>
        <v>0</v>
      </c>
      <c r="HV41" s="160">
        <f>IF([chambre3]*1='CHAMBRES GARCONS RDC'!$A$95,1,0)</f>
        <v>0</v>
      </c>
      <c r="HW41" s="160">
        <f>IF([Occurrence48]=0,0,SUM($HV$2:HV41))</f>
        <v>0</v>
      </c>
      <c r="HX41" s="160"/>
      <c r="HY41" s="160"/>
      <c r="HZ41" s="160">
        <f>IF([Classe]='Liste élève par classes'!$B$5,1,0)</f>
        <v>1</v>
      </c>
      <c r="IA41" s="160">
        <f>IF([Occurrence]=0,0,SUM($HZ$2:HZ41))</f>
        <v>3</v>
      </c>
      <c r="IB4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118</v>
      </c>
      <c r="IC41" s="208"/>
    </row>
    <row r="42" spans="1:237">
      <c r="A42" t="s">
        <v>320</v>
      </c>
      <c r="B42" t="s">
        <v>321</v>
      </c>
      <c r="C42" s="158">
        <v>37536</v>
      </c>
      <c r="D42" s="62">
        <f t="shared" ca="1" si="0"/>
        <v>15</v>
      </c>
      <c r="E42" t="s">
        <v>5</v>
      </c>
      <c r="F42" s="159" t="s">
        <v>46</v>
      </c>
      <c r="G42" t="s">
        <v>45</v>
      </c>
      <c r="H42" s="160"/>
      <c r="I42" s="62"/>
      <c r="J42" s="62" t="s">
        <v>244</v>
      </c>
      <c r="K42" s="62"/>
      <c r="L42" s="61"/>
      <c r="M42">
        <v>244</v>
      </c>
      <c r="N42" s="62" t="s">
        <v>244</v>
      </c>
      <c r="O42" s="62" t="s">
        <v>244</v>
      </c>
      <c r="P42" s="62" t="s">
        <v>244</v>
      </c>
      <c r="Q42" s="62" t="s">
        <v>244</v>
      </c>
      <c r="R42" s="62" t="s">
        <v>244</v>
      </c>
      <c r="S42" s="62"/>
      <c r="T42" s="62" t="s">
        <v>244</v>
      </c>
      <c r="U42" s="61"/>
      <c r="V42" s="62" t="s">
        <v>244</v>
      </c>
      <c r="W42" s="62" t="s">
        <v>244</v>
      </c>
      <c r="X42" s="62" t="s">
        <v>244</v>
      </c>
      <c r="Y42" s="62" t="s">
        <v>244</v>
      </c>
      <c r="Z42" s="62" t="s">
        <v>244</v>
      </c>
      <c r="AA42" s="62" t="s">
        <v>244</v>
      </c>
      <c r="AB42" s="62" t="s">
        <v>244</v>
      </c>
      <c r="AC42" s="62" t="s">
        <v>244</v>
      </c>
      <c r="AD42" s="62" t="s">
        <v>244</v>
      </c>
      <c r="AE42" s="62" t="s">
        <v>244</v>
      </c>
      <c r="AF42" s="163" t="s">
        <v>244</v>
      </c>
      <c r="AG42" s="163" t="s">
        <v>244</v>
      </c>
      <c r="AH42" s="163" t="s">
        <v>244</v>
      </c>
      <c r="AI42" s="163"/>
      <c r="AJ42" s="163"/>
      <c r="AK42" s="163"/>
      <c r="AL42" s="163"/>
      <c r="AM42" s="163"/>
      <c r="AN42" s="163"/>
      <c r="AO42" s="163"/>
      <c r="AP42" s="163"/>
      <c r="AQ42" s="163"/>
      <c r="AR42" s="163"/>
      <c r="AS42" s="163"/>
      <c r="AT42" s="163"/>
      <c r="AU42" s="163"/>
      <c r="AV42" s="163"/>
      <c r="AW42" s="163"/>
      <c r="AX42" s="163"/>
      <c r="AY42" s="163"/>
      <c r="AZ42" s="163"/>
      <c r="BA42" s="163"/>
      <c r="BB42" s="163"/>
      <c r="BC42" s="163"/>
      <c r="BD42" s="163"/>
      <c r="BE42" s="163"/>
      <c r="BF42" s="163"/>
      <c r="BG42" s="163"/>
      <c r="BH42" s="163"/>
      <c r="BI42" s="163"/>
      <c r="BJ42" s="163"/>
      <c r="BK42" s="163"/>
      <c r="BL42" s="163"/>
      <c r="BM42" s="163"/>
      <c r="BN42" s="163"/>
      <c r="BO42" s="163"/>
      <c r="BP42" s="163"/>
      <c r="BQ42" s="163"/>
      <c r="BR42" s="163"/>
      <c r="BS42" s="163"/>
      <c r="BT42" s="163"/>
      <c r="BU42" s="163"/>
      <c r="BV42" s="163"/>
      <c r="BW42" s="163"/>
      <c r="BX42" s="163"/>
      <c r="BY42" s="163"/>
      <c r="BZ42" s="163"/>
      <c r="CA42" s="163"/>
      <c r="CB42" s="163"/>
      <c r="CC42" s="163"/>
      <c r="CD42" s="163"/>
      <c r="CE42" s="163"/>
      <c r="CF42" s="163"/>
      <c r="CG42" s="163"/>
      <c r="CH42" s="163"/>
      <c r="CI42" s="163"/>
      <c r="CJ42" s="163"/>
      <c r="CK42" s="163"/>
      <c r="CL42" s="163"/>
      <c r="CM42" s="163"/>
      <c r="CN42" s="163"/>
      <c r="CO42" s="163"/>
      <c r="CP42" s="163"/>
      <c r="CQ42" s="163"/>
      <c r="CR42" s="163"/>
      <c r="CS42" s="163"/>
      <c r="CT42" s="163"/>
      <c r="CU42" s="163"/>
      <c r="CV42" s="163"/>
      <c r="CW42" s="163"/>
      <c r="CX42" s="163"/>
      <c r="CY42" s="163"/>
      <c r="CZ42" s="163"/>
      <c r="DA42" s="163"/>
      <c r="DB42" s="163"/>
      <c r="DC42" s="163"/>
      <c r="DD42" s="163"/>
      <c r="DE42" s="163"/>
      <c r="DF42" s="163"/>
      <c r="DG42" s="163"/>
      <c r="DH42" s="163"/>
      <c r="DI42" s="163"/>
      <c r="DJ42" s="163"/>
      <c r="DK42" s="163"/>
      <c r="DL42" s="163"/>
      <c r="DM42" s="163"/>
      <c r="DN42" s="163"/>
      <c r="DO42" s="163"/>
      <c r="DP42" s="163"/>
      <c r="DQ42" s="163"/>
      <c r="DR42" s="163"/>
      <c r="DS42" s="163"/>
      <c r="DT42" s="163"/>
      <c r="DU42" s="163"/>
      <c r="DV42" s="163"/>
      <c r="DW42" s="163"/>
      <c r="DX42" s="163"/>
      <c r="DY42" s="163"/>
      <c r="DZ42" s="163"/>
      <c r="EA42" s="163"/>
      <c r="EB42" s="163"/>
      <c r="EC42" s="163"/>
      <c r="ED42" s="163"/>
      <c r="EE42" s="163"/>
      <c r="EF42" s="163"/>
      <c r="EG42" s="163"/>
      <c r="EH42" s="160">
        <f>IF([Chambre]*1='CHAMBRES FILLES 2e ETAGE'!$A$5,1,0)</f>
        <v>0</v>
      </c>
      <c r="EI42" s="161">
        <f>IF([Occurrence2]=0,0,SUM($EH$2:EH42))</f>
        <v>0</v>
      </c>
      <c r="EJ42" s="160">
        <f>IF([Chambre]*1='CHAMBRES FILLES 2e ETAGE'!$A$11,1,0)</f>
        <v>0</v>
      </c>
      <c r="EK42" s="160">
        <f>IF([Occurrence3]=0,0,SUM($EJ$2:EJ42))</f>
        <v>0</v>
      </c>
      <c r="EL42" s="160">
        <f>IF([Chambre]*1='CHAMBRES FILLES 2e ETAGE'!$A$17,1,0)</f>
        <v>0</v>
      </c>
      <c r="EM42" s="160">
        <f>IF([Occurrence4]=0,0,SUM($EL$2:EL42))</f>
        <v>0</v>
      </c>
      <c r="EN42" s="160">
        <f>IF([Chambre]*1='CHAMBRES FILLES 2e ETAGE'!$A$23,1,0)</f>
        <v>0</v>
      </c>
      <c r="EO42" s="160">
        <f>IF([Occurrence5]=0,0,SUM($EN$2:EN42))</f>
        <v>0</v>
      </c>
      <c r="EP42" s="160">
        <f>IF([Chambre]*1='CHAMBRES FILLES 2e ETAGE'!$A$29,1,0)</f>
        <v>0</v>
      </c>
      <c r="EQ42" s="160">
        <f>IF([Occurrence6]=0,0,SUM($EP$2:EP42))</f>
        <v>0</v>
      </c>
      <c r="ER42" s="160">
        <f>IF([Chambre]*1='CHAMBRES FILLES 2e ETAGE'!$A$35,1,0)</f>
        <v>0</v>
      </c>
      <c r="ES42" s="160">
        <f>IF([Occurrence7]=0,0,SUM($ER$2:ER42))</f>
        <v>0</v>
      </c>
      <c r="ET42" s="160">
        <f>IF([Chambre]*1='CHAMBRES FILLES 2e ETAGE'!$A$41,1,0)</f>
        <v>0</v>
      </c>
      <c r="EU42" s="160">
        <f>IF([Occurrence8]=0,0,SUM($ET$2:ET42))</f>
        <v>0</v>
      </c>
      <c r="EV42" s="160">
        <f>IF([Chambre]*1='CHAMBRES FILLES 2e ETAGE'!$A$47,1,0)</f>
        <v>0</v>
      </c>
      <c r="EW42" s="160">
        <f>IF([Occurrence9]=0,0,SUM($EV$2:EV42))</f>
        <v>0</v>
      </c>
      <c r="EX42" s="160">
        <f>IF([Chambre]*1='CHAMBRES FILLES 2e ETAGE'!$A$53,1,0)</f>
        <v>0</v>
      </c>
      <c r="EY42" s="160">
        <f>IF([Occurrence10]=0,0,SUM($EX$2:EX42))</f>
        <v>0</v>
      </c>
      <c r="EZ42" s="160">
        <f>IF([Chambre]*1='CHAMBRES FILLES 2e ETAGE'!$A$59,1,0)</f>
        <v>0</v>
      </c>
      <c r="FA42" s="160">
        <f>IF([Occurrence11]=0,0,SUM($EZ$2:EZ42))</f>
        <v>0</v>
      </c>
      <c r="FB42" s="160">
        <f>IF([Chambre]*1='CHAMBRES FILLES 2e ETAGE'!$A$65,1,0)</f>
        <v>0</v>
      </c>
      <c r="FC42" s="160">
        <f>IF([Occurrence12]=0,0,SUM($FB$2:FB42))</f>
        <v>0</v>
      </c>
      <c r="FD42" s="160">
        <f>IF([Chambre]*1='CHAMBRES FILLES 2e ETAGE'!$A$71,1,0)</f>
        <v>0</v>
      </c>
      <c r="FE42" s="160">
        <f>IF([Occurrence13]=0,0,SUM($FD$2:FD42))</f>
        <v>0</v>
      </c>
      <c r="FF42" s="160">
        <f>IF([Chambre]*1='CHAMBRES FILLES 2e ETAGE'!$A$77,1,0)</f>
        <v>0</v>
      </c>
      <c r="FG42" s="160">
        <f>IF([Occurrence14]=0,0,SUM($FF$2:FF42))</f>
        <v>0</v>
      </c>
      <c r="FH42" s="160">
        <f>IF([Chambre]*1='CHAMBRES FILLES 2e ETAGE'!$A$83,1,0)</f>
        <v>0</v>
      </c>
      <c r="FI42" s="160">
        <f>IF([Occurrence15]=0,0,SUM($FH$2:FH42))</f>
        <v>0</v>
      </c>
      <c r="FJ42" s="160">
        <f>IF([Chambre]*1='CHAMBRES FILLES 2e ETAGE'!$A$89,1,0)</f>
        <v>0</v>
      </c>
      <c r="FK42" s="160">
        <f>IF([Occurrence16]=0,0,SUM($FJ$2:FJ42))</f>
        <v>0</v>
      </c>
      <c r="FL42" s="160">
        <f>IF([Chambre]*1='CHAMBRES FILLES 2e ETAGE'!$A$95,1,0)</f>
        <v>0</v>
      </c>
      <c r="FM42" s="160">
        <f>IF([Occurrence17]=0,0,SUM($FL$2:FL42))</f>
        <v>0</v>
      </c>
      <c r="FN42" s="160">
        <f>IF([Chambre2]*1='CHAMBRES FILLES 1e ETAGE'!$A$5,1,0)</f>
        <v>0</v>
      </c>
      <c r="FO42" s="160">
        <f>IF([Occurrence18]=0,0,SUM($FN$2:FN42))</f>
        <v>0</v>
      </c>
      <c r="FP42" s="160">
        <f>IF([Chambre2]*1='CHAMBRES FILLES 1e ETAGE'!$A$11,1,0)</f>
        <v>0</v>
      </c>
      <c r="FQ42" s="160">
        <f>IF([Occurrence19]=0,0,SUM($FP$2:FP42))</f>
        <v>0</v>
      </c>
      <c r="FR42" s="160">
        <f>IF([Chambre2]*1='CHAMBRES FILLES 1e ETAGE'!$A$17,1,0)</f>
        <v>0</v>
      </c>
      <c r="FS42" s="160">
        <f>IF([Occurrence20]=0,0,SUM($FR$2:FR42))</f>
        <v>0</v>
      </c>
      <c r="FT42" s="160">
        <f>IF([Chambre2]*1='CHAMBRES FILLES 1e ETAGE'!$A$23,1,0)</f>
        <v>0</v>
      </c>
      <c r="FU42" s="160">
        <f>IF([Occurrence21]=0,0,SUM($FT$2:FT42))</f>
        <v>0</v>
      </c>
      <c r="FV42" s="160">
        <f>IF([Chambre2]*1='CHAMBRES FILLES 1e ETAGE'!$A$29,1,0)</f>
        <v>0</v>
      </c>
      <c r="FW42" s="160">
        <f>IF([Occurrence22]=0,0,SUM($FV$2:FV42))</f>
        <v>0</v>
      </c>
      <c r="FX42" s="160">
        <f>IF([Chambre2]*1='CHAMBRES FILLES 1e ETAGE'!$A$35,1,0)</f>
        <v>0</v>
      </c>
      <c r="FY42" s="160">
        <f>IF([Occurrence23]=0,0,SUM($FX$2:FX42))</f>
        <v>0</v>
      </c>
      <c r="FZ42" s="160">
        <f>IF([Chambre2]*1='CHAMBRES FILLES 1e ETAGE'!$A$41,1,0)</f>
        <v>0</v>
      </c>
      <c r="GA42" s="160">
        <f>IF([Occurrence24]=0,0,SUM($FZ$2:FZ42))</f>
        <v>0</v>
      </c>
      <c r="GB42" s="160">
        <f>IF([Chambre2]*1='CHAMBRES FILLES 1e ETAGE'!$A$47,1,0)</f>
        <v>0</v>
      </c>
      <c r="GC42" s="160">
        <f>IF([Occurrence25]=0,0,SUM($GB$2:GB42))</f>
        <v>0</v>
      </c>
      <c r="GD42" s="160">
        <f>IF([Chambre2]*1='CHAMBRES FILLES 1e ETAGE'!$A$53,1,0)</f>
        <v>0</v>
      </c>
      <c r="GE42" s="160">
        <f>IF([Occurrence26]=0,0,SUM($GD$2:GD42))</f>
        <v>0</v>
      </c>
      <c r="GF42" s="160">
        <f>IF([chambre4]*1='CHAMBRES GARCONS 1e ETAGE'!$A$5,1,0)</f>
        <v>0</v>
      </c>
      <c r="GG42" s="160">
        <f>IF([Occurrence27]=0,0,SUM($GF$2:GF42))</f>
        <v>0</v>
      </c>
      <c r="GH42" s="160">
        <f>IF([chambre4]*1='CHAMBRES GARCONS 1e ETAGE'!$A$11,1,0)</f>
        <v>0</v>
      </c>
      <c r="GI42" s="160">
        <f>IF([Occurrence28]=0,0,SUM($GH$2:GH42))</f>
        <v>0</v>
      </c>
      <c r="GJ42" s="160">
        <f>IF([chambre4]*1='CHAMBRES GARCONS 1e ETAGE'!$A$17,1,0)</f>
        <v>0</v>
      </c>
      <c r="GK42" s="160">
        <f>IF([Occurrence29]=0,0,SUM($GJ$2:GJ42))</f>
        <v>0</v>
      </c>
      <c r="GL42" s="160">
        <f>IF([chambre4]*1='CHAMBRES GARCONS 1e ETAGE'!$A$23,1,0)</f>
        <v>0</v>
      </c>
      <c r="GM42" s="160">
        <f>IF([Occurrence30]=0,0,SUM($GL$2:GL42))</f>
        <v>0</v>
      </c>
      <c r="GN42" s="160">
        <f>IF([chambre4]*1='CHAMBRES GARCONS 1e ETAGE'!$A$29,1,0)</f>
        <v>0</v>
      </c>
      <c r="GO42" s="160">
        <f>IF([Occurrence31]=0,0,SUM($GN$2:GN42))</f>
        <v>0</v>
      </c>
      <c r="GP42" s="160">
        <f>IF([chambre4]*1='CHAMBRES GARCONS 1e ETAGE'!$A$35,1,0)</f>
        <v>0</v>
      </c>
      <c r="GQ42" s="160">
        <f>IF([Occurrence32]=0,0,SUM($GP$2:GP42))</f>
        <v>0</v>
      </c>
      <c r="GR42" s="160">
        <f>IF([chambre3]*1='CHAMBRES GARCONS RDC'!$A$5,1,0)</f>
        <v>0</v>
      </c>
      <c r="GS42" s="160">
        <f>IF([Occurrence33]=0,0,SUM($GR$2:GR42))</f>
        <v>0</v>
      </c>
      <c r="GT42" s="160">
        <f>IF([chambre3]*1='CHAMBRES GARCONS RDC'!$A$11,1,0)</f>
        <v>0</v>
      </c>
      <c r="GU42" s="160">
        <f>IF([Occurrence34]=0,0,SUM($GT$2:GT42))</f>
        <v>0</v>
      </c>
      <c r="GV42" s="160">
        <f>IF([chambre3]*1='CHAMBRES GARCONS RDC'!$A$17,1,0)</f>
        <v>0</v>
      </c>
      <c r="GW42" s="160">
        <f>IF([Occurrence35]=0,0,SUM($GV$2:GV42))</f>
        <v>0</v>
      </c>
      <c r="GX42" s="160">
        <f>IF([chambre3]*1='CHAMBRES GARCONS RDC'!$A$23,1,0)</f>
        <v>0</v>
      </c>
      <c r="GY42" s="160">
        <f>IF([Occurrence36]=0,0,SUM($GX$2:GX42))</f>
        <v>0</v>
      </c>
      <c r="GZ42" s="160">
        <f>IF([chambre3]*1='CHAMBRES GARCONS RDC'!$A$29,1,0)</f>
        <v>0</v>
      </c>
      <c r="HA42" s="160">
        <f>IF([Occurrence37]=0,0,SUM($GZ$2:GZ42))</f>
        <v>0</v>
      </c>
      <c r="HB42" s="160">
        <f>IF([chambre3]*1='CHAMBRES GARCONS RDC'!$A$35,1,0)</f>
        <v>0</v>
      </c>
      <c r="HC42" s="160">
        <f>IF([Occurrence38]=0,0,SUM($HB$2:HB42))</f>
        <v>0</v>
      </c>
      <c r="HD42" s="160">
        <f>IF([chambre3]*1='CHAMBRES GARCONS RDC'!$A$41,1,0)</f>
        <v>0</v>
      </c>
      <c r="HE42" s="160">
        <f>IF([Occurrence39]=0,0,SUM($HD$2:HD42))</f>
        <v>0</v>
      </c>
      <c r="HF42" s="160">
        <f>IF([chambre3]*1='CHAMBRES GARCONS RDC'!$A$47,1,0)</f>
        <v>0</v>
      </c>
      <c r="HG42" s="160">
        <f>IF([Occurrence40]=0,0,SUM($HF$2:HF42))</f>
        <v>0</v>
      </c>
      <c r="HH42" s="160">
        <f>IF([chambre3]*1='CHAMBRES GARCONS RDC'!$A$53,1,0)</f>
        <v>0</v>
      </c>
      <c r="HI42" s="160">
        <f>IF([Occurrence41]=0,0,SUM($HH$2:HH42))</f>
        <v>0</v>
      </c>
      <c r="HJ42" s="160">
        <f>IF([chambre3]*1='CHAMBRES GARCONS RDC'!$A$59,1,0)</f>
        <v>0</v>
      </c>
      <c r="HK42" s="160">
        <f>IF([Occurrence42]=0,0,SUM($HJ$2:HJ42))</f>
        <v>0</v>
      </c>
      <c r="HL42" s="160">
        <f>IF([chambre3]*1='CHAMBRES GARCONS RDC'!$A$65,1,0)</f>
        <v>0</v>
      </c>
      <c r="HM42" s="160">
        <f>IF([Occurrence43]=0,0,SUM($HL$2:HL42))</f>
        <v>0</v>
      </c>
      <c r="HN42" s="160">
        <f>IF([chambre3]*1='CHAMBRES GARCONS RDC'!$A$71,1,0)</f>
        <v>0</v>
      </c>
      <c r="HO42" s="160">
        <f>IF([Occurrence44]=0,0,SUM($HN$2:HN42))</f>
        <v>0</v>
      </c>
      <c r="HP42" s="160">
        <f>IF([chambre3]*1='CHAMBRES GARCONS RDC'!$A$77,1,0)</f>
        <v>0</v>
      </c>
      <c r="HQ42" s="160">
        <f>IF([Occurrence45]=0,0,SUM($HP$2:HP42))</f>
        <v>0</v>
      </c>
      <c r="HR42" s="160">
        <f>IF([chambre3]*1='CHAMBRES GARCONS RDC'!$A$83,1,0)</f>
        <v>0</v>
      </c>
      <c r="HS42" s="160">
        <f>IF([Occurrence46]=0,0,SUM($HR$2:HR42))</f>
        <v>0</v>
      </c>
      <c r="HT42" s="160">
        <f>IF([chambre3]*1='CHAMBRES GARCONS RDC'!$A$89,1,0)</f>
        <v>0</v>
      </c>
      <c r="HU42" s="160">
        <f>IF([Occurrence47]=0,0,SUM($HT$2:HT42))</f>
        <v>0</v>
      </c>
      <c r="HV42" s="160">
        <f>IF([chambre3]*1='CHAMBRES GARCONS RDC'!$A$95,1,0)</f>
        <v>0</v>
      </c>
      <c r="HW42" s="160">
        <f>IF([Occurrence48]=0,0,SUM($HV$2:HV42))</f>
        <v>0</v>
      </c>
      <c r="HX42" s="160"/>
      <c r="HY42" s="160"/>
      <c r="HZ42" s="160">
        <f>IF([Classe]='Liste élève par classes'!$B$5,1,0)</f>
        <v>0</v>
      </c>
      <c r="IA42" s="160">
        <f>IF([Occurrence]=0,0,SUM($HZ$2:HZ42))</f>
        <v>0</v>
      </c>
      <c r="IB4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42" s="208"/>
    </row>
    <row r="43" spans="1:237">
      <c r="A43" t="s">
        <v>322</v>
      </c>
      <c r="B43" t="s">
        <v>323</v>
      </c>
      <c r="C43" s="158">
        <v>36991</v>
      </c>
      <c r="D43" s="62">
        <f t="shared" ca="1" si="0"/>
        <v>16</v>
      </c>
      <c r="E43" t="s">
        <v>6</v>
      </c>
      <c r="F43" s="159" t="s">
        <v>50</v>
      </c>
      <c r="G43" t="s">
        <v>40</v>
      </c>
      <c r="H43" s="160"/>
      <c r="I43" s="62"/>
      <c r="J43" s="62"/>
      <c r="K43" s="62"/>
      <c r="L43" s="61"/>
      <c r="M43">
        <v>56</v>
      </c>
      <c r="N43" s="62"/>
      <c r="O43" s="62"/>
      <c r="P43" s="62"/>
      <c r="Q43" s="62"/>
      <c r="R43" s="62"/>
      <c r="S43" s="191"/>
      <c r="T43" s="62"/>
      <c r="U43" s="61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163"/>
      <c r="AG43" s="163"/>
      <c r="AH43" s="163"/>
      <c r="AI43" s="163"/>
      <c r="AJ43" s="163"/>
      <c r="AK43" s="163"/>
      <c r="AL43" s="163"/>
      <c r="AM43" s="163"/>
      <c r="AN43" s="163"/>
      <c r="AO43" s="163"/>
      <c r="AP43" s="163"/>
      <c r="AQ43" s="163"/>
      <c r="AR43" s="163"/>
      <c r="AS43" s="163"/>
      <c r="AT43" s="163"/>
      <c r="AU43" s="163"/>
      <c r="AV43" s="163"/>
      <c r="AW43" s="163"/>
      <c r="AX43" s="163"/>
      <c r="AY43" s="163"/>
      <c r="AZ43" s="163"/>
      <c r="BA43" s="163"/>
      <c r="BB43" s="163"/>
      <c r="BC43" s="163" t="b">
        <v>0</v>
      </c>
      <c r="BD43" s="163" t="b">
        <v>1</v>
      </c>
      <c r="BE43" s="163" t="b">
        <v>1</v>
      </c>
      <c r="BF43" s="163" t="b">
        <v>0</v>
      </c>
      <c r="BG43" s="164" t="b">
        <v>0</v>
      </c>
      <c r="BH43" s="163" t="b">
        <v>1</v>
      </c>
      <c r="BI43" s="163"/>
      <c r="BJ43" s="163"/>
      <c r="BK43" s="163"/>
      <c r="BL43" s="163"/>
      <c r="BM43" s="163"/>
      <c r="BN43" s="163"/>
      <c r="BO43" s="163"/>
      <c r="BP43" s="163"/>
      <c r="BQ43" s="163" t="b">
        <v>0</v>
      </c>
      <c r="BR43" s="163"/>
      <c r="BS43" s="163"/>
      <c r="BT43" s="163"/>
      <c r="BU43" s="163"/>
      <c r="BV43" s="163"/>
      <c r="BW43" s="163"/>
      <c r="BX43" s="163"/>
      <c r="BY43" s="163"/>
      <c r="BZ43" s="163"/>
      <c r="CA43" s="163"/>
      <c r="CB43" s="163"/>
      <c r="CC43" s="163"/>
      <c r="CD43" s="163"/>
      <c r="CE43" s="163"/>
      <c r="CF43" s="163"/>
      <c r="CG43" s="163"/>
      <c r="CH43" s="163"/>
      <c r="CI43" s="163"/>
      <c r="CJ43" s="163"/>
      <c r="CK43" s="163"/>
      <c r="CL43" s="163"/>
      <c r="CM43" s="163"/>
      <c r="CN43" s="163"/>
      <c r="CO43" s="163"/>
      <c r="CP43" s="163"/>
      <c r="CQ43" s="163"/>
      <c r="CR43" s="163"/>
      <c r="CS43" s="163"/>
      <c r="CT43" s="163"/>
      <c r="CU43" s="163"/>
      <c r="CV43" s="163"/>
      <c r="CW43" s="163"/>
      <c r="CX43" s="163"/>
      <c r="CY43" s="163"/>
      <c r="CZ43" s="163"/>
      <c r="DA43" s="163">
        <v>113</v>
      </c>
      <c r="DB43" s="163"/>
      <c r="DC43" s="163"/>
      <c r="DD43" s="163"/>
      <c r="DE43" s="163"/>
      <c r="DF43" s="163"/>
      <c r="DG43" s="208"/>
      <c r="DH43" s="163"/>
      <c r="DI43" s="163"/>
      <c r="DJ43" s="163"/>
      <c r="DK43" s="163"/>
      <c r="DL43" s="163"/>
      <c r="DM43" s="163"/>
      <c r="DN43" s="163"/>
      <c r="DO43" s="163"/>
      <c r="DP43" s="163"/>
      <c r="DQ43" s="163"/>
      <c r="DR43" s="163"/>
      <c r="DS43" s="163"/>
      <c r="DT43" s="163"/>
      <c r="DU43" s="163"/>
      <c r="DV43" s="163"/>
      <c r="DW43" s="163"/>
      <c r="DX43" s="163"/>
      <c r="DY43" s="163"/>
      <c r="DZ43" s="163"/>
      <c r="EA43" s="163"/>
      <c r="EB43" s="163"/>
      <c r="EC43" s="163"/>
      <c r="ED43" s="163"/>
      <c r="EE43" s="163"/>
      <c r="EF43" s="163"/>
      <c r="EG43" s="163"/>
      <c r="EH43" s="160">
        <f>IF([Chambre]*1='CHAMBRES FILLES 2e ETAGE'!$A$5,1,0)</f>
        <v>0</v>
      </c>
      <c r="EI43" s="161">
        <f>IF([Occurrence2]=0,0,SUM($EH$2:EH43))</f>
        <v>0</v>
      </c>
      <c r="EJ43" s="160">
        <f>IF([Chambre]*1='CHAMBRES FILLES 2e ETAGE'!$A$11,1,0)</f>
        <v>0</v>
      </c>
      <c r="EK43" s="160">
        <f>IF([Occurrence3]=0,0,SUM($EJ$2:EJ43))</f>
        <v>0</v>
      </c>
      <c r="EL43" s="160">
        <f>IF([Chambre]*1='CHAMBRES FILLES 2e ETAGE'!$A$17,1,0)</f>
        <v>0</v>
      </c>
      <c r="EM43" s="160">
        <f>IF([Occurrence4]=0,0,SUM($EL$2:EL43))</f>
        <v>0</v>
      </c>
      <c r="EN43" s="160">
        <f>IF([Chambre]*1='CHAMBRES FILLES 2e ETAGE'!$A$23,1,0)</f>
        <v>0</v>
      </c>
      <c r="EO43" s="160">
        <f>IF([Occurrence5]=0,0,SUM($EN$2:EN43))</f>
        <v>0</v>
      </c>
      <c r="EP43" s="160">
        <f>IF([Chambre]*1='CHAMBRES FILLES 2e ETAGE'!$A$29,1,0)</f>
        <v>0</v>
      </c>
      <c r="EQ43" s="160">
        <f>IF([Occurrence6]=0,0,SUM($EP$2:EP43))</f>
        <v>0</v>
      </c>
      <c r="ER43" s="160">
        <f>IF([Chambre]*1='CHAMBRES FILLES 2e ETAGE'!$A$35,1,0)</f>
        <v>0</v>
      </c>
      <c r="ES43" s="160">
        <f>IF([Occurrence7]=0,0,SUM($ER$2:ER43))</f>
        <v>0</v>
      </c>
      <c r="ET43" s="160">
        <f>IF([Chambre]*1='CHAMBRES FILLES 2e ETAGE'!$A$41,1,0)</f>
        <v>0</v>
      </c>
      <c r="EU43" s="160">
        <f>IF([Occurrence8]=0,0,SUM($ET$2:ET43))</f>
        <v>0</v>
      </c>
      <c r="EV43" s="160">
        <f>IF([Chambre]*1='CHAMBRES FILLES 2e ETAGE'!$A$47,1,0)</f>
        <v>0</v>
      </c>
      <c r="EW43" s="160">
        <f>IF([Occurrence9]=0,0,SUM($EV$2:EV43))</f>
        <v>0</v>
      </c>
      <c r="EX43" s="160">
        <f>IF([Chambre]*1='CHAMBRES FILLES 2e ETAGE'!$A$53,1,0)</f>
        <v>0</v>
      </c>
      <c r="EY43" s="160">
        <f>IF([Occurrence10]=0,0,SUM($EX$2:EX43))</f>
        <v>0</v>
      </c>
      <c r="EZ43" s="160">
        <f>IF([Chambre]*1='CHAMBRES FILLES 2e ETAGE'!$A$59,1,0)</f>
        <v>0</v>
      </c>
      <c r="FA43" s="160">
        <f>IF([Occurrence11]=0,0,SUM($EZ$2:EZ43))</f>
        <v>0</v>
      </c>
      <c r="FB43" s="160">
        <f>IF([Chambre]*1='CHAMBRES FILLES 2e ETAGE'!$A$65,1,0)</f>
        <v>0</v>
      </c>
      <c r="FC43" s="160">
        <f>IF([Occurrence12]=0,0,SUM($FB$2:FB43))</f>
        <v>0</v>
      </c>
      <c r="FD43" s="160">
        <f>IF([Chambre]*1='CHAMBRES FILLES 2e ETAGE'!$A$71,1,0)</f>
        <v>0</v>
      </c>
      <c r="FE43" s="160">
        <f>IF([Occurrence13]=0,0,SUM($FD$2:FD43))</f>
        <v>0</v>
      </c>
      <c r="FF43" s="160">
        <f>IF([Chambre]*1='CHAMBRES FILLES 2e ETAGE'!$A$77,1,0)</f>
        <v>0</v>
      </c>
      <c r="FG43" s="160">
        <f>IF([Occurrence14]=0,0,SUM($FF$2:FF43))</f>
        <v>0</v>
      </c>
      <c r="FH43" s="160">
        <f>IF([Chambre]*1='CHAMBRES FILLES 2e ETAGE'!$A$83,1,0)</f>
        <v>0</v>
      </c>
      <c r="FI43" s="160">
        <f>IF([Occurrence15]=0,0,SUM($FH$2:FH43))</f>
        <v>0</v>
      </c>
      <c r="FJ43" s="160">
        <f>IF([Chambre]*1='CHAMBRES FILLES 2e ETAGE'!$A$89,1,0)</f>
        <v>0</v>
      </c>
      <c r="FK43" s="160">
        <f>IF([Occurrence16]=0,0,SUM($FJ$2:FJ43))</f>
        <v>0</v>
      </c>
      <c r="FL43" s="160">
        <f>IF([Chambre]*1='CHAMBRES FILLES 2e ETAGE'!$A$95,1,0)</f>
        <v>0</v>
      </c>
      <c r="FM43" s="160">
        <f>IF([Occurrence17]=0,0,SUM($FL$2:FL43))</f>
        <v>0</v>
      </c>
      <c r="FN43" s="160">
        <f>IF([Chambre2]*1='CHAMBRES FILLES 1e ETAGE'!$A$5,1,0)</f>
        <v>0</v>
      </c>
      <c r="FO43" s="160">
        <f>IF([Occurrence18]=0,0,SUM($FN$2:FN43))</f>
        <v>0</v>
      </c>
      <c r="FP43" s="160">
        <f>IF([Chambre2]*1='CHAMBRES FILLES 1e ETAGE'!$A$11,1,0)</f>
        <v>0</v>
      </c>
      <c r="FQ43" s="160">
        <f>IF([Occurrence19]=0,0,SUM($FP$2:FP43))</f>
        <v>0</v>
      </c>
      <c r="FR43" s="160">
        <f>IF([Chambre2]*1='CHAMBRES FILLES 1e ETAGE'!$A$17,1,0)</f>
        <v>0</v>
      </c>
      <c r="FS43" s="160">
        <f>IF([Occurrence20]=0,0,SUM($FR$2:FR43))</f>
        <v>0</v>
      </c>
      <c r="FT43" s="160">
        <f>IF([Chambre2]*1='CHAMBRES FILLES 1e ETAGE'!$A$23,1,0)</f>
        <v>0</v>
      </c>
      <c r="FU43" s="160">
        <f>IF([Occurrence21]=0,0,SUM($FT$2:FT43))</f>
        <v>0</v>
      </c>
      <c r="FV43" s="160">
        <f>IF([Chambre2]*1='CHAMBRES FILLES 1e ETAGE'!$A$29,1,0)</f>
        <v>0</v>
      </c>
      <c r="FW43" s="160">
        <f>IF([Occurrence22]=0,0,SUM($FV$2:FV43))</f>
        <v>0</v>
      </c>
      <c r="FX43" s="160">
        <f>IF([Chambre2]*1='CHAMBRES FILLES 1e ETAGE'!$A$35,1,0)</f>
        <v>0</v>
      </c>
      <c r="FY43" s="160">
        <f>IF([Occurrence23]=0,0,SUM($FX$2:FX43))</f>
        <v>0</v>
      </c>
      <c r="FZ43" s="160">
        <f>IF([Chambre2]*1='CHAMBRES FILLES 1e ETAGE'!$A$41,1,0)</f>
        <v>0</v>
      </c>
      <c r="GA43" s="160">
        <f>IF([Occurrence24]=0,0,SUM($FZ$2:FZ43))</f>
        <v>0</v>
      </c>
      <c r="GB43" s="160">
        <f>IF([Chambre2]*1='CHAMBRES FILLES 1e ETAGE'!$A$47,1,0)</f>
        <v>0</v>
      </c>
      <c r="GC43" s="160">
        <f>IF([Occurrence25]=0,0,SUM($GB$2:GB43))</f>
        <v>0</v>
      </c>
      <c r="GD43" s="160">
        <f>IF([Chambre2]*1='CHAMBRES FILLES 1e ETAGE'!$A$53,1,0)</f>
        <v>0</v>
      </c>
      <c r="GE43" s="160">
        <f>IF([Occurrence26]=0,0,SUM($GD$2:GD43))</f>
        <v>0</v>
      </c>
      <c r="GF43" s="160">
        <f>IF([chambre4]*1='CHAMBRES GARCONS 1e ETAGE'!$A$5,1,0)</f>
        <v>0</v>
      </c>
      <c r="GG43" s="160">
        <f>IF([Occurrence27]=0,0,SUM($GF$2:GF43))</f>
        <v>0</v>
      </c>
      <c r="GH43" s="160">
        <f>IF([chambre4]*1='CHAMBRES GARCONS 1e ETAGE'!$A$11,1,0)</f>
        <v>0</v>
      </c>
      <c r="GI43" s="160">
        <f>IF([Occurrence28]=0,0,SUM($GH$2:GH43))</f>
        <v>0</v>
      </c>
      <c r="GJ43" s="160">
        <f>IF([chambre4]*1='CHAMBRES GARCONS 1e ETAGE'!$A$17,1,0)</f>
        <v>0</v>
      </c>
      <c r="GK43" s="160">
        <f>IF([Occurrence29]=0,0,SUM($GJ$2:GJ43))</f>
        <v>0</v>
      </c>
      <c r="GL43" s="160">
        <f>IF([chambre4]*1='CHAMBRES GARCONS 1e ETAGE'!$A$23,1,0)</f>
        <v>0</v>
      </c>
      <c r="GM43" s="160">
        <f>IF([Occurrence30]=0,0,SUM($GL$2:GL43))</f>
        <v>0</v>
      </c>
      <c r="GN43" s="160">
        <f>IF([chambre4]*1='CHAMBRES GARCONS 1e ETAGE'!$A$29,1,0)</f>
        <v>0</v>
      </c>
      <c r="GO43" s="160">
        <f>IF([Occurrence31]=0,0,SUM($GN$2:GN43))</f>
        <v>0</v>
      </c>
      <c r="GP43" s="160">
        <f>IF([chambre4]*1='CHAMBRES GARCONS 1e ETAGE'!$A$35,1,0)</f>
        <v>0</v>
      </c>
      <c r="GQ43" s="160">
        <f>IF([Occurrence32]=0,0,SUM($GP$2:GP43))</f>
        <v>0</v>
      </c>
      <c r="GR43" s="160">
        <f>IF([chambre3]*1='CHAMBRES GARCONS RDC'!$A$5,1,0)</f>
        <v>0</v>
      </c>
      <c r="GS43" s="160">
        <f>IF([Occurrence33]=0,0,SUM($GR$2:GR43))</f>
        <v>0</v>
      </c>
      <c r="GT43" s="160">
        <f>IF([chambre3]*1='CHAMBRES GARCONS RDC'!$A$11,1,0)</f>
        <v>0</v>
      </c>
      <c r="GU43" s="160">
        <f>IF([Occurrence34]=0,0,SUM($GT$2:GT43))</f>
        <v>0</v>
      </c>
      <c r="GV43" s="160">
        <f>IF([chambre3]*1='CHAMBRES GARCONS RDC'!$A$17,1,0)</f>
        <v>0</v>
      </c>
      <c r="GW43" s="160">
        <f>IF([Occurrence35]=0,0,SUM($GV$2:GV43))</f>
        <v>0</v>
      </c>
      <c r="GX43" s="160">
        <f>IF([chambre3]*1='CHAMBRES GARCONS RDC'!$A$23,1,0)</f>
        <v>0</v>
      </c>
      <c r="GY43" s="160">
        <f>IF([Occurrence36]=0,0,SUM($GX$2:GX43))</f>
        <v>0</v>
      </c>
      <c r="GZ43" s="160">
        <f>IF([chambre3]*1='CHAMBRES GARCONS RDC'!$A$29,1,0)</f>
        <v>1</v>
      </c>
      <c r="HA43" s="160">
        <f>IF([Occurrence37]=0,0,SUM($GZ$2:GZ43))</f>
        <v>1</v>
      </c>
      <c r="HB43" s="160">
        <f>IF([chambre3]*1='CHAMBRES GARCONS RDC'!$A$35,1,0)</f>
        <v>0</v>
      </c>
      <c r="HC43" s="160">
        <f>IF([Occurrence38]=0,0,SUM($HB$2:HB43))</f>
        <v>0</v>
      </c>
      <c r="HD43" s="160">
        <f>IF([chambre3]*1='CHAMBRES GARCONS RDC'!$A$41,1,0)</f>
        <v>0</v>
      </c>
      <c r="HE43" s="160">
        <f>IF([Occurrence39]=0,0,SUM($HD$2:HD43))</f>
        <v>0</v>
      </c>
      <c r="HF43" s="160">
        <f>IF([chambre3]*1='CHAMBRES GARCONS RDC'!$A$47,1,0)</f>
        <v>0</v>
      </c>
      <c r="HG43" s="160">
        <f>IF([Occurrence40]=0,0,SUM($HF$2:HF43))</f>
        <v>0</v>
      </c>
      <c r="HH43" s="160">
        <f>IF([chambre3]*1='CHAMBRES GARCONS RDC'!$A$53,1,0)</f>
        <v>0</v>
      </c>
      <c r="HI43" s="160">
        <f>IF([Occurrence41]=0,0,SUM($HH$2:HH43))</f>
        <v>0</v>
      </c>
      <c r="HJ43" s="160">
        <f>IF([chambre3]*1='CHAMBRES GARCONS RDC'!$A$59,1,0)</f>
        <v>0</v>
      </c>
      <c r="HK43" s="160">
        <f>IF([Occurrence42]=0,0,SUM($HJ$2:HJ43))</f>
        <v>0</v>
      </c>
      <c r="HL43" s="160">
        <f>IF([chambre3]*1='CHAMBRES GARCONS RDC'!$A$65,1,0)</f>
        <v>0</v>
      </c>
      <c r="HM43" s="160">
        <f>IF([Occurrence43]=0,0,SUM($HL$2:HL43))</f>
        <v>0</v>
      </c>
      <c r="HN43" s="160">
        <f>IF([chambre3]*1='CHAMBRES GARCONS RDC'!$A$71,1,0)</f>
        <v>0</v>
      </c>
      <c r="HO43" s="160">
        <f>IF([Occurrence44]=0,0,SUM($HN$2:HN43))</f>
        <v>0</v>
      </c>
      <c r="HP43" s="160">
        <f>IF([chambre3]*1='CHAMBRES GARCONS RDC'!$A$77,1,0)</f>
        <v>0</v>
      </c>
      <c r="HQ43" s="160">
        <f>IF([Occurrence45]=0,0,SUM($HP$2:HP43))</f>
        <v>0</v>
      </c>
      <c r="HR43" s="160">
        <f>IF([chambre3]*1='CHAMBRES GARCONS RDC'!$A$83,1,0)</f>
        <v>0</v>
      </c>
      <c r="HS43" s="160">
        <f>IF([Occurrence46]=0,0,SUM($HR$2:HR43))</f>
        <v>0</v>
      </c>
      <c r="HT43" s="160">
        <f>IF([chambre3]*1='CHAMBRES GARCONS RDC'!$A$89,1,0)</f>
        <v>0</v>
      </c>
      <c r="HU43" s="160">
        <f>IF([Occurrence47]=0,0,SUM($HT$2:HT43))</f>
        <v>0</v>
      </c>
      <c r="HV43" s="160">
        <f>IF([chambre3]*1='CHAMBRES GARCONS RDC'!$A$95,1,0)</f>
        <v>0</v>
      </c>
      <c r="HW43" s="160">
        <f>IF([Occurrence48]=0,0,SUM($HV$2:HV43))</f>
        <v>0</v>
      </c>
      <c r="HX43" s="160"/>
      <c r="HY43" s="160"/>
      <c r="HZ43" s="160">
        <f>IF([Classe]='Liste élève par classes'!$B$5,1,0)</f>
        <v>0</v>
      </c>
      <c r="IA43" s="160">
        <f>IF([Occurrence]=0,0,SUM($HZ$2:HZ43))</f>
        <v>0</v>
      </c>
      <c r="IB4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113</v>
      </c>
      <c r="IC43" s="208"/>
    </row>
    <row r="44" spans="1:237">
      <c r="A44" t="s">
        <v>324</v>
      </c>
      <c r="B44" t="s">
        <v>253</v>
      </c>
      <c r="C44" s="158">
        <v>36521</v>
      </c>
      <c r="D44" s="62">
        <f t="shared" ca="1" si="0"/>
        <v>17</v>
      </c>
      <c r="E44" t="s">
        <v>3</v>
      </c>
      <c r="F44" s="165" t="s">
        <v>46</v>
      </c>
      <c r="G44" t="s">
        <v>40</v>
      </c>
      <c r="H44" s="160"/>
      <c r="I44" s="62"/>
      <c r="J44" s="62"/>
      <c r="K44" s="62"/>
      <c r="L44" s="61"/>
      <c r="M44" s="62"/>
      <c r="N44" s="62"/>
      <c r="O44" s="62"/>
      <c r="P44" s="62"/>
      <c r="Q44" s="62"/>
      <c r="R44" s="62"/>
      <c r="S44" s="62"/>
      <c r="T44" s="62"/>
      <c r="U44" s="61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163"/>
      <c r="AG44" s="163"/>
      <c r="AH44" s="163"/>
      <c r="AI44" s="163"/>
      <c r="AJ44" s="163"/>
      <c r="AK44" s="163"/>
      <c r="AL44" s="163"/>
      <c r="AM44" s="163"/>
      <c r="AN44" s="163"/>
      <c r="AO44" s="163"/>
      <c r="AP44" s="163"/>
      <c r="AQ44" s="163"/>
      <c r="AR44" s="163"/>
      <c r="AS44" s="163"/>
      <c r="AT44" s="163"/>
      <c r="AU44" s="163"/>
      <c r="AV44" s="163"/>
      <c r="AW44" s="163"/>
      <c r="AX44" s="163"/>
      <c r="AY44" s="163"/>
      <c r="AZ44" s="163"/>
      <c r="BA44" s="163"/>
      <c r="BB44" s="163"/>
      <c r="BC44" s="163" t="b">
        <v>0</v>
      </c>
      <c r="BD44" s="163" t="b">
        <v>0</v>
      </c>
      <c r="BE44" s="163" t="b">
        <v>0</v>
      </c>
      <c r="BF44" s="163" t="b">
        <v>0</v>
      </c>
      <c r="BG44" s="163" t="b">
        <v>0</v>
      </c>
      <c r="BH44" s="163" t="b">
        <v>0</v>
      </c>
      <c r="BI44" s="163" t="b">
        <v>1</v>
      </c>
      <c r="BJ44" s="163" t="b">
        <v>0</v>
      </c>
      <c r="BK44" s="163" t="b">
        <v>0</v>
      </c>
      <c r="BL44" s="163" t="b">
        <v>0</v>
      </c>
      <c r="BM44" s="163"/>
      <c r="BN44" s="163"/>
      <c r="BO44" s="163"/>
      <c r="BP44" s="163"/>
      <c r="BQ44" s="163"/>
      <c r="BR44" s="163"/>
      <c r="BS44" s="163"/>
      <c r="BT44" s="163"/>
      <c r="BU44" s="163"/>
      <c r="BV44" s="163"/>
      <c r="BW44" s="163"/>
      <c r="BX44" s="163"/>
      <c r="BY44" s="163"/>
      <c r="BZ44" s="163"/>
      <c r="CA44" s="163"/>
      <c r="CB44" s="163"/>
      <c r="CC44" s="163"/>
      <c r="CD44" s="163"/>
      <c r="CE44" s="163"/>
      <c r="CF44" s="163"/>
      <c r="CG44" s="163"/>
      <c r="CH44" s="163"/>
      <c r="CI44" s="163"/>
      <c r="CJ44" s="163"/>
      <c r="CK44" s="163"/>
      <c r="CL44" s="163"/>
      <c r="CM44" s="163"/>
      <c r="CN44" s="163"/>
      <c r="CO44" s="163"/>
      <c r="CP44" s="163"/>
      <c r="CQ44" s="163"/>
      <c r="CR44" s="163"/>
      <c r="CS44" s="163"/>
      <c r="CT44" s="163"/>
      <c r="CU44" s="163"/>
      <c r="CV44" s="163"/>
      <c r="CW44" s="163"/>
      <c r="CX44" s="163"/>
      <c r="CY44" s="163"/>
      <c r="CZ44" s="163"/>
      <c r="DA44" s="163"/>
      <c r="DB44" s="163"/>
      <c r="DC44" s="163"/>
      <c r="DD44" s="163"/>
      <c r="DE44" s="163"/>
      <c r="DF44" s="163"/>
      <c r="DG44" s="163"/>
      <c r="DH44" s="163"/>
      <c r="DI44" s="163"/>
      <c r="DJ44" s="163"/>
      <c r="DK44" s="163"/>
      <c r="DL44" s="163"/>
      <c r="DM44" s="163"/>
      <c r="DN44" s="163"/>
      <c r="DO44" s="163"/>
      <c r="DP44" s="163"/>
      <c r="DQ44" s="163"/>
      <c r="DR44" s="163"/>
      <c r="DS44" s="163"/>
      <c r="DT44" s="163"/>
      <c r="DU44" s="163"/>
      <c r="DV44" s="163"/>
      <c r="DW44" s="163"/>
      <c r="DX44" s="163"/>
      <c r="DY44" s="163"/>
      <c r="DZ44" s="163"/>
      <c r="EA44" s="163"/>
      <c r="EB44" s="163"/>
      <c r="EC44" s="163"/>
      <c r="ED44" s="163"/>
      <c r="EE44" s="163"/>
      <c r="EF44" s="163"/>
      <c r="EG44" s="163"/>
      <c r="EH44" s="160">
        <f>IF([Chambre]*1='CHAMBRES FILLES 2e ETAGE'!$A$5,1,0)</f>
        <v>0</v>
      </c>
      <c r="EI44" s="161">
        <f>IF([Occurrence2]=0,0,SUM($EH$2:EH44))</f>
        <v>0</v>
      </c>
      <c r="EJ44" s="160">
        <f>IF([Chambre]*1='CHAMBRES FILLES 2e ETAGE'!$A$11,1,0)</f>
        <v>0</v>
      </c>
      <c r="EK44" s="160">
        <f>IF([Occurrence3]=0,0,SUM($EJ$2:EJ44))</f>
        <v>0</v>
      </c>
      <c r="EL44" s="160">
        <f>IF([Chambre]*1='CHAMBRES FILLES 2e ETAGE'!$A$17,1,0)</f>
        <v>0</v>
      </c>
      <c r="EM44" s="160">
        <f>IF([Occurrence4]=0,0,SUM($EL$2:EL44))</f>
        <v>0</v>
      </c>
      <c r="EN44" s="160">
        <f>IF([Chambre]*1='CHAMBRES FILLES 2e ETAGE'!$A$23,1,0)</f>
        <v>0</v>
      </c>
      <c r="EO44" s="160">
        <f>IF([Occurrence5]=0,0,SUM($EN$2:EN44))</f>
        <v>0</v>
      </c>
      <c r="EP44" s="160">
        <f>IF([Chambre]*1='CHAMBRES FILLES 2e ETAGE'!$A$29,1,0)</f>
        <v>0</v>
      </c>
      <c r="EQ44" s="160">
        <f>IF([Occurrence6]=0,0,SUM($EP$2:EP44))</f>
        <v>0</v>
      </c>
      <c r="ER44" s="160">
        <f>IF([Chambre]*1='CHAMBRES FILLES 2e ETAGE'!$A$35,1,0)</f>
        <v>0</v>
      </c>
      <c r="ES44" s="160">
        <f>IF([Occurrence7]=0,0,SUM($ER$2:ER44))</f>
        <v>0</v>
      </c>
      <c r="ET44" s="160">
        <f>IF([Chambre]*1='CHAMBRES FILLES 2e ETAGE'!$A$41,1,0)</f>
        <v>0</v>
      </c>
      <c r="EU44" s="160">
        <f>IF([Occurrence8]=0,0,SUM($ET$2:ET44))</f>
        <v>0</v>
      </c>
      <c r="EV44" s="160">
        <f>IF([Chambre]*1='CHAMBRES FILLES 2e ETAGE'!$A$47,1,0)</f>
        <v>0</v>
      </c>
      <c r="EW44" s="160">
        <f>IF([Occurrence9]=0,0,SUM($EV$2:EV44))</f>
        <v>0</v>
      </c>
      <c r="EX44" s="160">
        <f>IF([Chambre]*1='CHAMBRES FILLES 2e ETAGE'!$A$53,1,0)</f>
        <v>0</v>
      </c>
      <c r="EY44" s="160">
        <f>IF([Occurrence10]=0,0,SUM($EX$2:EX44))</f>
        <v>0</v>
      </c>
      <c r="EZ44" s="160">
        <f>IF([Chambre]*1='CHAMBRES FILLES 2e ETAGE'!$A$59,1,0)</f>
        <v>0</v>
      </c>
      <c r="FA44" s="160">
        <f>IF([Occurrence11]=0,0,SUM($EZ$2:EZ44))</f>
        <v>0</v>
      </c>
      <c r="FB44" s="160">
        <f>IF([Chambre]*1='CHAMBRES FILLES 2e ETAGE'!$A$65,1,0)</f>
        <v>0</v>
      </c>
      <c r="FC44" s="160">
        <f>IF([Occurrence12]=0,0,SUM($FB$2:FB44))</f>
        <v>0</v>
      </c>
      <c r="FD44" s="160">
        <f>IF([Chambre]*1='CHAMBRES FILLES 2e ETAGE'!$A$71,1,0)</f>
        <v>0</v>
      </c>
      <c r="FE44" s="160">
        <f>IF([Occurrence13]=0,0,SUM($FD$2:FD44))</f>
        <v>0</v>
      </c>
      <c r="FF44" s="160">
        <f>IF([Chambre]*1='CHAMBRES FILLES 2e ETAGE'!$A$77,1,0)</f>
        <v>0</v>
      </c>
      <c r="FG44" s="160">
        <f>IF([Occurrence14]=0,0,SUM($FF$2:FF44))</f>
        <v>0</v>
      </c>
      <c r="FH44" s="160">
        <f>IF([Chambre]*1='CHAMBRES FILLES 2e ETAGE'!$A$83,1,0)</f>
        <v>0</v>
      </c>
      <c r="FI44" s="160">
        <f>IF([Occurrence15]=0,0,SUM($FH$2:FH44))</f>
        <v>0</v>
      </c>
      <c r="FJ44" s="160">
        <f>IF([Chambre]*1='CHAMBRES FILLES 2e ETAGE'!$A$89,1,0)</f>
        <v>0</v>
      </c>
      <c r="FK44" s="160">
        <f>IF([Occurrence16]=0,0,SUM($FJ$2:FJ44))</f>
        <v>0</v>
      </c>
      <c r="FL44" s="160">
        <f>IF([Chambre]*1='CHAMBRES FILLES 2e ETAGE'!$A$95,1,0)</f>
        <v>0</v>
      </c>
      <c r="FM44" s="160">
        <f>IF([Occurrence17]=0,0,SUM($FL$2:FL44))</f>
        <v>0</v>
      </c>
      <c r="FN44" s="160">
        <f>IF([Chambre2]*1='CHAMBRES FILLES 1e ETAGE'!$A$5,1,0)</f>
        <v>0</v>
      </c>
      <c r="FO44" s="160">
        <f>IF([Occurrence18]=0,0,SUM($FN$2:FN44))</f>
        <v>0</v>
      </c>
      <c r="FP44" s="160">
        <f>IF([Chambre2]*1='CHAMBRES FILLES 1e ETAGE'!$A$11,1,0)</f>
        <v>0</v>
      </c>
      <c r="FQ44" s="160">
        <f>IF([Occurrence19]=0,0,SUM($FP$2:FP44))</f>
        <v>0</v>
      </c>
      <c r="FR44" s="160">
        <f>IF([Chambre2]*1='CHAMBRES FILLES 1e ETAGE'!$A$17,1,0)</f>
        <v>0</v>
      </c>
      <c r="FS44" s="160">
        <f>IF([Occurrence20]=0,0,SUM($FR$2:FR44))</f>
        <v>0</v>
      </c>
      <c r="FT44" s="160">
        <f>IF([Chambre2]*1='CHAMBRES FILLES 1e ETAGE'!$A$23,1,0)</f>
        <v>0</v>
      </c>
      <c r="FU44" s="160">
        <f>IF([Occurrence21]=0,0,SUM($FT$2:FT44))</f>
        <v>0</v>
      </c>
      <c r="FV44" s="160">
        <f>IF([Chambre2]*1='CHAMBRES FILLES 1e ETAGE'!$A$29,1,0)</f>
        <v>0</v>
      </c>
      <c r="FW44" s="160">
        <f>IF([Occurrence22]=0,0,SUM($FV$2:FV44))</f>
        <v>0</v>
      </c>
      <c r="FX44" s="160">
        <f>IF([Chambre2]*1='CHAMBRES FILLES 1e ETAGE'!$A$35,1,0)</f>
        <v>0</v>
      </c>
      <c r="FY44" s="160">
        <f>IF([Occurrence23]=0,0,SUM($FX$2:FX44))</f>
        <v>0</v>
      </c>
      <c r="FZ44" s="160">
        <f>IF([Chambre2]*1='CHAMBRES FILLES 1e ETAGE'!$A$41,1,0)</f>
        <v>0</v>
      </c>
      <c r="GA44" s="160">
        <f>IF([Occurrence24]=0,0,SUM($FZ$2:FZ44))</f>
        <v>0</v>
      </c>
      <c r="GB44" s="160">
        <f>IF([Chambre2]*1='CHAMBRES FILLES 1e ETAGE'!$A$47,1,0)</f>
        <v>0</v>
      </c>
      <c r="GC44" s="160">
        <f>IF([Occurrence25]=0,0,SUM($GB$2:GB44))</f>
        <v>0</v>
      </c>
      <c r="GD44" s="160">
        <f>IF([Chambre2]*1='CHAMBRES FILLES 1e ETAGE'!$A$53,1,0)</f>
        <v>0</v>
      </c>
      <c r="GE44" s="160">
        <f>IF([Occurrence26]=0,0,SUM($GD$2:GD44))</f>
        <v>0</v>
      </c>
      <c r="GF44" s="160">
        <f>IF([chambre4]*1='CHAMBRES GARCONS 1e ETAGE'!$A$5,1,0)</f>
        <v>0</v>
      </c>
      <c r="GG44" s="160">
        <f>IF([Occurrence27]=0,0,SUM($GF$2:GF44))</f>
        <v>0</v>
      </c>
      <c r="GH44" s="160">
        <f>IF([chambre4]*1='CHAMBRES GARCONS 1e ETAGE'!$A$11,1,0)</f>
        <v>0</v>
      </c>
      <c r="GI44" s="160">
        <f>IF([Occurrence28]=0,0,SUM($GH$2:GH44))</f>
        <v>0</v>
      </c>
      <c r="GJ44" s="160">
        <f>IF([chambre4]*1='CHAMBRES GARCONS 1e ETAGE'!$A$17,1,0)</f>
        <v>0</v>
      </c>
      <c r="GK44" s="160">
        <f>IF([Occurrence29]=0,0,SUM($GJ$2:GJ44))</f>
        <v>0</v>
      </c>
      <c r="GL44" s="160">
        <f>IF([chambre4]*1='CHAMBRES GARCONS 1e ETAGE'!$A$23,1,0)</f>
        <v>0</v>
      </c>
      <c r="GM44" s="160">
        <f>IF([Occurrence30]=0,0,SUM($GL$2:GL44))</f>
        <v>0</v>
      </c>
      <c r="GN44" s="160">
        <f>IF([chambre4]*1='CHAMBRES GARCONS 1e ETAGE'!$A$29,1,0)</f>
        <v>0</v>
      </c>
      <c r="GO44" s="160">
        <f>IF([Occurrence31]=0,0,SUM($GN$2:GN44))</f>
        <v>0</v>
      </c>
      <c r="GP44" s="160">
        <f>IF([chambre4]*1='CHAMBRES GARCONS 1e ETAGE'!$A$35,1,0)</f>
        <v>0</v>
      </c>
      <c r="GQ44" s="160">
        <f>IF([Occurrence32]=0,0,SUM($GP$2:GP44))</f>
        <v>0</v>
      </c>
      <c r="GR44" s="160">
        <f>IF([chambre3]*1='CHAMBRES GARCONS RDC'!$A$5,1,0)</f>
        <v>0</v>
      </c>
      <c r="GS44" s="160">
        <f>IF([Occurrence33]=0,0,SUM($GR$2:GR44))</f>
        <v>0</v>
      </c>
      <c r="GT44" s="160">
        <f>IF([chambre3]*1='CHAMBRES GARCONS RDC'!$A$11,1,0)</f>
        <v>0</v>
      </c>
      <c r="GU44" s="160">
        <f>IF([Occurrence34]=0,0,SUM($GT$2:GT44))</f>
        <v>0</v>
      </c>
      <c r="GV44" s="160">
        <f>IF([chambre3]*1='CHAMBRES GARCONS RDC'!$A$17,1,0)</f>
        <v>0</v>
      </c>
      <c r="GW44" s="160">
        <f>IF([Occurrence35]=0,0,SUM($GV$2:GV44))</f>
        <v>0</v>
      </c>
      <c r="GX44" s="160">
        <f>IF([chambre3]*1='CHAMBRES GARCONS RDC'!$A$23,1,0)</f>
        <v>0</v>
      </c>
      <c r="GY44" s="160">
        <f>IF([Occurrence36]=0,0,SUM($GX$2:GX44))</f>
        <v>0</v>
      </c>
      <c r="GZ44" s="160">
        <f>IF([chambre3]*1='CHAMBRES GARCONS RDC'!$A$29,1,0)</f>
        <v>0</v>
      </c>
      <c r="HA44" s="160">
        <f>IF([Occurrence37]=0,0,SUM($GZ$2:GZ44))</f>
        <v>0</v>
      </c>
      <c r="HB44" s="160">
        <f>IF([chambre3]*1='CHAMBRES GARCONS RDC'!$A$35,1,0)</f>
        <v>0</v>
      </c>
      <c r="HC44" s="160">
        <f>IF([Occurrence38]=0,0,SUM($HB$2:HB44))</f>
        <v>0</v>
      </c>
      <c r="HD44" s="160">
        <f>IF([chambre3]*1='CHAMBRES GARCONS RDC'!$A$41,1,0)</f>
        <v>0</v>
      </c>
      <c r="HE44" s="160">
        <f>IF([Occurrence39]=0,0,SUM($HD$2:HD44))</f>
        <v>0</v>
      </c>
      <c r="HF44" s="160">
        <f>IF([chambre3]*1='CHAMBRES GARCONS RDC'!$A$47,1,0)</f>
        <v>0</v>
      </c>
      <c r="HG44" s="160">
        <f>IF([Occurrence40]=0,0,SUM($HF$2:HF44))</f>
        <v>0</v>
      </c>
      <c r="HH44" s="160">
        <f>IF([chambre3]*1='CHAMBRES GARCONS RDC'!$A$53,1,0)</f>
        <v>0</v>
      </c>
      <c r="HI44" s="160">
        <f>IF([Occurrence41]=0,0,SUM($HH$2:HH44))</f>
        <v>0</v>
      </c>
      <c r="HJ44" s="160">
        <f>IF([chambre3]*1='CHAMBRES GARCONS RDC'!$A$59,1,0)</f>
        <v>0</v>
      </c>
      <c r="HK44" s="160">
        <f>IF([Occurrence42]=0,0,SUM($HJ$2:HJ44))</f>
        <v>0</v>
      </c>
      <c r="HL44" s="160">
        <f>IF([chambre3]*1='CHAMBRES GARCONS RDC'!$A$65,1,0)</f>
        <v>0</v>
      </c>
      <c r="HM44" s="160">
        <f>IF([Occurrence43]=0,0,SUM($HL$2:HL44))</f>
        <v>0</v>
      </c>
      <c r="HN44" s="160">
        <f>IF([chambre3]*1='CHAMBRES GARCONS RDC'!$A$71,1,0)</f>
        <v>0</v>
      </c>
      <c r="HO44" s="160">
        <f>IF([Occurrence44]=0,0,SUM($HN$2:HN44))</f>
        <v>0</v>
      </c>
      <c r="HP44" s="160">
        <f>IF([chambre3]*1='CHAMBRES GARCONS RDC'!$A$77,1,0)</f>
        <v>0</v>
      </c>
      <c r="HQ44" s="160">
        <f>IF([Occurrence45]=0,0,SUM($HP$2:HP44))</f>
        <v>0</v>
      </c>
      <c r="HR44" s="160">
        <f>IF([chambre3]*1='CHAMBRES GARCONS RDC'!$A$83,1,0)</f>
        <v>0</v>
      </c>
      <c r="HS44" s="160">
        <f>IF([Occurrence46]=0,0,SUM($HR$2:HR44))</f>
        <v>0</v>
      </c>
      <c r="HT44" s="160">
        <f>IF([chambre3]*1='CHAMBRES GARCONS RDC'!$A$89,1,0)</f>
        <v>0</v>
      </c>
      <c r="HU44" s="160">
        <f>IF([Occurrence47]=0,0,SUM($HT$2:HT44))</f>
        <v>0</v>
      </c>
      <c r="HV44" s="160">
        <f>IF([chambre3]*1='CHAMBRES GARCONS RDC'!$A$95,1,0)</f>
        <v>0</v>
      </c>
      <c r="HW44" s="160">
        <f>IF([Occurrence48]=0,0,SUM($HV$2:HV44))</f>
        <v>0</v>
      </c>
      <c r="HX44" s="160"/>
      <c r="HY44" s="160"/>
      <c r="HZ44" s="160">
        <f>IF([Classe]='Liste élève par classes'!$B$5,1,0)</f>
        <v>0</v>
      </c>
      <c r="IA44" s="160">
        <f>IF([Occurrence]=0,0,SUM($HZ$2:HZ44))</f>
        <v>0</v>
      </c>
      <c r="IB4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44" s="208"/>
    </row>
    <row r="45" spans="1:237">
      <c r="A45" t="s">
        <v>325</v>
      </c>
      <c r="B45" t="s">
        <v>326</v>
      </c>
      <c r="C45" s="158">
        <v>36965</v>
      </c>
      <c r="D45" s="62">
        <f t="shared" ca="1" si="0"/>
        <v>16</v>
      </c>
      <c r="E45" t="s">
        <v>5</v>
      </c>
      <c r="F45" s="159" t="s">
        <v>50</v>
      </c>
      <c r="G45" t="s">
        <v>45</v>
      </c>
      <c r="H45" s="160"/>
      <c r="I45" s="62"/>
      <c r="J45" s="62" t="s">
        <v>244</v>
      </c>
      <c r="K45" s="62"/>
      <c r="L45" s="61"/>
      <c r="M45">
        <v>245</v>
      </c>
      <c r="N45" s="62" t="s">
        <v>244</v>
      </c>
      <c r="O45" s="62" t="s">
        <v>244</v>
      </c>
      <c r="P45" s="62" t="s">
        <v>244</v>
      </c>
      <c r="Q45" s="62" t="s">
        <v>244</v>
      </c>
      <c r="R45" s="62" t="s">
        <v>244</v>
      </c>
      <c r="S45" s="191"/>
      <c r="T45" s="62" t="s">
        <v>244</v>
      </c>
      <c r="U45" s="61">
        <v>133</v>
      </c>
      <c r="V45" s="62" t="s">
        <v>244</v>
      </c>
      <c r="W45" s="62" t="s">
        <v>244</v>
      </c>
      <c r="X45" s="62" t="s">
        <v>244</v>
      </c>
      <c r="Y45" s="62" t="s">
        <v>244</v>
      </c>
      <c r="Z45" s="62" t="s">
        <v>244</v>
      </c>
      <c r="AA45" s="62" t="s">
        <v>244</v>
      </c>
      <c r="AB45" s="62" t="s">
        <v>244</v>
      </c>
      <c r="AC45" s="62" t="s">
        <v>244</v>
      </c>
      <c r="AD45" s="62" t="s">
        <v>244</v>
      </c>
      <c r="AE45" s="62" t="s">
        <v>244</v>
      </c>
      <c r="AF45" s="163" t="s">
        <v>244</v>
      </c>
      <c r="AG45" s="163" t="s">
        <v>244</v>
      </c>
      <c r="AH45" s="163" t="s">
        <v>244</v>
      </c>
      <c r="AI45" s="163"/>
      <c r="AJ45" s="163"/>
      <c r="AK45" s="163"/>
      <c r="AL45" s="163"/>
      <c r="AM45" s="163"/>
      <c r="AN45" s="163"/>
      <c r="AO45" s="163"/>
      <c r="AP45" s="163"/>
      <c r="AQ45" s="163"/>
      <c r="AR45" s="163"/>
      <c r="AS45" s="163"/>
      <c r="AT45" s="163"/>
      <c r="AU45" s="163"/>
      <c r="AV45" s="163"/>
      <c r="AW45" s="163"/>
      <c r="AX45" s="163"/>
      <c r="AY45" s="163"/>
      <c r="AZ45" s="163"/>
      <c r="BA45" s="163"/>
      <c r="BB45" s="163"/>
      <c r="BC45" s="163" t="b">
        <v>0</v>
      </c>
      <c r="BD45" s="163" t="b">
        <v>1</v>
      </c>
      <c r="BE45" s="163" t="b">
        <v>1</v>
      </c>
      <c r="BF45" s="163" t="b">
        <v>0</v>
      </c>
      <c r="BG45" s="164" t="b">
        <v>0</v>
      </c>
      <c r="BH45" s="163" t="b">
        <v>1</v>
      </c>
      <c r="BI45" s="163"/>
      <c r="BJ45" s="163"/>
      <c r="BK45" s="163"/>
      <c r="BL45" s="163"/>
      <c r="BM45" s="163"/>
      <c r="BN45" s="163"/>
      <c r="BO45" s="163"/>
      <c r="BP45" s="163"/>
      <c r="BQ45" s="163" t="b">
        <v>0</v>
      </c>
      <c r="BR45" s="163"/>
      <c r="BS45" s="163"/>
      <c r="BT45" s="163"/>
      <c r="BU45" s="163"/>
      <c r="BV45" s="163"/>
      <c r="BW45" s="163"/>
      <c r="BX45" s="163"/>
      <c r="BY45" s="163"/>
      <c r="BZ45" s="163"/>
      <c r="CA45" s="163"/>
      <c r="CB45" s="163"/>
      <c r="CC45" s="163"/>
      <c r="CD45" s="163"/>
      <c r="CE45" s="163"/>
      <c r="CF45" s="163"/>
      <c r="CG45" s="163"/>
      <c r="CH45" s="163"/>
      <c r="CI45" s="163"/>
      <c r="CJ45" s="163"/>
      <c r="CK45" s="163"/>
      <c r="CL45" s="163"/>
      <c r="CM45" s="163"/>
      <c r="CN45" s="163"/>
      <c r="CO45" s="163"/>
      <c r="CP45" s="163"/>
      <c r="CQ45" s="163"/>
      <c r="CR45" s="163"/>
      <c r="CS45" s="163"/>
      <c r="CT45" s="163"/>
      <c r="CU45" s="163"/>
      <c r="CV45" s="163"/>
      <c r="CW45" s="163"/>
      <c r="CX45" s="163"/>
      <c r="CY45" s="163"/>
      <c r="CZ45" s="163"/>
      <c r="DA45" s="163"/>
      <c r="DB45" s="163"/>
      <c r="DC45" s="163"/>
      <c r="DD45" s="163"/>
      <c r="DE45" s="163"/>
      <c r="DF45" s="163"/>
      <c r="DG45" s="208"/>
      <c r="DH45" s="163"/>
      <c r="DI45" s="163"/>
      <c r="DJ45" s="163"/>
      <c r="DK45" s="163"/>
      <c r="DL45" s="163"/>
      <c r="DM45" s="163"/>
      <c r="DN45" s="163"/>
      <c r="DO45" s="163"/>
      <c r="DP45" s="163"/>
      <c r="DQ45" s="163"/>
      <c r="DR45" s="163"/>
      <c r="DS45" s="163"/>
      <c r="DT45" s="163"/>
      <c r="DU45" s="163"/>
      <c r="DV45" s="163"/>
      <c r="DW45" s="163"/>
      <c r="DX45" s="163"/>
      <c r="DY45" s="163"/>
      <c r="DZ45" s="163"/>
      <c r="EA45" s="163"/>
      <c r="EB45" s="163"/>
      <c r="EC45" s="163"/>
      <c r="ED45" s="163"/>
      <c r="EE45" s="163"/>
      <c r="EF45" s="163"/>
      <c r="EG45" s="163"/>
      <c r="EH45" s="160">
        <f>IF([Chambre]*1='CHAMBRES FILLES 2e ETAGE'!$A$5,1,0)</f>
        <v>0</v>
      </c>
      <c r="EI45" s="161">
        <f>IF([Occurrence2]=0,0,SUM($EH$2:EH45))</f>
        <v>0</v>
      </c>
      <c r="EJ45" s="160">
        <f>IF([Chambre]*1='CHAMBRES FILLES 2e ETAGE'!$A$11,1,0)</f>
        <v>0</v>
      </c>
      <c r="EK45" s="160">
        <f>IF([Occurrence3]=0,0,SUM($EJ$2:EJ45))</f>
        <v>0</v>
      </c>
      <c r="EL45" s="160">
        <f>IF([Chambre]*1='CHAMBRES FILLES 2e ETAGE'!$A$17,1,0)</f>
        <v>0</v>
      </c>
      <c r="EM45" s="160">
        <f>IF([Occurrence4]=0,0,SUM($EL$2:EL45))</f>
        <v>0</v>
      </c>
      <c r="EN45" s="160">
        <f>IF([Chambre]*1='CHAMBRES FILLES 2e ETAGE'!$A$23,1,0)</f>
        <v>0</v>
      </c>
      <c r="EO45" s="160">
        <f>IF([Occurrence5]=0,0,SUM($EN$2:EN45))</f>
        <v>0</v>
      </c>
      <c r="EP45" s="160">
        <f>IF([Chambre]*1='CHAMBRES FILLES 2e ETAGE'!$A$29,1,0)</f>
        <v>0</v>
      </c>
      <c r="EQ45" s="160">
        <f>IF([Occurrence6]=0,0,SUM($EP$2:EP45))</f>
        <v>0</v>
      </c>
      <c r="ER45" s="160">
        <f>IF([Chambre]*1='CHAMBRES FILLES 2e ETAGE'!$A$35,1,0)</f>
        <v>0</v>
      </c>
      <c r="ES45" s="160">
        <f>IF([Occurrence7]=0,0,SUM($ER$2:ER45))</f>
        <v>0</v>
      </c>
      <c r="ET45" s="160">
        <f>IF([Chambre]*1='CHAMBRES FILLES 2e ETAGE'!$A$41,1,0)</f>
        <v>0</v>
      </c>
      <c r="EU45" s="160">
        <f>IF([Occurrence8]=0,0,SUM($ET$2:ET45))</f>
        <v>0</v>
      </c>
      <c r="EV45" s="160">
        <f>IF([Chambre]*1='CHAMBRES FILLES 2e ETAGE'!$A$47,1,0)</f>
        <v>0</v>
      </c>
      <c r="EW45" s="160">
        <f>IF([Occurrence9]=0,0,SUM($EV$2:EV45))</f>
        <v>0</v>
      </c>
      <c r="EX45" s="160">
        <f>IF([Chambre]*1='CHAMBRES FILLES 2e ETAGE'!$A$53,1,0)</f>
        <v>0</v>
      </c>
      <c r="EY45" s="160">
        <f>IF([Occurrence10]=0,0,SUM($EX$2:EX45))</f>
        <v>0</v>
      </c>
      <c r="EZ45" s="160">
        <f>IF([Chambre]*1='CHAMBRES FILLES 2e ETAGE'!$A$59,1,0)</f>
        <v>0</v>
      </c>
      <c r="FA45" s="160">
        <f>IF([Occurrence11]=0,0,SUM($EZ$2:EZ45))</f>
        <v>0</v>
      </c>
      <c r="FB45" s="160">
        <f>IF([Chambre]*1='CHAMBRES FILLES 2e ETAGE'!$A$65,1,0)</f>
        <v>0</v>
      </c>
      <c r="FC45" s="160">
        <f>IF([Occurrence12]=0,0,SUM($FB$2:FB45))</f>
        <v>0</v>
      </c>
      <c r="FD45" s="160">
        <f>IF([Chambre]*1='CHAMBRES FILLES 2e ETAGE'!$A$71,1,0)</f>
        <v>0</v>
      </c>
      <c r="FE45" s="160">
        <f>IF([Occurrence13]=0,0,SUM($FD$2:FD45))</f>
        <v>0</v>
      </c>
      <c r="FF45" s="160">
        <f>IF([Chambre]*1='CHAMBRES FILLES 2e ETAGE'!$A$77,1,0)</f>
        <v>0</v>
      </c>
      <c r="FG45" s="160">
        <f>IF([Occurrence14]=0,0,SUM($FF$2:FF45))</f>
        <v>0</v>
      </c>
      <c r="FH45" s="160">
        <f>IF([Chambre]*1='CHAMBRES FILLES 2e ETAGE'!$A$83,1,0)</f>
        <v>0</v>
      </c>
      <c r="FI45" s="160">
        <f>IF([Occurrence15]=0,0,SUM($FH$2:FH45))</f>
        <v>0</v>
      </c>
      <c r="FJ45" s="160">
        <f>IF([Chambre]*1='CHAMBRES FILLES 2e ETAGE'!$A$89,1,0)</f>
        <v>0</v>
      </c>
      <c r="FK45" s="160">
        <f>IF([Occurrence16]=0,0,SUM($FJ$2:FJ45))</f>
        <v>0</v>
      </c>
      <c r="FL45" s="160">
        <f>IF([Chambre]*1='CHAMBRES FILLES 2e ETAGE'!$A$95,1,0)</f>
        <v>0</v>
      </c>
      <c r="FM45" s="160">
        <f>IF([Occurrence17]=0,0,SUM($FL$2:FL45))</f>
        <v>0</v>
      </c>
      <c r="FN45" s="160">
        <f>IF([Chambre2]*1='CHAMBRES FILLES 1e ETAGE'!$A$5,1,0)</f>
        <v>0</v>
      </c>
      <c r="FO45" s="160">
        <f>IF([Occurrence18]=0,0,SUM($FN$2:FN45))</f>
        <v>0</v>
      </c>
      <c r="FP45" s="160">
        <f>IF([Chambre2]*1='CHAMBRES FILLES 1e ETAGE'!$A$11,1,0)</f>
        <v>1</v>
      </c>
      <c r="FQ45" s="160">
        <f>IF([Occurrence19]=0,0,SUM($FP$2:FP45))</f>
        <v>1</v>
      </c>
      <c r="FR45" s="160">
        <f>IF([Chambre2]*1='CHAMBRES FILLES 1e ETAGE'!$A$17,1,0)</f>
        <v>0</v>
      </c>
      <c r="FS45" s="160">
        <f>IF([Occurrence20]=0,0,SUM($FR$2:FR45))</f>
        <v>0</v>
      </c>
      <c r="FT45" s="160">
        <f>IF([Chambre2]*1='CHAMBRES FILLES 1e ETAGE'!$A$23,1,0)</f>
        <v>0</v>
      </c>
      <c r="FU45" s="160">
        <f>IF([Occurrence21]=0,0,SUM($FT$2:FT45))</f>
        <v>0</v>
      </c>
      <c r="FV45" s="160">
        <f>IF([Chambre2]*1='CHAMBRES FILLES 1e ETAGE'!$A$29,1,0)</f>
        <v>0</v>
      </c>
      <c r="FW45" s="160">
        <f>IF([Occurrence22]=0,0,SUM($FV$2:FV45))</f>
        <v>0</v>
      </c>
      <c r="FX45" s="160">
        <f>IF([Chambre2]*1='CHAMBRES FILLES 1e ETAGE'!$A$35,1,0)</f>
        <v>0</v>
      </c>
      <c r="FY45" s="160">
        <f>IF([Occurrence23]=0,0,SUM($FX$2:FX45))</f>
        <v>0</v>
      </c>
      <c r="FZ45" s="160">
        <f>IF([Chambre2]*1='CHAMBRES FILLES 1e ETAGE'!$A$41,1,0)</f>
        <v>0</v>
      </c>
      <c r="GA45" s="160">
        <f>IF([Occurrence24]=0,0,SUM($FZ$2:FZ45))</f>
        <v>0</v>
      </c>
      <c r="GB45" s="160">
        <f>IF([Chambre2]*1='CHAMBRES FILLES 1e ETAGE'!$A$47,1,0)</f>
        <v>0</v>
      </c>
      <c r="GC45" s="160">
        <f>IF([Occurrence25]=0,0,SUM($GB$2:GB45))</f>
        <v>0</v>
      </c>
      <c r="GD45" s="160">
        <f>IF([Chambre2]*1='CHAMBRES FILLES 1e ETAGE'!$A$53,1,0)</f>
        <v>0</v>
      </c>
      <c r="GE45" s="160">
        <f>IF([Occurrence26]=0,0,SUM($GD$2:GD45))</f>
        <v>0</v>
      </c>
      <c r="GF45" s="160">
        <f>IF([chambre4]*1='CHAMBRES GARCONS 1e ETAGE'!$A$5,1,0)</f>
        <v>0</v>
      </c>
      <c r="GG45" s="160">
        <f>IF([Occurrence27]=0,0,SUM($GF$2:GF45))</f>
        <v>0</v>
      </c>
      <c r="GH45" s="160">
        <f>IF([chambre4]*1='CHAMBRES GARCONS 1e ETAGE'!$A$11,1,0)</f>
        <v>0</v>
      </c>
      <c r="GI45" s="160">
        <f>IF([Occurrence28]=0,0,SUM($GH$2:GH45))</f>
        <v>0</v>
      </c>
      <c r="GJ45" s="160">
        <f>IF([chambre4]*1='CHAMBRES GARCONS 1e ETAGE'!$A$17,1,0)</f>
        <v>0</v>
      </c>
      <c r="GK45" s="160">
        <f>IF([Occurrence29]=0,0,SUM($GJ$2:GJ45))</f>
        <v>0</v>
      </c>
      <c r="GL45" s="160">
        <f>IF([chambre4]*1='CHAMBRES GARCONS 1e ETAGE'!$A$23,1,0)</f>
        <v>0</v>
      </c>
      <c r="GM45" s="160">
        <f>IF([Occurrence30]=0,0,SUM($GL$2:GL45))</f>
        <v>0</v>
      </c>
      <c r="GN45" s="160">
        <f>IF([chambre4]*1='CHAMBRES GARCONS 1e ETAGE'!$A$29,1,0)</f>
        <v>0</v>
      </c>
      <c r="GO45" s="160">
        <f>IF([Occurrence31]=0,0,SUM($GN$2:GN45))</f>
        <v>0</v>
      </c>
      <c r="GP45" s="160">
        <f>IF([chambre4]*1='CHAMBRES GARCONS 1e ETAGE'!$A$35,1,0)</f>
        <v>0</v>
      </c>
      <c r="GQ45" s="160">
        <f>IF([Occurrence32]=0,0,SUM($GP$2:GP45))</f>
        <v>0</v>
      </c>
      <c r="GR45" s="160">
        <f>IF([chambre3]*1='CHAMBRES GARCONS RDC'!$A$5,1,0)</f>
        <v>0</v>
      </c>
      <c r="GS45" s="160">
        <f>IF([Occurrence33]=0,0,SUM($GR$2:GR45))</f>
        <v>0</v>
      </c>
      <c r="GT45" s="160">
        <f>IF([chambre3]*1='CHAMBRES GARCONS RDC'!$A$11,1,0)</f>
        <v>0</v>
      </c>
      <c r="GU45" s="160">
        <f>IF([Occurrence34]=0,0,SUM($GT$2:GT45))</f>
        <v>0</v>
      </c>
      <c r="GV45" s="160">
        <f>IF([chambre3]*1='CHAMBRES GARCONS RDC'!$A$17,1,0)</f>
        <v>0</v>
      </c>
      <c r="GW45" s="160">
        <f>IF([Occurrence35]=0,0,SUM($GV$2:GV45))</f>
        <v>0</v>
      </c>
      <c r="GX45" s="160">
        <f>IF([chambre3]*1='CHAMBRES GARCONS RDC'!$A$23,1,0)</f>
        <v>0</v>
      </c>
      <c r="GY45" s="160">
        <f>IF([Occurrence36]=0,0,SUM($GX$2:GX45))</f>
        <v>0</v>
      </c>
      <c r="GZ45" s="160">
        <f>IF([chambre3]*1='CHAMBRES GARCONS RDC'!$A$29,1,0)</f>
        <v>0</v>
      </c>
      <c r="HA45" s="160">
        <f>IF([Occurrence37]=0,0,SUM($GZ$2:GZ45))</f>
        <v>0</v>
      </c>
      <c r="HB45" s="160">
        <f>IF([chambre3]*1='CHAMBRES GARCONS RDC'!$A$35,1,0)</f>
        <v>0</v>
      </c>
      <c r="HC45" s="160">
        <f>IF([Occurrence38]=0,0,SUM($HB$2:HB45))</f>
        <v>0</v>
      </c>
      <c r="HD45" s="160">
        <f>IF([chambre3]*1='CHAMBRES GARCONS RDC'!$A$41,1,0)</f>
        <v>0</v>
      </c>
      <c r="HE45" s="160">
        <f>IF([Occurrence39]=0,0,SUM($HD$2:HD45))</f>
        <v>0</v>
      </c>
      <c r="HF45" s="160">
        <f>IF([chambre3]*1='CHAMBRES GARCONS RDC'!$A$47,1,0)</f>
        <v>0</v>
      </c>
      <c r="HG45" s="160">
        <f>IF([Occurrence40]=0,0,SUM($HF$2:HF45))</f>
        <v>0</v>
      </c>
      <c r="HH45" s="160">
        <f>IF([chambre3]*1='CHAMBRES GARCONS RDC'!$A$53,1,0)</f>
        <v>0</v>
      </c>
      <c r="HI45" s="160">
        <f>IF([Occurrence41]=0,0,SUM($HH$2:HH45))</f>
        <v>0</v>
      </c>
      <c r="HJ45" s="160">
        <f>IF([chambre3]*1='CHAMBRES GARCONS RDC'!$A$59,1,0)</f>
        <v>0</v>
      </c>
      <c r="HK45" s="160">
        <f>IF([Occurrence42]=0,0,SUM($HJ$2:HJ45))</f>
        <v>0</v>
      </c>
      <c r="HL45" s="160">
        <f>IF([chambre3]*1='CHAMBRES GARCONS RDC'!$A$65,1,0)</f>
        <v>0</v>
      </c>
      <c r="HM45" s="160">
        <f>IF([Occurrence43]=0,0,SUM($HL$2:HL45))</f>
        <v>0</v>
      </c>
      <c r="HN45" s="160">
        <f>IF([chambre3]*1='CHAMBRES GARCONS RDC'!$A$71,1,0)</f>
        <v>0</v>
      </c>
      <c r="HO45" s="160">
        <f>IF([Occurrence44]=0,0,SUM($HN$2:HN45))</f>
        <v>0</v>
      </c>
      <c r="HP45" s="160">
        <f>IF([chambre3]*1='CHAMBRES GARCONS RDC'!$A$77,1,0)</f>
        <v>0</v>
      </c>
      <c r="HQ45" s="160">
        <f>IF([Occurrence45]=0,0,SUM($HP$2:HP45))</f>
        <v>0</v>
      </c>
      <c r="HR45" s="160">
        <f>IF([chambre3]*1='CHAMBRES GARCONS RDC'!$A$83,1,0)</f>
        <v>0</v>
      </c>
      <c r="HS45" s="160">
        <f>IF([Occurrence46]=0,0,SUM($HR$2:HR45))</f>
        <v>0</v>
      </c>
      <c r="HT45" s="160">
        <f>IF([chambre3]*1='CHAMBRES GARCONS RDC'!$A$89,1,0)</f>
        <v>0</v>
      </c>
      <c r="HU45" s="160">
        <f>IF([Occurrence47]=0,0,SUM($HT$2:HT45))</f>
        <v>0</v>
      </c>
      <c r="HV45" s="160">
        <f>IF([chambre3]*1='CHAMBRES GARCONS RDC'!$A$95,1,0)</f>
        <v>0</v>
      </c>
      <c r="HW45" s="160">
        <f>IF([Occurrence48]=0,0,SUM($HV$2:HV45))</f>
        <v>0</v>
      </c>
      <c r="HX45" s="160"/>
      <c r="HY45" s="160"/>
      <c r="HZ45" s="160">
        <f>IF([Classe]='Liste élève par classes'!$B$5,1,0)</f>
        <v>0</v>
      </c>
      <c r="IA45" s="160">
        <f>IF([Occurrence]=0,0,SUM($HZ$2:HZ45))</f>
        <v>0</v>
      </c>
      <c r="IB4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133</v>
      </c>
      <c r="IC45" s="208"/>
    </row>
    <row r="46" spans="1:237" ht="15.75">
      <c r="A46" t="s">
        <v>327</v>
      </c>
      <c r="B46" t="s">
        <v>328</v>
      </c>
      <c r="C46" s="158">
        <v>36561</v>
      </c>
      <c r="D46" s="62">
        <f t="shared" ca="1" si="0"/>
        <v>17</v>
      </c>
      <c r="E46" t="s">
        <v>14</v>
      </c>
      <c r="F46" s="159" t="s">
        <v>50</v>
      </c>
      <c r="G46" t="s">
        <v>45</v>
      </c>
      <c r="H46" s="160"/>
      <c r="I46" s="62"/>
      <c r="J46" s="167"/>
      <c r="K46" s="168"/>
      <c r="L46" s="61">
        <v>166</v>
      </c>
      <c r="M46">
        <v>173</v>
      </c>
      <c r="N46" s="61" t="s">
        <v>244</v>
      </c>
      <c r="O46" s="62" t="s">
        <v>244</v>
      </c>
      <c r="P46" s="62" t="s">
        <v>244</v>
      </c>
      <c r="Q46" s="62" t="s">
        <v>244</v>
      </c>
      <c r="R46" s="62" t="s">
        <v>244</v>
      </c>
      <c r="S46" s="191"/>
      <c r="T46" s="62" t="s">
        <v>244</v>
      </c>
      <c r="U46" s="61"/>
      <c r="V46" s="62" t="s">
        <v>244</v>
      </c>
      <c r="W46" s="62" t="s">
        <v>244</v>
      </c>
      <c r="X46" s="62" t="s">
        <v>244</v>
      </c>
      <c r="Y46" s="62" t="s">
        <v>244</v>
      </c>
      <c r="Z46" s="62" t="s">
        <v>244</v>
      </c>
      <c r="AA46" s="62" t="s">
        <v>244</v>
      </c>
      <c r="AB46" s="62" t="s">
        <v>244</v>
      </c>
      <c r="AC46" s="62" t="s">
        <v>244</v>
      </c>
      <c r="AD46" s="62" t="s">
        <v>244</v>
      </c>
      <c r="AE46" s="62" t="s">
        <v>244</v>
      </c>
      <c r="AF46" s="163" t="s">
        <v>244</v>
      </c>
      <c r="AG46" s="163" t="s">
        <v>244</v>
      </c>
      <c r="AH46" s="163" t="s">
        <v>244</v>
      </c>
      <c r="AI46" s="163"/>
      <c r="AJ46" s="163"/>
      <c r="AK46" s="163"/>
      <c r="AL46" s="163"/>
      <c r="AM46" s="163"/>
      <c r="AN46" s="163"/>
      <c r="AO46" s="163"/>
      <c r="AP46" s="163"/>
      <c r="AQ46" s="163"/>
      <c r="AR46" s="163"/>
      <c r="AS46" s="163"/>
      <c r="AT46" s="163"/>
      <c r="AU46" s="163"/>
      <c r="AV46" s="163"/>
      <c r="AW46" s="163"/>
      <c r="AX46" s="163"/>
      <c r="AY46" s="163"/>
      <c r="AZ46" s="163"/>
      <c r="BA46" s="163"/>
      <c r="BB46" s="163"/>
      <c r="BC46" s="163" t="b">
        <v>0</v>
      </c>
      <c r="BD46" s="163" t="b">
        <v>1</v>
      </c>
      <c r="BE46" s="163" t="b">
        <v>1</v>
      </c>
      <c r="BF46" s="163" t="b">
        <v>0</v>
      </c>
      <c r="BG46" s="164" t="b">
        <v>0</v>
      </c>
      <c r="BH46" s="163" t="b">
        <v>1</v>
      </c>
      <c r="BI46" s="163"/>
      <c r="BJ46" s="163"/>
      <c r="BK46" s="163"/>
      <c r="BL46" s="163"/>
      <c r="BM46" s="163"/>
      <c r="BN46" s="163"/>
      <c r="BO46" s="163"/>
      <c r="BP46" s="163"/>
      <c r="BQ46" s="163" t="b">
        <v>1</v>
      </c>
      <c r="BR46" s="163"/>
      <c r="BS46" s="163"/>
      <c r="BT46" s="163"/>
      <c r="BU46" s="163"/>
      <c r="BV46" s="163"/>
      <c r="BW46" s="163"/>
      <c r="BX46" s="163"/>
      <c r="BY46" s="163"/>
      <c r="BZ46" s="163"/>
      <c r="CA46" s="163"/>
      <c r="CB46" s="163"/>
      <c r="CC46" s="163"/>
      <c r="CD46" s="163"/>
      <c r="CE46" s="163"/>
      <c r="CF46" s="163"/>
      <c r="CG46" s="163"/>
      <c r="CH46" s="163"/>
      <c r="CI46" s="163"/>
      <c r="CJ46" s="163"/>
      <c r="CK46" s="163"/>
      <c r="CL46" s="163"/>
      <c r="CM46" s="163"/>
      <c r="CN46" s="163"/>
      <c r="CO46" s="163"/>
      <c r="CP46" s="163"/>
      <c r="CQ46" s="163"/>
      <c r="CR46" s="163"/>
      <c r="CS46" s="163"/>
      <c r="CT46" s="163"/>
      <c r="CU46" s="163"/>
      <c r="CV46" s="163"/>
      <c r="CW46" s="163"/>
      <c r="CX46" s="163"/>
      <c r="CY46" s="163"/>
      <c r="CZ46" s="163"/>
      <c r="DA46" s="163"/>
      <c r="DB46" s="163"/>
      <c r="DC46" s="163"/>
      <c r="DD46" s="163"/>
      <c r="DE46" s="163"/>
      <c r="DF46" s="163"/>
      <c r="DG46" s="208"/>
      <c r="DH46" s="163"/>
      <c r="DI46" s="163"/>
      <c r="DJ46" s="163"/>
      <c r="DK46" s="163"/>
      <c r="DL46" s="163"/>
      <c r="DM46" s="163"/>
      <c r="DN46" s="163"/>
      <c r="DO46" s="163"/>
      <c r="DP46" s="163"/>
      <c r="DQ46" s="163"/>
      <c r="DR46" s="163"/>
      <c r="DS46" s="163"/>
      <c r="DT46" s="163"/>
      <c r="DU46" s="163"/>
      <c r="DV46" s="163"/>
      <c r="DW46" s="163"/>
      <c r="DX46" s="163"/>
      <c r="DY46" s="163"/>
      <c r="DZ46" s="163"/>
      <c r="EA46" s="163"/>
      <c r="EB46" s="163"/>
      <c r="EC46" s="163"/>
      <c r="ED46" s="163"/>
      <c r="EE46" s="163"/>
      <c r="EF46" s="163"/>
      <c r="EG46" s="163"/>
      <c r="EH46" s="160">
        <f>IF([Chambre]*1='CHAMBRES FILLES 2e ETAGE'!$A$5,1,0)</f>
        <v>0</v>
      </c>
      <c r="EI46" s="161">
        <f>IF([Occurrence2]=0,0,SUM($EH$2:EH46))</f>
        <v>0</v>
      </c>
      <c r="EJ46" s="160">
        <f>IF([Chambre]*1='CHAMBRES FILLES 2e ETAGE'!$A$11,1,0)</f>
        <v>0</v>
      </c>
      <c r="EK46" s="160">
        <f>IF([Occurrence3]=0,0,SUM($EJ$2:EJ46))</f>
        <v>0</v>
      </c>
      <c r="EL46" s="160">
        <f>IF([Chambre]*1='CHAMBRES FILLES 2e ETAGE'!$A$17,1,0)</f>
        <v>0</v>
      </c>
      <c r="EM46" s="160">
        <f>IF([Occurrence4]=0,0,SUM($EL$2:EL46))</f>
        <v>0</v>
      </c>
      <c r="EN46" s="160">
        <f>IF([Chambre]*1='CHAMBRES FILLES 2e ETAGE'!$A$23,1,0)</f>
        <v>0</v>
      </c>
      <c r="EO46" s="160">
        <f>IF([Occurrence5]=0,0,SUM($EN$2:EN46))</f>
        <v>0</v>
      </c>
      <c r="EP46" s="160">
        <f>IF([Chambre]*1='CHAMBRES FILLES 2e ETAGE'!$A$29,1,0)</f>
        <v>0</v>
      </c>
      <c r="EQ46" s="160">
        <f>IF([Occurrence6]=0,0,SUM($EP$2:EP46))</f>
        <v>0</v>
      </c>
      <c r="ER46" s="160">
        <f>IF([Chambre]*1='CHAMBRES FILLES 2e ETAGE'!$A$35,1,0)</f>
        <v>1</v>
      </c>
      <c r="ES46" s="160">
        <f>IF([Occurrence7]=0,0,SUM($ER$2:ER46))</f>
        <v>1</v>
      </c>
      <c r="ET46" s="160">
        <f>IF([Chambre]*1='CHAMBRES FILLES 2e ETAGE'!$A$41,1,0)</f>
        <v>0</v>
      </c>
      <c r="EU46" s="160">
        <f>IF([Occurrence8]=0,0,SUM($ET$2:ET46))</f>
        <v>0</v>
      </c>
      <c r="EV46" s="160">
        <f>IF([Chambre]*1='CHAMBRES FILLES 2e ETAGE'!$A$47,1,0)</f>
        <v>0</v>
      </c>
      <c r="EW46" s="160">
        <f>IF([Occurrence9]=0,0,SUM($EV$2:EV46))</f>
        <v>0</v>
      </c>
      <c r="EX46" s="160">
        <f>IF([Chambre]*1='CHAMBRES FILLES 2e ETAGE'!$A$53,1,0)</f>
        <v>0</v>
      </c>
      <c r="EY46" s="160">
        <f>IF([Occurrence10]=0,0,SUM($EX$2:EX46))</f>
        <v>0</v>
      </c>
      <c r="EZ46" s="160">
        <f>IF([Chambre]*1='CHAMBRES FILLES 2e ETAGE'!$A$59,1,0)</f>
        <v>0</v>
      </c>
      <c r="FA46" s="160">
        <f>IF([Occurrence11]=0,0,SUM($EZ$2:EZ46))</f>
        <v>0</v>
      </c>
      <c r="FB46" s="160">
        <f>IF([Chambre]*1='CHAMBRES FILLES 2e ETAGE'!$A$65,1,0)</f>
        <v>0</v>
      </c>
      <c r="FC46" s="160">
        <f>IF([Occurrence12]=0,0,SUM($FB$2:FB46))</f>
        <v>0</v>
      </c>
      <c r="FD46" s="160">
        <f>IF([Chambre]*1='CHAMBRES FILLES 2e ETAGE'!$A$71,1,0)</f>
        <v>0</v>
      </c>
      <c r="FE46" s="160">
        <f>IF([Occurrence13]=0,0,SUM($FD$2:FD46))</f>
        <v>0</v>
      </c>
      <c r="FF46" s="160">
        <f>IF([Chambre]*1='CHAMBRES FILLES 2e ETAGE'!$A$77,1,0)</f>
        <v>0</v>
      </c>
      <c r="FG46" s="160">
        <f>IF([Occurrence14]=0,0,SUM($FF$2:FF46))</f>
        <v>0</v>
      </c>
      <c r="FH46" s="160">
        <f>IF([Chambre]*1='CHAMBRES FILLES 2e ETAGE'!$A$83,1,0)</f>
        <v>0</v>
      </c>
      <c r="FI46" s="160">
        <f>IF([Occurrence15]=0,0,SUM($FH$2:FH46))</f>
        <v>0</v>
      </c>
      <c r="FJ46" s="160">
        <f>IF([Chambre]*1='CHAMBRES FILLES 2e ETAGE'!$A$89,1,0)</f>
        <v>0</v>
      </c>
      <c r="FK46" s="160">
        <f>IF([Occurrence16]=0,0,SUM($FJ$2:FJ46))</f>
        <v>0</v>
      </c>
      <c r="FL46" s="160">
        <f>IF([Chambre]*1='CHAMBRES FILLES 2e ETAGE'!$A$95,1,0)</f>
        <v>0</v>
      </c>
      <c r="FM46" s="160">
        <f>IF([Occurrence17]=0,0,SUM($FL$2:FL46))</f>
        <v>0</v>
      </c>
      <c r="FN46" s="160">
        <f>IF([Chambre2]*1='CHAMBRES FILLES 1e ETAGE'!$A$5,1,0)</f>
        <v>0</v>
      </c>
      <c r="FO46" s="160">
        <f>IF([Occurrence18]=0,0,SUM($FN$2:FN46))</f>
        <v>0</v>
      </c>
      <c r="FP46" s="160">
        <f>IF([Chambre2]*1='CHAMBRES FILLES 1e ETAGE'!$A$11,1,0)</f>
        <v>0</v>
      </c>
      <c r="FQ46" s="160">
        <f>IF([Occurrence19]=0,0,SUM($FP$2:FP46))</f>
        <v>0</v>
      </c>
      <c r="FR46" s="160">
        <f>IF([Chambre2]*1='CHAMBRES FILLES 1e ETAGE'!$A$17,1,0)</f>
        <v>0</v>
      </c>
      <c r="FS46" s="160">
        <f>IF([Occurrence20]=0,0,SUM($FR$2:FR46))</f>
        <v>0</v>
      </c>
      <c r="FT46" s="160">
        <f>IF([Chambre2]*1='CHAMBRES FILLES 1e ETAGE'!$A$23,1,0)</f>
        <v>0</v>
      </c>
      <c r="FU46" s="160">
        <f>IF([Occurrence21]=0,0,SUM($FT$2:FT46))</f>
        <v>0</v>
      </c>
      <c r="FV46" s="160">
        <f>IF([Chambre2]*1='CHAMBRES FILLES 1e ETAGE'!$A$29,1,0)</f>
        <v>0</v>
      </c>
      <c r="FW46" s="160">
        <f>IF([Occurrence22]=0,0,SUM($FV$2:FV46))</f>
        <v>0</v>
      </c>
      <c r="FX46" s="160">
        <f>IF([Chambre2]*1='CHAMBRES FILLES 1e ETAGE'!$A$35,1,0)</f>
        <v>0</v>
      </c>
      <c r="FY46" s="160">
        <f>IF([Occurrence23]=0,0,SUM($FX$2:FX46))</f>
        <v>0</v>
      </c>
      <c r="FZ46" s="160">
        <f>IF([Chambre2]*1='CHAMBRES FILLES 1e ETAGE'!$A$41,1,0)</f>
        <v>0</v>
      </c>
      <c r="GA46" s="160">
        <f>IF([Occurrence24]=0,0,SUM($FZ$2:FZ46))</f>
        <v>0</v>
      </c>
      <c r="GB46" s="160">
        <f>IF([Chambre2]*1='CHAMBRES FILLES 1e ETAGE'!$A$47,1,0)</f>
        <v>0</v>
      </c>
      <c r="GC46" s="160">
        <f>IF([Occurrence25]=0,0,SUM($GB$2:GB46))</f>
        <v>0</v>
      </c>
      <c r="GD46" s="160">
        <f>IF([Chambre2]*1='CHAMBRES FILLES 1e ETAGE'!$A$53,1,0)</f>
        <v>0</v>
      </c>
      <c r="GE46" s="160">
        <f>IF([Occurrence26]=0,0,SUM($GD$2:GD46))</f>
        <v>0</v>
      </c>
      <c r="GF46" s="160">
        <f>IF([chambre4]*1='CHAMBRES GARCONS 1e ETAGE'!$A$5,1,0)</f>
        <v>0</v>
      </c>
      <c r="GG46" s="160">
        <f>IF([Occurrence27]=0,0,SUM($GF$2:GF46))</f>
        <v>0</v>
      </c>
      <c r="GH46" s="160">
        <f>IF([chambre4]*1='CHAMBRES GARCONS 1e ETAGE'!$A$11,1,0)</f>
        <v>0</v>
      </c>
      <c r="GI46" s="160">
        <f>IF([Occurrence28]=0,0,SUM($GH$2:GH46))</f>
        <v>0</v>
      </c>
      <c r="GJ46" s="160">
        <f>IF([chambre4]*1='CHAMBRES GARCONS 1e ETAGE'!$A$17,1,0)</f>
        <v>0</v>
      </c>
      <c r="GK46" s="160">
        <f>IF([Occurrence29]=0,0,SUM($GJ$2:GJ46))</f>
        <v>0</v>
      </c>
      <c r="GL46" s="160">
        <f>IF([chambre4]*1='CHAMBRES GARCONS 1e ETAGE'!$A$23,1,0)</f>
        <v>0</v>
      </c>
      <c r="GM46" s="160">
        <f>IF([Occurrence30]=0,0,SUM($GL$2:GL46))</f>
        <v>0</v>
      </c>
      <c r="GN46" s="160">
        <f>IF([chambre4]*1='CHAMBRES GARCONS 1e ETAGE'!$A$29,1,0)</f>
        <v>0</v>
      </c>
      <c r="GO46" s="160">
        <f>IF([Occurrence31]=0,0,SUM($GN$2:GN46))</f>
        <v>0</v>
      </c>
      <c r="GP46" s="160">
        <f>IF([chambre4]*1='CHAMBRES GARCONS 1e ETAGE'!$A$35,1,0)</f>
        <v>0</v>
      </c>
      <c r="GQ46" s="160">
        <f>IF([Occurrence32]=0,0,SUM($GP$2:GP46))</f>
        <v>0</v>
      </c>
      <c r="GR46" s="160">
        <f>IF([chambre3]*1='CHAMBRES GARCONS RDC'!$A$5,1,0)</f>
        <v>0</v>
      </c>
      <c r="GS46" s="160">
        <f>IF([Occurrence33]=0,0,SUM($GR$2:GR46))</f>
        <v>0</v>
      </c>
      <c r="GT46" s="160">
        <f>IF([chambre3]*1='CHAMBRES GARCONS RDC'!$A$11,1,0)</f>
        <v>0</v>
      </c>
      <c r="GU46" s="160">
        <f>IF([Occurrence34]=0,0,SUM($GT$2:GT46))</f>
        <v>0</v>
      </c>
      <c r="GV46" s="160">
        <f>IF([chambre3]*1='CHAMBRES GARCONS RDC'!$A$17,1,0)</f>
        <v>0</v>
      </c>
      <c r="GW46" s="160">
        <f>IF([Occurrence35]=0,0,SUM($GV$2:GV46))</f>
        <v>0</v>
      </c>
      <c r="GX46" s="160">
        <f>IF([chambre3]*1='CHAMBRES GARCONS RDC'!$A$23,1,0)</f>
        <v>0</v>
      </c>
      <c r="GY46" s="160">
        <f>IF([Occurrence36]=0,0,SUM($GX$2:GX46))</f>
        <v>0</v>
      </c>
      <c r="GZ46" s="160">
        <f>IF([chambre3]*1='CHAMBRES GARCONS RDC'!$A$29,1,0)</f>
        <v>0</v>
      </c>
      <c r="HA46" s="160">
        <f>IF([Occurrence37]=0,0,SUM($GZ$2:GZ46))</f>
        <v>0</v>
      </c>
      <c r="HB46" s="160">
        <f>IF([chambre3]*1='CHAMBRES GARCONS RDC'!$A$35,1,0)</f>
        <v>0</v>
      </c>
      <c r="HC46" s="160">
        <f>IF([Occurrence38]=0,0,SUM($HB$2:HB46))</f>
        <v>0</v>
      </c>
      <c r="HD46" s="160">
        <f>IF([chambre3]*1='CHAMBRES GARCONS RDC'!$A$41,1,0)</f>
        <v>0</v>
      </c>
      <c r="HE46" s="160">
        <f>IF([Occurrence39]=0,0,SUM($HD$2:HD46))</f>
        <v>0</v>
      </c>
      <c r="HF46" s="160">
        <f>IF([chambre3]*1='CHAMBRES GARCONS RDC'!$A$47,1,0)</f>
        <v>0</v>
      </c>
      <c r="HG46" s="160">
        <f>IF([Occurrence40]=0,0,SUM($HF$2:HF46))</f>
        <v>0</v>
      </c>
      <c r="HH46" s="160">
        <f>IF([chambre3]*1='CHAMBRES GARCONS RDC'!$A$53,1,0)</f>
        <v>0</v>
      </c>
      <c r="HI46" s="160">
        <f>IF([Occurrence41]=0,0,SUM($HH$2:HH46))</f>
        <v>0</v>
      </c>
      <c r="HJ46" s="160">
        <f>IF([chambre3]*1='CHAMBRES GARCONS RDC'!$A$59,1,0)</f>
        <v>0</v>
      </c>
      <c r="HK46" s="160">
        <f>IF([Occurrence42]=0,0,SUM($HJ$2:HJ46))</f>
        <v>0</v>
      </c>
      <c r="HL46" s="160">
        <f>IF([chambre3]*1='CHAMBRES GARCONS RDC'!$A$65,1,0)</f>
        <v>0</v>
      </c>
      <c r="HM46" s="160">
        <f>IF([Occurrence43]=0,0,SUM($HL$2:HL46))</f>
        <v>0</v>
      </c>
      <c r="HN46" s="160">
        <f>IF([chambre3]*1='CHAMBRES GARCONS RDC'!$A$71,1,0)</f>
        <v>0</v>
      </c>
      <c r="HO46" s="160">
        <f>IF([Occurrence44]=0,0,SUM($HN$2:HN46))</f>
        <v>0</v>
      </c>
      <c r="HP46" s="160">
        <f>IF([chambre3]*1='CHAMBRES GARCONS RDC'!$A$77,1,0)</f>
        <v>0</v>
      </c>
      <c r="HQ46" s="160">
        <f>IF([Occurrence45]=0,0,SUM($HP$2:HP46))</f>
        <v>0</v>
      </c>
      <c r="HR46" s="160">
        <f>IF([chambre3]*1='CHAMBRES GARCONS RDC'!$A$83,1,0)</f>
        <v>0</v>
      </c>
      <c r="HS46" s="160">
        <f>IF([Occurrence46]=0,0,SUM($HR$2:HR46))</f>
        <v>0</v>
      </c>
      <c r="HT46" s="160">
        <f>IF([chambre3]*1='CHAMBRES GARCONS RDC'!$A$89,1,0)</f>
        <v>0</v>
      </c>
      <c r="HU46" s="160">
        <f>IF([Occurrence47]=0,0,SUM($HT$2:HT46))</f>
        <v>0</v>
      </c>
      <c r="HV46" s="160">
        <f>IF([chambre3]*1='CHAMBRES GARCONS RDC'!$A$95,1,0)</f>
        <v>0</v>
      </c>
      <c r="HW46" s="160">
        <f>IF([Occurrence48]=0,0,SUM($HV$2:HV46))</f>
        <v>0</v>
      </c>
      <c r="HX46" s="160"/>
      <c r="HY46" s="160"/>
      <c r="HZ46" s="160">
        <f>IF([Classe]='Liste élève par classes'!$B$5,1,0)</f>
        <v>0</v>
      </c>
      <c r="IA46" s="160">
        <f>IF([Occurrence]=0,0,SUM($HZ$2:HZ46))</f>
        <v>0</v>
      </c>
      <c r="IB4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166</v>
      </c>
      <c r="IC46" s="208"/>
    </row>
    <row r="47" spans="1:237">
      <c r="A47" t="s">
        <v>329</v>
      </c>
      <c r="B47" t="s">
        <v>330</v>
      </c>
      <c r="C47" s="158">
        <v>36849</v>
      </c>
      <c r="D47" s="62">
        <f t="shared" ca="1" si="0"/>
        <v>16</v>
      </c>
      <c r="E47" t="s">
        <v>0</v>
      </c>
      <c r="F47" s="159" t="s">
        <v>46</v>
      </c>
      <c r="G47" t="s">
        <v>40</v>
      </c>
      <c r="H47" s="160"/>
      <c r="I47" s="161"/>
      <c r="J47" s="161"/>
      <c r="K47" s="161"/>
      <c r="L47" s="160"/>
      <c r="M47">
        <v>208</v>
      </c>
      <c r="N47" s="161"/>
      <c r="O47" s="161"/>
      <c r="P47" s="161"/>
      <c r="Q47" s="161"/>
      <c r="R47" s="161"/>
      <c r="S47" s="161"/>
      <c r="T47" s="161"/>
      <c r="U47" s="160"/>
      <c r="V47" s="161"/>
      <c r="W47" s="161"/>
      <c r="X47" s="161"/>
      <c r="Y47" s="161"/>
      <c r="Z47" s="161"/>
      <c r="AA47" s="161"/>
      <c r="AB47" s="161"/>
      <c r="AC47" s="161"/>
      <c r="AD47" s="161"/>
      <c r="AE47" s="161"/>
      <c r="AF47" s="163"/>
      <c r="AG47" s="163"/>
      <c r="AH47" s="163"/>
      <c r="AI47" s="163"/>
      <c r="AJ47" s="163"/>
      <c r="AK47" s="163"/>
      <c r="AL47" s="163"/>
      <c r="AM47" s="163"/>
      <c r="AN47" s="163"/>
      <c r="AO47" s="163"/>
      <c r="AP47" s="163"/>
      <c r="AQ47" s="163"/>
      <c r="AR47" s="163"/>
      <c r="AS47" s="163"/>
      <c r="AT47" s="163"/>
      <c r="AU47" s="163"/>
      <c r="AV47" s="163"/>
      <c r="AW47" s="163"/>
      <c r="AX47" s="163"/>
      <c r="AY47" s="163"/>
      <c r="AZ47" s="163"/>
      <c r="BA47" s="163"/>
      <c r="BB47" s="163"/>
      <c r="BC47" s="163"/>
      <c r="BD47" s="163"/>
      <c r="BE47" s="163"/>
      <c r="BF47" s="163"/>
      <c r="BG47" s="163"/>
      <c r="BH47" s="163"/>
      <c r="BI47" s="163"/>
      <c r="BJ47" s="163"/>
      <c r="BK47" s="163"/>
      <c r="BL47" s="163"/>
      <c r="BM47" s="163"/>
      <c r="BN47" s="163"/>
      <c r="BO47" s="163"/>
      <c r="BP47" s="163"/>
      <c r="BQ47" s="163"/>
      <c r="BR47" s="163"/>
      <c r="BS47" s="163"/>
      <c r="BT47" s="163"/>
      <c r="BU47" s="163"/>
      <c r="BV47" s="163"/>
      <c r="BW47" s="163"/>
      <c r="BX47" s="163"/>
      <c r="BY47" s="163"/>
      <c r="BZ47" s="163"/>
      <c r="CA47" s="163"/>
      <c r="CB47" s="163"/>
      <c r="CC47" s="163"/>
      <c r="CD47" s="163"/>
      <c r="CE47" s="163"/>
      <c r="CF47" s="163"/>
      <c r="CG47" s="163"/>
      <c r="CH47" s="163"/>
      <c r="CI47" s="163"/>
      <c r="CJ47" s="163"/>
      <c r="CK47" s="163"/>
      <c r="CL47" s="163"/>
      <c r="CM47" s="163"/>
      <c r="CN47" s="163"/>
      <c r="CO47" s="163"/>
      <c r="CP47" s="163"/>
      <c r="CQ47" s="163"/>
      <c r="CR47" s="163"/>
      <c r="CS47" s="163"/>
      <c r="CT47" s="163"/>
      <c r="CU47" s="163"/>
      <c r="CV47" s="163"/>
      <c r="CW47" s="163"/>
      <c r="CX47" s="163"/>
      <c r="CY47" s="163"/>
      <c r="CZ47" s="163"/>
      <c r="DA47" s="163"/>
      <c r="DB47" s="163"/>
      <c r="DC47" s="163"/>
      <c r="DD47" s="163"/>
      <c r="DE47" s="163"/>
      <c r="DF47" s="163"/>
      <c r="DG47" s="163"/>
      <c r="DH47" s="163"/>
      <c r="DI47" s="163"/>
      <c r="DJ47" s="163"/>
      <c r="DK47" s="163"/>
      <c r="DL47" s="163"/>
      <c r="DM47" s="163"/>
      <c r="DN47" s="163"/>
      <c r="DO47" s="163"/>
      <c r="DP47" s="163"/>
      <c r="DQ47" s="163"/>
      <c r="DR47" s="163"/>
      <c r="DS47" s="163"/>
      <c r="DT47" s="163"/>
      <c r="DU47" s="163"/>
      <c r="DV47" s="163"/>
      <c r="DW47" s="163"/>
      <c r="DX47" s="163"/>
      <c r="DY47" s="163"/>
      <c r="DZ47" s="163"/>
      <c r="EA47" s="163"/>
      <c r="EB47" s="163"/>
      <c r="EC47" s="163"/>
      <c r="ED47" s="163"/>
      <c r="EE47" s="163"/>
      <c r="EF47" s="163"/>
      <c r="EG47" s="163"/>
      <c r="EH47" s="160">
        <f>IF([Chambre]*1='CHAMBRES FILLES 2e ETAGE'!$A$5,1,0)</f>
        <v>0</v>
      </c>
      <c r="EI47" s="161">
        <f>IF([Occurrence2]=0,0,SUM($EH$2:EH47))</f>
        <v>0</v>
      </c>
      <c r="EJ47" s="160">
        <f>IF([Chambre]*1='CHAMBRES FILLES 2e ETAGE'!$A$11,1,0)</f>
        <v>0</v>
      </c>
      <c r="EK47" s="160">
        <f>IF([Occurrence3]=0,0,SUM($EJ$2:EJ47))</f>
        <v>0</v>
      </c>
      <c r="EL47" s="160">
        <f>IF([Chambre]*1='CHAMBRES FILLES 2e ETAGE'!$A$17,1,0)</f>
        <v>0</v>
      </c>
      <c r="EM47" s="160">
        <f>IF([Occurrence4]=0,0,SUM($EL$2:EL47))</f>
        <v>0</v>
      </c>
      <c r="EN47" s="160">
        <f>IF([Chambre]*1='CHAMBRES FILLES 2e ETAGE'!$A$23,1,0)</f>
        <v>0</v>
      </c>
      <c r="EO47" s="160">
        <f>IF([Occurrence5]=0,0,SUM($EN$2:EN47))</f>
        <v>0</v>
      </c>
      <c r="EP47" s="160">
        <f>IF([Chambre]*1='CHAMBRES FILLES 2e ETAGE'!$A$29,1,0)</f>
        <v>0</v>
      </c>
      <c r="EQ47" s="160">
        <f>IF([Occurrence6]=0,0,SUM($EP$2:EP47))</f>
        <v>0</v>
      </c>
      <c r="ER47" s="160">
        <f>IF([Chambre]*1='CHAMBRES FILLES 2e ETAGE'!$A$35,1,0)</f>
        <v>0</v>
      </c>
      <c r="ES47" s="160">
        <f>IF([Occurrence7]=0,0,SUM($ER$2:ER47))</f>
        <v>0</v>
      </c>
      <c r="ET47" s="160">
        <f>IF([Chambre]*1='CHAMBRES FILLES 2e ETAGE'!$A$41,1,0)</f>
        <v>0</v>
      </c>
      <c r="EU47" s="160">
        <f>IF([Occurrence8]=0,0,SUM($ET$2:ET47))</f>
        <v>0</v>
      </c>
      <c r="EV47" s="160">
        <f>IF([Chambre]*1='CHAMBRES FILLES 2e ETAGE'!$A$47,1,0)</f>
        <v>0</v>
      </c>
      <c r="EW47" s="160">
        <f>IF([Occurrence9]=0,0,SUM($EV$2:EV47))</f>
        <v>0</v>
      </c>
      <c r="EX47" s="160">
        <f>IF([Chambre]*1='CHAMBRES FILLES 2e ETAGE'!$A$53,1,0)</f>
        <v>0</v>
      </c>
      <c r="EY47" s="160">
        <f>IF([Occurrence10]=0,0,SUM($EX$2:EX47))</f>
        <v>0</v>
      </c>
      <c r="EZ47" s="160">
        <f>IF([Chambre]*1='CHAMBRES FILLES 2e ETAGE'!$A$59,1,0)</f>
        <v>0</v>
      </c>
      <c r="FA47" s="160">
        <f>IF([Occurrence11]=0,0,SUM($EZ$2:EZ47))</f>
        <v>0</v>
      </c>
      <c r="FB47" s="160">
        <f>IF([Chambre]*1='CHAMBRES FILLES 2e ETAGE'!$A$65,1,0)</f>
        <v>0</v>
      </c>
      <c r="FC47" s="160">
        <f>IF([Occurrence12]=0,0,SUM($FB$2:FB47))</f>
        <v>0</v>
      </c>
      <c r="FD47" s="160">
        <f>IF([Chambre]*1='CHAMBRES FILLES 2e ETAGE'!$A$71,1,0)</f>
        <v>0</v>
      </c>
      <c r="FE47" s="160">
        <f>IF([Occurrence13]=0,0,SUM($FD$2:FD47))</f>
        <v>0</v>
      </c>
      <c r="FF47" s="160">
        <f>IF([Chambre]*1='CHAMBRES FILLES 2e ETAGE'!$A$77,1,0)</f>
        <v>0</v>
      </c>
      <c r="FG47" s="160">
        <f>IF([Occurrence14]=0,0,SUM($FF$2:FF47))</f>
        <v>0</v>
      </c>
      <c r="FH47" s="160">
        <f>IF([Chambre]*1='CHAMBRES FILLES 2e ETAGE'!$A$83,1,0)</f>
        <v>0</v>
      </c>
      <c r="FI47" s="160">
        <f>IF([Occurrence15]=0,0,SUM($FH$2:FH47))</f>
        <v>0</v>
      </c>
      <c r="FJ47" s="160">
        <f>IF([Chambre]*1='CHAMBRES FILLES 2e ETAGE'!$A$89,1,0)</f>
        <v>0</v>
      </c>
      <c r="FK47" s="160">
        <f>IF([Occurrence16]=0,0,SUM($FJ$2:FJ47))</f>
        <v>0</v>
      </c>
      <c r="FL47" s="160">
        <f>IF([Chambre]*1='CHAMBRES FILLES 2e ETAGE'!$A$95,1,0)</f>
        <v>0</v>
      </c>
      <c r="FM47" s="160">
        <f>IF([Occurrence17]=0,0,SUM($FL$2:FL47))</f>
        <v>0</v>
      </c>
      <c r="FN47" s="160">
        <f>IF([Chambre2]*1='CHAMBRES FILLES 1e ETAGE'!$A$5,1,0)</f>
        <v>0</v>
      </c>
      <c r="FO47" s="160">
        <f>IF([Occurrence18]=0,0,SUM($FN$2:FN47))</f>
        <v>0</v>
      </c>
      <c r="FP47" s="160">
        <f>IF([Chambre2]*1='CHAMBRES FILLES 1e ETAGE'!$A$11,1,0)</f>
        <v>0</v>
      </c>
      <c r="FQ47" s="160">
        <f>IF([Occurrence19]=0,0,SUM($FP$2:FP47))</f>
        <v>0</v>
      </c>
      <c r="FR47" s="160">
        <f>IF([Chambre2]*1='CHAMBRES FILLES 1e ETAGE'!$A$17,1,0)</f>
        <v>0</v>
      </c>
      <c r="FS47" s="160">
        <f>IF([Occurrence20]=0,0,SUM($FR$2:FR47))</f>
        <v>0</v>
      </c>
      <c r="FT47" s="160">
        <f>IF([Chambre2]*1='CHAMBRES FILLES 1e ETAGE'!$A$23,1,0)</f>
        <v>0</v>
      </c>
      <c r="FU47" s="160">
        <f>IF([Occurrence21]=0,0,SUM($FT$2:FT47))</f>
        <v>0</v>
      </c>
      <c r="FV47" s="160">
        <f>IF([Chambre2]*1='CHAMBRES FILLES 1e ETAGE'!$A$29,1,0)</f>
        <v>0</v>
      </c>
      <c r="FW47" s="160">
        <f>IF([Occurrence22]=0,0,SUM($FV$2:FV47))</f>
        <v>0</v>
      </c>
      <c r="FX47" s="160">
        <f>IF([Chambre2]*1='CHAMBRES FILLES 1e ETAGE'!$A$35,1,0)</f>
        <v>0</v>
      </c>
      <c r="FY47" s="160">
        <f>IF([Occurrence23]=0,0,SUM($FX$2:FX47))</f>
        <v>0</v>
      </c>
      <c r="FZ47" s="160">
        <f>IF([Chambre2]*1='CHAMBRES FILLES 1e ETAGE'!$A$41,1,0)</f>
        <v>0</v>
      </c>
      <c r="GA47" s="160">
        <f>IF([Occurrence24]=0,0,SUM($FZ$2:FZ47))</f>
        <v>0</v>
      </c>
      <c r="GB47" s="160">
        <f>IF([Chambre2]*1='CHAMBRES FILLES 1e ETAGE'!$A$47,1,0)</f>
        <v>0</v>
      </c>
      <c r="GC47" s="160">
        <f>IF([Occurrence25]=0,0,SUM($GB$2:GB47))</f>
        <v>0</v>
      </c>
      <c r="GD47" s="160">
        <f>IF([Chambre2]*1='CHAMBRES FILLES 1e ETAGE'!$A$53,1,0)</f>
        <v>0</v>
      </c>
      <c r="GE47" s="160">
        <f>IF([Occurrence26]=0,0,SUM($GD$2:GD47))</f>
        <v>0</v>
      </c>
      <c r="GF47" s="160">
        <f>IF([chambre4]*1='CHAMBRES GARCONS 1e ETAGE'!$A$5,1,0)</f>
        <v>0</v>
      </c>
      <c r="GG47" s="160">
        <f>IF([Occurrence27]=0,0,SUM($GF$2:GF47))</f>
        <v>0</v>
      </c>
      <c r="GH47" s="160">
        <f>IF([chambre4]*1='CHAMBRES GARCONS 1e ETAGE'!$A$11,1,0)</f>
        <v>0</v>
      </c>
      <c r="GI47" s="160">
        <f>IF([Occurrence28]=0,0,SUM($GH$2:GH47))</f>
        <v>0</v>
      </c>
      <c r="GJ47" s="160">
        <f>IF([chambre4]*1='CHAMBRES GARCONS 1e ETAGE'!$A$17,1,0)</f>
        <v>0</v>
      </c>
      <c r="GK47" s="160">
        <f>IF([Occurrence29]=0,0,SUM($GJ$2:GJ47))</f>
        <v>0</v>
      </c>
      <c r="GL47" s="160">
        <f>IF([chambre4]*1='CHAMBRES GARCONS 1e ETAGE'!$A$23,1,0)</f>
        <v>0</v>
      </c>
      <c r="GM47" s="160">
        <f>IF([Occurrence30]=0,0,SUM($GL$2:GL47))</f>
        <v>0</v>
      </c>
      <c r="GN47" s="160">
        <f>IF([chambre4]*1='CHAMBRES GARCONS 1e ETAGE'!$A$29,1,0)</f>
        <v>0</v>
      </c>
      <c r="GO47" s="160">
        <f>IF([Occurrence31]=0,0,SUM($GN$2:GN47))</f>
        <v>0</v>
      </c>
      <c r="GP47" s="160">
        <f>IF([chambre4]*1='CHAMBRES GARCONS 1e ETAGE'!$A$35,1,0)</f>
        <v>0</v>
      </c>
      <c r="GQ47" s="160">
        <f>IF([Occurrence32]=0,0,SUM($GP$2:GP47))</f>
        <v>0</v>
      </c>
      <c r="GR47" s="160">
        <f>IF([chambre3]*1='CHAMBRES GARCONS RDC'!$A$5,1,0)</f>
        <v>0</v>
      </c>
      <c r="GS47" s="160">
        <f>IF([Occurrence33]=0,0,SUM($GR$2:GR47))</f>
        <v>0</v>
      </c>
      <c r="GT47" s="160">
        <f>IF([chambre3]*1='CHAMBRES GARCONS RDC'!$A$11,1,0)</f>
        <v>0</v>
      </c>
      <c r="GU47" s="160">
        <f>IF([Occurrence34]=0,0,SUM($GT$2:GT47))</f>
        <v>0</v>
      </c>
      <c r="GV47" s="160">
        <f>IF([chambre3]*1='CHAMBRES GARCONS RDC'!$A$17,1,0)</f>
        <v>0</v>
      </c>
      <c r="GW47" s="160">
        <f>IF([Occurrence35]=0,0,SUM($GV$2:GV47))</f>
        <v>0</v>
      </c>
      <c r="GX47" s="160">
        <f>IF([chambre3]*1='CHAMBRES GARCONS RDC'!$A$23,1,0)</f>
        <v>0</v>
      </c>
      <c r="GY47" s="160">
        <f>IF([Occurrence36]=0,0,SUM($GX$2:GX47))</f>
        <v>0</v>
      </c>
      <c r="GZ47" s="160">
        <f>IF([chambre3]*1='CHAMBRES GARCONS RDC'!$A$29,1,0)</f>
        <v>0</v>
      </c>
      <c r="HA47" s="160">
        <f>IF([Occurrence37]=0,0,SUM($GZ$2:GZ47))</f>
        <v>0</v>
      </c>
      <c r="HB47" s="160">
        <f>IF([chambre3]*1='CHAMBRES GARCONS RDC'!$A$35,1,0)</f>
        <v>0</v>
      </c>
      <c r="HC47" s="160">
        <f>IF([Occurrence38]=0,0,SUM($HB$2:HB47))</f>
        <v>0</v>
      </c>
      <c r="HD47" s="160">
        <f>IF([chambre3]*1='CHAMBRES GARCONS RDC'!$A$41,1,0)</f>
        <v>0</v>
      </c>
      <c r="HE47" s="160">
        <f>IF([Occurrence39]=0,0,SUM($HD$2:HD47))</f>
        <v>0</v>
      </c>
      <c r="HF47" s="160">
        <f>IF([chambre3]*1='CHAMBRES GARCONS RDC'!$A$47,1,0)</f>
        <v>0</v>
      </c>
      <c r="HG47" s="160">
        <f>IF([Occurrence40]=0,0,SUM($HF$2:HF47))</f>
        <v>0</v>
      </c>
      <c r="HH47" s="160">
        <f>IF([chambre3]*1='CHAMBRES GARCONS RDC'!$A$53,1,0)</f>
        <v>0</v>
      </c>
      <c r="HI47" s="160">
        <f>IF([Occurrence41]=0,0,SUM($HH$2:HH47))</f>
        <v>0</v>
      </c>
      <c r="HJ47" s="160">
        <f>IF([chambre3]*1='CHAMBRES GARCONS RDC'!$A$59,1,0)</f>
        <v>0</v>
      </c>
      <c r="HK47" s="160">
        <f>IF([Occurrence42]=0,0,SUM($HJ$2:HJ47))</f>
        <v>0</v>
      </c>
      <c r="HL47" s="160">
        <f>IF([chambre3]*1='CHAMBRES GARCONS RDC'!$A$65,1,0)</f>
        <v>0</v>
      </c>
      <c r="HM47" s="160">
        <f>IF([Occurrence43]=0,0,SUM($HL$2:HL47))</f>
        <v>0</v>
      </c>
      <c r="HN47" s="160">
        <f>IF([chambre3]*1='CHAMBRES GARCONS RDC'!$A$71,1,0)</f>
        <v>0</v>
      </c>
      <c r="HO47" s="160">
        <f>IF([Occurrence44]=0,0,SUM($HN$2:HN47))</f>
        <v>0</v>
      </c>
      <c r="HP47" s="160">
        <f>IF([chambre3]*1='CHAMBRES GARCONS RDC'!$A$77,1,0)</f>
        <v>0</v>
      </c>
      <c r="HQ47" s="160">
        <f>IF([Occurrence45]=0,0,SUM($HP$2:HP47))</f>
        <v>0</v>
      </c>
      <c r="HR47" s="160">
        <f>IF([chambre3]*1='CHAMBRES GARCONS RDC'!$A$83,1,0)</f>
        <v>0</v>
      </c>
      <c r="HS47" s="160">
        <f>IF([Occurrence46]=0,0,SUM($HR$2:HR47))</f>
        <v>0</v>
      </c>
      <c r="HT47" s="160">
        <f>IF([chambre3]*1='CHAMBRES GARCONS RDC'!$A$89,1,0)</f>
        <v>0</v>
      </c>
      <c r="HU47" s="160">
        <f>IF([Occurrence47]=0,0,SUM($HT$2:HT47))</f>
        <v>0</v>
      </c>
      <c r="HV47" s="160">
        <f>IF([chambre3]*1='CHAMBRES GARCONS RDC'!$A$95,1,0)</f>
        <v>0</v>
      </c>
      <c r="HW47" s="160">
        <f>IF([Occurrence48]=0,0,SUM($HV$2:HV47))</f>
        <v>0</v>
      </c>
      <c r="HX47" s="160"/>
      <c r="HY47" s="160"/>
      <c r="HZ47" s="160">
        <f>IF([Classe]='Liste élève par classes'!$B$5,1,0)</f>
        <v>0</v>
      </c>
      <c r="IA47" s="160">
        <f>IF([Occurrence]=0,0,SUM($HZ$2:HZ47))</f>
        <v>0</v>
      </c>
      <c r="IB4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47" s="208"/>
    </row>
    <row r="48" spans="1:237">
      <c r="A48" t="s">
        <v>331</v>
      </c>
      <c r="B48" t="s">
        <v>249</v>
      </c>
      <c r="C48" s="158">
        <v>37455</v>
      </c>
      <c r="D48" s="62">
        <f t="shared" ca="1" si="0"/>
        <v>15</v>
      </c>
      <c r="E48" t="s">
        <v>5</v>
      </c>
      <c r="F48" s="159" t="s">
        <v>50</v>
      </c>
      <c r="G48" t="s">
        <v>45</v>
      </c>
      <c r="H48" s="160"/>
      <c r="I48" s="62"/>
      <c r="J48" s="62" t="s">
        <v>244</v>
      </c>
      <c r="K48" s="62"/>
      <c r="L48" s="61"/>
      <c r="M48">
        <v>246</v>
      </c>
      <c r="N48" s="62" t="s">
        <v>244</v>
      </c>
      <c r="O48" s="62" t="s">
        <v>244</v>
      </c>
      <c r="P48" s="62" t="s">
        <v>244</v>
      </c>
      <c r="Q48" s="62" t="s">
        <v>244</v>
      </c>
      <c r="R48" s="62" t="s">
        <v>244</v>
      </c>
      <c r="S48" s="191"/>
      <c r="T48" s="62" t="s">
        <v>244</v>
      </c>
      <c r="U48" s="61">
        <v>133</v>
      </c>
      <c r="V48" s="62" t="s">
        <v>244</v>
      </c>
      <c r="W48" s="62" t="s">
        <v>244</v>
      </c>
      <c r="X48" s="62" t="s">
        <v>244</v>
      </c>
      <c r="Y48" s="62" t="s">
        <v>244</v>
      </c>
      <c r="Z48" s="62" t="s">
        <v>244</v>
      </c>
      <c r="AA48" s="62" t="s">
        <v>244</v>
      </c>
      <c r="AB48" s="62" t="s">
        <v>244</v>
      </c>
      <c r="AC48" s="62" t="s">
        <v>244</v>
      </c>
      <c r="AD48" s="62" t="s">
        <v>244</v>
      </c>
      <c r="AE48" s="62" t="s">
        <v>244</v>
      </c>
      <c r="AF48" s="163" t="s">
        <v>244</v>
      </c>
      <c r="AG48" s="163" t="s">
        <v>244</v>
      </c>
      <c r="AH48" s="163" t="s">
        <v>244</v>
      </c>
      <c r="AI48" s="163"/>
      <c r="AJ48" s="163"/>
      <c r="AK48" s="163"/>
      <c r="AL48" s="163"/>
      <c r="AM48" s="163"/>
      <c r="AN48" s="163"/>
      <c r="AO48" s="163"/>
      <c r="AP48" s="163"/>
      <c r="AQ48" s="163"/>
      <c r="AR48" s="163"/>
      <c r="AS48" s="163"/>
      <c r="AT48" s="163"/>
      <c r="AU48" s="163"/>
      <c r="AV48" s="163"/>
      <c r="AW48" s="163"/>
      <c r="AX48" s="163"/>
      <c r="AY48" s="163"/>
      <c r="AZ48" s="163"/>
      <c r="BA48" s="163"/>
      <c r="BB48" s="163"/>
      <c r="BC48" s="163" t="b">
        <v>0</v>
      </c>
      <c r="BD48" s="163" t="b">
        <v>1</v>
      </c>
      <c r="BE48" s="163" t="b">
        <v>1</v>
      </c>
      <c r="BF48" s="163" t="b">
        <v>0</v>
      </c>
      <c r="BG48" s="163" t="b">
        <v>1</v>
      </c>
      <c r="BH48" s="163" t="b">
        <v>0</v>
      </c>
      <c r="BI48" s="163"/>
      <c r="BJ48" s="163"/>
      <c r="BK48" s="163"/>
      <c r="BL48" s="163"/>
      <c r="BM48" s="163"/>
      <c r="BN48" s="163"/>
      <c r="BO48" s="163"/>
      <c r="BP48" s="163"/>
      <c r="BQ48" s="163" t="b">
        <v>0</v>
      </c>
      <c r="BR48" s="163"/>
      <c r="BS48" s="163"/>
      <c r="BT48" s="163"/>
      <c r="BU48" s="163"/>
      <c r="BV48" s="163"/>
      <c r="BW48" s="163"/>
      <c r="BX48" s="163"/>
      <c r="BY48" s="163"/>
      <c r="BZ48" s="163"/>
      <c r="CA48" s="163"/>
      <c r="CB48" s="163"/>
      <c r="CC48" s="163"/>
      <c r="CD48" s="163"/>
      <c r="CE48" s="163"/>
      <c r="CF48" s="163"/>
      <c r="CG48" s="163"/>
      <c r="CH48" s="163"/>
      <c r="CI48" s="163"/>
      <c r="CJ48" s="163"/>
      <c r="CK48" s="163"/>
      <c r="CL48" s="163"/>
      <c r="CM48" s="163"/>
      <c r="CN48" s="163"/>
      <c r="CO48" s="163"/>
      <c r="CP48" s="163"/>
      <c r="CQ48" s="163"/>
      <c r="CR48" s="163"/>
      <c r="CS48" s="163"/>
      <c r="CT48" s="163"/>
      <c r="CU48" s="163"/>
      <c r="CV48" s="163"/>
      <c r="CW48" s="163"/>
      <c r="CX48" s="163"/>
      <c r="CY48" s="163"/>
      <c r="CZ48" s="163"/>
      <c r="DA48" s="163"/>
      <c r="DB48" s="163"/>
      <c r="DC48" s="163"/>
      <c r="DD48" s="163"/>
      <c r="DE48" s="163"/>
      <c r="DF48" s="163"/>
      <c r="DG48" s="208"/>
      <c r="DH48" s="163"/>
      <c r="DI48" s="163"/>
      <c r="DJ48" s="163"/>
      <c r="DK48" s="163"/>
      <c r="DL48" s="163"/>
      <c r="DM48" s="163"/>
      <c r="DN48" s="163"/>
      <c r="DO48" s="163"/>
      <c r="DP48" s="163"/>
      <c r="DQ48" s="163"/>
      <c r="DR48" s="163"/>
      <c r="DS48" s="163"/>
      <c r="DT48" s="163"/>
      <c r="DU48" s="163"/>
      <c r="DV48" s="163"/>
      <c r="DW48" s="163"/>
      <c r="DX48" s="163"/>
      <c r="DY48" s="163"/>
      <c r="DZ48" s="163"/>
      <c r="EA48" s="163"/>
      <c r="EB48" s="163"/>
      <c r="EC48" s="163"/>
      <c r="ED48" s="163"/>
      <c r="EE48" s="163"/>
      <c r="EF48" s="163"/>
      <c r="EG48" s="163"/>
      <c r="EH48" s="160">
        <f>IF([Chambre]*1='CHAMBRES FILLES 2e ETAGE'!$A$5,1,0)</f>
        <v>0</v>
      </c>
      <c r="EI48" s="161">
        <f>IF([Occurrence2]=0,0,SUM($EH$2:EH48))</f>
        <v>0</v>
      </c>
      <c r="EJ48" s="160">
        <f>IF([Chambre]*1='CHAMBRES FILLES 2e ETAGE'!$A$11,1,0)</f>
        <v>0</v>
      </c>
      <c r="EK48" s="160">
        <f>IF([Occurrence3]=0,0,SUM($EJ$2:EJ48))</f>
        <v>0</v>
      </c>
      <c r="EL48" s="160">
        <f>IF([Chambre]*1='CHAMBRES FILLES 2e ETAGE'!$A$17,1,0)</f>
        <v>0</v>
      </c>
      <c r="EM48" s="160">
        <f>IF([Occurrence4]=0,0,SUM($EL$2:EL48))</f>
        <v>0</v>
      </c>
      <c r="EN48" s="160">
        <f>IF([Chambre]*1='CHAMBRES FILLES 2e ETAGE'!$A$23,1,0)</f>
        <v>0</v>
      </c>
      <c r="EO48" s="160">
        <f>IF([Occurrence5]=0,0,SUM($EN$2:EN48))</f>
        <v>0</v>
      </c>
      <c r="EP48" s="160">
        <f>IF([Chambre]*1='CHAMBRES FILLES 2e ETAGE'!$A$29,1,0)</f>
        <v>0</v>
      </c>
      <c r="EQ48" s="160">
        <f>IF([Occurrence6]=0,0,SUM($EP$2:EP48))</f>
        <v>0</v>
      </c>
      <c r="ER48" s="160">
        <f>IF([Chambre]*1='CHAMBRES FILLES 2e ETAGE'!$A$35,1,0)</f>
        <v>0</v>
      </c>
      <c r="ES48" s="160">
        <f>IF([Occurrence7]=0,0,SUM($ER$2:ER48))</f>
        <v>0</v>
      </c>
      <c r="ET48" s="160">
        <f>IF([Chambre]*1='CHAMBRES FILLES 2e ETAGE'!$A$41,1,0)</f>
        <v>0</v>
      </c>
      <c r="EU48" s="160">
        <f>IF([Occurrence8]=0,0,SUM($ET$2:ET48))</f>
        <v>0</v>
      </c>
      <c r="EV48" s="160">
        <f>IF([Chambre]*1='CHAMBRES FILLES 2e ETAGE'!$A$47,1,0)</f>
        <v>0</v>
      </c>
      <c r="EW48" s="160">
        <f>IF([Occurrence9]=0,0,SUM($EV$2:EV48))</f>
        <v>0</v>
      </c>
      <c r="EX48" s="160">
        <f>IF([Chambre]*1='CHAMBRES FILLES 2e ETAGE'!$A$53,1,0)</f>
        <v>0</v>
      </c>
      <c r="EY48" s="160">
        <f>IF([Occurrence10]=0,0,SUM($EX$2:EX48))</f>
        <v>0</v>
      </c>
      <c r="EZ48" s="160">
        <f>IF([Chambre]*1='CHAMBRES FILLES 2e ETAGE'!$A$59,1,0)</f>
        <v>0</v>
      </c>
      <c r="FA48" s="160">
        <f>IF([Occurrence11]=0,0,SUM($EZ$2:EZ48))</f>
        <v>0</v>
      </c>
      <c r="FB48" s="160">
        <f>IF([Chambre]*1='CHAMBRES FILLES 2e ETAGE'!$A$65,1,0)</f>
        <v>0</v>
      </c>
      <c r="FC48" s="160">
        <f>IF([Occurrence12]=0,0,SUM($FB$2:FB48))</f>
        <v>0</v>
      </c>
      <c r="FD48" s="160">
        <f>IF([Chambre]*1='CHAMBRES FILLES 2e ETAGE'!$A$71,1,0)</f>
        <v>0</v>
      </c>
      <c r="FE48" s="160">
        <f>IF([Occurrence13]=0,0,SUM($FD$2:FD48))</f>
        <v>0</v>
      </c>
      <c r="FF48" s="160">
        <f>IF([Chambre]*1='CHAMBRES FILLES 2e ETAGE'!$A$77,1,0)</f>
        <v>0</v>
      </c>
      <c r="FG48" s="160">
        <f>IF([Occurrence14]=0,0,SUM($FF$2:FF48))</f>
        <v>0</v>
      </c>
      <c r="FH48" s="160">
        <f>IF([Chambre]*1='CHAMBRES FILLES 2e ETAGE'!$A$83,1,0)</f>
        <v>0</v>
      </c>
      <c r="FI48" s="160">
        <f>IF([Occurrence15]=0,0,SUM($FH$2:FH48))</f>
        <v>0</v>
      </c>
      <c r="FJ48" s="160">
        <f>IF([Chambre]*1='CHAMBRES FILLES 2e ETAGE'!$A$89,1,0)</f>
        <v>0</v>
      </c>
      <c r="FK48" s="160">
        <f>IF([Occurrence16]=0,0,SUM($FJ$2:FJ48))</f>
        <v>0</v>
      </c>
      <c r="FL48" s="160">
        <f>IF([Chambre]*1='CHAMBRES FILLES 2e ETAGE'!$A$95,1,0)</f>
        <v>0</v>
      </c>
      <c r="FM48" s="160">
        <f>IF([Occurrence17]=0,0,SUM($FL$2:FL48))</f>
        <v>0</v>
      </c>
      <c r="FN48" s="160">
        <f>IF([Chambre2]*1='CHAMBRES FILLES 1e ETAGE'!$A$5,1,0)</f>
        <v>0</v>
      </c>
      <c r="FO48" s="160">
        <f>IF([Occurrence18]=0,0,SUM($FN$2:FN48))</f>
        <v>0</v>
      </c>
      <c r="FP48" s="160">
        <f>IF([Chambre2]*1='CHAMBRES FILLES 1e ETAGE'!$A$11,1,0)</f>
        <v>1</v>
      </c>
      <c r="FQ48" s="160">
        <f>IF([Occurrence19]=0,0,SUM($FP$2:FP48))</f>
        <v>2</v>
      </c>
      <c r="FR48" s="160">
        <f>IF([Chambre2]*1='CHAMBRES FILLES 1e ETAGE'!$A$17,1,0)</f>
        <v>0</v>
      </c>
      <c r="FS48" s="160">
        <f>IF([Occurrence20]=0,0,SUM($FR$2:FR48))</f>
        <v>0</v>
      </c>
      <c r="FT48" s="160">
        <f>IF([Chambre2]*1='CHAMBRES FILLES 1e ETAGE'!$A$23,1,0)</f>
        <v>0</v>
      </c>
      <c r="FU48" s="160">
        <f>IF([Occurrence21]=0,0,SUM($FT$2:FT48))</f>
        <v>0</v>
      </c>
      <c r="FV48" s="160">
        <f>IF([Chambre2]*1='CHAMBRES FILLES 1e ETAGE'!$A$29,1,0)</f>
        <v>0</v>
      </c>
      <c r="FW48" s="160">
        <f>IF([Occurrence22]=0,0,SUM($FV$2:FV48))</f>
        <v>0</v>
      </c>
      <c r="FX48" s="160">
        <f>IF([Chambre2]*1='CHAMBRES FILLES 1e ETAGE'!$A$35,1,0)</f>
        <v>0</v>
      </c>
      <c r="FY48" s="160">
        <f>IF([Occurrence23]=0,0,SUM($FX$2:FX48))</f>
        <v>0</v>
      </c>
      <c r="FZ48" s="160">
        <f>IF([Chambre2]*1='CHAMBRES FILLES 1e ETAGE'!$A$41,1,0)</f>
        <v>0</v>
      </c>
      <c r="GA48" s="160">
        <f>IF([Occurrence24]=0,0,SUM($FZ$2:FZ48))</f>
        <v>0</v>
      </c>
      <c r="GB48" s="160">
        <f>IF([Chambre2]*1='CHAMBRES FILLES 1e ETAGE'!$A$47,1,0)</f>
        <v>0</v>
      </c>
      <c r="GC48" s="160">
        <f>IF([Occurrence25]=0,0,SUM($GB$2:GB48))</f>
        <v>0</v>
      </c>
      <c r="GD48" s="160">
        <f>IF([Chambre2]*1='CHAMBRES FILLES 1e ETAGE'!$A$53,1,0)</f>
        <v>0</v>
      </c>
      <c r="GE48" s="160">
        <f>IF([Occurrence26]=0,0,SUM($GD$2:GD48))</f>
        <v>0</v>
      </c>
      <c r="GF48" s="160">
        <f>IF([chambre4]*1='CHAMBRES GARCONS 1e ETAGE'!$A$5,1,0)</f>
        <v>0</v>
      </c>
      <c r="GG48" s="160">
        <f>IF([Occurrence27]=0,0,SUM($GF$2:GF48))</f>
        <v>0</v>
      </c>
      <c r="GH48" s="160">
        <f>IF([chambre4]*1='CHAMBRES GARCONS 1e ETAGE'!$A$11,1,0)</f>
        <v>0</v>
      </c>
      <c r="GI48" s="160">
        <f>IF([Occurrence28]=0,0,SUM($GH$2:GH48))</f>
        <v>0</v>
      </c>
      <c r="GJ48" s="160">
        <f>IF([chambre4]*1='CHAMBRES GARCONS 1e ETAGE'!$A$17,1,0)</f>
        <v>0</v>
      </c>
      <c r="GK48" s="160">
        <f>IF([Occurrence29]=0,0,SUM($GJ$2:GJ48))</f>
        <v>0</v>
      </c>
      <c r="GL48" s="160">
        <f>IF([chambre4]*1='CHAMBRES GARCONS 1e ETAGE'!$A$23,1,0)</f>
        <v>0</v>
      </c>
      <c r="GM48" s="160">
        <f>IF([Occurrence30]=0,0,SUM($GL$2:GL48))</f>
        <v>0</v>
      </c>
      <c r="GN48" s="160">
        <f>IF([chambre4]*1='CHAMBRES GARCONS 1e ETAGE'!$A$29,1,0)</f>
        <v>0</v>
      </c>
      <c r="GO48" s="160">
        <f>IF([Occurrence31]=0,0,SUM($GN$2:GN48))</f>
        <v>0</v>
      </c>
      <c r="GP48" s="160">
        <f>IF([chambre4]*1='CHAMBRES GARCONS 1e ETAGE'!$A$35,1,0)</f>
        <v>0</v>
      </c>
      <c r="GQ48" s="160">
        <f>IF([Occurrence32]=0,0,SUM($GP$2:GP48))</f>
        <v>0</v>
      </c>
      <c r="GR48" s="160">
        <f>IF([chambre3]*1='CHAMBRES GARCONS RDC'!$A$5,1,0)</f>
        <v>0</v>
      </c>
      <c r="GS48" s="160">
        <f>IF([Occurrence33]=0,0,SUM($GR$2:GR48))</f>
        <v>0</v>
      </c>
      <c r="GT48" s="160">
        <f>IF([chambre3]*1='CHAMBRES GARCONS RDC'!$A$11,1,0)</f>
        <v>0</v>
      </c>
      <c r="GU48" s="160">
        <f>IF([Occurrence34]=0,0,SUM($GT$2:GT48))</f>
        <v>0</v>
      </c>
      <c r="GV48" s="160">
        <f>IF([chambre3]*1='CHAMBRES GARCONS RDC'!$A$17,1,0)</f>
        <v>0</v>
      </c>
      <c r="GW48" s="160">
        <f>IF([Occurrence35]=0,0,SUM($GV$2:GV48))</f>
        <v>0</v>
      </c>
      <c r="GX48" s="160">
        <f>IF([chambre3]*1='CHAMBRES GARCONS RDC'!$A$23,1,0)</f>
        <v>0</v>
      </c>
      <c r="GY48" s="160">
        <f>IF([Occurrence36]=0,0,SUM($GX$2:GX48))</f>
        <v>0</v>
      </c>
      <c r="GZ48" s="160">
        <f>IF([chambre3]*1='CHAMBRES GARCONS RDC'!$A$29,1,0)</f>
        <v>0</v>
      </c>
      <c r="HA48" s="160">
        <f>IF([Occurrence37]=0,0,SUM($GZ$2:GZ48))</f>
        <v>0</v>
      </c>
      <c r="HB48" s="160">
        <f>IF([chambre3]*1='CHAMBRES GARCONS RDC'!$A$35,1,0)</f>
        <v>0</v>
      </c>
      <c r="HC48" s="160">
        <f>IF([Occurrence38]=0,0,SUM($HB$2:HB48))</f>
        <v>0</v>
      </c>
      <c r="HD48" s="160">
        <f>IF([chambre3]*1='CHAMBRES GARCONS RDC'!$A$41,1,0)</f>
        <v>0</v>
      </c>
      <c r="HE48" s="160">
        <f>IF([Occurrence39]=0,0,SUM($HD$2:HD48))</f>
        <v>0</v>
      </c>
      <c r="HF48" s="160">
        <f>IF([chambre3]*1='CHAMBRES GARCONS RDC'!$A$47,1,0)</f>
        <v>0</v>
      </c>
      <c r="HG48" s="160">
        <f>IF([Occurrence40]=0,0,SUM($HF$2:HF48))</f>
        <v>0</v>
      </c>
      <c r="HH48" s="160">
        <f>IF([chambre3]*1='CHAMBRES GARCONS RDC'!$A$53,1,0)</f>
        <v>0</v>
      </c>
      <c r="HI48" s="160">
        <f>IF([Occurrence41]=0,0,SUM($HH$2:HH48))</f>
        <v>0</v>
      </c>
      <c r="HJ48" s="160">
        <f>IF([chambre3]*1='CHAMBRES GARCONS RDC'!$A$59,1,0)</f>
        <v>0</v>
      </c>
      <c r="HK48" s="160">
        <f>IF([Occurrence42]=0,0,SUM($HJ$2:HJ48))</f>
        <v>0</v>
      </c>
      <c r="HL48" s="160">
        <f>IF([chambre3]*1='CHAMBRES GARCONS RDC'!$A$65,1,0)</f>
        <v>0</v>
      </c>
      <c r="HM48" s="160">
        <f>IF([Occurrence43]=0,0,SUM($HL$2:HL48))</f>
        <v>0</v>
      </c>
      <c r="HN48" s="160">
        <f>IF([chambre3]*1='CHAMBRES GARCONS RDC'!$A$71,1,0)</f>
        <v>0</v>
      </c>
      <c r="HO48" s="160">
        <f>IF([Occurrence44]=0,0,SUM($HN$2:HN48))</f>
        <v>0</v>
      </c>
      <c r="HP48" s="160">
        <f>IF([chambre3]*1='CHAMBRES GARCONS RDC'!$A$77,1,0)</f>
        <v>0</v>
      </c>
      <c r="HQ48" s="160">
        <f>IF([Occurrence45]=0,0,SUM($HP$2:HP48))</f>
        <v>0</v>
      </c>
      <c r="HR48" s="160">
        <f>IF([chambre3]*1='CHAMBRES GARCONS RDC'!$A$83,1,0)</f>
        <v>0</v>
      </c>
      <c r="HS48" s="160">
        <f>IF([Occurrence46]=0,0,SUM($HR$2:HR48))</f>
        <v>0</v>
      </c>
      <c r="HT48" s="160">
        <f>IF([chambre3]*1='CHAMBRES GARCONS RDC'!$A$89,1,0)</f>
        <v>0</v>
      </c>
      <c r="HU48" s="160">
        <f>IF([Occurrence47]=0,0,SUM($HT$2:HT48))</f>
        <v>0</v>
      </c>
      <c r="HV48" s="160">
        <f>IF([chambre3]*1='CHAMBRES GARCONS RDC'!$A$95,1,0)</f>
        <v>0</v>
      </c>
      <c r="HW48" s="160">
        <f>IF([Occurrence48]=0,0,SUM($HV$2:HV48))</f>
        <v>0</v>
      </c>
      <c r="HX48" s="160"/>
      <c r="HY48" s="160"/>
      <c r="HZ48" s="160">
        <f>IF([Classe]='Liste élève par classes'!$B$5,1,0)</f>
        <v>0</v>
      </c>
      <c r="IA48" s="160">
        <f>IF([Occurrence]=0,0,SUM($HZ$2:HZ48))</f>
        <v>0</v>
      </c>
      <c r="IB4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133</v>
      </c>
      <c r="IC48" s="208"/>
    </row>
    <row r="49" spans="1:237">
      <c r="A49" t="s">
        <v>332</v>
      </c>
      <c r="B49" t="s">
        <v>333</v>
      </c>
      <c r="C49" s="158">
        <v>36361</v>
      </c>
      <c r="D49" s="62">
        <f t="shared" ca="1" si="0"/>
        <v>18</v>
      </c>
      <c r="E49" t="s">
        <v>0</v>
      </c>
      <c r="F49" s="159" t="s">
        <v>50</v>
      </c>
      <c r="G49" t="s">
        <v>45</v>
      </c>
      <c r="H49" s="160"/>
      <c r="I49" s="161"/>
      <c r="J49" s="161"/>
      <c r="K49" s="161"/>
      <c r="L49" s="160"/>
      <c r="M49">
        <v>209</v>
      </c>
      <c r="N49" s="161"/>
      <c r="O49" s="161"/>
      <c r="P49" s="161"/>
      <c r="Q49" s="161"/>
      <c r="R49" s="161"/>
      <c r="S49" s="190"/>
      <c r="T49" s="161"/>
      <c r="U49" s="160">
        <v>144</v>
      </c>
      <c r="V49" s="161"/>
      <c r="W49" s="161"/>
      <c r="X49" s="161"/>
      <c r="Y49" s="161"/>
      <c r="Z49" s="161"/>
      <c r="AA49" s="161"/>
      <c r="AB49" s="161"/>
      <c r="AC49" s="161"/>
      <c r="AD49" s="161"/>
      <c r="AE49" s="161"/>
      <c r="AF49" s="163"/>
      <c r="AG49" s="163"/>
      <c r="AH49" s="163"/>
      <c r="AI49" s="163"/>
      <c r="AJ49" s="163"/>
      <c r="AK49" s="163"/>
      <c r="AL49" s="163"/>
      <c r="AM49" s="163"/>
      <c r="AN49" s="163"/>
      <c r="AO49" s="163"/>
      <c r="AP49" s="163"/>
      <c r="AQ49" s="163"/>
      <c r="AR49" s="163"/>
      <c r="AS49" s="163"/>
      <c r="AT49" s="163"/>
      <c r="AU49" s="163"/>
      <c r="AV49" s="163"/>
      <c r="AW49" s="163"/>
      <c r="AX49" s="163"/>
      <c r="AY49" s="163"/>
      <c r="AZ49" s="163"/>
      <c r="BA49" s="163"/>
      <c r="BB49" s="163"/>
      <c r="BC49" s="163" t="b">
        <v>0</v>
      </c>
      <c r="BD49" s="163" t="b">
        <v>1</v>
      </c>
      <c r="BE49" s="163" t="b">
        <v>1</v>
      </c>
      <c r="BF49" s="163" t="b">
        <v>0</v>
      </c>
      <c r="BG49" s="164" t="b">
        <v>0</v>
      </c>
      <c r="BH49" s="163" t="b">
        <v>1</v>
      </c>
      <c r="BI49" s="163"/>
      <c r="BJ49" s="163"/>
      <c r="BK49" s="163"/>
      <c r="BL49" s="163"/>
      <c r="BM49" s="163"/>
      <c r="BN49" s="163"/>
      <c r="BO49" s="163"/>
      <c r="BP49" s="163"/>
      <c r="BQ49" s="163" t="b">
        <v>0</v>
      </c>
      <c r="BR49" s="163"/>
      <c r="BS49" s="163"/>
      <c r="BT49" s="163"/>
      <c r="BU49" s="163"/>
      <c r="BV49" s="163"/>
      <c r="BW49" s="163"/>
      <c r="BX49" s="163"/>
      <c r="BY49" s="163"/>
      <c r="BZ49" s="163"/>
      <c r="CA49" s="163"/>
      <c r="CB49" s="163"/>
      <c r="CC49" s="163"/>
      <c r="CD49" s="163"/>
      <c r="CE49" s="163"/>
      <c r="CF49" s="163"/>
      <c r="CG49" s="163"/>
      <c r="CH49" s="163"/>
      <c r="CI49" s="163"/>
      <c r="CJ49" s="163"/>
      <c r="CK49" s="163"/>
      <c r="CL49" s="163"/>
      <c r="CM49" s="163"/>
      <c r="CN49" s="163"/>
      <c r="CO49" s="163"/>
      <c r="CP49" s="163"/>
      <c r="CQ49" s="163"/>
      <c r="CR49" s="163"/>
      <c r="CS49" s="163"/>
      <c r="CT49" s="163"/>
      <c r="CU49" s="163"/>
      <c r="CV49" s="163"/>
      <c r="CW49" s="163"/>
      <c r="CX49" s="163"/>
      <c r="CY49" s="163"/>
      <c r="CZ49" s="163"/>
      <c r="DA49" s="163"/>
      <c r="DB49" s="163"/>
      <c r="DC49" s="163"/>
      <c r="DD49" s="163"/>
      <c r="DE49" s="163"/>
      <c r="DF49" s="163"/>
      <c r="DG49" s="208"/>
      <c r="DH49" s="163"/>
      <c r="DI49" s="163"/>
      <c r="DJ49" s="163"/>
      <c r="DK49" s="163"/>
      <c r="DL49" s="163"/>
      <c r="DM49" s="163"/>
      <c r="DN49" s="163"/>
      <c r="DO49" s="163"/>
      <c r="DP49" s="163"/>
      <c r="DQ49" s="163"/>
      <c r="DR49" s="163"/>
      <c r="DS49" s="163"/>
      <c r="DT49" s="163"/>
      <c r="DU49" s="163"/>
      <c r="DV49" s="163"/>
      <c r="DW49" s="163"/>
      <c r="DX49" s="163"/>
      <c r="DY49" s="163"/>
      <c r="DZ49" s="163"/>
      <c r="EA49" s="163"/>
      <c r="EB49" s="163"/>
      <c r="EC49" s="163"/>
      <c r="ED49" s="163"/>
      <c r="EE49" s="163"/>
      <c r="EF49" s="163"/>
      <c r="EG49" s="163"/>
      <c r="EH49" s="160">
        <f>IF([Chambre]*1='CHAMBRES FILLES 2e ETAGE'!$A$5,1,0)</f>
        <v>0</v>
      </c>
      <c r="EI49" s="161">
        <f>IF([Occurrence2]=0,0,SUM($EH$2:EH49))</f>
        <v>0</v>
      </c>
      <c r="EJ49" s="160">
        <f>IF([Chambre]*1='CHAMBRES FILLES 2e ETAGE'!$A$11,1,0)</f>
        <v>0</v>
      </c>
      <c r="EK49" s="160">
        <f>IF([Occurrence3]=0,0,SUM($EJ$2:EJ49))</f>
        <v>0</v>
      </c>
      <c r="EL49" s="160">
        <f>IF([Chambre]*1='CHAMBRES FILLES 2e ETAGE'!$A$17,1,0)</f>
        <v>0</v>
      </c>
      <c r="EM49" s="160">
        <f>IF([Occurrence4]=0,0,SUM($EL$2:EL49))</f>
        <v>0</v>
      </c>
      <c r="EN49" s="160">
        <f>IF([Chambre]*1='CHAMBRES FILLES 2e ETAGE'!$A$23,1,0)</f>
        <v>0</v>
      </c>
      <c r="EO49" s="160">
        <f>IF([Occurrence5]=0,0,SUM($EN$2:EN49))</f>
        <v>0</v>
      </c>
      <c r="EP49" s="160">
        <f>IF([Chambre]*1='CHAMBRES FILLES 2e ETAGE'!$A$29,1,0)</f>
        <v>0</v>
      </c>
      <c r="EQ49" s="160">
        <f>IF([Occurrence6]=0,0,SUM($EP$2:EP49))</f>
        <v>0</v>
      </c>
      <c r="ER49" s="160">
        <f>IF([Chambre]*1='CHAMBRES FILLES 2e ETAGE'!$A$35,1,0)</f>
        <v>0</v>
      </c>
      <c r="ES49" s="160">
        <f>IF([Occurrence7]=0,0,SUM($ER$2:ER49))</f>
        <v>0</v>
      </c>
      <c r="ET49" s="160">
        <f>IF([Chambre]*1='CHAMBRES FILLES 2e ETAGE'!$A$41,1,0)</f>
        <v>0</v>
      </c>
      <c r="EU49" s="160">
        <f>IF([Occurrence8]=0,0,SUM($ET$2:ET49))</f>
        <v>0</v>
      </c>
      <c r="EV49" s="160">
        <f>IF([Chambre]*1='CHAMBRES FILLES 2e ETAGE'!$A$47,1,0)</f>
        <v>0</v>
      </c>
      <c r="EW49" s="160">
        <f>IF([Occurrence9]=0,0,SUM($EV$2:EV49))</f>
        <v>0</v>
      </c>
      <c r="EX49" s="160">
        <f>IF([Chambre]*1='CHAMBRES FILLES 2e ETAGE'!$A$53,1,0)</f>
        <v>0</v>
      </c>
      <c r="EY49" s="160">
        <f>IF([Occurrence10]=0,0,SUM($EX$2:EX49))</f>
        <v>0</v>
      </c>
      <c r="EZ49" s="160">
        <f>IF([Chambre]*1='CHAMBRES FILLES 2e ETAGE'!$A$59,1,0)</f>
        <v>0</v>
      </c>
      <c r="FA49" s="160">
        <f>IF([Occurrence11]=0,0,SUM($EZ$2:EZ49))</f>
        <v>0</v>
      </c>
      <c r="FB49" s="160">
        <f>IF([Chambre]*1='CHAMBRES FILLES 2e ETAGE'!$A$65,1,0)</f>
        <v>0</v>
      </c>
      <c r="FC49" s="160">
        <f>IF([Occurrence12]=0,0,SUM($FB$2:FB49))</f>
        <v>0</v>
      </c>
      <c r="FD49" s="160">
        <f>IF([Chambre]*1='CHAMBRES FILLES 2e ETAGE'!$A$71,1,0)</f>
        <v>0</v>
      </c>
      <c r="FE49" s="160">
        <f>IF([Occurrence13]=0,0,SUM($FD$2:FD49))</f>
        <v>0</v>
      </c>
      <c r="FF49" s="160">
        <f>IF([Chambre]*1='CHAMBRES FILLES 2e ETAGE'!$A$77,1,0)</f>
        <v>0</v>
      </c>
      <c r="FG49" s="160">
        <f>IF([Occurrence14]=0,0,SUM($FF$2:FF49))</f>
        <v>0</v>
      </c>
      <c r="FH49" s="160">
        <f>IF([Chambre]*1='CHAMBRES FILLES 2e ETAGE'!$A$83,1,0)</f>
        <v>0</v>
      </c>
      <c r="FI49" s="160">
        <f>IF([Occurrence15]=0,0,SUM($FH$2:FH49))</f>
        <v>0</v>
      </c>
      <c r="FJ49" s="160">
        <f>IF([Chambre]*1='CHAMBRES FILLES 2e ETAGE'!$A$89,1,0)</f>
        <v>0</v>
      </c>
      <c r="FK49" s="160">
        <f>IF([Occurrence16]=0,0,SUM($FJ$2:FJ49))</f>
        <v>0</v>
      </c>
      <c r="FL49" s="160">
        <f>IF([Chambre]*1='CHAMBRES FILLES 2e ETAGE'!$A$95,1,0)</f>
        <v>0</v>
      </c>
      <c r="FM49" s="160">
        <f>IF([Occurrence17]=0,0,SUM($FL$2:FL49))</f>
        <v>0</v>
      </c>
      <c r="FN49" s="160">
        <f>IF([Chambre2]*1='CHAMBRES FILLES 1e ETAGE'!$A$5,1,0)</f>
        <v>0</v>
      </c>
      <c r="FO49" s="160">
        <f>IF([Occurrence18]=0,0,SUM($FN$2:FN49))</f>
        <v>0</v>
      </c>
      <c r="FP49" s="160">
        <f>IF([Chambre2]*1='CHAMBRES FILLES 1e ETAGE'!$A$11,1,0)</f>
        <v>0</v>
      </c>
      <c r="FQ49" s="160">
        <f>IF([Occurrence19]=0,0,SUM($FP$2:FP49))</f>
        <v>0</v>
      </c>
      <c r="FR49" s="160">
        <f>IF([Chambre2]*1='CHAMBRES FILLES 1e ETAGE'!$A$17,1,0)</f>
        <v>0</v>
      </c>
      <c r="FS49" s="160">
        <f>IF([Occurrence20]=0,0,SUM($FR$2:FR49))</f>
        <v>0</v>
      </c>
      <c r="FT49" s="160">
        <f>IF([Chambre2]*1='CHAMBRES FILLES 1e ETAGE'!$A$23,1,0)</f>
        <v>0</v>
      </c>
      <c r="FU49" s="160">
        <f>IF([Occurrence21]=0,0,SUM($FT$2:FT49))</f>
        <v>0</v>
      </c>
      <c r="FV49" s="160">
        <f>IF([Chambre2]*1='CHAMBRES FILLES 1e ETAGE'!$A$29,1,0)</f>
        <v>0</v>
      </c>
      <c r="FW49" s="160">
        <f>IF([Occurrence22]=0,0,SUM($FV$2:FV49))</f>
        <v>0</v>
      </c>
      <c r="FX49" s="160">
        <f>IF([Chambre2]*1='CHAMBRES FILLES 1e ETAGE'!$A$35,1,0)</f>
        <v>0</v>
      </c>
      <c r="FY49" s="160">
        <f>IF([Occurrence23]=0,0,SUM($FX$2:FX49))</f>
        <v>0</v>
      </c>
      <c r="FZ49" s="160">
        <f>IF([Chambre2]*1='CHAMBRES FILLES 1e ETAGE'!$A$41,1,0)</f>
        <v>0</v>
      </c>
      <c r="GA49" s="160">
        <f>IF([Occurrence24]=0,0,SUM($FZ$2:FZ49))</f>
        <v>0</v>
      </c>
      <c r="GB49" s="160">
        <f>IF([Chambre2]*1='CHAMBRES FILLES 1e ETAGE'!$A$47,1,0)</f>
        <v>1</v>
      </c>
      <c r="GC49" s="160">
        <f>IF([Occurrence25]=0,0,SUM($GB$2:GB49))</f>
        <v>2</v>
      </c>
      <c r="GD49" s="160">
        <f>IF([Chambre2]*1='CHAMBRES FILLES 1e ETAGE'!$A$53,1,0)</f>
        <v>0</v>
      </c>
      <c r="GE49" s="160">
        <f>IF([Occurrence26]=0,0,SUM($GD$2:GD49))</f>
        <v>0</v>
      </c>
      <c r="GF49" s="160">
        <f>IF([chambre4]*1='CHAMBRES GARCONS 1e ETAGE'!$A$5,1,0)</f>
        <v>0</v>
      </c>
      <c r="GG49" s="160">
        <f>IF([Occurrence27]=0,0,SUM($GF$2:GF49))</f>
        <v>0</v>
      </c>
      <c r="GH49" s="160">
        <f>IF([chambre4]*1='CHAMBRES GARCONS 1e ETAGE'!$A$11,1,0)</f>
        <v>0</v>
      </c>
      <c r="GI49" s="160">
        <f>IF([Occurrence28]=0,0,SUM($GH$2:GH49))</f>
        <v>0</v>
      </c>
      <c r="GJ49" s="160">
        <f>IF([chambre4]*1='CHAMBRES GARCONS 1e ETAGE'!$A$17,1,0)</f>
        <v>0</v>
      </c>
      <c r="GK49" s="160">
        <f>IF([Occurrence29]=0,0,SUM($GJ$2:GJ49))</f>
        <v>0</v>
      </c>
      <c r="GL49" s="160">
        <f>IF([chambre4]*1='CHAMBRES GARCONS 1e ETAGE'!$A$23,1,0)</f>
        <v>0</v>
      </c>
      <c r="GM49" s="160">
        <f>IF([Occurrence30]=0,0,SUM($GL$2:GL49))</f>
        <v>0</v>
      </c>
      <c r="GN49" s="160">
        <f>IF([chambre4]*1='CHAMBRES GARCONS 1e ETAGE'!$A$29,1,0)</f>
        <v>0</v>
      </c>
      <c r="GO49" s="160">
        <f>IF([Occurrence31]=0,0,SUM($GN$2:GN49))</f>
        <v>0</v>
      </c>
      <c r="GP49" s="160">
        <f>IF([chambre4]*1='CHAMBRES GARCONS 1e ETAGE'!$A$35,1,0)</f>
        <v>0</v>
      </c>
      <c r="GQ49" s="160">
        <f>IF([Occurrence32]=0,0,SUM($GP$2:GP49))</f>
        <v>0</v>
      </c>
      <c r="GR49" s="160">
        <f>IF([chambre3]*1='CHAMBRES GARCONS RDC'!$A$5,1,0)</f>
        <v>0</v>
      </c>
      <c r="GS49" s="160">
        <f>IF([Occurrence33]=0,0,SUM($GR$2:GR49))</f>
        <v>0</v>
      </c>
      <c r="GT49" s="160">
        <f>IF([chambre3]*1='CHAMBRES GARCONS RDC'!$A$11,1,0)</f>
        <v>0</v>
      </c>
      <c r="GU49" s="160">
        <f>IF([Occurrence34]=0,0,SUM($GT$2:GT49))</f>
        <v>0</v>
      </c>
      <c r="GV49" s="160">
        <f>IF([chambre3]*1='CHAMBRES GARCONS RDC'!$A$17,1,0)</f>
        <v>0</v>
      </c>
      <c r="GW49" s="160">
        <f>IF([Occurrence35]=0,0,SUM($GV$2:GV49))</f>
        <v>0</v>
      </c>
      <c r="GX49" s="160">
        <f>IF([chambre3]*1='CHAMBRES GARCONS RDC'!$A$23,1,0)</f>
        <v>0</v>
      </c>
      <c r="GY49" s="160">
        <f>IF([Occurrence36]=0,0,SUM($GX$2:GX49))</f>
        <v>0</v>
      </c>
      <c r="GZ49" s="160">
        <f>IF([chambre3]*1='CHAMBRES GARCONS RDC'!$A$29,1,0)</f>
        <v>0</v>
      </c>
      <c r="HA49" s="160">
        <f>IF([Occurrence37]=0,0,SUM($GZ$2:GZ49))</f>
        <v>0</v>
      </c>
      <c r="HB49" s="160">
        <f>IF([chambre3]*1='CHAMBRES GARCONS RDC'!$A$35,1,0)</f>
        <v>0</v>
      </c>
      <c r="HC49" s="160">
        <f>IF([Occurrence38]=0,0,SUM($HB$2:HB49))</f>
        <v>0</v>
      </c>
      <c r="HD49" s="160">
        <f>IF([chambre3]*1='CHAMBRES GARCONS RDC'!$A$41,1,0)</f>
        <v>0</v>
      </c>
      <c r="HE49" s="160">
        <f>IF([Occurrence39]=0,0,SUM($HD$2:HD49))</f>
        <v>0</v>
      </c>
      <c r="HF49" s="160">
        <f>IF([chambre3]*1='CHAMBRES GARCONS RDC'!$A$47,1,0)</f>
        <v>0</v>
      </c>
      <c r="HG49" s="160">
        <f>IF([Occurrence40]=0,0,SUM($HF$2:HF49))</f>
        <v>0</v>
      </c>
      <c r="HH49" s="160">
        <f>IF([chambre3]*1='CHAMBRES GARCONS RDC'!$A$53,1,0)</f>
        <v>0</v>
      </c>
      <c r="HI49" s="160">
        <f>IF([Occurrence41]=0,0,SUM($HH$2:HH49))</f>
        <v>0</v>
      </c>
      <c r="HJ49" s="160">
        <f>IF([chambre3]*1='CHAMBRES GARCONS RDC'!$A$59,1,0)</f>
        <v>0</v>
      </c>
      <c r="HK49" s="160">
        <f>IF([Occurrence42]=0,0,SUM($HJ$2:HJ49))</f>
        <v>0</v>
      </c>
      <c r="HL49" s="160">
        <f>IF([chambre3]*1='CHAMBRES GARCONS RDC'!$A$65,1,0)</f>
        <v>0</v>
      </c>
      <c r="HM49" s="160">
        <f>IF([Occurrence43]=0,0,SUM($HL$2:HL49))</f>
        <v>0</v>
      </c>
      <c r="HN49" s="160">
        <f>IF([chambre3]*1='CHAMBRES GARCONS RDC'!$A$71,1,0)</f>
        <v>0</v>
      </c>
      <c r="HO49" s="160">
        <f>IF([Occurrence44]=0,0,SUM($HN$2:HN49))</f>
        <v>0</v>
      </c>
      <c r="HP49" s="160">
        <f>IF([chambre3]*1='CHAMBRES GARCONS RDC'!$A$77,1,0)</f>
        <v>0</v>
      </c>
      <c r="HQ49" s="160">
        <f>IF([Occurrence45]=0,0,SUM($HP$2:HP49))</f>
        <v>0</v>
      </c>
      <c r="HR49" s="160">
        <f>IF([chambre3]*1='CHAMBRES GARCONS RDC'!$A$83,1,0)</f>
        <v>0</v>
      </c>
      <c r="HS49" s="160">
        <f>IF([Occurrence46]=0,0,SUM($HR$2:HR49))</f>
        <v>0</v>
      </c>
      <c r="HT49" s="160">
        <f>IF([chambre3]*1='CHAMBRES GARCONS RDC'!$A$89,1,0)</f>
        <v>0</v>
      </c>
      <c r="HU49" s="160">
        <f>IF([Occurrence47]=0,0,SUM($HT$2:HT49))</f>
        <v>0</v>
      </c>
      <c r="HV49" s="160">
        <f>IF([chambre3]*1='CHAMBRES GARCONS RDC'!$A$95,1,0)</f>
        <v>0</v>
      </c>
      <c r="HW49" s="160">
        <f>IF([Occurrence48]=0,0,SUM($HV$2:HV49))</f>
        <v>0</v>
      </c>
      <c r="HX49" s="160"/>
      <c r="HY49" s="160"/>
      <c r="HZ49" s="160">
        <f>IF([Classe]='Liste élève par classes'!$B$5,1,0)</f>
        <v>0</v>
      </c>
      <c r="IA49" s="160">
        <f>IF([Occurrence]=0,0,SUM($HZ$2:HZ49))</f>
        <v>0</v>
      </c>
      <c r="IB4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144</v>
      </c>
      <c r="IC49" s="208"/>
    </row>
    <row r="50" spans="1:237">
      <c r="A50" t="s">
        <v>334</v>
      </c>
      <c r="B50" t="s">
        <v>335</v>
      </c>
      <c r="C50" s="158">
        <v>36699</v>
      </c>
      <c r="D50" s="62">
        <f t="shared" ca="1" si="0"/>
        <v>17</v>
      </c>
      <c r="E50" t="s">
        <v>6</v>
      </c>
      <c r="F50" s="159" t="s">
        <v>50</v>
      </c>
      <c r="G50" t="s">
        <v>45</v>
      </c>
      <c r="H50" s="160"/>
      <c r="I50" s="62"/>
      <c r="J50" s="62"/>
      <c r="K50" s="62"/>
      <c r="L50" s="61"/>
      <c r="M50">
        <v>57</v>
      </c>
      <c r="N50" s="62"/>
      <c r="O50" s="62"/>
      <c r="P50" s="62"/>
      <c r="Q50" s="62"/>
      <c r="R50" s="62"/>
      <c r="S50" s="191"/>
      <c r="T50" s="62"/>
      <c r="U50" s="61">
        <v>142</v>
      </c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163"/>
      <c r="AG50" s="163"/>
      <c r="AH50" s="163"/>
      <c r="AI50" s="163"/>
      <c r="AJ50" s="163"/>
      <c r="AK50" s="163"/>
      <c r="AL50" s="163"/>
      <c r="AM50" s="163"/>
      <c r="AN50" s="163"/>
      <c r="AO50" s="163"/>
      <c r="AP50" s="163"/>
      <c r="AQ50" s="163"/>
      <c r="AR50" s="163"/>
      <c r="AS50" s="163"/>
      <c r="AT50" s="163"/>
      <c r="AU50" s="163"/>
      <c r="AV50" s="163"/>
      <c r="AW50" s="163"/>
      <c r="AX50" s="163"/>
      <c r="AY50" s="163"/>
      <c r="AZ50" s="163"/>
      <c r="BA50" s="163"/>
      <c r="BB50" s="163"/>
      <c r="BC50" s="163" t="b">
        <v>0</v>
      </c>
      <c r="BD50" s="163" t="b">
        <v>1</v>
      </c>
      <c r="BE50" s="163" t="b">
        <v>1</v>
      </c>
      <c r="BF50" s="163" t="b">
        <v>0</v>
      </c>
      <c r="BG50" s="164" t="b">
        <v>0</v>
      </c>
      <c r="BH50" s="163" t="b">
        <v>1</v>
      </c>
      <c r="BI50" s="163"/>
      <c r="BJ50" s="163"/>
      <c r="BK50" s="163"/>
      <c r="BL50" s="163"/>
      <c r="BM50" s="163"/>
      <c r="BN50" s="163"/>
      <c r="BO50" s="163"/>
      <c r="BP50" s="163"/>
      <c r="BQ50" s="163" t="b">
        <v>0</v>
      </c>
      <c r="BR50" s="163"/>
      <c r="BS50" s="163"/>
      <c r="BT50" s="163"/>
      <c r="BU50" s="163"/>
      <c r="BV50" s="163"/>
      <c r="BW50" s="163"/>
      <c r="BX50" s="163"/>
      <c r="BY50" s="163"/>
      <c r="BZ50" s="163"/>
      <c r="CA50" s="163"/>
      <c r="CB50" s="163"/>
      <c r="CC50" s="163"/>
      <c r="CD50" s="163"/>
      <c r="CE50" s="163"/>
      <c r="CF50" s="163"/>
      <c r="CG50" s="163"/>
      <c r="CH50" s="163"/>
      <c r="CI50" s="163"/>
      <c r="CJ50" s="163"/>
      <c r="CK50" s="163"/>
      <c r="CL50" s="163"/>
      <c r="CM50" s="163"/>
      <c r="CN50" s="163"/>
      <c r="CO50" s="163"/>
      <c r="CP50" s="163"/>
      <c r="CQ50" s="163"/>
      <c r="CR50" s="163"/>
      <c r="CS50" s="163"/>
      <c r="CT50" s="163"/>
      <c r="CU50" s="163"/>
      <c r="CV50" s="163"/>
      <c r="CW50" s="163"/>
      <c r="CX50" s="163"/>
      <c r="CY50" s="163"/>
      <c r="CZ50" s="163"/>
      <c r="DA50" s="163"/>
      <c r="DB50" s="163"/>
      <c r="DC50" s="163"/>
      <c r="DD50" s="163"/>
      <c r="DE50" s="163"/>
      <c r="DF50" s="163"/>
      <c r="DG50" s="208"/>
      <c r="DH50" s="163"/>
      <c r="DI50" s="163"/>
      <c r="DJ50" s="163"/>
      <c r="DK50" s="163"/>
      <c r="DL50" s="163"/>
      <c r="DM50" s="163"/>
      <c r="DN50" s="163"/>
      <c r="DO50" s="163"/>
      <c r="DP50" s="163"/>
      <c r="DQ50" s="163"/>
      <c r="DR50" s="163"/>
      <c r="DS50" s="163"/>
      <c r="DT50" s="163"/>
      <c r="DU50" s="163"/>
      <c r="DV50" s="163"/>
      <c r="DW50" s="163"/>
      <c r="DX50" s="163"/>
      <c r="DY50" s="163"/>
      <c r="DZ50" s="163"/>
      <c r="EA50" s="163"/>
      <c r="EB50" s="163"/>
      <c r="EC50" s="163"/>
      <c r="ED50" s="163"/>
      <c r="EE50" s="163"/>
      <c r="EF50" s="163"/>
      <c r="EG50" s="163"/>
      <c r="EH50" s="160">
        <f>IF([Chambre]*1='CHAMBRES FILLES 2e ETAGE'!$A$5,1,0)</f>
        <v>0</v>
      </c>
      <c r="EI50" s="161">
        <f>IF([Occurrence2]=0,0,SUM($EH$2:EH50))</f>
        <v>0</v>
      </c>
      <c r="EJ50" s="160">
        <f>IF([Chambre]*1='CHAMBRES FILLES 2e ETAGE'!$A$11,1,0)</f>
        <v>0</v>
      </c>
      <c r="EK50" s="160">
        <f>IF([Occurrence3]=0,0,SUM($EJ$2:EJ50))</f>
        <v>0</v>
      </c>
      <c r="EL50" s="160">
        <f>IF([Chambre]*1='CHAMBRES FILLES 2e ETAGE'!$A$17,1,0)</f>
        <v>0</v>
      </c>
      <c r="EM50" s="160">
        <f>IF([Occurrence4]=0,0,SUM($EL$2:EL50))</f>
        <v>0</v>
      </c>
      <c r="EN50" s="160">
        <f>IF([Chambre]*1='CHAMBRES FILLES 2e ETAGE'!$A$23,1,0)</f>
        <v>0</v>
      </c>
      <c r="EO50" s="160">
        <f>IF([Occurrence5]=0,0,SUM($EN$2:EN50))</f>
        <v>0</v>
      </c>
      <c r="EP50" s="160">
        <f>IF([Chambre]*1='CHAMBRES FILLES 2e ETAGE'!$A$29,1,0)</f>
        <v>0</v>
      </c>
      <c r="EQ50" s="160">
        <f>IF([Occurrence6]=0,0,SUM($EP$2:EP50))</f>
        <v>0</v>
      </c>
      <c r="ER50" s="160">
        <f>IF([Chambre]*1='CHAMBRES FILLES 2e ETAGE'!$A$35,1,0)</f>
        <v>0</v>
      </c>
      <c r="ES50" s="160">
        <f>IF([Occurrence7]=0,0,SUM($ER$2:ER50))</f>
        <v>0</v>
      </c>
      <c r="ET50" s="160">
        <f>IF([Chambre]*1='CHAMBRES FILLES 2e ETAGE'!$A$41,1,0)</f>
        <v>0</v>
      </c>
      <c r="EU50" s="160">
        <f>IF([Occurrence8]=0,0,SUM($ET$2:ET50))</f>
        <v>0</v>
      </c>
      <c r="EV50" s="160">
        <f>IF([Chambre]*1='CHAMBRES FILLES 2e ETAGE'!$A$47,1,0)</f>
        <v>0</v>
      </c>
      <c r="EW50" s="160">
        <f>IF([Occurrence9]=0,0,SUM($EV$2:EV50))</f>
        <v>0</v>
      </c>
      <c r="EX50" s="160">
        <f>IF([Chambre]*1='CHAMBRES FILLES 2e ETAGE'!$A$53,1,0)</f>
        <v>0</v>
      </c>
      <c r="EY50" s="160">
        <f>IF([Occurrence10]=0,0,SUM($EX$2:EX50))</f>
        <v>0</v>
      </c>
      <c r="EZ50" s="160">
        <f>IF([Chambre]*1='CHAMBRES FILLES 2e ETAGE'!$A$59,1,0)</f>
        <v>0</v>
      </c>
      <c r="FA50" s="160">
        <f>IF([Occurrence11]=0,0,SUM($EZ$2:EZ50))</f>
        <v>0</v>
      </c>
      <c r="FB50" s="160">
        <f>IF([Chambre]*1='CHAMBRES FILLES 2e ETAGE'!$A$65,1,0)</f>
        <v>0</v>
      </c>
      <c r="FC50" s="160">
        <f>IF([Occurrence12]=0,0,SUM($FB$2:FB50))</f>
        <v>0</v>
      </c>
      <c r="FD50" s="160">
        <f>IF([Chambre]*1='CHAMBRES FILLES 2e ETAGE'!$A$71,1,0)</f>
        <v>0</v>
      </c>
      <c r="FE50" s="160">
        <f>IF([Occurrence13]=0,0,SUM($FD$2:FD50))</f>
        <v>0</v>
      </c>
      <c r="FF50" s="160">
        <f>IF([Chambre]*1='CHAMBRES FILLES 2e ETAGE'!$A$77,1,0)</f>
        <v>0</v>
      </c>
      <c r="FG50" s="160">
        <f>IF([Occurrence14]=0,0,SUM($FF$2:FF50))</f>
        <v>0</v>
      </c>
      <c r="FH50" s="160">
        <f>IF([Chambre]*1='CHAMBRES FILLES 2e ETAGE'!$A$83,1,0)</f>
        <v>0</v>
      </c>
      <c r="FI50" s="160">
        <f>IF([Occurrence15]=0,0,SUM($FH$2:FH50))</f>
        <v>0</v>
      </c>
      <c r="FJ50" s="160">
        <f>IF([Chambre]*1='CHAMBRES FILLES 2e ETAGE'!$A$89,1,0)</f>
        <v>0</v>
      </c>
      <c r="FK50" s="160">
        <f>IF([Occurrence16]=0,0,SUM($FJ$2:FJ50))</f>
        <v>0</v>
      </c>
      <c r="FL50" s="160">
        <f>IF([Chambre]*1='CHAMBRES FILLES 2e ETAGE'!$A$95,1,0)</f>
        <v>0</v>
      </c>
      <c r="FM50" s="160">
        <f>IF([Occurrence17]=0,0,SUM($FL$2:FL50))</f>
        <v>0</v>
      </c>
      <c r="FN50" s="160">
        <f>IF([Chambre2]*1='CHAMBRES FILLES 1e ETAGE'!$A$5,1,0)</f>
        <v>0</v>
      </c>
      <c r="FO50" s="160">
        <f>IF([Occurrence18]=0,0,SUM($FN$2:FN50))</f>
        <v>0</v>
      </c>
      <c r="FP50" s="160">
        <f>IF([Chambre2]*1='CHAMBRES FILLES 1e ETAGE'!$A$11,1,0)</f>
        <v>0</v>
      </c>
      <c r="FQ50" s="160">
        <f>IF([Occurrence19]=0,0,SUM($FP$2:FP50))</f>
        <v>0</v>
      </c>
      <c r="FR50" s="160">
        <f>IF([Chambre2]*1='CHAMBRES FILLES 1e ETAGE'!$A$17,1,0)</f>
        <v>0</v>
      </c>
      <c r="FS50" s="160">
        <f>IF([Occurrence20]=0,0,SUM($FR$2:FR50))</f>
        <v>0</v>
      </c>
      <c r="FT50" s="160">
        <f>IF([Chambre2]*1='CHAMBRES FILLES 1e ETAGE'!$A$23,1,0)</f>
        <v>0</v>
      </c>
      <c r="FU50" s="160">
        <f>IF([Occurrence21]=0,0,SUM($FT$2:FT50))</f>
        <v>0</v>
      </c>
      <c r="FV50" s="160">
        <f>IF([Chambre2]*1='CHAMBRES FILLES 1e ETAGE'!$A$29,1,0)</f>
        <v>0</v>
      </c>
      <c r="FW50" s="160">
        <f>IF([Occurrence22]=0,0,SUM($FV$2:FV50))</f>
        <v>0</v>
      </c>
      <c r="FX50" s="160">
        <f>IF([Chambre2]*1='CHAMBRES FILLES 1e ETAGE'!$A$35,1,0)</f>
        <v>1</v>
      </c>
      <c r="FY50" s="160">
        <f>IF([Occurrence23]=0,0,SUM($FX$2:FX50))</f>
        <v>1</v>
      </c>
      <c r="FZ50" s="160">
        <f>IF([Chambre2]*1='CHAMBRES FILLES 1e ETAGE'!$A$41,1,0)</f>
        <v>0</v>
      </c>
      <c r="GA50" s="160">
        <f>IF([Occurrence24]=0,0,SUM($FZ$2:FZ50))</f>
        <v>0</v>
      </c>
      <c r="GB50" s="160">
        <f>IF([Chambre2]*1='CHAMBRES FILLES 1e ETAGE'!$A$47,1,0)</f>
        <v>0</v>
      </c>
      <c r="GC50" s="160">
        <f>IF([Occurrence25]=0,0,SUM($GB$2:GB50))</f>
        <v>0</v>
      </c>
      <c r="GD50" s="160">
        <f>IF([Chambre2]*1='CHAMBRES FILLES 1e ETAGE'!$A$53,1,0)</f>
        <v>0</v>
      </c>
      <c r="GE50" s="160">
        <f>IF([Occurrence26]=0,0,SUM($GD$2:GD50))</f>
        <v>0</v>
      </c>
      <c r="GF50" s="160">
        <f>IF([chambre4]*1='CHAMBRES GARCONS 1e ETAGE'!$A$5,1,0)</f>
        <v>0</v>
      </c>
      <c r="GG50" s="160">
        <f>IF([Occurrence27]=0,0,SUM($GF$2:GF50))</f>
        <v>0</v>
      </c>
      <c r="GH50" s="160">
        <f>IF([chambre4]*1='CHAMBRES GARCONS 1e ETAGE'!$A$11,1,0)</f>
        <v>0</v>
      </c>
      <c r="GI50" s="160">
        <f>IF([Occurrence28]=0,0,SUM($GH$2:GH50))</f>
        <v>0</v>
      </c>
      <c r="GJ50" s="160">
        <f>IF([chambre4]*1='CHAMBRES GARCONS 1e ETAGE'!$A$17,1,0)</f>
        <v>0</v>
      </c>
      <c r="GK50" s="160">
        <f>IF([Occurrence29]=0,0,SUM($GJ$2:GJ50))</f>
        <v>0</v>
      </c>
      <c r="GL50" s="160">
        <f>IF([chambre4]*1='CHAMBRES GARCONS 1e ETAGE'!$A$23,1,0)</f>
        <v>0</v>
      </c>
      <c r="GM50" s="160">
        <f>IF([Occurrence30]=0,0,SUM($GL$2:GL50))</f>
        <v>0</v>
      </c>
      <c r="GN50" s="160">
        <f>IF([chambre4]*1='CHAMBRES GARCONS 1e ETAGE'!$A$29,1,0)</f>
        <v>0</v>
      </c>
      <c r="GO50" s="160">
        <f>IF([Occurrence31]=0,0,SUM($GN$2:GN50))</f>
        <v>0</v>
      </c>
      <c r="GP50" s="160">
        <f>IF([chambre4]*1='CHAMBRES GARCONS 1e ETAGE'!$A$35,1,0)</f>
        <v>0</v>
      </c>
      <c r="GQ50" s="160">
        <f>IF([Occurrence32]=0,0,SUM($GP$2:GP50))</f>
        <v>0</v>
      </c>
      <c r="GR50" s="160">
        <f>IF([chambre3]*1='CHAMBRES GARCONS RDC'!$A$5,1,0)</f>
        <v>0</v>
      </c>
      <c r="GS50" s="160">
        <f>IF([Occurrence33]=0,0,SUM($GR$2:GR50))</f>
        <v>0</v>
      </c>
      <c r="GT50" s="160">
        <f>IF([chambre3]*1='CHAMBRES GARCONS RDC'!$A$11,1,0)</f>
        <v>0</v>
      </c>
      <c r="GU50" s="160">
        <f>IF([Occurrence34]=0,0,SUM($GT$2:GT50))</f>
        <v>0</v>
      </c>
      <c r="GV50" s="160">
        <f>IF([chambre3]*1='CHAMBRES GARCONS RDC'!$A$17,1,0)</f>
        <v>0</v>
      </c>
      <c r="GW50" s="160">
        <f>IF([Occurrence35]=0,0,SUM($GV$2:GV50))</f>
        <v>0</v>
      </c>
      <c r="GX50" s="160">
        <f>IF([chambre3]*1='CHAMBRES GARCONS RDC'!$A$23,1,0)</f>
        <v>0</v>
      </c>
      <c r="GY50" s="160">
        <f>IF([Occurrence36]=0,0,SUM($GX$2:GX50))</f>
        <v>0</v>
      </c>
      <c r="GZ50" s="160">
        <f>IF([chambre3]*1='CHAMBRES GARCONS RDC'!$A$29,1,0)</f>
        <v>0</v>
      </c>
      <c r="HA50" s="160">
        <f>IF([Occurrence37]=0,0,SUM($GZ$2:GZ50))</f>
        <v>0</v>
      </c>
      <c r="HB50" s="160">
        <f>IF([chambre3]*1='CHAMBRES GARCONS RDC'!$A$35,1,0)</f>
        <v>0</v>
      </c>
      <c r="HC50" s="160">
        <f>IF([Occurrence38]=0,0,SUM($HB$2:HB50))</f>
        <v>0</v>
      </c>
      <c r="HD50" s="160">
        <f>IF([chambre3]*1='CHAMBRES GARCONS RDC'!$A$41,1,0)</f>
        <v>0</v>
      </c>
      <c r="HE50" s="160">
        <f>IF([Occurrence39]=0,0,SUM($HD$2:HD50))</f>
        <v>0</v>
      </c>
      <c r="HF50" s="160">
        <f>IF([chambre3]*1='CHAMBRES GARCONS RDC'!$A$47,1,0)</f>
        <v>0</v>
      </c>
      <c r="HG50" s="160">
        <f>IF([Occurrence40]=0,0,SUM($HF$2:HF50))</f>
        <v>0</v>
      </c>
      <c r="HH50" s="160">
        <f>IF([chambre3]*1='CHAMBRES GARCONS RDC'!$A$53,1,0)</f>
        <v>0</v>
      </c>
      <c r="HI50" s="160">
        <f>IF([Occurrence41]=0,0,SUM($HH$2:HH50))</f>
        <v>0</v>
      </c>
      <c r="HJ50" s="160">
        <f>IF([chambre3]*1='CHAMBRES GARCONS RDC'!$A$59,1,0)</f>
        <v>0</v>
      </c>
      <c r="HK50" s="160">
        <f>IF([Occurrence42]=0,0,SUM($HJ$2:HJ50))</f>
        <v>0</v>
      </c>
      <c r="HL50" s="160">
        <f>IF([chambre3]*1='CHAMBRES GARCONS RDC'!$A$65,1,0)</f>
        <v>0</v>
      </c>
      <c r="HM50" s="160">
        <f>IF([Occurrence43]=0,0,SUM($HL$2:HL50))</f>
        <v>0</v>
      </c>
      <c r="HN50" s="160">
        <f>IF([chambre3]*1='CHAMBRES GARCONS RDC'!$A$71,1,0)</f>
        <v>0</v>
      </c>
      <c r="HO50" s="160">
        <f>IF([Occurrence44]=0,0,SUM($HN$2:HN50))</f>
        <v>0</v>
      </c>
      <c r="HP50" s="160">
        <f>IF([chambre3]*1='CHAMBRES GARCONS RDC'!$A$77,1,0)</f>
        <v>0</v>
      </c>
      <c r="HQ50" s="160">
        <f>IF([Occurrence45]=0,0,SUM($HP$2:HP50))</f>
        <v>0</v>
      </c>
      <c r="HR50" s="160">
        <f>IF([chambre3]*1='CHAMBRES GARCONS RDC'!$A$83,1,0)</f>
        <v>0</v>
      </c>
      <c r="HS50" s="160">
        <f>IF([Occurrence46]=0,0,SUM($HR$2:HR50))</f>
        <v>0</v>
      </c>
      <c r="HT50" s="160">
        <f>IF([chambre3]*1='CHAMBRES GARCONS RDC'!$A$89,1,0)</f>
        <v>0</v>
      </c>
      <c r="HU50" s="160">
        <f>IF([Occurrence47]=0,0,SUM($HT$2:HT50))</f>
        <v>0</v>
      </c>
      <c r="HV50" s="160">
        <f>IF([chambre3]*1='CHAMBRES GARCONS RDC'!$A$95,1,0)</f>
        <v>0</v>
      </c>
      <c r="HW50" s="160">
        <f>IF([Occurrence48]=0,0,SUM($HV$2:HV50))</f>
        <v>0</v>
      </c>
      <c r="HX50" s="160"/>
      <c r="HY50" s="160"/>
      <c r="HZ50" s="160">
        <f>IF([Classe]='Liste élève par classes'!$B$5,1,0)</f>
        <v>0</v>
      </c>
      <c r="IA50" s="160">
        <f>IF([Occurrence]=0,0,SUM($HZ$2:HZ50))</f>
        <v>0</v>
      </c>
      <c r="IB5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142</v>
      </c>
      <c r="IC50" s="208"/>
    </row>
    <row r="51" spans="1:237">
      <c r="A51" t="s">
        <v>336</v>
      </c>
      <c r="B51" t="s">
        <v>337</v>
      </c>
      <c r="C51" s="158">
        <v>36499</v>
      </c>
      <c r="D51" s="62">
        <f t="shared" ca="1" si="0"/>
        <v>17</v>
      </c>
      <c r="E51" t="s">
        <v>0</v>
      </c>
      <c r="F51" s="159" t="s">
        <v>50</v>
      </c>
      <c r="G51" t="s">
        <v>45</v>
      </c>
      <c r="H51" s="160"/>
      <c r="I51" s="161"/>
      <c r="J51" s="161"/>
      <c r="K51" s="161"/>
      <c r="L51" s="160">
        <v>179</v>
      </c>
      <c r="M51">
        <v>210</v>
      </c>
      <c r="N51" s="161"/>
      <c r="O51" s="161"/>
      <c r="P51" s="161"/>
      <c r="Q51" s="161"/>
      <c r="R51" s="161"/>
      <c r="S51" s="190"/>
      <c r="T51" s="161"/>
      <c r="U51" s="160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3"/>
      <c r="AG51" s="163"/>
      <c r="AH51" s="163"/>
      <c r="AI51" s="163"/>
      <c r="AJ51" s="163"/>
      <c r="AK51" s="163"/>
      <c r="AL51" s="163"/>
      <c r="AM51" s="163"/>
      <c r="AN51" s="163"/>
      <c r="AO51" s="163"/>
      <c r="AP51" s="163"/>
      <c r="AQ51" s="163"/>
      <c r="AR51" s="163"/>
      <c r="AS51" s="163"/>
      <c r="AT51" s="163"/>
      <c r="AU51" s="163"/>
      <c r="AV51" s="163"/>
      <c r="AW51" s="163"/>
      <c r="AX51" s="163"/>
      <c r="AY51" s="163"/>
      <c r="AZ51" s="163"/>
      <c r="BA51" s="163"/>
      <c r="BB51" s="163"/>
      <c r="BC51" s="163" t="b">
        <v>0</v>
      </c>
      <c r="BD51" s="163" t="b">
        <v>1</v>
      </c>
      <c r="BE51" s="163" t="b">
        <v>1</v>
      </c>
      <c r="BF51" s="163" t="b">
        <v>0</v>
      </c>
      <c r="BG51" s="164" t="b">
        <v>0</v>
      </c>
      <c r="BH51" s="163" t="b">
        <v>1</v>
      </c>
      <c r="BI51" s="163"/>
      <c r="BJ51" s="163"/>
      <c r="BK51" s="163"/>
      <c r="BL51" s="163"/>
      <c r="BM51" s="163"/>
      <c r="BN51" s="163"/>
      <c r="BO51" s="163"/>
      <c r="BP51" s="163"/>
      <c r="BQ51" s="163" t="b">
        <v>1</v>
      </c>
      <c r="BR51" s="163"/>
      <c r="BS51" s="163"/>
      <c r="BT51" s="163"/>
      <c r="BU51" s="163"/>
      <c r="BV51" s="163"/>
      <c r="BW51" s="163"/>
      <c r="BX51" s="163"/>
      <c r="BY51" s="163"/>
      <c r="BZ51" s="163"/>
      <c r="CA51" s="163"/>
      <c r="CB51" s="163"/>
      <c r="CC51" s="163"/>
      <c r="CD51" s="163"/>
      <c r="CE51" s="163"/>
      <c r="CF51" s="163"/>
      <c r="CG51" s="163"/>
      <c r="CH51" s="163"/>
      <c r="CI51" s="163"/>
      <c r="CJ51" s="163"/>
      <c r="CK51" s="163"/>
      <c r="CL51" s="163"/>
      <c r="CM51" s="163"/>
      <c r="CN51" s="163"/>
      <c r="CO51" s="163"/>
      <c r="CP51" s="163"/>
      <c r="CQ51" s="163"/>
      <c r="CR51" s="163"/>
      <c r="CS51" s="163"/>
      <c r="CT51" s="163"/>
      <c r="CU51" s="163"/>
      <c r="CV51" s="163"/>
      <c r="CW51" s="163"/>
      <c r="CX51" s="163"/>
      <c r="CY51" s="163"/>
      <c r="CZ51" s="163"/>
      <c r="DA51" s="163"/>
      <c r="DB51" s="163"/>
      <c r="DC51" s="163"/>
      <c r="DD51" s="163"/>
      <c r="DE51" s="163"/>
      <c r="DF51" s="163"/>
      <c r="DG51" s="208"/>
      <c r="DH51" s="163"/>
      <c r="DI51" s="163"/>
      <c r="DJ51" s="163"/>
      <c r="DK51" s="163"/>
      <c r="DL51" s="163"/>
      <c r="DM51" s="163"/>
      <c r="DN51" s="163"/>
      <c r="DO51" s="163"/>
      <c r="DP51" s="163"/>
      <c r="DQ51" s="163"/>
      <c r="DR51" s="163"/>
      <c r="DS51" s="163"/>
      <c r="DT51" s="163"/>
      <c r="DU51" s="163"/>
      <c r="DV51" s="163"/>
      <c r="DW51" s="163"/>
      <c r="DX51" s="163"/>
      <c r="DY51" s="163"/>
      <c r="DZ51" s="163"/>
      <c r="EA51" s="163"/>
      <c r="EB51" s="163"/>
      <c r="EC51" s="163"/>
      <c r="ED51" s="163"/>
      <c r="EE51" s="163"/>
      <c r="EF51" s="163"/>
      <c r="EG51" s="163"/>
      <c r="EH51" s="160">
        <f>IF([Chambre]*1='CHAMBRES FILLES 2e ETAGE'!$A$5,1,0)</f>
        <v>0</v>
      </c>
      <c r="EI51" s="161">
        <f>IF([Occurrence2]=0,0,SUM($EH$2:EH51))</f>
        <v>0</v>
      </c>
      <c r="EJ51" s="160">
        <f>IF([Chambre]*1='CHAMBRES FILLES 2e ETAGE'!$A$11,1,0)</f>
        <v>0</v>
      </c>
      <c r="EK51" s="160">
        <f>IF([Occurrence3]=0,0,SUM($EJ$2:EJ51))</f>
        <v>0</v>
      </c>
      <c r="EL51" s="160">
        <f>IF([Chambre]*1='CHAMBRES FILLES 2e ETAGE'!$A$17,1,0)</f>
        <v>0</v>
      </c>
      <c r="EM51" s="160">
        <f>IF([Occurrence4]=0,0,SUM($EL$2:EL51))</f>
        <v>0</v>
      </c>
      <c r="EN51" s="160">
        <f>IF([Chambre]*1='CHAMBRES FILLES 2e ETAGE'!$A$23,1,0)</f>
        <v>0</v>
      </c>
      <c r="EO51" s="160">
        <f>IF([Occurrence5]=0,0,SUM($EN$2:EN51))</f>
        <v>0</v>
      </c>
      <c r="EP51" s="160">
        <f>IF([Chambre]*1='CHAMBRES FILLES 2e ETAGE'!$A$29,1,0)</f>
        <v>0</v>
      </c>
      <c r="EQ51" s="160">
        <f>IF([Occurrence6]=0,0,SUM($EP$2:EP51))</f>
        <v>0</v>
      </c>
      <c r="ER51" s="160">
        <f>IF([Chambre]*1='CHAMBRES FILLES 2e ETAGE'!$A$35,1,0)</f>
        <v>0</v>
      </c>
      <c r="ES51" s="160">
        <f>IF([Occurrence7]=0,0,SUM($ER$2:ER51))</f>
        <v>0</v>
      </c>
      <c r="ET51" s="160">
        <f>IF([Chambre]*1='CHAMBRES FILLES 2e ETAGE'!$A$41,1,0)</f>
        <v>0</v>
      </c>
      <c r="EU51" s="160">
        <f>IF([Occurrence8]=0,0,SUM($ET$2:ET51))</f>
        <v>0</v>
      </c>
      <c r="EV51" s="160">
        <f>IF([Chambre]*1='CHAMBRES FILLES 2e ETAGE'!$A$47,1,0)</f>
        <v>0</v>
      </c>
      <c r="EW51" s="160">
        <f>IF([Occurrence9]=0,0,SUM($EV$2:EV51))</f>
        <v>0</v>
      </c>
      <c r="EX51" s="160">
        <f>IF([Chambre]*1='CHAMBRES FILLES 2e ETAGE'!$A$53,1,0)</f>
        <v>0</v>
      </c>
      <c r="EY51" s="160">
        <f>IF([Occurrence10]=0,0,SUM($EX$2:EX51))</f>
        <v>0</v>
      </c>
      <c r="EZ51" s="160">
        <f>IF([Chambre]*1='CHAMBRES FILLES 2e ETAGE'!$A$59,1,0)</f>
        <v>0</v>
      </c>
      <c r="FA51" s="160">
        <f>IF([Occurrence11]=0,0,SUM($EZ$2:EZ51))</f>
        <v>0</v>
      </c>
      <c r="FB51" s="160">
        <f>IF([Chambre]*1='CHAMBRES FILLES 2e ETAGE'!$A$65,1,0)</f>
        <v>0</v>
      </c>
      <c r="FC51" s="160">
        <f>IF([Occurrence12]=0,0,SUM($FB$2:FB51))</f>
        <v>0</v>
      </c>
      <c r="FD51" s="160">
        <f>IF([Chambre]*1='CHAMBRES FILLES 2e ETAGE'!$A$71,1,0)</f>
        <v>1</v>
      </c>
      <c r="FE51" s="160">
        <f>IF([Occurrence13]=0,0,SUM($FD$2:FD51))</f>
        <v>2</v>
      </c>
      <c r="FF51" s="160">
        <f>IF([Chambre]*1='CHAMBRES FILLES 2e ETAGE'!$A$77,1,0)</f>
        <v>0</v>
      </c>
      <c r="FG51" s="160">
        <f>IF([Occurrence14]=0,0,SUM($FF$2:FF51))</f>
        <v>0</v>
      </c>
      <c r="FH51" s="160">
        <f>IF([Chambre]*1='CHAMBRES FILLES 2e ETAGE'!$A$83,1,0)</f>
        <v>0</v>
      </c>
      <c r="FI51" s="160">
        <f>IF([Occurrence15]=0,0,SUM($FH$2:FH51))</f>
        <v>0</v>
      </c>
      <c r="FJ51" s="160">
        <f>IF([Chambre]*1='CHAMBRES FILLES 2e ETAGE'!$A$89,1,0)</f>
        <v>0</v>
      </c>
      <c r="FK51" s="160">
        <f>IF([Occurrence16]=0,0,SUM($FJ$2:FJ51))</f>
        <v>0</v>
      </c>
      <c r="FL51" s="160">
        <f>IF([Chambre]*1='CHAMBRES FILLES 2e ETAGE'!$A$95,1,0)</f>
        <v>0</v>
      </c>
      <c r="FM51" s="160">
        <f>IF([Occurrence17]=0,0,SUM($FL$2:FL51))</f>
        <v>0</v>
      </c>
      <c r="FN51" s="160">
        <f>IF([Chambre2]*1='CHAMBRES FILLES 1e ETAGE'!$A$5,1,0)</f>
        <v>0</v>
      </c>
      <c r="FO51" s="160">
        <f>IF([Occurrence18]=0,0,SUM($FN$2:FN51))</f>
        <v>0</v>
      </c>
      <c r="FP51" s="160">
        <f>IF([Chambre2]*1='CHAMBRES FILLES 1e ETAGE'!$A$11,1,0)</f>
        <v>0</v>
      </c>
      <c r="FQ51" s="160">
        <f>IF([Occurrence19]=0,0,SUM($FP$2:FP51))</f>
        <v>0</v>
      </c>
      <c r="FR51" s="160">
        <f>IF([Chambre2]*1='CHAMBRES FILLES 1e ETAGE'!$A$17,1,0)</f>
        <v>0</v>
      </c>
      <c r="FS51" s="160">
        <f>IF([Occurrence20]=0,0,SUM($FR$2:FR51))</f>
        <v>0</v>
      </c>
      <c r="FT51" s="160">
        <f>IF([Chambre2]*1='CHAMBRES FILLES 1e ETAGE'!$A$23,1,0)</f>
        <v>0</v>
      </c>
      <c r="FU51" s="160">
        <f>IF([Occurrence21]=0,0,SUM($FT$2:FT51))</f>
        <v>0</v>
      </c>
      <c r="FV51" s="160">
        <f>IF([Chambre2]*1='CHAMBRES FILLES 1e ETAGE'!$A$29,1,0)</f>
        <v>0</v>
      </c>
      <c r="FW51" s="160">
        <f>IF([Occurrence22]=0,0,SUM($FV$2:FV51))</f>
        <v>0</v>
      </c>
      <c r="FX51" s="160">
        <f>IF([Chambre2]*1='CHAMBRES FILLES 1e ETAGE'!$A$35,1,0)</f>
        <v>0</v>
      </c>
      <c r="FY51" s="160">
        <f>IF([Occurrence23]=0,0,SUM($FX$2:FX51))</f>
        <v>0</v>
      </c>
      <c r="FZ51" s="160">
        <f>IF([Chambre2]*1='CHAMBRES FILLES 1e ETAGE'!$A$41,1,0)</f>
        <v>0</v>
      </c>
      <c r="GA51" s="160">
        <f>IF([Occurrence24]=0,0,SUM($FZ$2:FZ51))</f>
        <v>0</v>
      </c>
      <c r="GB51" s="160">
        <f>IF([Chambre2]*1='CHAMBRES FILLES 1e ETAGE'!$A$47,1,0)</f>
        <v>0</v>
      </c>
      <c r="GC51" s="160">
        <f>IF([Occurrence25]=0,0,SUM($GB$2:GB51))</f>
        <v>0</v>
      </c>
      <c r="GD51" s="160">
        <f>IF([Chambre2]*1='CHAMBRES FILLES 1e ETAGE'!$A$53,1,0)</f>
        <v>0</v>
      </c>
      <c r="GE51" s="160">
        <f>IF([Occurrence26]=0,0,SUM($GD$2:GD51))</f>
        <v>0</v>
      </c>
      <c r="GF51" s="160">
        <f>IF([chambre4]*1='CHAMBRES GARCONS 1e ETAGE'!$A$5,1,0)</f>
        <v>0</v>
      </c>
      <c r="GG51" s="160">
        <f>IF([Occurrence27]=0,0,SUM($GF$2:GF51))</f>
        <v>0</v>
      </c>
      <c r="GH51" s="160">
        <f>IF([chambre4]*1='CHAMBRES GARCONS 1e ETAGE'!$A$11,1,0)</f>
        <v>0</v>
      </c>
      <c r="GI51" s="160">
        <f>IF([Occurrence28]=0,0,SUM($GH$2:GH51))</f>
        <v>0</v>
      </c>
      <c r="GJ51" s="160">
        <f>IF([chambre4]*1='CHAMBRES GARCONS 1e ETAGE'!$A$17,1,0)</f>
        <v>0</v>
      </c>
      <c r="GK51" s="160">
        <f>IF([Occurrence29]=0,0,SUM($GJ$2:GJ51))</f>
        <v>0</v>
      </c>
      <c r="GL51" s="160">
        <f>IF([chambre4]*1='CHAMBRES GARCONS 1e ETAGE'!$A$23,1,0)</f>
        <v>0</v>
      </c>
      <c r="GM51" s="160">
        <f>IF([Occurrence30]=0,0,SUM($GL$2:GL51))</f>
        <v>0</v>
      </c>
      <c r="GN51" s="160">
        <f>IF([chambre4]*1='CHAMBRES GARCONS 1e ETAGE'!$A$29,1,0)</f>
        <v>0</v>
      </c>
      <c r="GO51" s="160">
        <f>IF([Occurrence31]=0,0,SUM($GN$2:GN51))</f>
        <v>0</v>
      </c>
      <c r="GP51" s="160">
        <f>IF([chambre4]*1='CHAMBRES GARCONS 1e ETAGE'!$A$35,1,0)</f>
        <v>0</v>
      </c>
      <c r="GQ51" s="160">
        <f>IF([Occurrence32]=0,0,SUM($GP$2:GP51))</f>
        <v>0</v>
      </c>
      <c r="GR51" s="160">
        <f>IF([chambre3]*1='CHAMBRES GARCONS RDC'!$A$5,1,0)</f>
        <v>0</v>
      </c>
      <c r="GS51" s="160">
        <f>IF([Occurrence33]=0,0,SUM($GR$2:GR51))</f>
        <v>0</v>
      </c>
      <c r="GT51" s="160">
        <f>IF([chambre3]*1='CHAMBRES GARCONS RDC'!$A$11,1,0)</f>
        <v>0</v>
      </c>
      <c r="GU51" s="160">
        <f>IF([Occurrence34]=0,0,SUM($GT$2:GT51))</f>
        <v>0</v>
      </c>
      <c r="GV51" s="160">
        <f>IF([chambre3]*1='CHAMBRES GARCONS RDC'!$A$17,1,0)</f>
        <v>0</v>
      </c>
      <c r="GW51" s="160">
        <f>IF([Occurrence35]=0,0,SUM($GV$2:GV51))</f>
        <v>0</v>
      </c>
      <c r="GX51" s="160">
        <f>IF([chambre3]*1='CHAMBRES GARCONS RDC'!$A$23,1,0)</f>
        <v>0</v>
      </c>
      <c r="GY51" s="160">
        <f>IF([Occurrence36]=0,0,SUM($GX$2:GX51))</f>
        <v>0</v>
      </c>
      <c r="GZ51" s="160">
        <f>IF([chambre3]*1='CHAMBRES GARCONS RDC'!$A$29,1,0)</f>
        <v>0</v>
      </c>
      <c r="HA51" s="160">
        <f>IF([Occurrence37]=0,0,SUM($GZ$2:GZ51))</f>
        <v>0</v>
      </c>
      <c r="HB51" s="160">
        <f>IF([chambre3]*1='CHAMBRES GARCONS RDC'!$A$35,1,0)</f>
        <v>0</v>
      </c>
      <c r="HC51" s="160">
        <f>IF([Occurrence38]=0,0,SUM($HB$2:HB51))</f>
        <v>0</v>
      </c>
      <c r="HD51" s="160">
        <f>IF([chambre3]*1='CHAMBRES GARCONS RDC'!$A$41,1,0)</f>
        <v>0</v>
      </c>
      <c r="HE51" s="160">
        <f>IF([Occurrence39]=0,0,SUM($HD$2:HD51))</f>
        <v>0</v>
      </c>
      <c r="HF51" s="160">
        <f>IF([chambre3]*1='CHAMBRES GARCONS RDC'!$A$47,1,0)</f>
        <v>0</v>
      </c>
      <c r="HG51" s="160">
        <f>IF([Occurrence40]=0,0,SUM($HF$2:HF51))</f>
        <v>0</v>
      </c>
      <c r="HH51" s="160">
        <f>IF([chambre3]*1='CHAMBRES GARCONS RDC'!$A$53,1,0)</f>
        <v>0</v>
      </c>
      <c r="HI51" s="160">
        <f>IF([Occurrence41]=0,0,SUM($HH$2:HH51))</f>
        <v>0</v>
      </c>
      <c r="HJ51" s="160">
        <f>IF([chambre3]*1='CHAMBRES GARCONS RDC'!$A$59,1,0)</f>
        <v>0</v>
      </c>
      <c r="HK51" s="160">
        <f>IF([Occurrence42]=0,0,SUM($HJ$2:HJ51))</f>
        <v>0</v>
      </c>
      <c r="HL51" s="160">
        <f>IF([chambre3]*1='CHAMBRES GARCONS RDC'!$A$65,1,0)</f>
        <v>0</v>
      </c>
      <c r="HM51" s="160">
        <f>IF([Occurrence43]=0,0,SUM($HL$2:HL51))</f>
        <v>0</v>
      </c>
      <c r="HN51" s="160">
        <f>IF([chambre3]*1='CHAMBRES GARCONS RDC'!$A$71,1,0)</f>
        <v>0</v>
      </c>
      <c r="HO51" s="160">
        <f>IF([Occurrence44]=0,0,SUM($HN$2:HN51))</f>
        <v>0</v>
      </c>
      <c r="HP51" s="160">
        <f>IF([chambre3]*1='CHAMBRES GARCONS RDC'!$A$77,1,0)</f>
        <v>0</v>
      </c>
      <c r="HQ51" s="160">
        <f>IF([Occurrence45]=0,0,SUM($HP$2:HP51))</f>
        <v>0</v>
      </c>
      <c r="HR51" s="160">
        <f>IF([chambre3]*1='CHAMBRES GARCONS RDC'!$A$83,1,0)</f>
        <v>0</v>
      </c>
      <c r="HS51" s="160">
        <f>IF([Occurrence46]=0,0,SUM($HR$2:HR51))</f>
        <v>0</v>
      </c>
      <c r="HT51" s="160">
        <f>IF([chambre3]*1='CHAMBRES GARCONS RDC'!$A$89,1,0)</f>
        <v>0</v>
      </c>
      <c r="HU51" s="160">
        <f>IF([Occurrence47]=0,0,SUM($HT$2:HT51))</f>
        <v>0</v>
      </c>
      <c r="HV51" s="160">
        <f>IF([chambre3]*1='CHAMBRES GARCONS RDC'!$A$95,1,0)</f>
        <v>0</v>
      </c>
      <c r="HW51" s="160">
        <f>IF([Occurrence48]=0,0,SUM($HV$2:HV51))</f>
        <v>0</v>
      </c>
      <c r="HX51" s="160"/>
      <c r="HY51" s="160"/>
      <c r="HZ51" s="160">
        <f>IF([Classe]='Liste élève par classes'!$B$5,1,0)</f>
        <v>0</v>
      </c>
      <c r="IA51" s="160">
        <f>IF([Occurrence]=0,0,SUM($HZ$2:HZ51))</f>
        <v>0</v>
      </c>
      <c r="IB5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179</v>
      </c>
      <c r="IC51" s="208"/>
    </row>
    <row r="52" spans="1:237">
      <c r="A52" t="s">
        <v>338</v>
      </c>
      <c r="B52" t="s">
        <v>333</v>
      </c>
      <c r="C52" s="158">
        <v>36507</v>
      </c>
      <c r="D52" s="62">
        <f t="shared" ca="1" si="0"/>
        <v>17</v>
      </c>
      <c r="E52" t="s">
        <v>3</v>
      </c>
      <c r="F52" s="165" t="s">
        <v>46</v>
      </c>
      <c r="G52" t="s">
        <v>45</v>
      </c>
      <c r="H52" s="160"/>
      <c r="I52" s="62"/>
      <c r="J52" s="62" t="s">
        <v>244</v>
      </c>
      <c r="K52" s="62"/>
      <c r="L52" s="61"/>
      <c r="M52" s="62"/>
      <c r="N52" s="62" t="s">
        <v>244</v>
      </c>
      <c r="O52" s="62" t="s">
        <v>244</v>
      </c>
      <c r="P52" s="62" t="s">
        <v>244</v>
      </c>
      <c r="Q52" s="62" t="s">
        <v>244</v>
      </c>
      <c r="R52" s="62" t="s">
        <v>244</v>
      </c>
      <c r="S52" s="62"/>
      <c r="T52" s="62" t="s">
        <v>244</v>
      </c>
      <c r="U52" s="61"/>
      <c r="V52" s="62" t="s">
        <v>244</v>
      </c>
      <c r="W52" s="62" t="s">
        <v>244</v>
      </c>
      <c r="X52" s="62" t="s">
        <v>244</v>
      </c>
      <c r="Y52" s="62" t="s">
        <v>244</v>
      </c>
      <c r="Z52" s="62" t="s">
        <v>244</v>
      </c>
      <c r="AA52" s="62" t="s">
        <v>244</v>
      </c>
      <c r="AB52" s="62" t="s">
        <v>244</v>
      </c>
      <c r="AC52" s="62" t="s">
        <v>244</v>
      </c>
      <c r="AD52" s="62" t="s">
        <v>244</v>
      </c>
      <c r="AE52" s="62" t="s">
        <v>244</v>
      </c>
      <c r="AF52" s="163" t="s">
        <v>244</v>
      </c>
      <c r="AG52" s="163" t="s">
        <v>244</v>
      </c>
      <c r="AH52" s="163" t="s">
        <v>244</v>
      </c>
      <c r="AI52" s="163"/>
      <c r="AJ52" s="163"/>
      <c r="AK52" s="163"/>
      <c r="AL52" s="163"/>
      <c r="AM52" s="163"/>
      <c r="AN52" s="163"/>
      <c r="AO52" s="163"/>
      <c r="AP52" s="163"/>
      <c r="AQ52" s="163"/>
      <c r="AR52" s="163"/>
      <c r="AS52" s="163"/>
      <c r="AT52" s="163"/>
      <c r="AU52" s="163"/>
      <c r="AV52" s="163"/>
      <c r="AW52" s="163"/>
      <c r="AX52" s="163"/>
      <c r="AY52" s="163"/>
      <c r="AZ52" s="163"/>
      <c r="BA52" s="163"/>
      <c r="BB52" s="163"/>
      <c r="BC52" s="163" t="b">
        <v>0</v>
      </c>
      <c r="BD52" s="163" t="b">
        <v>0</v>
      </c>
      <c r="BE52" s="163" t="b">
        <v>0</v>
      </c>
      <c r="BF52" s="163" t="b">
        <v>0</v>
      </c>
      <c r="BG52" s="163" t="b">
        <v>0</v>
      </c>
      <c r="BH52" s="163" t="b">
        <v>0</v>
      </c>
      <c r="BI52" s="163" t="b">
        <v>1</v>
      </c>
      <c r="BJ52" s="163" t="b">
        <v>0</v>
      </c>
      <c r="BK52" s="163" t="b">
        <v>0</v>
      </c>
      <c r="BL52" s="163" t="b">
        <v>0</v>
      </c>
      <c r="BM52" s="163"/>
      <c r="BN52" s="163"/>
      <c r="BO52" s="163"/>
      <c r="BP52" s="163"/>
      <c r="BQ52" s="163"/>
      <c r="BR52" s="163"/>
      <c r="BS52" s="163"/>
      <c r="BT52" s="163"/>
      <c r="BU52" s="163"/>
      <c r="BV52" s="163"/>
      <c r="BW52" s="163"/>
      <c r="BX52" s="163"/>
      <c r="BY52" s="163"/>
      <c r="BZ52" s="163"/>
      <c r="CA52" s="163"/>
      <c r="CB52" s="163"/>
      <c r="CC52" s="163"/>
      <c r="CD52" s="163"/>
      <c r="CE52" s="163"/>
      <c r="CF52" s="163"/>
      <c r="CG52" s="163"/>
      <c r="CH52" s="163"/>
      <c r="CI52" s="163"/>
      <c r="CJ52" s="163"/>
      <c r="CK52" s="163"/>
      <c r="CL52" s="163"/>
      <c r="CM52" s="163"/>
      <c r="CN52" s="163"/>
      <c r="CO52" s="163"/>
      <c r="CP52" s="163"/>
      <c r="CQ52" s="163"/>
      <c r="CR52" s="163"/>
      <c r="CS52" s="163"/>
      <c r="CT52" s="163"/>
      <c r="CU52" s="163"/>
      <c r="CV52" s="163"/>
      <c r="CW52" s="163"/>
      <c r="CX52" s="163"/>
      <c r="CY52" s="163"/>
      <c r="CZ52" s="163"/>
      <c r="DA52" s="163"/>
      <c r="DB52" s="163"/>
      <c r="DC52" s="163"/>
      <c r="DD52" s="163"/>
      <c r="DE52" s="163"/>
      <c r="DF52" s="163"/>
      <c r="DG52" s="163"/>
      <c r="DH52" s="163"/>
      <c r="DI52" s="163"/>
      <c r="DJ52" s="163"/>
      <c r="DK52" s="163"/>
      <c r="DL52" s="163"/>
      <c r="DM52" s="163"/>
      <c r="DN52" s="163"/>
      <c r="DO52" s="163"/>
      <c r="DP52" s="163"/>
      <c r="DQ52" s="163"/>
      <c r="DR52" s="163"/>
      <c r="DS52" s="163"/>
      <c r="DT52" s="163"/>
      <c r="DU52" s="163"/>
      <c r="DV52" s="163"/>
      <c r="DW52" s="163"/>
      <c r="DX52" s="163"/>
      <c r="DY52" s="163"/>
      <c r="DZ52" s="163"/>
      <c r="EA52" s="163"/>
      <c r="EB52" s="163"/>
      <c r="EC52" s="163"/>
      <c r="ED52" s="163"/>
      <c r="EE52" s="163"/>
      <c r="EF52" s="163"/>
      <c r="EG52" s="163"/>
      <c r="EH52" s="160">
        <f>IF([Chambre]*1='CHAMBRES FILLES 2e ETAGE'!$A$5,1,0)</f>
        <v>0</v>
      </c>
      <c r="EI52" s="161">
        <f>IF([Occurrence2]=0,0,SUM($EH$2:EH52))</f>
        <v>0</v>
      </c>
      <c r="EJ52" s="160">
        <f>IF([Chambre]*1='CHAMBRES FILLES 2e ETAGE'!$A$11,1,0)</f>
        <v>0</v>
      </c>
      <c r="EK52" s="160">
        <f>IF([Occurrence3]=0,0,SUM($EJ$2:EJ52))</f>
        <v>0</v>
      </c>
      <c r="EL52" s="160">
        <f>IF([Chambre]*1='CHAMBRES FILLES 2e ETAGE'!$A$17,1,0)</f>
        <v>0</v>
      </c>
      <c r="EM52" s="160">
        <f>IF([Occurrence4]=0,0,SUM($EL$2:EL52))</f>
        <v>0</v>
      </c>
      <c r="EN52" s="160">
        <f>IF([Chambre]*1='CHAMBRES FILLES 2e ETAGE'!$A$23,1,0)</f>
        <v>0</v>
      </c>
      <c r="EO52" s="160">
        <f>IF([Occurrence5]=0,0,SUM($EN$2:EN52))</f>
        <v>0</v>
      </c>
      <c r="EP52" s="160">
        <f>IF([Chambre]*1='CHAMBRES FILLES 2e ETAGE'!$A$29,1,0)</f>
        <v>0</v>
      </c>
      <c r="EQ52" s="160">
        <f>IF([Occurrence6]=0,0,SUM($EP$2:EP52))</f>
        <v>0</v>
      </c>
      <c r="ER52" s="160">
        <f>IF([Chambre]*1='CHAMBRES FILLES 2e ETAGE'!$A$35,1,0)</f>
        <v>0</v>
      </c>
      <c r="ES52" s="160">
        <f>IF([Occurrence7]=0,0,SUM($ER$2:ER52))</f>
        <v>0</v>
      </c>
      <c r="ET52" s="160">
        <f>IF([Chambre]*1='CHAMBRES FILLES 2e ETAGE'!$A$41,1,0)</f>
        <v>0</v>
      </c>
      <c r="EU52" s="160">
        <f>IF([Occurrence8]=0,0,SUM($ET$2:ET52))</f>
        <v>0</v>
      </c>
      <c r="EV52" s="160">
        <f>IF([Chambre]*1='CHAMBRES FILLES 2e ETAGE'!$A$47,1,0)</f>
        <v>0</v>
      </c>
      <c r="EW52" s="160">
        <f>IF([Occurrence9]=0,0,SUM($EV$2:EV52))</f>
        <v>0</v>
      </c>
      <c r="EX52" s="160">
        <f>IF([Chambre]*1='CHAMBRES FILLES 2e ETAGE'!$A$53,1,0)</f>
        <v>0</v>
      </c>
      <c r="EY52" s="160">
        <f>IF([Occurrence10]=0,0,SUM($EX$2:EX52))</f>
        <v>0</v>
      </c>
      <c r="EZ52" s="160">
        <f>IF([Chambre]*1='CHAMBRES FILLES 2e ETAGE'!$A$59,1,0)</f>
        <v>0</v>
      </c>
      <c r="FA52" s="160">
        <f>IF([Occurrence11]=0,0,SUM($EZ$2:EZ52))</f>
        <v>0</v>
      </c>
      <c r="FB52" s="160">
        <f>IF([Chambre]*1='CHAMBRES FILLES 2e ETAGE'!$A$65,1,0)</f>
        <v>0</v>
      </c>
      <c r="FC52" s="160">
        <f>IF([Occurrence12]=0,0,SUM($FB$2:FB52))</f>
        <v>0</v>
      </c>
      <c r="FD52" s="160">
        <f>IF([Chambre]*1='CHAMBRES FILLES 2e ETAGE'!$A$71,1,0)</f>
        <v>0</v>
      </c>
      <c r="FE52" s="160">
        <f>IF([Occurrence13]=0,0,SUM($FD$2:FD52))</f>
        <v>0</v>
      </c>
      <c r="FF52" s="160">
        <f>IF([Chambre]*1='CHAMBRES FILLES 2e ETAGE'!$A$77,1,0)</f>
        <v>0</v>
      </c>
      <c r="FG52" s="160">
        <f>IF([Occurrence14]=0,0,SUM($FF$2:FF52))</f>
        <v>0</v>
      </c>
      <c r="FH52" s="160">
        <f>IF([Chambre]*1='CHAMBRES FILLES 2e ETAGE'!$A$83,1,0)</f>
        <v>0</v>
      </c>
      <c r="FI52" s="160">
        <f>IF([Occurrence15]=0,0,SUM($FH$2:FH52))</f>
        <v>0</v>
      </c>
      <c r="FJ52" s="160">
        <f>IF([Chambre]*1='CHAMBRES FILLES 2e ETAGE'!$A$89,1,0)</f>
        <v>0</v>
      </c>
      <c r="FK52" s="160">
        <f>IF([Occurrence16]=0,0,SUM($FJ$2:FJ52))</f>
        <v>0</v>
      </c>
      <c r="FL52" s="160">
        <f>IF([Chambre]*1='CHAMBRES FILLES 2e ETAGE'!$A$95,1,0)</f>
        <v>0</v>
      </c>
      <c r="FM52" s="160">
        <f>IF([Occurrence17]=0,0,SUM($FL$2:FL52))</f>
        <v>0</v>
      </c>
      <c r="FN52" s="160">
        <f>IF([Chambre2]*1='CHAMBRES FILLES 1e ETAGE'!$A$5,1,0)</f>
        <v>0</v>
      </c>
      <c r="FO52" s="160">
        <f>IF([Occurrence18]=0,0,SUM($FN$2:FN52))</f>
        <v>0</v>
      </c>
      <c r="FP52" s="160">
        <f>IF([Chambre2]*1='CHAMBRES FILLES 1e ETAGE'!$A$11,1,0)</f>
        <v>0</v>
      </c>
      <c r="FQ52" s="160">
        <f>IF([Occurrence19]=0,0,SUM($FP$2:FP52))</f>
        <v>0</v>
      </c>
      <c r="FR52" s="160">
        <f>IF([Chambre2]*1='CHAMBRES FILLES 1e ETAGE'!$A$17,1,0)</f>
        <v>0</v>
      </c>
      <c r="FS52" s="160">
        <f>IF([Occurrence20]=0,0,SUM($FR$2:FR52))</f>
        <v>0</v>
      </c>
      <c r="FT52" s="160">
        <f>IF([Chambre2]*1='CHAMBRES FILLES 1e ETAGE'!$A$23,1,0)</f>
        <v>0</v>
      </c>
      <c r="FU52" s="160">
        <f>IF([Occurrence21]=0,0,SUM($FT$2:FT52))</f>
        <v>0</v>
      </c>
      <c r="FV52" s="160">
        <f>IF([Chambre2]*1='CHAMBRES FILLES 1e ETAGE'!$A$29,1,0)</f>
        <v>0</v>
      </c>
      <c r="FW52" s="160">
        <f>IF([Occurrence22]=0,0,SUM($FV$2:FV52))</f>
        <v>0</v>
      </c>
      <c r="FX52" s="160">
        <f>IF([Chambre2]*1='CHAMBRES FILLES 1e ETAGE'!$A$35,1,0)</f>
        <v>0</v>
      </c>
      <c r="FY52" s="160">
        <f>IF([Occurrence23]=0,0,SUM($FX$2:FX52))</f>
        <v>0</v>
      </c>
      <c r="FZ52" s="160">
        <f>IF([Chambre2]*1='CHAMBRES FILLES 1e ETAGE'!$A$41,1,0)</f>
        <v>0</v>
      </c>
      <c r="GA52" s="160">
        <f>IF([Occurrence24]=0,0,SUM($FZ$2:FZ52))</f>
        <v>0</v>
      </c>
      <c r="GB52" s="160">
        <f>IF([Chambre2]*1='CHAMBRES FILLES 1e ETAGE'!$A$47,1,0)</f>
        <v>0</v>
      </c>
      <c r="GC52" s="160">
        <f>IF([Occurrence25]=0,0,SUM($GB$2:GB52))</f>
        <v>0</v>
      </c>
      <c r="GD52" s="160">
        <f>IF([Chambre2]*1='CHAMBRES FILLES 1e ETAGE'!$A$53,1,0)</f>
        <v>0</v>
      </c>
      <c r="GE52" s="160">
        <f>IF([Occurrence26]=0,0,SUM($GD$2:GD52))</f>
        <v>0</v>
      </c>
      <c r="GF52" s="160">
        <f>IF([chambre4]*1='CHAMBRES GARCONS 1e ETAGE'!$A$5,1,0)</f>
        <v>0</v>
      </c>
      <c r="GG52" s="160">
        <f>IF([Occurrence27]=0,0,SUM($GF$2:GF52))</f>
        <v>0</v>
      </c>
      <c r="GH52" s="160">
        <f>IF([chambre4]*1='CHAMBRES GARCONS 1e ETAGE'!$A$11,1,0)</f>
        <v>0</v>
      </c>
      <c r="GI52" s="160">
        <f>IF([Occurrence28]=0,0,SUM($GH$2:GH52))</f>
        <v>0</v>
      </c>
      <c r="GJ52" s="160">
        <f>IF([chambre4]*1='CHAMBRES GARCONS 1e ETAGE'!$A$17,1,0)</f>
        <v>0</v>
      </c>
      <c r="GK52" s="160">
        <f>IF([Occurrence29]=0,0,SUM($GJ$2:GJ52))</f>
        <v>0</v>
      </c>
      <c r="GL52" s="160">
        <f>IF([chambre4]*1='CHAMBRES GARCONS 1e ETAGE'!$A$23,1,0)</f>
        <v>0</v>
      </c>
      <c r="GM52" s="160">
        <f>IF([Occurrence30]=0,0,SUM($GL$2:GL52))</f>
        <v>0</v>
      </c>
      <c r="GN52" s="160">
        <f>IF([chambre4]*1='CHAMBRES GARCONS 1e ETAGE'!$A$29,1,0)</f>
        <v>0</v>
      </c>
      <c r="GO52" s="160">
        <f>IF([Occurrence31]=0,0,SUM($GN$2:GN52))</f>
        <v>0</v>
      </c>
      <c r="GP52" s="160">
        <f>IF([chambre4]*1='CHAMBRES GARCONS 1e ETAGE'!$A$35,1,0)</f>
        <v>0</v>
      </c>
      <c r="GQ52" s="160">
        <f>IF([Occurrence32]=0,0,SUM($GP$2:GP52))</f>
        <v>0</v>
      </c>
      <c r="GR52" s="160">
        <f>IF([chambre3]*1='CHAMBRES GARCONS RDC'!$A$5,1,0)</f>
        <v>0</v>
      </c>
      <c r="GS52" s="160">
        <f>IF([Occurrence33]=0,0,SUM($GR$2:GR52))</f>
        <v>0</v>
      </c>
      <c r="GT52" s="160">
        <f>IF([chambre3]*1='CHAMBRES GARCONS RDC'!$A$11,1,0)</f>
        <v>0</v>
      </c>
      <c r="GU52" s="160">
        <f>IF([Occurrence34]=0,0,SUM($GT$2:GT52))</f>
        <v>0</v>
      </c>
      <c r="GV52" s="160">
        <f>IF([chambre3]*1='CHAMBRES GARCONS RDC'!$A$17,1,0)</f>
        <v>0</v>
      </c>
      <c r="GW52" s="160">
        <f>IF([Occurrence35]=0,0,SUM($GV$2:GV52))</f>
        <v>0</v>
      </c>
      <c r="GX52" s="160">
        <f>IF([chambre3]*1='CHAMBRES GARCONS RDC'!$A$23,1,0)</f>
        <v>0</v>
      </c>
      <c r="GY52" s="160">
        <f>IF([Occurrence36]=0,0,SUM($GX$2:GX52))</f>
        <v>0</v>
      </c>
      <c r="GZ52" s="160">
        <f>IF([chambre3]*1='CHAMBRES GARCONS RDC'!$A$29,1,0)</f>
        <v>0</v>
      </c>
      <c r="HA52" s="160">
        <f>IF([Occurrence37]=0,0,SUM($GZ$2:GZ52))</f>
        <v>0</v>
      </c>
      <c r="HB52" s="160">
        <f>IF([chambre3]*1='CHAMBRES GARCONS RDC'!$A$35,1,0)</f>
        <v>0</v>
      </c>
      <c r="HC52" s="160">
        <f>IF([Occurrence38]=0,0,SUM($HB$2:HB52))</f>
        <v>0</v>
      </c>
      <c r="HD52" s="160">
        <f>IF([chambre3]*1='CHAMBRES GARCONS RDC'!$A$41,1,0)</f>
        <v>0</v>
      </c>
      <c r="HE52" s="160">
        <f>IF([Occurrence39]=0,0,SUM($HD$2:HD52))</f>
        <v>0</v>
      </c>
      <c r="HF52" s="160">
        <f>IF([chambre3]*1='CHAMBRES GARCONS RDC'!$A$47,1,0)</f>
        <v>0</v>
      </c>
      <c r="HG52" s="160">
        <f>IF([Occurrence40]=0,0,SUM($HF$2:HF52))</f>
        <v>0</v>
      </c>
      <c r="HH52" s="160">
        <f>IF([chambre3]*1='CHAMBRES GARCONS RDC'!$A$53,1,0)</f>
        <v>0</v>
      </c>
      <c r="HI52" s="160">
        <f>IF([Occurrence41]=0,0,SUM($HH$2:HH52))</f>
        <v>0</v>
      </c>
      <c r="HJ52" s="160">
        <f>IF([chambre3]*1='CHAMBRES GARCONS RDC'!$A$59,1,0)</f>
        <v>0</v>
      </c>
      <c r="HK52" s="160">
        <f>IF([Occurrence42]=0,0,SUM($HJ$2:HJ52))</f>
        <v>0</v>
      </c>
      <c r="HL52" s="160">
        <f>IF([chambre3]*1='CHAMBRES GARCONS RDC'!$A$65,1,0)</f>
        <v>0</v>
      </c>
      <c r="HM52" s="160">
        <f>IF([Occurrence43]=0,0,SUM($HL$2:HL52))</f>
        <v>0</v>
      </c>
      <c r="HN52" s="160">
        <f>IF([chambre3]*1='CHAMBRES GARCONS RDC'!$A$71,1,0)</f>
        <v>0</v>
      </c>
      <c r="HO52" s="160">
        <f>IF([Occurrence44]=0,0,SUM($HN$2:HN52))</f>
        <v>0</v>
      </c>
      <c r="HP52" s="160">
        <f>IF([chambre3]*1='CHAMBRES GARCONS RDC'!$A$77,1,0)</f>
        <v>0</v>
      </c>
      <c r="HQ52" s="160">
        <f>IF([Occurrence45]=0,0,SUM($HP$2:HP52))</f>
        <v>0</v>
      </c>
      <c r="HR52" s="160">
        <f>IF([chambre3]*1='CHAMBRES GARCONS RDC'!$A$83,1,0)</f>
        <v>0</v>
      </c>
      <c r="HS52" s="160">
        <f>IF([Occurrence46]=0,0,SUM($HR$2:HR52))</f>
        <v>0</v>
      </c>
      <c r="HT52" s="160">
        <f>IF([chambre3]*1='CHAMBRES GARCONS RDC'!$A$89,1,0)</f>
        <v>0</v>
      </c>
      <c r="HU52" s="160">
        <f>IF([Occurrence47]=0,0,SUM($HT$2:HT52))</f>
        <v>0</v>
      </c>
      <c r="HV52" s="160">
        <f>IF([chambre3]*1='CHAMBRES GARCONS RDC'!$A$95,1,0)</f>
        <v>0</v>
      </c>
      <c r="HW52" s="160">
        <f>IF([Occurrence48]=0,0,SUM($HV$2:HV52))</f>
        <v>0</v>
      </c>
      <c r="HX52" s="160"/>
      <c r="HY52" s="160"/>
      <c r="HZ52" s="160">
        <f>IF([Classe]='Liste élève par classes'!$B$5,1,0)</f>
        <v>0</v>
      </c>
      <c r="IA52" s="160">
        <f>IF([Occurrence]=0,0,SUM($HZ$2:HZ52))</f>
        <v>0</v>
      </c>
      <c r="IB5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52" s="208"/>
    </row>
    <row r="53" spans="1:237">
      <c r="A53" t="s">
        <v>339</v>
      </c>
      <c r="B53" t="s">
        <v>340</v>
      </c>
      <c r="C53" s="158">
        <v>36636</v>
      </c>
      <c r="D53" s="62">
        <f t="shared" ca="1" si="0"/>
        <v>17</v>
      </c>
      <c r="E53" t="s">
        <v>9</v>
      </c>
      <c r="F53" s="159" t="s">
        <v>50</v>
      </c>
      <c r="G53" t="s">
        <v>40</v>
      </c>
      <c r="H53" s="160"/>
      <c r="I53" s="161"/>
      <c r="J53" s="161"/>
      <c r="K53" s="161"/>
      <c r="L53" s="160"/>
      <c r="M53">
        <v>30</v>
      </c>
      <c r="N53" s="161"/>
      <c r="O53" s="161"/>
      <c r="P53" s="161"/>
      <c r="Q53" s="161"/>
      <c r="R53" s="161"/>
      <c r="S53" s="190"/>
      <c r="T53" s="161"/>
      <c r="U53" s="160"/>
      <c r="V53" s="161"/>
      <c r="W53" s="161"/>
      <c r="X53" s="161"/>
      <c r="Y53" s="161"/>
      <c r="Z53" s="161"/>
      <c r="AA53" s="161"/>
      <c r="AB53" s="161"/>
      <c r="AC53" s="161"/>
      <c r="AD53" s="161"/>
      <c r="AE53" s="161"/>
      <c r="AF53" s="163"/>
      <c r="AG53" s="163"/>
      <c r="AH53" s="163"/>
      <c r="AI53" s="163"/>
      <c r="AJ53" s="163"/>
      <c r="AK53" s="163"/>
      <c r="AL53" s="163"/>
      <c r="AM53" s="163"/>
      <c r="AN53" s="163"/>
      <c r="AO53" s="163"/>
      <c r="AP53" s="163"/>
      <c r="AQ53" s="163"/>
      <c r="AR53" s="163"/>
      <c r="AS53" s="163"/>
      <c r="AT53" s="163"/>
      <c r="AU53" s="163"/>
      <c r="AV53" s="163"/>
      <c r="AW53" s="163"/>
      <c r="AX53" s="163"/>
      <c r="AY53" s="163"/>
      <c r="AZ53" s="163"/>
      <c r="BA53" s="163"/>
      <c r="BB53" s="163"/>
      <c r="BC53" s="163" t="b">
        <v>0</v>
      </c>
      <c r="BD53" s="163" t="b">
        <v>1</v>
      </c>
      <c r="BE53" s="163" t="b">
        <v>1</v>
      </c>
      <c r="BF53" s="163" t="b">
        <v>0</v>
      </c>
      <c r="BG53" s="164" t="b">
        <v>0</v>
      </c>
      <c r="BH53" s="163" t="b">
        <v>1</v>
      </c>
      <c r="BI53" s="163"/>
      <c r="BJ53" s="163"/>
      <c r="BK53" s="163"/>
      <c r="BL53" s="163"/>
      <c r="BM53" s="163"/>
      <c r="BN53" s="163"/>
      <c r="BO53" s="163"/>
      <c r="BP53" s="163"/>
      <c r="BQ53" s="163" t="b">
        <v>1</v>
      </c>
      <c r="BR53" s="163"/>
      <c r="BS53" s="163"/>
      <c r="BT53" s="163"/>
      <c r="BU53" s="163"/>
      <c r="BV53" s="163"/>
      <c r="BW53" s="163"/>
      <c r="BX53" s="163"/>
      <c r="BY53" s="163"/>
      <c r="BZ53" s="163"/>
      <c r="CA53" s="163"/>
      <c r="CB53" s="163"/>
      <c r="CC53" s="163"/>
      <c r="CD53" s="163"/>
      <c r="CE53" s="163"/>
      <c r="CF53" s="163"/>
      <c r="CG53" s="163"/>
      <c r="CH53" s="163"/>
      <c r="CI53" s="163"/>
      <c r="CJ53" s="163"/>
      <c r="CK53" s="163"/>
      <c r="CL53" s="163"/>
      <c r="CM53" s="163"/>
      <c r="CN53" s="163"/>
      <c r="CO53" s="163"/>
      <c r="CP53" s="163"/>
      <c r="CQ53" s="163"/>
      <c r="CR53" s="163"/>
      <c r="CS53" s="163"/>
      <c r="CT53" s="163"/>
      <c r="CU53" s="163"/>
      <c r="CV53" s="163"/>
      <c r="CW53" s="163"/>
      <c r="CX53" s="163"/>
      <c r="CY53" s="163"/>
      <c r="CZ53" s="163"/>
      <c r="DA53" s="163">
        <v>117</v>
      </c>
      <c r="DB53" s="163"/>
      <c r="DC53" s="163"/>
      <c r="DD53" s="163"/>
      <c r="DE53" s="163"/>
      <c r="DF53" s="163"/>
      <c r="DG53" s="208"/>
      <c r="DH53" s="163"/>
      <c r="DI53" s="163"/>
      <c r="DJ53" s="163"/>
      <c r="DK53" s="163"/>
      <c r="DL53" s="163"/>
      <c r="DM53" s="163"/>
      <c r="DN53" s="163"/>
      <c r="DO53" s="163"/>
      <c r="DP53" s="163"/>
      <c r="DQ53" s="163"/>
      <c r="DR53" s="163"/>
      <c r="DS53" s="163"/>
      <c r="DT53" s="163"/>
      <c r="DU53" s="163"/>
      <c r="DV53" s="163"/>
      <c r="DW53" s="163"/>
      <c r="DX53" s="163"/>
      <c r="DY53" s="163"/>
      <c r="DZ53" s="163"/>
      <c r="EA53" s="163"/>
      <c r="EB53" s="163"/>
      <c r="EC53" s="163"/>
      <c r="ED53" s="163"/>
      <c r="EE53" s="163"/>
      <c r="EF53" s="163"/>
      <c r="EG53" s="163"/>
      <c r="EH53" s="160">
        <f>IF([Chambre]*1='CHAMBRES FILLES 2e ETAGE'!$A$5,1,0)</f>
        <v>0</v>
      </c>
      <c r="EI53" s="161">
        <f>IF([Occurrence2]=0,0,SUM($EH$2:EH53))</f>
        <v>0</v>
      </c>
      <c r="EJ53" s="160">
        <f>IF([Chambre]*1='CHAMBRES FILLES 2e ETAGE'!$A$11,1,0)</f>
        <v>0</v>
      </c>
      <c r="EK53" s="160">
        <f>IF([Occurrence3]=0,0,SUM($EJ$2:EJ53))</f>
        <v>0</v>
      </c>
      <c r="EL53" s="160">
        <f>IF([Chambre]*1='CHAMBRES FILLES 2e ETAGE'!$A$17,1,0)</f>
        <v>0</v>
      </c>
      <c r="EM53" s="160">
        <f>IF([Occurrence4]=0,0,SUM($EL$2:EL53))</f>
        <v>0</v>
      </c>
      <c r="EN53" s="160">
        <f>IF([Chambre]*1='CHAMBRES FILLES 2e ETAGE'!$A$23,1,0)</f>
        <v>0</v>
      </c>
      <c r="EO53" s="160">
        <f>IF([Occurrence5]=0,0,SUM($EN$2:EN53))</f>
        <v>0</v>
      </c>
      <c r="EP53" s="160">
        <f>IF([Chambre]*1='CHAMBRES FILLES 2e ETAGE'!$A$29,1,0)</f>
        <v>0</v>
      </c>
      <c r="EQ53" s="160">
        <f>IF([Occurrence6]=0,0,SUM($EP$2:EP53))</f>
        <v>0</v>
      </c>
      <c r="ER53" s="160">
        <f>IF([Chambre]*1='CHAMBRES FILLES 2e ETAGE'!$A$35,1,0)</f>
        <v>0</v>
      </c>
      <c r="ES53" s="160">
        <f>IF([Occurrence7]=0,0,SUM($ER$2:ER53))</f>
        <v>0</v>
      </c>
      <c r="ET53" s="160">
        <f>IF([Chambre]*1='CHAMBRES FILLES 2e ETAGE'!$A$41,1,0)</f>
        <v>0</v>
      </c>
      <c r="EU53" s="160">
        <f>IF([Occurrence8]=0,0,SUM($ET$2:ET53))</f>
        <v>0</v>
      </c>
      <c r="EV53" s="160">
        <f>IF([Chambre]*1='CHAMBRES FILLES 2e ETAGE'!$A$47,1,0)</f>
        <v>0</v>
      </c>
      <c r="EW53" s="160">
        <f>IF([Occurrence9]=0,0,SUM($EV$2:EV53))</f>
        <v>0</v>
      </c>
      <c r="EX53" s="160">
        <f>IF([Chambre]*1='CHAMBRES FILLES 2e ETAGE'!$A$53,1,0)</f>
        <v>0</v>
      </c>
      <c r="EY53" s="160">
        <f>IF([Occurrence10]=0,0,SUM($EX$2:EX53))</f>
        <v>0</v>
      </c>
      <c r="EZ53" s="160">
        <f>IF([Chambre]*1='CHAMBRES FILLES 2e ETAGE'!$A$59,1,0)</f>
        <v>0</v>
      </c>
      <c r="FA53" s="160">
        <f>IF([Occurrence11]=0,0,SUM($EZ$2:EZ53))</f>
        <v>0</v>
      </c>
      <c r="FB53" s="160">
        <f>IF([Chambre]*1='CHAMBRES FILLES 2e ETAGE'!$A$65,1,0)</f>
        <v>0</v>
      </c>
      <c r="FC53" s="160">
        <f>IF([Occurrence12]=0,0,SUM($FB$2:FB53))</f>
        <v>0</v>
      </c>
      <c r="FD53" s="160">
        <f>IF([Chambre]*1='CHAMBRES FILLES 2e ETAGE'!$A$71,1,0)</f>
        <v>0</v>
      </c>
      <c r="FE53" s="160">
        <f>IF([Occurrence13]=0,0,SUM($FD$2:FD53))</f>
        <v>0</v>
      </c>
      <c r="FF53" s="160">
        <f>IF([Chambre]*1='CHAMBRES FILLES 2e ETAGE'!$A$77,1,0)</f>
        <v>0</v>
      </c>
      <c r="FG53" s="160">
        <f>IF([Occurrence14]=0,0,SUM($FF$2:FF53))</f>
        <v>0</v>
      </c>
      <c r="FH53" s="160">
        <f>IF([Chambre]*1='CHAMBRES FILLES 2e ETAGE'!$A$83,1,0)</f>
        <v>0</v>
      </c>
      <c r="FI53" s="160">
        <f>IF([Occurrence15]=0,0,SUM($FH$2:FH53))</f>
        <v>0</v>
      </c>
      <c r="FJ53" s="160">
        <f>IF([Chambre]*1='CHAMBRES FILLES 2e ETAGE'!$A$89,1,0)</f>
        <v>0</v>
      </c>
      <c r="FK53" s="160">
        <f>IF([Occurrence16]=0,0,SUM($FJ$2:FJ53))</f>
        <v>0</v>
      </c>
      <c r="FL53" s="160">
        <f>IF([Chambre]*1='CHAMBRES FILLES 2e ETAGE'!$A$95,1,0)</f>
        <v>0</v>
      </c>
      <c r="FM53" s="160">
        <f>IF([Occurrence17]=0,0,SUM($FL$2:FL53))</f>
        <v>0</v>
      </c>
      <c r="FN53" s="160">
        <f>IF([Chambre2]*1='CHAMBRES FILLES 1e ETAGE'!$A$5,1,0)</f>
        <v>0</v>
      </c>
      <c r="FO53" s="160">
        <f>IF([Occurrence18]=0,0,SUM($FN$2:FN53))</f>
        <v>0</v>
      </c>
      <c r="FP53" s="160">
        <f>IF([Chambre2]*1='CHAMBRES FILLES 1e ETAGE'!$A$11,1,0)</f>
        <v>0</v>
      </c>
      <c r="FQ53" s="160">
        <f>IF([Occurrence19]=0,0,SUM($FP$2:FP53))</f>
        <v>0</v>
      </c>
      <c r="FR53" s="160">
        <f>IF([Chambre2]*1='CHAMBRES FILLES 1e ETAGE'!$A$17,1,0)</f>
        <v>0</v>
      </c>
      <c r="FS53" s="160">
        <f>IF([Occurrence20]=0,0,SUM($FR$2:FR53))</f>
        <v>0</v>
      </c>
      <c r="FT53" s="160">
        <f>IF([Chambre2]*1='CHAMBRES FILLES 1e ETAGE'!$A$23,1,0)</f>
        <v>0</v>
      </c>
      <c r="FU53" s="160">
        <f>IF([Occurrence21]=0,0,SUM($FT$2:FT53))</f>
        <v>0</v>
      </c>
      <c r="FV53" s="160">
        <f>IF([Chambre2]*1='CHAMBRES FILLES 1e ETAGE'!$A$29,1,0)</f>
        <v>0</v>
      </c>
      <c r="FW53" s="160">
        <f>IF([Occurrence22]=0,0,SUM($FV$2:FV53))</f>
        <v>0</v>
      </c>
      <c r="FX53" s="160">
        <f>IF([Chambre2]*1='CHAMBRES FILLES 1e ETAGE'!$A$35,1,0)</f>
        <v>0</v>
      </c>
      <c r="FY53" s="160">
        <f>IF([Occurrence23]=0,0,SUM($FX$2:FX53))</f>
        <v>0</v>
      </c>
      <c r="FZ53" s="160">
        <f>IF([Chambre2]*1='CHAMBRES FILLES 1e ETAGE'!$A$41,1,0)</f>
        <v>0</v>
      </c>
      <c r="GA53" s="160">
        <f>IF([Occurrence24]=0,0,SUM($FZ$2:FZ53))</f>
        <v>0</v>
      </c>
      <c r="GB53" s="160">
        <f>IF([Chambre2]*1='CHAMBRES FILLES 1e ETAGE'!$A$47,1,0)</f>
        <v>0</v>
      </c>
      <c r="GC53" s="160">
        <f>IF([Occurrence25]=0,0,SUM($GB$2:GB53))</f>
        <v>0</v>
      </c>
      <c r="GD53" s="160">
        <f>IF([Chambre2]*1='CHAMBRES FILLES 1e ETAGE'!$A$53,1,0)</f>
        <v>0</v>
      </c>
      <c r="GE53" s="160">
        <f>IF([Occurrence26]=0,0,SUM($GD$2:GD53))</f>
        <v>0</v>
      </c>
      <c r="GF53" s="160">
        <f>IF([chambre4]*1='CHAMBRES GARCONS 1e ETAGE'!$A$5,1,0)</f>
        <v>0</v>
      </c>
      <c r="GG53" s="160">
        <f>IF([Occurrence27]=0,0,SUM($GF$2:GF53))</f>
        <v>0</v>
      </c>
      <c r="GH53" s="160">
        <f>IF([chambre4]*1='CHAMBRES GARCONS 1e ETAGE'!$A$11,1,0)</f>
        <v>0</v>
      </c>
      <c r="GI53" s="160">
        <f>IF([Occurrence28]=0,0,SUM($GH$2:GH53))</f>
        <v>0</v>
      </c>
      <c r="GJ53" s="160">
        <f>IF([chambre4]*1='CHAMBRES GARCONS 1e ETAGE'!$A$17,1,0)</f>
        <v>0</v>
      </c>
      <c r="GK53" s="160">
        <f>IF([Occurrence29]=0,0,SUM($GJ$2:GJ53))</f>
        <v>0</v>
      </c>
      <c r="GL53" s="160">
        <f>IF([chambre4]*1='CHAMBRES GARCONS 1e ETAGE'!$A$23,1,0)</f>
        <v>0</v>
      </c>
      <c r="GM53" s="160">
        <f>IF([Occurrence30]=0,0,SUM($GL$2:GL53))</f>
        <v>0</v>
      </c>
      <c r="GN53" s="160">
        <f>IF([chambre4]*1='CHAMBRES GARCONS 1e ETAGE'!$A$29,1,0)</f>
        <v>0</v>
      </c>
      <c r="GO53" s="160">
        <f>IF([Occurrence31]=0,0,SUM($GN$2:GN53))</f>
        <v>0</v>
      </c>
      <c r="GP53" s="160">
        <f>IF([chambre4]*1='CHAMBRES GARCONS 1e ETAGE'!$A$35,1,0)</f>
        <v>0</v>
      </c>
      <c r="GQ53" s="160">
        <f>IF([Occurrence32]=0,0,SUM($GP$2:GP53))</f>
        <v>0</v>
      </c>
      <c r="GR53" s="160">
        <f>IF([chambre3]*1='CHAMBRES GARCONS RDC'!$A$5,1,0)</f>
        <v>0</v>
      </c>
      <c r="GS53" s="160">
        <f>IF([Occurrence33]=0,0,SUM($GR$2:GR53))</f>
        <v>0</v>
      </c>
      <c r="GT53" s="160">
        <f>IF([chambre3]*1='CHAMBRES GARCONS RDC'!$A$11,1,0)</f>
        <v>0</v>
      </c>
      <c r="GU53" s="160">
        <f>IF([Occurrence34]=0,0,SUM($GT$2:GT53))</f>
        <v>0</v>
      </c>
      <c r="GV53" s="160">
        <f>IF([chambre3]*1='CHAMBRES GARCONS RDC'!$A$17,1,0)</f>
        <v>0</v>
      </c>
      <c r="GW53" s="160">
        <f>IF([Occurrence35]=0,0,SUM($GV$2:GV53))</f>
        <v>0</v>
      </c>
      <c r="GX53" s="160">
        <f>IF([chambre3]*1='CHAMBRES GARCONS RDC'!$A$23,1,0)</f>
        <v>0</v>
      </c>
      <c r="GY53" s="160">
        <f>IF([Occurrence36]=0,0,SUM($GX$2:GX53))</f>
        <v>0</v>
      </c>
      <c r="GZ53" s="160">
        <f>IF([chambre3]*1='CHAMBRES GARCONS RDC'!$A$29,1,0)</f>
        <v>0</v>
      </c>
      <c r="HA53" s="160">
        <f>IF([Occurrence37]=0,0,SUM($GZ$2:GZ53))</f>
        <v>0</v>
      </c>
      <c r="HB53" s="160">
        <f>IF([chambre3]*1='CHAMBRES GARCONS RDC'!$A$35,1,0)</f>
        <v>0</v>
      </c>
      <c r="HC53" s="160">
        <f>IF([Occurrence38]=0,0,SUM($HB$2:HB53))</f>
        <v>0</v>
      </c>
      <c r="HD53" s="160">
        <f>IF([chambre3]*1='CHAMBRES GARCONS RDC'!$A$41,1,0)</f>
        <v>0</v>
      </c>
      <c r="HE53" s="160">
        <f>IF([Occurrence39]=0,0,SUM($HD$2:HD53))</f>
        <v>0</v>
      </c>
      <c r="HF53" s="160">
        <f>IF([chambre3]*1='CHAMBRES GARCONS RDC'!$A$47,1,0)</f>
        <v>0</v>
      </c>
      <c r="HG53" s="160">
        <f>IF([Occurrence40]=0,0,SUM($HF$2:HF53))</f>
        <v>0</v>
      </c>
      <c r="HH53" s="160">
        <f>IF([chambre3]*1='CHAMBRES GARCONS RDC'!$A$53,1,0)</f>
        <v>1</v>
      </c>
      <c r="HI53" s="160">
        <f>IF([Occurrence41]=0,0,SUM($HH$2:HH53))</f>
        <v>1</v>
      </c>
      <c r="HJ53" s="160">
        <f>IF([chambre3]*1='CHAMBRES GARCONS RDC'!$A$59,1,0)</f>
        <v>0</v>
      </c>
      <c r="HK53" s="160">
        <f>IF([Occurrence42]=0,0,SUM($HJ$2:HJ53))</f>
        <v>0</v>
      </c>
      <c r="HL53" s="160">
        <f>IF([chambre3]*1='CHAMBRES GARCONS RDC'!$A$65,1,0)</f>
        <v>0</v>
      </c>
      <c r="HM53" s="160">
        <f>IF([Occurrence43]=0,0,SUM($HL$2:HL53))</f>
        <v>0</v>
      </c>
      <c r="HN53" s="160">
        <f>IF([chambre3]*1='CHAMBRES GARCONS RDC'!$A$71,1,0)</f>
        <v>0</v>
      </c>
      <c r="HO53" s="160">
        <f>IF([Occurrence44]=0,0,SUM($HN$2:HN53))</f>
        <v>0</v>
      </c>
      <c r="HP53" s="160">
        <f>IF([chambre3]*1='CHAMBRES GARCONS RDC'!$A$77,1,0)</f>
        <v>0</v>
      </c>
      <c r="HQ53" s="160">
        <f>IF([Occurrence45]=0,0,SUM($HP$2:HP53))</f>
        <v>0</v>
      </c>
      <c r="HR53" s="160">
        <f>IF([chambre3]*1='CHAMBRES GARCONS RDC'!$A$83,1,0)</f>
        <v>0</v>
      </c>
      <c r="HS53" s="160">
        <f>IF([Occurrence46]=0,0,SUM($HR$2:HR53))</f>
        <v>0</v>
      </c>
      <c r="HT53" s="160">
        <f>IF([chambre3]*1='CHAMBRES GARCONS RDC'!$A$89,1,0)</f>
        <v>0</v>
      </c>
      <c r="HU53" s="160">
        <f>IF([Occurrence47]=0,0,SUM($HT$2:HT53))</f>
        <v>0</v>
      </c>
      <c r="HV53" s="160">
        <f>IF([chambre3]*1='CHAMBRES GARCONS RDC'!$A$95,1,0)</f>
        <v>0</v>
      </c>
      <c r="HW53" s="160">
        <f>IF([Occurrence48]=0,0,SUM($HV$2:HV53))</f>
        <v>0</v>
      </c>
      <c r="HX53" s="160"/>
      <c r="HY53" s="160"/>
      <c r="HZ53" s="160">
        <f>IF([Classe]='Liste élève par classes'!$B$5,1,0)</f>
        <v>0</v>
      </c>
      <c r="IA53" s="160">
        <f>IF([Occurrence]=0,0,SUM($HZ$2:HZ53))</f>
        <v>0</v>
      </c>
      <c r="IB5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117</v>
      </c>
      <c r="IC53" s="208"/>
    </row>
    <row r="54" spans="1:237">
      <c r="A54" t="s">
        <v>341</v>
      </c>
      <c r="B54" t="s">
        <v>342</v>
      </c>
      <c r="C54" s="158">
        <v>37040</v>
      </c>
      <c r="D54" s="62">
        <f t="shared" ca="1" si="0"/>
        <v>16</v>
      </c>
      <c r="E54" t="s">
        <v>6</v>
      </c>
      <c r="F54" s="159" t="s">
        <v>50</v>
      </c>
      <c r="G54" t="s">
        <v>40</v>
      </c>
      <c r="H54" s="160"/>
      <c r="I54" s="62"/>
      <c r="J54" s="62" t="s">
        <v>244</v>
      </c>
      <c r="K54" s="62"/>
      <c r="L54" s="61"/>
      <c r="M54">
        <v>58</v>
      </c>
      <c r="N54" s="62" t="s">
        <v>244</v>
      </c>
      <c r="O54" s="62" t="s">
        <v>244</v>
      </c>
      <c r="P54" s="62" t="s">
        <v>244</v>
      </c>
      <c r="Q54" s="62" t="s">
        <v>244</v>
      </c>
      <c r="R54" s="62" t="s">
        <v>244</v>
      </c>
      <c r="S54" s="191"/>
      <c r="T54" s="62" t="s">
        <v>244</v>
      </c>
      <c r="U54" s="61"/>
      <c r="V54" s="62" t="s">
        <v>244</v>
      </c>
      <c r="W54" s="62" t="s">
        <v>244</v>
      </c>
      <c r="X54" s="62" t="s">
        <v>244</v>
      </c>
      <c r="Y54" s="62" t="s">
        <v>244</v>
      </c>
      <c r="Z54" s="62" t="s">
        <v>244</v>
      </c>
      <c r="AA54" s="62" t="s">
        <v>244</v>
      </c>
      <c r="AB54" s="62" t="s">
        <v>244</v>
      </c>
      <c r="AC54" s="62" t="s">
        <v>244</v>
      </c>
      <c r="AD54" s="62" t="s">
        <v>244</v>
      </c>
      <c r="AE54" s="62" t="s">
        <v>244</v>
      </c>
      <c r="AF54" s="163" t="s">
        <v>244</v>
      </c>
      <c r="AG54" s="163" t="s">
        <v>244</v>
      </c>
      <c r="AH54" s="163" t="s">
        <v>244</v>
      </c>
      <c r="AI54" s="163"/>
      <c r="AJ54" s="163"/>
      <c r="AK54" s="163"/>
      <c r="AL54" s="163"/>
      <c r="AM54" s="163"/>
      <c r="AN54" s="163"/>
      <c r="AO54" s="163"/>
      <c r="AP54" s="163"/>
      <c r="AQ54" s="163"/>
      <c r="AR54" s="163"/>
      <c r="AS54" s="163"/>
      <c r="AT54" s="163"/>
      <c r="AU54" s="163"/>
      <c r="AV54" s="163"/>
      <c r="AW54" s="163"/>
      <c r="AX54" s="163"/>
      <c r="AY54" s="163"/>
      <c r="AZ54" s="163"/>
      <c r="BA54" s="163"/>
      <c r="BB54" s="163"/>
      <c r="BC54" s="163" t="b">
        <v>0</v>
      </c>
      <c r="BD54" s="163" t="b">
        <v>1</v>
      </c>
      <c r="BE54" s="163" t="b">
        <v>1</v>
      </c>
      <c r="BF54" s="163" t="b">
        <v>0</v>
      </c>
      <c r="BG54" s="163" t="b">
        <v>1</v>
      </c>
      <c r="BH54" s="163" t="b">
        <v>0</v>
      </c>
      <c r="BI54" s="163"/>
      <c r="BJ54" s="163"/>
      <c r="BK54" s="163"/>
      <c r="BL54" s="163"/>
      <c r="BM54" s="163"/>
      <c r="BN54" s="163"/>
      <c r="BO54" s="163"/>
      <c r="BP54" s="163"/>
      <c r="BQ54" s="163" t="b">
        <v>0</v>
      </c>
      <c r="BR54" s="163"/>
      <c r="BS54" s="163"/>
      <c r="BT54" s="163"/>
      <c r="BU54" s="163"/>
      <c r="BV54" s="163"/>
      <c r="BW54" s="163"/>
      <c r="BX54" s="163"/>
      <c r="BY54" s="163"/>
      <c r="BZ54" s="163"/>
      <c r="CA54" s="163"/>
      <c r="CB54" s="163"/>
      <c r="CC54" s="163"/>
      <c r="CD54" s="163"/>
      <c r="CE54" s="163"/>
      <c r="CF54" s="163"/>
      <c r="CG54" s="163"/>
      <c r="CH54" s="163"/>
      <c r="CI54" s="163"/>
      <c r="CJ54" s="163"/>
      <c r="CK54" s="163"/>
      <c r="CL54" s="163"/>
      <c r="CM54" s="163"/>
      <c r="CN54" s="163"/>
      <c r="CO54" s="163"/>
      <c r="CP54" s="163"/>
      <c r="CQ54" s="163"/>
      <c r="CR54" s="163"/>
      <c r="CS54" s="163"/>
      <c r="CT54" s="163"/>
      <c r="CU54" s="163"/>
      <c r="CV54" s="163"/>
      <c r="CW54" s="163"/>
      <c r="CX54" s="163"/>
      <c r="CY54" s="163"/>
      <c r="CZ54" s="163"/>
      <c r="DA54" s="163"/>
      <c r="DB54" s="163"/>
      <c r="DC54" s="163"/>
      <c r="DD54" s="163"/>
      <c r="DE54" s="163"/>
      <c r="DF54" s="163"/>
      <c r="DG54" s="208">
        <v>153</v>
      </c>
      <c r="DH54" s="163"/>
      <c r="DI54" s="163"/>
      <c r="DJ54" s="163"/>
      <c r="DK54" s="163"/>
      <c r="DL54" s="163"/>
      <c r="DM54" s="163"/>
      <c r="DN54" s="163"/>
      <c r="DO54" s="163"/>
      <c r="DP54" s="163"/>
      <c r="DQ54" s="163"/>
      <c r="DR54" s="163"/>
      <c r="DS54" s="163"/>
      <c r="DT54" s="163"/>
      <c r="DU54" s="163"/>
      <c r="DV54" s="163"/>
      <c r="DW54" s="163"/>
      <c r="DX54" s="163"/>
      <c r="DY54" s="163"/>
      <c r="DZ54" s="163"/>
      <c r="EA54" s="163"/>
      <c r="EB54" s="163"/>
      <c r="EC54" s="163"/>
      <c r="ED54" s="163"/>
      <c r="EE54" s="163"/>
      <c r="EF54" s="163"/>
      <c r="EG54" s="163"/>
      <c r="EH54" s="160">
        <f>IF([Chambre]*1='CHAMBRES FILLES 2e ETAGE'!$A$5,1,0)</f>
        <v>0</v>
      </c>
      <c r="EI54" s="161">
        <f>IF([Occurrence2]=0,0,SUM($EH$2:EH54))</f>
        <v>0</v>
      </c>
      <c r="EJ54" s="160">
        <f>IF([Chambre]*1='CHAMBRES FILLES 2e ETAGE'!$A$11,1,0)</f>
        <v>0</v>
      </c>
      <c r="EK54" s="160">
        <f>IF([Occurrence3]=0,0,SUM($EJ$2:EJ54))</f>
        <v>0</v>
      </c>
      <c r="EL54" s="160">
        <f>IF([Chambre]*1='CHAMBRES FILLES 2e ETAGE'!$A$17,1,0)</f>
        <v>0</v>
      </c>
      <c r="EM54" s="160">
        <f>IF([Occurrence4]=0,0,SUM($EL$2:EL54))</f>
        <v>0</v>
      </c>
      <c r="EN54" s="160">
        <f>IF([Chambre]*1='CHAMBRES FILLES 2e ETAGE'!$A$23,1,0)</f>
        <v>0</v>
      </c>
      <c r="EO54" s="160">
        <f>IF([Occurrence5]=0,0,SUM($EN$2:EN54))</f>
        <v>0</v>
      </c>
      <c r="EP54" s="160">
        <f>IF([Chambre]*1='CHAMBRES FILLES 2e ETAGE'!$A$29,1,0)</f>
        <v>0</v>
      </c>
      <c r="EQ54" s="160">
        <f>IF([Occurrence6]=0,0,SUM($EP$2:EP54))</f>
        <v>0</v>
      </c>
      <c r="ER54" s="160">
        <f>IF([Chambre]*1='CHAMBRES FILLES 2e ETAGE'!$A$35,1,0)</f>
        <v>0</v>
      </c>
      <c r="ES54" s="160">
        <f>IF([Occurrence7]=0,0,SUM($ER$2:ER54))</f>
        <v>0</v>
      </c>
      <c r="ET54" s="160">
        <f>IF([Chambre]*1='CHAMBRES FILLES 2e ETAGE'!$A$41,1,0)</f>
        <v>0</v>
      </c>
      <c r="EU54" s="160">
        <f>IF([Occurrence8]=0,0,SUM($ET$2:ET54))</f>
        <v>0</v>
      </c>
      <c r="EV54" s="160">
        <f>IF([Chambre]*1='CHAMBRES FILLES 2e ETAGE'!$A$47,1,0)</f>
        <v>0</v>
      </c>
      <c r="EW54" s="160">
        <f>IF([Occurrence9]=0,0,SUM($EV$2:EV54))</f>
        <v>0</v>
      </c>
      <c r="EX54" s="160">
        <f>IF([Chambre]*1='CHAMBRES FILLES 2e ETAGE'!$A$53,1,0)</f>
        <v>0</v>
      </c>
      <c r="EY54" s="160">
        <f>IF([Occurrence10]=0,0,SUM($EX$2:EX54))</f>
        <v>0</v>
      </c>
      <c r="EZ54" s="160">
        <f>IF([Chambre]*1='CHAMBRES FILLES 2e ETAGE'!$A$59,1,0)</f>
        <v>0</v>
      </c>
      <c r="FA54" s="160">
        <f>IF([Occurrence11]=0,0,SUM($EZ$2:EZ54))</f>
        <v>0</v>
      </c>
      <c r="FB54" s="160">
        <f>IF([Chambre]*1='CHAMBRES FILLES 2e ETAGE'!$A$65,1,0)</f>
        <v>0</v>
      </c>
      <c r="FC54" s="160">
        <f>IF([Occurrence12]=0,0,SUM($FB$2:FB54))</f>
        <v>0</v>
      </c>
      <c r="FD54" s="160">
        <f>IF([Chambre]*1='CHAMBRES FILLES 2e ETAGE'!$A$71,1,0)</f>
        <v>0</v>
      </c>
      <c r="FE54" s="160">
        <f>IF([Occurrence13]=0,0,SUM($FD$2:FD54))</f>
        <v>0</v>
      </c>
      <c r="FF54" s="160">
        <f>IF([Chambre]*1='CHAMBRES FILLES 2e ETAGE'!$A$77,1,0)</f>
        <v>0</v>
      </c>
      <c r="FG54" s="160">
        <f>IF([Occurrence14]=0,0,SUM($FF$2:FF54))</f>
        <v>0</v>
      </c>
      <c r="FH54" s="160">
        <f>IF([Chambre]*1='CHAMBRES FILLES 2e ETAGE'!$A$83,1,0)</f>
        <v>0</v>
      </c>
      <c r="FI54" s="160">
        <f>IF([Occurrence15]=0,0,SUM($FH$2:FH54))</f>
        <v>0</v>
      </c>
      <c r="FJ54" s="160">
        <f>IF([Chambre]*1='CHAMBRES FILLES 2e ETAGE'!$A$89,1,0)</f>
        <v>0</v>
      </c>
      <c r="FK54" s="160">
        <f>IF([Occurrence16]=0,0,SUM($FJ$2:FJ54))</f>
        <v>0</v>
      </c>
      <c r="FL54" s="160">
        <f>IF([Chambre]*1='CHAMBRES FILLES 2e ETAGE'!$A$95,1,0)</f>
        <v>0</v>
      </c>
      <c r="FM54" s="160">
        <f>IF([Occurrence17]=0,0,SUM($FL$2:FL54))</f>
        <v>0</v>
      </c>
      <c r="FN54" s="160">
        <f>IF([Chambre2]*1='CHAMBRES FILLES 1e ETAGE'!$A$5,1,0)</f>
        <v>0</v>
      </c>
      <c r="FO54" s="160">
        <f>IF([Occurrence18]=0,0,SUM($FN$2:FN54))</f>
        <v>0</v>
      </c>
      <c r="FP54" s="160">
        <f>IF([Chambre2]*1='CHAMBRES FILLES 1e ETAGE'!$A$11,1,0)</f>
        <v>0</v>
      </c>
      <c r="FQ54" s="160">
        <f>IF([Occurrence19]=0,0,SUM($FP$2:FP54))</f>
        <v>0</v>
      </c>
      <c r="FR54" s="160">
        <f>IF([Chambre2]*1='CHAMBRES FILLES 1e ETAGE'!$A$17,1,0)</f>
        <v>0</v>
      </c>
      <c r="FS54" s="160">
        <f>IF([Occurrence20]=0,0,SUM($FR$2:FR54))</f>
        <v>0</v>
      </c>
      <c r="FT54" s="160">
        <f>IF([Chambre2]*1='CHAMBRES FILLES 1e ETAGE'!$A$23,1,0)</f>
        <v>0</v>
      </c>
      <c r="FU54" s="160">
        <f>IF([Occurrence21]=0,0,SUM($FT$2:FT54))</f>
        <v>0</v>
      </c>
      <c r="FV54" s="160">
        <f>IF([Chambre2]*1='CHAMBRES FILLES 1e ETAGE'!$A$29,1,0)</f>
        <v>0</v>
      </c>
      <c r="FW54" s="160">
        <f>IF([Occurrence22]=0,0,SUM($FV$2:FV54))</f>
        <v>0</v>
      </c>
      <c r="FX54" s="160">
        <f>IF([Chambre2]*1='CHAMBRES FILLES 1e ETAGE'!$A$35,1,0)</f>
        <v>0</v>
      </c>
      <c r="FY54" s="160">
        <f>IF([Occurrence23]=0,0,SUM($FX$2:FX54))</f>
        <v>0</v>
      </c>
      <c r="FZ54" s="160">
        <f>IF([Chambre2]*1='CHAMBRES FILLES 1e ETAGE'!$A$41,1,0)</f>
        <v>0</v>
      </c>
      <c r="GA54" s="160">
        <f>IF([Occurrence24]=0,0,SUM($FZ$2:FZ54))</f>
        <v>0</v>
      </c>
      <c r="GB54" s="160">
        <f>IF([Chambre2]*1='CHAMBRES FILLES 1e ETAGE'!$A$47,1,0)</f>
        <v>0</v>
      </c>
      <c r="GC54" s="160">
        <f>IF([Occurrence25]=0,0,SUM($GB$2:GB54))</f>
        <v>0</v>
      </c>
      <c r="GD54" s="160">
        <f>IF([Chambre2]*1='CHAMBRES FILLES 1e ETAGE'!$A$53,1,0)</f>
        <v>0</v>
      </c>
      <c r="GE54" s="160">
        <f>IF([Occurrence26]=0,0,SUM($GD$2:GD54))</f>
        <v>0</v>
      </c>
      <c r="GF54" s="160">
        <f>IF([chambre4]*1='CHAMBRES GARCONS 1e ETAGE'!$A$5,1,0)</f>
        <v>0</v>
      </c>
      <c r="GG54" s="160">
        <f>IF([Occurrence27]=0,0,SUM($GF$2:GF54))</f>
        <v>0</v>
      </c>
      <c r="GH54" s="160">
        <f>IF([chambre4]*1='CHAMBRES GARCONS 1e ETAGE'!$A$11,1,0)</f>
        <v>0</v>
      </c>
      <c r="GI54" s="160">
        <f>IF([Occurrence28]=0,0,SUM($GH$2:GH54))</f>
        <v>0</v>
      </c>
      <c r="GJ54" s="160">
        <f>IF([chambre4]*1='CHAMBRES GARCONS 1e ETAGE'!$A$17,1,0)</f>
        <v>0</v>
      </c>
      <c r="GK54" s="160">
        <f>IF([Occurrence29]=0,0,SUM($GJ$2:GJ54))</f>
        <v>0</v>
      </c>
      <c r="GL54" s="160">
        <f>IF([chambre4]*1='CHAMBRES GARCONS 1e ETAGE'!$A$23,1,0)</f>
        <v>1</v>
      </c>
      <c r="GM54" s="160">
        <f>IF([Occurrence30]=0,0,SUM($GL$2:GL54))</f>
        <v>3</v>
      </c>
      <c r="GN54" s="160">
        <f>IF([chambre4]*1='CHAMBRES GARCONS 1e ETAGE'!$A$29,1,0)</f>
        <v>0</v>
      </c>
      <c r="GO54" s="160">
        <f>IF([Occurrence31]=0,0,SUM($GN$2:GN54))</f>
        <v>0</v>
      </c>
      <c r="GP54" s="160">
        <f>IF([chambre4]*1='CHAMBRES GARCONS 1e ETAGE'!$A$35,1,0)</f>
        <v>0</v>
      </c>
      <c r="GQ54" s="160">
        <f>IF([Occurrence32]=0,0,SUM($GP$2:GP54))</f>
        <v>0</v>
      </c>
      <c r="GR54" s="160">
        <f>IF([chambre3]*1='CHAMBRES GARCONS RDC'!$A$5,1,0)</f>
        <v>0</v>
      </c>
      <c r="GS54" s="160">
        <f>IF([Occurrence33]=0,0,SUM($GR$2:GR54))</f>
        <v>0</v>
      </c>
      <c r="GT54" s="160">
        <f>IF([chambre3]*1='CHAMBRES GARCONS RDC'!$A$11,1,0)</f>
        <v>0</v>
      </c>
      <c r="GU54" s="160">
        <f>IF([Occurrence34]=0,0,SUM($GT$2:GT54))</f>
        <v>0</v>
      </c>
      <c r="GV54" s="160">
        <f>IF([chambre3]*1='CHAMBRES GARCONS RDC'!$A$17,1,0)</f>
        <v>0</v>
      </c>
      <c r="GW54" s="160">
        <f>IF([Occurrence35]=0,0,SUM($GV$2:GV54))</f>
        <v>0</v>
      </c>
      <c r="GX54" s="160">
        <f>IF([chambre3]*1='CHAMBRES GARCONS RDC'!$A$23,1,0)</f>
        <v>0</v>
      </c>
      <c r="GY54" s="160">
        <f>IF([Occurrence36]=0,0,SUM($GX$2:GX54))</f>
        <v>0</v>
      </c>
      <c r="GZ54" s="160">
        <f>IF([chambre3]*1='CHAMBRES GARCONS RDC'!$A$29,1,0)</f>
        <v>0</v>
      </c>
      <c r="HA54" s="160">
        <f>IF([Occurrence37]=0,0,SUM($GZ$2:GZ54))</f>
        <v>0</v>
      </c>
      <c r="HB54" s="160">
        <f>IF([chambre3]*1='CHAMBRES GARCONS RDC'!$A$35,1,0)</f>
        <v>0</v>
      </c>
      <c r="HC54" s="160">
        <f>IF([Occurrence38]=0,0,SUM($HB$2:HB54))</f>
        <v>0</v>
      </c>
      <c r="HD54" s="160">
        <f>IF([chambre3]*1='CHAMBRES GARCONS RDC'!$A$41,1,0)</f>
        <v>0</v>
      </c>
      <c r="HE54" s="160">
        <f>IF([Occurrence39]=0,0,SUM($HD$2:HD54))</f>
        <v>0</v>
      </c>
      <c r="HF54" s="160">
        <f>IF([chambre3]*1='CHAMBRES GARCONS RDC'!$A$47,1,0)</f>
        <v>0</v>
      </c>
      <c r="HG54" s="160">
        <f>IF([Occurrence40]=0,0,SUM($HF$2:HF54))</f>
        <v>0</v>
      </c>
      <c r="HH54" s="160">
        <f>IF([chambre3]*1='CHAMBRES GARCONS RDC'!$A$53,1,0)</f>
        <v>0</v>
      </c>
      <c r="HI54" s="160">
        <f>IF([Occurrence41]=0,0,SUM($HH$2:HH54))</f>
        <v>0</v>
      </c>
      <c r="HJ54" s="160">
        <f>IF([chambre3]*1='CHAMBRES GARCONS RDC'!$A$59,1,0)</f>
        <v>0</v>
      </c>
      <c r="HK54" s="160">
        <f>IF([Occurrence42]=0,0,SUM($HJ$2:HJ54))</f>
        <v>0</v>
      </c>
      <c r="HL54" s="160">
        <f>IF([chambre3]*1='CHAMBRES GARCONS RDC'!$A$65,1,0)</f>
        <v>0</v>
      </c>
      <c r="HM54" s="160">
        <f>IF([Occurrence43]=0,0,SUM($HL$2:HL54))</f>
        <v>0</v>
      </c>
      <c r="HN54" s="160">
        <f>IF([chambre3]*1='CHAMBRES GARCONS RDC'!$A$71,1,0)</f>
        <v>0</v>
      </c>
      <c r="HO54" s="160">
        <f>IF([Occurrence44]=0,0,SUM($HN$2:HN54))</f>
        <v>0</v>
      </c>
      <c r="HP54" s="160">
        <f>IF([chambre3]*1='CHAMBRES GARCONS RDC'!$A$77,1,0)</f>
        <v>0</v>
      </c>
      <c r="HQ54" s="160">
        <f>IF([Occurrence45]=0,0,SUM($HP$2:HP54))</f>
        <v>0</v>
      </c>
      <c r="HR54" s="160">
        <f>IF([chambre3]*1='CHAMBRES GARCONS RDC'!$A$83,1,0)</f>
        <v>0</v>
      </c>
      <c r="HS54" s="160">
        <f>IF([Occurrence46]=0,0,SUM($HR$2:HR54))</f>
        <v>0</v>
      </c>
      <c r="HT54" s="160">
        <f>IF([chambre3]*1='CHAMBRES GARCONS RDC'!$A$89,1,0)</f>
        <v>0</v>
      </c>
      <c r="HU54" s="160">
        <f>IF([Occurrence47]=0,0,SUM($HT$2:HT54))</f>
        <v>0</v>
      </c>
      <c r="HV54" s="160">
        <f>IF([chambre3]*1='CHAMBRES GARCONS RDC'!$A$95,1,0)</f>
        <v>0</v>
      </c>
      <c r="HW54" s="160">
        <f>IF([Occurrence48]=0,0,SUM($HV$2:HV54))</f>
        <v>0</v>
      </c>
      <c r="HX54" s="160"/>
      <c r="HY54" s="160"/>
      <c r="HZ54" s="160">
        <f>IF([Classe]='Liste élève par classes'!$B$5,1,0)</f>
        <v>0</v>
      </c>
      <c r="IA54" s="160">
        <f>IF([Occurrence]=0,0,SUM($HZ$2:HZ54))</f>
        <v>0</v>
      </c>
      <c r="IB5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153</v>
      </c>
      <c r="IC54" s="208"/>
    </row>
    <row r="55" spans="1:237">
      <c r="A55" t="s">
        <v>343</v>
      </c>
      <c r="B55" t="s">
        <v>344</v>
      </c>
      <c r="C55" s="158">
        <v>36404</v>
      </c>
      <c r="D55" s="62">
        <f t="shared" ca="1" si="0"/>
        <v>18</v>
      </c>
      <c r="E55" t="s">
        <v>3</v>
      </c>
      <c r="F55" s="165" t="s">
        <v>46</v>
      </c>
      <c r="G55" t="s">
        <v>40</v>
      </c>
      <c r="H55" s="160"/>
      <c r="I55" s="62"/>
      <c r="J55" s="62"/>
      <c r="K55" s="62"/>
      <c r="L55" s="61"/>
      <c r="M55" s="62"/>
      <c r="N55" s="62"/>
      <c r="O55" s="62"/>
      <c r="P55" s="62"/>
      <c r="Q55" s="62"/>
      <c r="R55" s="62"/>
      <c r="S55" s="62"/>
      <c r="T55" s="62"/>
      <c r="U55" s="61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163"/>
      <c r="AG55" s="163"/>
      <c r="AH55" s="163"/>
      <c r="AI55" s="163"/>
      <c r="AJ55" s="163"/>
      <c r="AK55" s="163"/>
      <c r="AL55" s="163"/>
      <c r="AM55" s="163"/>
      <c r="AN55" s="163"/>
      <c r="AO55" s="163"/>
      <c r="AP55" s="163"/>
      <c r="AQ55" s="163"/>
      <c r="AR55" s="163"/>
      <c r="AS55" s="163"/>
      <c r="AT55" s="163"/>
      <c r="AU55" s="163"/>
      <c r="AV55" s="163"/>
      <c r="AW55" s="163"/>
      <c r="AX55" s="163"/>
      <c r="AY55" s="163"/>
      <c r="AZ55" s="163"/>
      <c r="BA55" s="163"/>
      <c r="BB55" s="163"/>
      <c r="BC55" s="163" t="b">
        <v>0</v>
      </c>
      <c r="BD55" s="163" t="b">
        <v>0</v>
      </c>
      <c r="BE55" s="163" t="b">
        <v>0</v>
      </c>
      <c r="BF55" s="163" t="b">
        <v>0</v>
      </c>
      <c r="BG55" s="163" t="b">
        <v>0</v>
      </c>
      <c r="BH55" s="163" t="b">
        <v>0</v>
      </c>
      <c r="BI55" s="163" t="b">
        <v>1</v>
      </c>
      <c r="BJ55" s="163" t="b">
        <v>0</v>
      </c>
      <c r="BK55" s="163" t="b">
        <v>0</v>
      </c>
      <c r="BL55" s="163" t="b">
        <v>0</v>
      </c>
      <c r="BM55" s="163"/>
      <c r="BN55" s="163"/>
      <c r="BO55" s="163"/>
      <c r="BP55" s="163"/>
      <c r="BQ55" s="163"/>
      <c r="BR55" s="163"/>
      <c r="BS55" s="163"/>
      <c r="BT55" s="163"/>
      <c r="BU55" s="163"/>
      <c r="BV55" s="163"/>
      <c r="BW55" s="163"/>
      <c r="BX55" s="163"/>
      <c r="BY55" s="163"/>
      <c r="BZ55" s="163"/>
      <c r="CA55" s="163"/>
      <c r="CB55" s="163"/>
      <c r="CC55" s="163"/>
      <c r="CD55" s="163"/>
      <c r="CE55" s="163"/>
      <c r="CF55" s="163"/>
      <c r="CG55" s="163"/>
      <c r="CH55" s="163"/>
      <c r="CI55" s="163"/>
      <c r="CJ55" s="163"/>
      <c r="CK55" s="163"/>
      <c r="CL55" s="163"/>
      <c r="CM55" s="163"/>
      <c r="CN55" s="163"/>
      <c r="CO55" s="163"/>
      <c r="CP55" s="163"/>
      <c r="CQ55" s="163"/>
      <c r="CR55" s="163"/>
      <c r="CS55" s="163"/>
      <c r="CT55" s="163"/>
      <c r="CU55" s="163"/>
      <c r="CV55" s="163"/>
      <c r="CW55" s="163"/>
      <c r="CX55" s="163"/>
      <c r="CY55" s="163"/>
      <c r="CZ55" s="163"/>
      <c r="DA55" s="163"/>
      <c r="DB55" s="163"/>
      <c r="DC55" s="163"/>
      <c r="DD55" s="163"/>
      <c r="DE55" s="163"/>
      <c r="DF55" s="163"/>
      <c r="DG55" s="163"/>
      <c r="DH55" s="163"/>
      <c r="DI55" s="163"/>
      <c r="DJ55" s="163"/>
      <c r="DK55" s="163"/>
      <c r="DL55" s="163"/>
      <c r="DM55" s="163"/>
      <c r="DN55" s="163"/>
      <c r="DO55" s="163"/>
      <c r="DP55" s="163"/>
      <c r="DQ55" s="163"/>
      <c r="DR55" s="163"/>
      <c r="DS55" s="163"/>
      <c r="DT55" s="163"/>
      <c r="DU55" s="163"/>
      <c r="DV55" s="163"/>
      <c r="DW55" s="163"/>
      <c r="DX55" s="163"/>
      <c r="DY55" s="163"/>
      <c r="DZ55" s="163"/>
      <c r="EA55" s="163"/>
      <c r="EB55" s="163"/>
      <c r="EC55" s="163"/>
      <c r="ED55" s="163"/>
      <c r="EE55" s="163"/>
      <c r="EF55" s="163"/>
      <c r="EG55" s="163"/>
      <c r="EH55" s="160">
        <f>IF([Chambre]*1='CHAMBRES FILLES 2e ETAGE'!$A$5,1,0)</f>
        <v>0</v>
      </c>
      <c r="EI55" s="161">
        <f>IF([Occurrence2]=0,0,SUM($EH$2:EH55))</f>
        <v>0</v>
      </c>
      <c r="EJ55" s="160">
        <f>IF([Chambre]*1='CHAMBRES FILLES 2e ETAGE'!$A$11,1,0)</f>
        <v>0</v>
      </c>
      <c r="EK55" s="160">
        <f>IF([Occurrence3]=0,0,SUM($EJ$2:EJ55))</f>
        <v>0</v>
      </c>
      <c r="EL55" s="160">
        <f>IF([Chambre]*1='CHAMBRES FILLES 2e ETAGE'!$A$17,1,0)</f>
        <v>0</v>
      </c>
      <c r="EM55" s="160">
        <f>IF([Occurrence4]=0,0,SUM($EL$2:EL55))</f>
        <v>0</v>
      </c>
      <c r="EN55" s="160">
        <f>IF([Chambre]*1='CHAMBRES FILLES 2e ETAGE'!$A$23,1,0)</f>
        <v>0</v>
      </c>
      <c r="EO55" s="160">
        <f>IF([Occurrence5]=0,0,SUM($EN$2:EN55))</f>
        <v>0</v>
      </c>
      <c r="EP55" s="160">
        <f>IF([Chambre]*1='CHAMBRES FILLES 2e ETAGE'!$A$29,1,0)</f>
        <v>0</v>
      </c>
      <c r="EQ55" s="160">
        <f>IF([Occurrence6]=0,0,SUM($EP$2:EP55))</f>
        <v>0</v>
      </c>
      <c r="ER55" s="160">
        <f>IF([Chambre]*1='CHAMBRES FILLES 2e ETAGE'!$A$35,1,0)</f>
        <v>0</v>
      </c>
      <c r="ES55" s="160">
        <f>IF([Occurrence7]=0,0,SUM($ER$2:ER55))</f>
        <v>0</v>
      </c>
      <c r="ET55" s="160">
        <f>IF([Chambre]*1='CHAMBRES FILLES 2e ETAGE'!$A$41,1,0)</f>
        <v>0</v>
      </c>
      <c r="EU55" s="160">
        <f>IF([Occurrence8]=0,0,SUM($ET$2:ET55))</f>
        <v>0</v>
      </c>
      <c r="EV55" s="160">
        <f>IF([Chambre]*1='CHAMBRES FILLES 2e ETAGE'!$A$47,1,0)</f>
        <v>0</v>
      </c>
      <c r="EW55" s="160">
        <f>IF([Occurrence9]=0,0,SUM($EV$2:EV55))</f>
        <v>0</v>
      </c>
      <c r="EX55" s="160">
        <f>IF([Chambre]*1='CHAMBRES FILLES 2e ETAGE'!$A$53,1,0)</f>
        <v>0</v>
      </c>
      <c r="EY55" s="160">
        <f>IF([Occurrence10]=0,0,SUM($EX$2:EX55))</f>
        <v>0</v>
      </c>
      <c r="EZ55" s="160">
        <f>IF([Chambre]*1='CHAMBRES FILLES 2e ETAGE'!$A$59,1,0)</f>
        <v>0</v>
      </c>
      <c r="FA55" s="160">
        <f>IF([Occurrence11]=0,0,SUM($EZ$2:EZ55))</f>
        <v>0</v>
      </c>
      <c r="FB55" s="160">
        <f>IF([Chambre]*1='CHAMBRES FILLES 2e ETAGE'!$A$65,1,0)</f>
        <v>0</v>
      </c>
      <c r="FC55" s="160">
        <f>IF([Occurrence12]=0,0,SUM($FB$2:FB55))</f>
        <v>0</v>
      </c>
      <c r="FD55" s="160">
        <f>IF([Chambre]*1='CHAMBRES FILLES 2e ETAGE'!$A$71,1,0)</f>
        <v>0</v>
      </c>
      <c r="FE55" s="160">
        <f>IF([Occurrence13]=0,0,SUM($FD$2:FD55))</f>
        <v>0</v>
      </c>
      <c r="FF55" s="160">
        <f>IF([Chambre]*1='CHAMBRES FILLES 2e ETAGE'!$A$77,1,0)</f>
        <v>0</v>
      </c>
      <c r="FG55" s="160">
        <f>IF([Occurrence14]=0,0,SUM($FF$2:FF55))</f>
        <v>0</v>
      </c>
      <c r="FH55" s="160">
        <f>IF([Chambre]*1='CHAMBRES FILLES 2e ETAGE'!$A$83,1,0)</f>
        <v>0</v>
      </c>
      <c r="FI55" s="160">
        <f>IF([Occurrence15]=0,0,SUM($FH$2:FH55))</f>
        <v>0</v>
      </c>
      <c r="FJ55" s="160">
        <f>IF([Chambre]*1='CHAMBRES FILLES 2e ETAGE'!$A$89,1,0)</f>
        <v>0</v>
      </c>
      <c r="FK55" s="160">
        <f>IF([Occurrence16]=0,0,SUM($FJ$2:FJ55))</f>
        <v>0</v>
      </c>
      <c r="FL55" s="160">
        <f>IF([Chambre]*1='CHAMBRES FILLES 2e ETAGE'!$A$95,1,0)</f>
        <v>0</v>
      </c>
      <c r="FM55" s="160">
        <f>IF([Occurrence17]=0,0,SUM($FL$2:FL55))</f>
        <v>0</v>
      </c>
      <c r="FN55" s="160">
        <f>IF([Chambre2]*1='CHAMBRES FILLES 1e ETAGE'!$A$5,1,0)</f>
        <v>0</v>
      </c>
      <c r="FO55" s="160">
        <f>IF([Occurrence18]=0,0,SUM($FN$2:FN55))</f>
        <v>0</v>
      </c>
      <c r="FP55" s="160">
        <f>IF([Chambre2]*1='CHAMBRES FILLES 1e ETAGE'!$A$11,1,0)</f>
        <v>0</v>
      </c>
      <c r="FQ55" s="160">
        <f>IF([Occurrence19]=0,0,SUM($FP$2:FP55))</f>
        <v>0</v>
      </c>
      <c r="FR55" s="160">
        <f>IF([Chambre2]*1='CHAMBRES FILLES 1e ETAGE'!$A$17,1,0)</f>
        <v>0</v>
      </c>
      <c r="FS55" s="160">
        <f>IF([Occurrence20]=0,0,SUM($FR$2:FR55))</f>
        <v>0</v>
      </c>
      <c r="FT55" s="160">
        <f>IF([Chambre2]*1='CHAMBRES FILLES 1e ETAGE'!$A$23,1,0)</f>
        <v>0</v>
      </c>
      <c r="FU55" s="160">
        <f>IF([Occurrence21]=0,0,SUM($FT$2:FT55))</f>
        <v>0</v>
      </c>
      <c r="FV55" s="160">
        <f>IF([Chambre2]*1='CHAMBRES FILLES 1e ETAGE'!$A$29,1,0)</f>
        <v>0</v>
      </c>
      <c r="FW55" s="160">
        <f>IF([Occurrence22]=0,0,SUM($FV$2:FV55))</f>
        <v>0</v>
      </c>
      <c r="FX55" s="160">
        <f>IF([Chambre2]*1='CHAMBRES FILLES 1e ETAGE'!$A$35,1,0)</f>
        <v>0</v>
      </c>
      <c r="FY55" s="160">
        <f>IF([Occurrence23]=0,0,SUM($FX$2:FX55))</f>
        <v>0</v>
      </c>
      <c r="FZ55" s="160">
        <f>IF([Chambre2]*1='CHAMBRES FILLES 1e ETAGE'!$A$41,1,0)</f>
        <v>0</v>
      </c>
      <c r="GA55" s="160">
        <f>IF([Occurrence24]=0,0,SUM($FZ$2:FZ55))</f>
        <v>0</v>
      </c>
      <c r="GB55" s="160">
        <f>IF([Chambre2]*1='CHAMBRES FILLES 1e ETAGE'!$A$47,1,0)</f>
        <v>0</v>
      </c>
      <c r="GC55" s="160">
        <f>IF([Occurrence25]=0,0,SUM($GB$2:GB55))</f>
        <v>0</v>
      </c>
      <c r="GD55" s="160">
        <f>IF([Chambre2]*1='CHAMBRES FILLES 1e ETAGE'!$A$53,1,0)</f>
        <v>0</v>
      </c>
      <c r="GE55" s="160">
        <f>IF([Occurrence26]=0,0,SUM($GD$2:GD55))</f>
        <v>0</v>
      </c>
      <c r="GF55" s="160">
        <f>IF([chambre4]*1='CHAMBRES GARCONS 1e ETAGE'!$A$5,1,0)</f>
        <v>0</v>
      </c>
      <c r="GG55" s="160">
        <f>IF([Occurrence27]=0,0,SUM($GF$2:GF55))</f>
        <v>0</v>
      </c>
      <c r="GH55" s="160">
        <f>IF([chambre4]*1='CHAMBRES GARCONS 1e ETAGE'!$A$11,1,0)</f>
        <v>0</v>
      </c>
      <c r="GI55" s="160">
        <f>IF([Occurrence28]=0,0,SUM($GH$2:GH55))</f>
        <v>0</v>
      </c>
      <c r="GJ55" s="160">
        <f>IF([chambre4]*1='CHAMBRES GARCONS 1e ETAGE'!$A$17,1,0)</f>
        <v>0</v>
      </c>
      <c r="GK55" s="160">
        <f>IF([Occurrence29]=0,0,SUM($GJ$2:GJ55))</f>
        <v>0</v>
      </c>
      <c r="GL55" s="160">
        <f>IF([chambre4]*1='CHAMBRES GARCONS 1e ETAGE'!$A$23,1,0)</f>
        <v>0</v>
      </c>
      <c r="GM55" s="160">
        <f>IF([Occurrence30]=0,0,SUM($GL$2:GL55))</f>
        <v>0</v>
      </c>
      <c r="GN55" s="160">
        <f>IF([chambre4]*1='CHAMBRES GARCONS 1e ETAGE'!$A$29,1,0)</f>
        <v>0</v>
      </c>
      <c r="GO55" s="160">
        <f>IF([Occurrence31]=0,0,SUM($GN$2:GN55))</f>
        <v>0</v>
      </c>
      <c r="GP55" s="160">
        <f>IF([chambre4]*1='CHAMBRES GARCONS 1e ETAGE'!$A$35,1,0)</f>
        <v>0</v>
      </c>
      <c r="GQ55" s="160">
        <f>IF([Occurrence32]=0,0,SUM($GP$2:GP55))</f>
        <v>0</v>
      </c>
      <c r="GR55" s="160">
        <f>IF([chambre3]*1='CHAMBRES GARCONS RDC'!$A$5,1,0)</f>
        <v>0</v>
      </c>
      <c r="GS55" s="160">
        <f>IF([Occurrence33]=0,0,SUM($GR$2:GR55))</f>
        <v>0</v>
      </c>
      <c r="GT55" s="160">
        <f>IF([chambre3]*1='CHAMBRES GARCONS RDC'!$A$11,1,0)</f>
        <v>0</v>
      </c>
      <c r="GU55" s="160">
        <f>IF([Occurrence34]=0,0,SUM($GT$2:GT55))</f>
        <v>0</v>
      </c>
      <c r="GV55" s="160">
        <f>IF([chambre3]*1='CHAMBRES GARCONS RDC'!$A$17,1,0)</f>
        <v>0</v>
      </c>
      <c r="GW55" s="160">
        <f>IF([Occurrence35]=0,0,SUM($GV$2:GV55))</f>
        <v>0</v>
      </c>
      <c r="GX55" s="160">
        <f>IF([chambre3]*1='CHAMBRES GARCONS RDC'!$A$23,1,0)</f>
        <v>0</v>
      </c>
      <c r="GY55" s="160">
        <f>IF([Occurrence36]=0,0,SUM($GX$2:GX55))</f>
        <v>0</v>
      </c>
      <c r="GZ55" s="160">
        <f>IF([chambre3]*1='CHAMBRES GARCONS RDC'!$A$29,1,0)</f>
        <v>0</v>
      </c>
      <c r="HA55" s="160">
        <f>IF([Occurrence37]=0,0,SUM($GZ$2:GZ55))</f>
        <v>0</v>
      </c>
      <c r="HB55" s="160">
        <f>IF([chambre3]*1='CHAMBRES GARCONS RDC'!$A$35,1,0)</f>
        <v>0</v>
      </c>
      <c r="HC55" s="160">
        <f>IF([Occurrence38]=0,0,SUM($HB$2:HB55))</f>
        <v>0</v>
      </c>
      <c r="HD55" s="160">
        <f>IF([chambre3]*1='CHAMBRES GARCONS RDC'!$A$41,1,0)</f>
        <v>0</v>
      </c>
      <c r="HE55" s="160">
        <f>IF([Occurrence39]=0,0,SUM($HD$2:HD55))</f>
        <v>0</v>
      </c>
      <c r="HF55" s="160">
        <f>IF([chambre3]*1='CHAMBRES GARCONS RDC'!$A$47,1,0)</f>
        <v>0</v>
      </c>
      <c r="HG55" s="160">
        <f>IF([Occurrence40]=0,0,SUM($HF$2:HF55))</f>
        <v>0</v>
      </c>
      <c r="HH55" s="160">
        <f>IF([chambre3]*1='CHAMBRES GARCONS RDC'!$A$53,1,0)</f>
        <v>0</v>
      </c>
      <c r="HI55" s="160">
        <f>IF([Occurrence41]=0,0,SUM($HH$2:HH55))</f>
        <v>0</v>
      </c>
      <c r="HJ55" s="160">
        <f>IF([chambre3]*1='CHAMBRES GARCONS RDC'!$A$59,1,0)</f>
        <v>0</v>
      </c>
      <c r="HK55" s="160">
        <f>IF([Occurrence42]=0,0,SUM($HJ$2:HJ55))</f>
        <v>0</v>
      </c>
      <c r="HL55" s="160">
        <f>IF([chambre3]*1='CHAMBRES GARCONS RDC'!$A$65,1,0)</f>
        <v>0</v>
      </c>
      <c r="HM55" s="160">
        <f>IF([Occurrence43]=0,0,SUM($HL$2:HL55))</f>
        <v>0</v>
      </c>
      <c r="HN55" s="160">
        <f>IF([chambre3]*1='CHAMBRES GARCONS RDC'!$A$71,1,0)</f>
        <v>0</v>
      </c>
      <c r="HO55" s="160">
        <f>IF([Occurrence44]=0,0,SUM($HN$2:HN55))</f>
        <v>0</v>
      </c>
      <c r="HP55" s="160">
        <f>IF([chambre3]*1='CHAMBRES GARCONS RDC'!$A$77,1,0)</f>
        <v>0</v>
      </c>
      <c r="HQ55" s="160">
        <f>IF([Occurrence45]=0,0,SUM($HP$2:HP55))</f>
        <v>0</v>
      </c>
      <c r="HR55" s="160">
        <f>IF([chambre3]*1='CHAMBRES GARCONS RDC'!$A$83,1,0)</f>
        <v>0</v>
      </c>
      <c r="HS55" s="160">
        <f>IF([Occurrence46]=0,0,SUM($HR$2:HR55))</f>
        <v>0</v>
      </c>
      <c r="HT55" s="160">
        <f>IF([chambre3]*1='CHAMBRES GARCONS RDC'!$A$89,1,0)</f>
        <v>0</v>
      </c>
      <c r="HU55" s="160">
        <f>IF([Occurrence47]=0,0,SUM($HT$2:HT55))</f>
        <v>0</v>
      </c>
      <c r="HV55" s="160">
        <f>IF([chambre3]*1='CHAMBRES GARCONS RDC'!$A$95,1,0)</f>
        <v>0</v>
      </c>
      <c r="HW55" s="160">
        <f>IF([Occurrence48]=0,0,SUM($HV$2:HV55))</f>
        <v>0</v>
      </c>
      <c r="HX55" s="160"/>
      <c r="HY55" s="160"/>
      <c r="HZ55" s="160">
        <f>IF([Classe]='Liste élève par classes'!$B$5,1,0)</f>
        <v>0</v>
      </c>
      <c r="IA55" s="160">
        <f>IF([Occurrence]=0,0,SUM($HZ$2:HZ55))</f>
        <v>0</v>
      </c>
      <c r="IB5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55" s="208"/>
    </row>
    <row r="56" spans="1:237">
      <c r="A56" t="s">
        <v>345</v>
      </c>
      <c r="B56" t="s">
        <v>346</v>
      </c>
      <c r="C56" s="158">
        <v>37001</v>
      </c>
      <c r="D56" s="62">
        <f t="shared" ca="1" si="0"/>
        <v>16</v>
      </c>
      <c r="E56" t="s">
        <v>11</v>
      </c>
      <c r="F56" s="159" t="s">
        <v>50</v>
      </c>
      <c r="G56" t="s">
        <v>45</v>
      </c>
      <c r="H56" s="160"/>
      <c r="I56" s="62"/>
      <c r="J56" s="62"/>
      <c r="K56" s="62"/>
      <c r="L56" s="61"/>
      <c r="M56">
        <v>158</v>
      </c>
      <c r="N56" s="62"/>
      <c r="O56" s="62"/>
      <c r="P56" s="62"/>
      <c r="Q56" s="62"/>
      <c r="R56" s="62"/>
      <c r="S56" s="191"/>
      <c r="T56" s="62"/>
      <c r="U56" s="61">
        <v>143</v>
      </c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163"/>
      <c r="AG56" s="163"/>
      <c r="AH56" s="163"/>
      <c r="AI56" s="163"/>
      <c r="AJ56" s="163"/>
      <c r="AK56" s="163"/>
      <c r="AL56" s="163"/>
      <c r="AM56" s="163"/>
      <c r="AN56" s="163"/>
      <c r="AO56" s="163"/>
      <c r="AP56" s="163"/>
      <c r="AQ56" s="163"/>
      <c r="AR56" s="163"/>
      <c r="AS56" s="163"/>
      <c r="AT56" s="163"/>
      <c r="AU56" s="163"/>
      <c r="AV56" s="163"/>
      <c r="AW56" s="163"/>
      <c r="AX56" s="163"/>
      <c r="AY56" s="163"/>
      <c r="AZ56" s="163"/>
      <c r="BA56" s="163"/>
      <c r="BB56" s="163"/>
      <c r="BC56" s="163" t="b">
        <v>0</v>
      </c>
      <c r="BD56" s="163" t="b">
        <v>1</v>
      </c>
      <c r="BE56" s="163" t="b">
        <v>1</v>
      </c>
      <c r="BF56" s="163" t="b">
        <v>0</v>
      </c>
      <c r="BG56" s="164" t="b">
        <v>0</v>
      </c>
      <c r="BH56" s="163" t="b">
        <v>1</v>
      </c>
      <c r="BI56" s="163"/>
      <c r="BJ56" s="163"/>
      <c r="BK56" s="163"/>
      <c r="BL56" s="163"/>
      <c r="BM56" s="163"/>
      <c r="BN56" s="163"/>
      <c r="BO56" s="163"/>
      <c r="BP56" s="163"/>
      <c r="BQ56" s="163" t="b">
        <v>0</v>
      </c>
      <c r="BR56" s="163"/>
      <c r="BS56" s="163"/>
      <c r="BT56" s="163"/>
      <c r="BU56" s="163"/>
      <c r="BV56" s="163"/>
      <c r="BW56" s="163"/>
      <c r="BX56" s="163"/>
      <c r="BY56" s="163"/>
      <c r="BZ56" s="163"/>
      <c r="CA56" s="163"/>
      <c r="CB56" s="163"/>
      <c r="CC56" s="163"/>
      <c r="CD56" s="163"/>
      <c r="CE56" s="163"/>
      <c r="CF56" s="163"/>
      <c r="CG56" s="163"/>
      <c r="CH56" s="163"/>
      <c r="CI56" s="163"/>
      <c r="CJ56" s="163"/>
      <c r="CK56" s="163"/>
      <c r="CL56" s="163"/>
      <c r="CM56" s="163"/>
      <c r="CN56" s="163"/>
      <c r="CO56" s="163"/>
      <c r="CP56" s="163"/>
      <c r="CQ56" s="163"/>
      <c r="CR56" s="163"/>
      <c r="CS56" s="163"/>
      <c r="CT56" s="163"/>
      <c r="CU56" s="163"/>
      <c r="CV56" s="163"/>
      <c r="CW56" s="163"/>
      <c r="CX56" s="163"/>
      <c r="CY56" s="163"/>
      <c r="CZ56" s="163"/>
      <c r="DA56" s="163"/>
      <c r="DB56" s="163"/>
      <c r="DC56" s="163"/>
      <c r="DD56" s="163"/>
      <c r="DE56" s="163"/>
      <c r="DF56" s="163"/>
      <c r="DG56" s="208"/>
      <c r="DH56" s="163"/>
      <c r="DI56" s="163"/>
      <c r="DJ56" s="163"/>
      <c r="DK56" s="163"/>
      <c r="DL56" s="163"/>
      <c r="DM56" s="163"/>
      <c r="DN56" s="163"/>
      <c r="DO56" s="163"/>
      <c r="DP56" s="163"/>
      <c r="DQ56" s="163"/>
      <c r="DR56" s="163"/>
      <c r="DS56" s="163"/>
      <c r="DT56" s="163"/>
      <c r="DU56" s="163"/>
      <c r="DV56" s="163"/>
      <c r="DW56" s="163"/>
      <c r="DX56" s="163"/>
      <c r="DY56" s="163"/>
      <c r="DZ56" s="163"/>
      <c r="EA56" s="163"/>
      <c r="EB56" s="163"/>
      <c r="EC56" s="163"/>
      <c r="ED56" s="163"/>
      <c r="EE56" s="163"/>
      <c r="EF56" s="163"/>
      <c r="EG56" s="163"/>
      <c r="EH56" s="160">
        <f>IF([Chambre]*1='CHAMBRES FILLES 2e ETAGE'!$A$5,1,0)</f>
        <v>0</v>
      </c>
      <c r="EI56" s="161">
        <f>IF([Occurrence2]=0,0,SUM($EH$2:EH56))</f>
        <v>0</v>
      </c>
      <c r="EJ56" s="160">
        <f>IF([Chambre]*1='CHAMBRES FILLES 2e ETAGE'!$A$11,1,0)</f>
        <v>0</v>
      </c>
      <c r="EK56" s="160">
        <f>IF([Occurrence3]=0,0,SUM($EJ$2:EJ56))</f>
        <v>0</v>
      </c>
      <c r="EL56" s="160">
        <f>IF([Chambre]*1='CHAMBRES FILLES 2e ETAGE'!$A$17,1,0)</f>
        <v>0</v>
      </c>
      <c r="EM56" s="160">
        <f>IF([Occurrence4]=0,0,SUM($EL$2:EL56))</f>
        <v>0</v>
      </c>
      <c r="EN56" s="160">
        <f>IF([Chambre]*1='CHAMBRES FILLES 2e ETAGE'!$A$23,1,0)</f>
        <v>0</v>
      </c>
      <c r="EO56" s="160">
        <f>IF([Occurrence5]=0,0,SUM($EN$2:EN56))</f>
        <v>0</v>
      </c>
      <c r="EP56" s="160">
        <f>IF([Chambre]*1='CHAMBRES FILLES 2e ETAGE'!$A$29,1,0)</f>
        <v>0</v>
      </c>
      <c r="EQ56" s="160">
        <f>IF([Occurrence6]=0,0,SUM($EP$2:EP56))</f>
        <v>0</v>
      </c>
      <c r="ER56" s="160">
        <f>IF([Chambre]*1='CHAMBRES FILLES 2e ETAGE'!$A$35,1,0)</f>
        <v>0</v>
      </c>
      <c r="ES56" s="160">
        <f>IF([Occurrence7]=0,0,SUM($ER$2:ER56))</f>
        <v>0</v>
      </c>
      <c r="ET56" s="160">
        <f>IF([Chambre]*1='CHAMBRES FILLES 2e ETAGE'!$A$41,1,0)</f>
        <v>0</v>
      </c>
      <c r="EU56" s="160">
        <f>IF([Occurrence8]=0,0,SUM($ET$2:ET56))</f>
        <v>0</v>
      </c>
      <c r="EV56" s="160">
        <f>IF([Chambre]*1='CHAMBRES FILLES 2e ETAGE'!$A$47,1,0)</f>
        <v>0</v>
      </c>
      <c r="EW56" s="160">
        <f>IF([Occurrence9]=0,0,SUM($EV$2:EV56))</f>
        <v>0</v>
      </c>
      <c r="EX56" s="160">
        <f>IF([Chambre]*1='CHAMBRES FILLES 2e ETAGE'!$A$53,1,0)</f>
        <v>0</v>
      </c>
      <c r="EY56" s="160">
        <f>IF([Occurrence10]=0,0,SUM($EX$2:EX56))</f>
        <v>0</v>
      </c>
      <c r="EZ56" s="160">
        <f>IF([Chambre]*1='CHAMBRES FILLES 2e ETAGE'!$A$59,1,0)</f>
        <v>0</v>
      </c>
      <c r="FA56" s="160">
        <f>IF([Occurrence11]=0,0,SUM($EZ$2:EZ56))</f>
        <v>0</v>
      </c>
      <c r="FB56" s="160">
        <f>IF([Chambre]*1='CHAMBRES FILLES 2e ETAGE'!$A$65,1,0)</f>
        <v>0</v>
      </c>
      <c r="FC56" s="160">
        <f>IF([Occurrence12]=0,0,SUM($FB$2:FB56))</f>
        <v>0</v>
      </c>
      <c r="FD56" s="160">
        <f>IF([Chambre]*1='CHAMBRES FILLES 2e ETAGE'!$A$71,1,0)</f>
        <v>0</v>
      </c>
      <c r="FE56" s="160">
        <f>IF([Occurrence13]=0,0,SUM($FD$2:FD56))</f>
        <v>0</v>
      </c>
      <c r="FF56" s="160">
        <f>IF([Chambre]*1='CHAMBRES FILLES 2e ETAGE'!$A$77,1,0)</f>
        <v>0</v>
      </c>
      <c r="FG56" s="160">
        <f>IF([Occurrence14]=0,0,SUM($FF$2:FF56))</f>
        <v>0</v>
      </c>
      <c r="FH56" s="160">
        <f>IF([Chambre]*1='CHAMBRES FILLES 2e ETAGE'!$A$83,1,0)</f>
        <v>0</v>
      </c>
      <c r="FI56" s="160">
        <f>IF([Occurrence15]=0,0,SUM($FH$2:FH56))</f>
        <v>0</v>
      </c>
      <c r="FJ56" s="160">
        <f>IF([Chambre]*1='CHAMBRES FILLES 2e ETAGE'!$A$89,1,0)</f>
        <v>0</v>
      </c>
      <c r="FK56" s="160">
        <f>IF([Occurrence16]=0,0,SUM($FJ$2:FJ56))</f>
        <v>0</v>
      </c>
      <c r="FL56" s="160">
        <f>IF([Chambre]*1='CHAMBRES FILLES 2e ETAGE'!$A$95,1,0)</f>
        <v>0</v>
      </c>
      <c r="FM56" s="160">
        <f>IF([Occurrence17]=0,0,SUM($FL$2:FL56))</f>
        <v>0</v>
      </c>
      <c r="FN56" s="160">
        <f>IF([Chambre2]*1='CHAMBRES FILLES 1e ETAGE'!$A$5,1,0)</f>
        <v>0</v>
      </c>
      <c r="FO56" s="160">
        <f>IF([Occurrence18]=0,0,SUM($FN$2:FN56))</f>
        <v>0</v>
      </c>
      <c r="FP56" s="160">
        <f>IF([Chambre2]*1='CHAMBRES FILLES 1e ETAGE'!$A$11,1,0)</f>
        <v>0</v>
      </c>
      <c r="FQ56" s="160">
        <f>IF([Occurrence19]=0,0,SUM($FP$2:FP56))</f>
        <v>0</v>
      </c>
      <c r="FR56" s="160">
        <f>IF([Chambre2]*1='CHAMBRES FILLES 1e ETAGE'!$A$17,1,0)</f>
        <v>0</v>
      </c>
      <c r="FS56" s="160">
        <f>IF([Occurrence20]=0,0,SUM($FR$2:FR56))</f>
        <v>0</v>
      </c>
      <c r="FT56" s="160">
        <f>IF([Chambre2]*1='CHAMBRES FILLES 1e ETAGE'!$A$23,1,0)</f>
        <v>0</v>
      </c>
      <c r="FU56" s="160">
        <f>IF([Occurrence21]=0,0,SUM($FT$2:FT56))</f>
        <v>0</v>
      </c>
      <c r="FV56" s="160">
        <f>IF([Chambre2]*1='CHAMBRES FILLES 1e ETAGE'!$A$29,1,0)</f>
        <v>0</v>
      </c>
      <c r="FW56" s="160">
        <f>IF([Occurrence22]=0,0,SUM($FV$2:FV56))</f>
        <v>0</v>
      </c>
      <c r="FX56" s="160">
        <f>IF([Chambre2]*1='CHAMBRES FILLES 1e ETAGE'!$A$35,1,0)</f>
        <v>0</v>
      </c>
      <c r="FY56" s="160">
        <f>IF([Occurrence23]=0,0,SUM($FX$2:FX56))</f>
        <v>0</v>
      </c>
      <c r="FZ56" s="160">
        <f>IF([Chambre2]*1='CHAMBRES FILLES 1e ETAGE'!$A$41,1,0)</f>
        <v>1</v>
      </c>
      <c r="GA56" s="160">
        <f>IF([Occurrence24]=0,0,SUM($FZ$2:FZ56))</f>
        <v>3</v>
      </c>
      <c r="GB56" s="160">
        <f>IF([Chambre2]*1='CHAMBRES FILLES 1e ETAGE'!$A$47,1,0)</f>
        <v>0</v>
      </c>
      <c r="GC56" s="160">
        <f>IF([Occurrence25]=0,0,SUM($GB$2:GB56))</f>
        <v>0</v>
      </c>
      <c r="GD56" s="160">
        <f>IF([Chambre2]*1='CHAMBRES FILLES 1e ETAGE'!$A$53,1,0)</f>
        <v>0</v>
      </c>
      <c r="GE56" s="160">
        <f>IF([Occurrence26]=0,0,SUM($GD$2:GD56))</f>
        <v>0</v>
      </c>
      <c r="GF56" s="160">
        <f>IF([chambre4]*1='CHAMBRES GARCONS 1e ETAGE'!$A$5,1,0)</f>
        <v>0</v>
      </c>
      <c r="GG56" s="160">
        <f>IF([Occurrence27]=0,0,SUM($GF$2:GF56))</f>
        <v>0</v>
      </c>
      <c r="GH56" s="160">
        <f>IF([chambre4]*1='CHAMBRES GARCONS 1e ETAGE'!$A$11,1,0)</f>
        <v>0</v>
      </c>
      <c r="GI56" s="160">
        <f>IF([Occurrence28]=0,0,SUM($GH$2:GH56))</f>
        <v>0</v>
      </c>
      <c r="GJ56" s="160">
        <f>IF([chambre4]*1='CHAMBRES GARCONS 1e ETAGE'!$A$17,1,0)</f>
        <v>0</v>
      </c>
      <c r="GK56" s="160">
        <f>IF([Occurrence29]=0,0,SUM($GJ$2:GJ56))</f>
        <v>0</v>
      </c>
      <c r="GL56" s="160">
        <f>IF([chambre4]*1='CHAMBRES GARCONS 1e ETAGE'!$A$23,1,0)</f>
        <v>0</v>
      </c>
      <c r="GM56" s="160">
        <f>IF([Occurrence30]=0,0,SUM($GL$2:GL56))</f>
        <v>0</v>
      </c>
      <c r="GN56" s="160">
        <f>IF([chambre4]*1='CHAMBRES GARCONS 1e ETAGE'!$A$29,1,0)</f>
        <v>0</v>
      </c>
      <c r="GO56" s="160">
        <f>IF([Occurrence31]=0,0,SUM($GN$2:GN56))</f>
        <v>0</v>
      </c>
      <c r="GP56" s="160">
        <f>IF([chambre4]*1='CHAMBRES GARCONS 1e ETAGE'!$A$35,1,0)</f>
        <v>0</v>
      </c>
      <c r="GQ56" s="160">
        <f>IF([Occurrence32]=0,0,SUM($GP$2:GP56))</f>
        <v>0</v>
      </c>
      <c r="GR56" s="160">
        <f>IF([chambre3]*1='CHAMBRES GARCONS RDC'!$A$5,1,0)</f>
        <v>0</v>
      </c>
      <c r="GS56" s="160">
        <f>IF([Occurrence33]=0,0,SUM($GR$2:GR56))</f>
        <v>0</v>
      </c>
      <c r="GT56" s="160">
        <f>IF([chambre3]*1='CHAMBRES GARCONS RDC'!$A$11,1,0)</f>
        <v>0</v>
      </c>
      <c r="GU56" s="160">
        <f>IF([Occurrence34]=0,0,SUM($GT$2:GT56))</f>
        <v>0</v>
      </c>
      <c r="GV56" s="160">
        <f>IF([chambre3]*1='CHAMBRES GARCONS RDC'!$A$17,1,0)</f>
        <v>0</v>
      </c>
      <c r="GW56" s="160">
        <f>IF([Occurrence35]=0,0,SUM($GV$2:GV56))</f>
        <v>0</v>
      </c>
      <c r="GX56" s="160">
        <f>IF([chambre3]*1='CHAMBRES GARCONS RDC'!$A$23,1,0)</f>
        <v>0</v>
      </c>
      <c r="GY56" s="160">
        <f>IF([Occurrence36]=0,0,SUM($GX$2:GX56))</f>
        <v>0</v>
      </c>
      <c r="GZ56" s="160">
        <f>IF([chambre3]*1='CHAMBRES GARCONS RDC'!$A$29,1,0)</f>
        <v>0</v>
      </c>
      <c r="HA56" s="160">
        <f>IF([Occurrence37]=0,0,SUM($GZ$2:GZ56))</f>
        <v>0</v>
      </c>
      <c r="HB56" s="160">
        <f>IF([chambre3]*1='CHAMBRES GARCONS RDC'!$A$35,1,0)</f>
        <v>0</v>
      </c>
      <c r="HC56" s="160">
        <f>IF([Occurrence38]=0,0,SUM($HB$2:HB56))</f>
        <v>0</v>
      </c>
      <c r="HD56" s="160">
        <f>IF([chambre3]*1='CHAMBRES GARCONS RDC'!$A$41,1,0)</f>
        <v>0</v>
      </c>
      <c r="HE56" s="160">
        <f>IF([Occurrence39]=0,0,SUM($HD$2:HD56))</f>
        <v>0</v>
      </c>
      <c r="HF56" s="160">
        <f>IF([chambre3]*1='CHAMBRES GARCONS RDC'!$A$47,1,0)</f>
        <v>0</v>
      </c>
      <c r="HG56" s="160">
        <f>IF([Occurrence40]=0,0,SUM($HF$2:HF56))</f>
        <v>0</v>
      </c>
      <c r="HH56" s="160">
        <f>IF([chambre3]*1='CHAMBRES GARCONS RDC'!$A$53,1,0)</f>
        <v>0</v>
      </c>
      <c r="HI56" s="160">
        <f>IF([Occurrence41]=0,0,SUM($HH$2:HH56))</f>
        <v>0</v>
      </c>
      <c r="HJ56" s="160">
        <f>IF([chambre3]*1='CHAMBRES GARCONS RDC'!$A$59,1,0)</f>
        <v>0</v>
      </c>
      <c r="HK56" s="160">
        <f>IF([Occurrence42]=0,0,SUM($HJ$2:HJ56))</f>
        <v>0</v>
      </c>
      <c r="HL56" s="160">
        <f>IF([chambre3]*1='CHAMBRES GARCONS RDC'!$A$65,1,0)</f>
        <v>0</v>
      </c>
      <c r="HM56" s="160">
        <f>IF([Occurrence43]=0,0,SUM($HL$2:HL56))</f>
        <v>0</v>
      </c>
      <c r="HN56" s="160">
        <f>IF([chambre3]*1='CHAMBRES GARCONS RDC'!$A$71,1,0)</f>
        <v>0</v>
      </c>
      <c r="HO56" s="160">
        <f>IF([Occurrence44]=0,0,SUM($HN$2:HN56))</f>
        <v>0</v>
      </c>
      <c r="HP56" s="160">
        <f>IF([chambre3]*1='CHAMBRES GARCONS RDC'!$A$77,1,0)</f>
        <v>0</v>
      </c>
      <c r="HQ56" s="160">
        <f>IF([Occurrence45]=0,0,SUM($HP$2:HP56))</f>
        <v>0</v>
      </c>
      <c r="HR56" s="160">
        <f>IF([chambre3]*1='CHAMBRES GARCONS RDC'!$A$83,1,0)</f>
        <v>0</v>
      </c>
      <c r="HS56" s="160">
        <f>IF([Occurrence46]=0,0,SUM($HR$2:HR56))</f>
        <v>0</v>
      </c>
      <c r="HT56" s="160">
        <f>IF([chambre3]*1='CHAMBRES GARCONS RDC'!$A$89,1,0)</f>
        <v>0</v>
      </c>
      <c r="HU56" s="160">
        <f>IF([Occurrence47]=0,0,SUM($HT$2:HT56))</f>
        <v>0</v>
      </c>
      <c r="HV56" s="160">
        <f>IF([chambre3]*1='CHAMBRES GARCONS RDC'!$A$95,1,0)</f>
        <v>0</v>
      </c>
      <c r="HW56" s="160">
        <f>IF([Occurrence48]=0,0,SUM($HV$2:HV56))</f>
        <v>0</v>
      </c>
      <c r="HX56" s="160"/>
      <c r="HY56" s="160"/>
      <c r="HZ56" s="160">
        <f>IF([Classe]='Liste élève par classes'!$B$5,1,0)</f>
        <v>0</v>
      </c>
      <c r="IA56" s="160">
        <f>IF([Occurrence]=0,0,SUM($HZ$2:HZ56))</f>
        <v>0</v>
      </c>
      <c r="IB5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143</v>
      </c>
      <c r="IC56" s="208"/>
    </row>
    <row r="57" spans="1:237">
      <c r="A57" t="s">
        <v>347</v>
      </c>
      <c r="B57" t="s">
        <v>282</v>
      </c>
      <c r="C57" s="158">
        <v>37095</v>
      </c>
      <c r="D57" s="62">
        <f t="shared" ca="1" si="0"/>
        <v>16</v>
      </c>
      <c r="E57" t="s">
        <v>8</v>
      </c>
      <c r="F57" s="159" t="s">
        <v>50</v>
      </c>
      <c r="G57" t="s">
        <v>45</v>
      </c>
      <c r="H57" s="160"/>
      <c r="I57" s="62"/>
      <c r="J57" s="62"/>
      <c r="K57" s="62"/>
      <c r="L57" s="61">
        <v>169</v>
      </c>
      <c r="M57">
        <v>98</v>
      </c>
      <c r="N57" s="62"/>
      <c r="O57" s="62"/>
      <c r="P57" s="62"/>
      <c r="Q57" s="62"/>
      <c r="R57" s="62"/>
      <c r="S57" s="191"/>
      <c r="T57" s="62"/>
      <c r="U57" s="61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163"/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  <c r="AQ57" s="163"/>
      <c r="AR57" s="163"/>
      <c r="AS57" s="163"/>
      <c r="AT57" s="163"/>
      <c r="AU57" s="163"/>
      <c r="AV57" s="163"/>
      <c r="AW57" s="163"/>
      <c r="AX57" s="163"/>
      <c r="AY57" s="163"/>
      <c r="AZ57" s="163"/>
      <c r="BA57" s="163"/>
      <c r="BB57" s="163"/>
      <c r="BC57" s="163" t="b">
        <v>0</v>
      </c>
      <c r="BD57" s="163" t="b">
        <v>1</v>
      </c>
      <c r="BE57" s="163" t="b">
        <v>1</v>
      </c>
      <c r="BF57" s="163" t="b">
        <v>0</v>
      </c>
      <c r="BG57" s="164" t="b">
        <v>0</v>
      </c>
      <c r="BH57" s="163" t="b">
        <v>1</v>
      </c>
      <c r="BI57" s="163"/>
      <c r="BJ57" s="163"/>
      <c r="BK57" s="163"/>
      <c r="BL57" s="163"/>
      <c r="BM57" s="163"/>
      <c r="BN57" s="163"/>
      <c r="BO57" s="163"/>
      <c r="BP57" s="163"/>
      <c r="BQ57" s="163" t="b">
        <v>0</v>
      </c>
      <c r="BR57" s="163"/>
      <c r="BS57" s="163"/>
      <c r="BT57" s="163"/>
      <c r="BU57" s="163"/>
      <c r="BV57" s="163"/>
      <c r="BW57" s="163"/>
      <c r="BX57" s="163"/>
      <c r="BY57" s="163"/>
      <c r="BZ57" s="163"/>
      <c r="CA57" s="163"/>
      <c r="CB57" s="163"/>
      <c r="CC57" s="163"/>
      <c r="CD57" s="163"/>
      <c r="CE57" s="163"/>
      <c r="CF57" s="163"/>
      <c r="CG57" s="163"/>
      <c r="CH57" s="163"/>
      <c r="CI57" s="163"/>
      <c r="CJ57" s="163"/>
      <c r="CK57" s="163"/>
      <c r="CL57" s="163"/>
      <c r="CM57" s="163"/>
      <c r="CN57" s="163"/>
      <c r="CO57" s="163"/>
      <c r="CP57" s="163"/>
      <c r="CQ57" s="163"/>
      <c r="CR57" s="163"/>
      <c r="CS57" s="163"/>
      <c r="CT57" s="163"/>
      <c r="CU57" s="163"/>
      <c r="CV57" s="163"/>
      <c r="CW57" s="163"/>
      <c r="CX57" s="163"/>
      <c r="CY57" s="163"/>
      <c r="CZ57" s="163"/>
      <c r="DA57" s="163"/>
      <c r="DB57" s="163"/>
      <c r="DC57" s="163"/>
      <c r="DD57" s="163"/>
      <c r="DE57" s="163"/>
      <c r="DF57" s="163"/>
      <c r="DG57" s="208"/>
      <c r="DH57" s="163"/>
      <c r="DI57" s="163"/>
      <c r="DJ57" s="163"/>
      <c r="DK57" s="163"/>
      <c r="DL57" s="163"/>
      <c r="DM57" s="163"/>
      <c r="DN57" s="163"/>
      <c r="DO57" s="163"/>
      <c r="DP57" s="163"/>
      <c r="DQ57" s="163"/>
      <c r="DR57" s="163"/>
      <c r="DS57" s="163"/>
      <c r="DT57" s="163"/>
      <c r="DU57" s="163"/>
      <c r="DV57" s="163"/>
      <c r="DW57" s="163"/>
      <c r="DX57" s="163"/>
      <c r="DY57" s="163"/>
      <c r="DZ57" s="163"/>
      <c r="EA57" s="163"/>
      <c r="EB57" s="163"/>
      <c r="EC57" s="163"/>
      <c r="ED57" s="163"/>
      <c r="EE57" s="163"/>
      <c r="EF57" s="163"/>
      <c r="EG57" s="163"/>
      <c r="EH57" s="160">
        <f>IF([Chambre]*1='CHAMBRES FILLES 2e ETAGE'!$A$5,1,0)</f>
        <v>0</v>
      </c>
      <c r="EI57" s="161">
        <f>IF([Occurrence2]=0,0,SUM($EH$2:EH57))</f>
        <v>0</v>
      </c>
      <c r="EJ57" s="160">
        <f>IF([Chambre]*1='CHAMBRES FILLES 2e ETAGE'!$A$11,1,0)</f>
        <v>0</v>
      </c>
      <c r="EK57" s="160">
        <f>IF([Occurrence3]=0,0,SUM($EJ$2:EJ57))</f>
        <v>0</v>
      </c>
      <c r="EL57" s="160">
        <f>IF([Chambre]*1='CHAMBRES FILLES 2e ETAGE'!$A$17,1,0)</f>
        <v>0</v>
      </c>
      <c r="EM57" s="160">
        <f>IF([Occurrence4]=0,0,SUM($EL$2:EL57))</f>
        <v>0</v>
      </c>
      <c r="EN57" s="160">
        <f>IF([Chambre]*1='CHAMBRES FILLES 2e ETAGE'!$A$23,1,0)</f>
        <v>0</v>
      </c>
      <c r="EO57" s="160">
        <f>IF([Occurrence5]=0,0,SUM($EN$2:EN57))</f>
        <v>0</v>
      </c>
      <c r="EP57" s="160">
        <f>IF([Chambre]*1='CHAMBRES FILLES 2e ETAGE'!$A$29,1,0)</f>
        <v>0</v>
      </c>
      <c r="EQ57" s="160">
        <f>IF([Occurrence6]=0,0,SUM($EP$2:EP57))</f>
        <v>0</v>
      </c>
      <c r="ER57" s="160">
        <f>IF([Chambre]*1='CHAMBRES FILLES 2e ETAGE'!$A$35,1,0)</f>
        <v>0</v>
      </c>
      <c r="ES57" s="160">
        <f>IF([Occurrence7]=0,0,SUM($ER$2:ER57))</f>
        <v>0</v>
      </c>
      <c r="ET57" s="160">
        <f>IF([Chambre]*1='CHAMBRES FILLES 2e ETAGE'!$A$41,1,0)</f>
        <v>1</v>
      </c>
      <c r="EU57" s="160">
        <f>IF([Occurrence8]=0,0,SUM($ET$2:ET57))</f>
        <v>2</v>
      </c>
      <c r="EV57" s="160">
        <f>IF([Chambre]*1='CHAMBRES FILLES 2e ETAGE'!$A$47,1,0)</f>
        <v>0</v>
      </c>
      <c r="EW57" s="160">
        <f>IF([Occurrence9]=0,0,SUM($EV$2:EV57))</f>
        <v>0</v>
      </c>
      <c r="EX57" s="160">
        <f>IF([Chambre]*1='CHAMBRES FILLES 2e ETAGE'!$A$53,1,0)</f>
        <v>0</v>
      </c>
      <c r="EY57" s="160">
        <f>IF([Occurrence10]=0,0,SUM($EX$2:EX57))</f>
        <v>0</v>
      </c>
      <c r="EZ57" s="160">
        <f>IF([Chambre]*1='CHAMBRES FILLES 2e ETAGE'!$A$59,1,0)</f>
        <v>0</v>
      </c>
      <c r="FA57" s="160">
        <f>IF([Occurrence11]=0,0,SUM($EZ$2:EZ57))</f>
        <v>0</v>
      </c>
      <c r="FB57" s="160">
        <f>IF([Chambre]*1='CHAMBRES FILLES 2e ETAGE'!$A$65,1,0)</f>
        <v>0</v>
      </c>
      <c r="FC57" s="160">
        <f>IF([Occurrence12]=0,0,SUM($FB$2:FB57))</f>
        <v>0</v>
      </c>
      <c r="FD57" s="160">
        <f>IF([Chambre]*1='CHAMBRES FILLES 2e ETAGE'!$A$71,1,0)</f>
        <v>0</v>
      </c>
      <c r="FE57" s="160">
        <f>IF([Occurrence13]=0,0,SUM($FD$2:FD57))</f>
        <v>0</v>
      </c>
      <c r="FF57" s="160">
        <f>IF([Chambre]*1='CHAMBRES FILLES 2e ETAGE'!$A$77,1,0)</f>
        <v>0</v>
      </c>
      <c r="FG57" s="160">
        <f>IF([Occurrence14]=0,0,SUM($FF$2:FF57))</f>
        <v>0</v>
      </c>
      <c r="FH57" s="160">
        <f>IF([Chambre]*1='CHAMBRES FILLES 2e ETAGE'!$A$83,1,0)</f>
        <v>0</v>
      </c>
      <c r="FI57" s="160">
        <f>IF([Occurrence15]=0,0,SUM($FH$2:FH57))</f>
        <v>0</v>
      </c>
      <c r="FJ57" s="160">
        <f>IF([Chambre]*1='CHAMBRES FILLES 2e ETAGE'!$A$89,1,0)</f>
        <v>0</v>
      </c>
      <c r="FK57" s="160">
        <f>IF([Occurrence16]=0,0,SUM($FJ$2:FJ57))</f>
        <v>0</v>
      </c>
      <c r="FL57" s="160">
        <f>IF([Chambre]*1='CHAMBRES FILLES 2e ETAGE'!$A$95,1,0)</f>
        <v>0</v>
      </c>
      <c r="FM57" s="160">
        <f>IF([Occurrence17]=0,0,SUM($FL$2:FL57))</f>
        <v>0</v>
      </c>
      <c r="FN57" s="160">
        <f>IF([Chambre2]*1='CHAMBRES FILLES 1e ETAGE'!$A$5,1,0)</f>
        <v>0</v>
      </c>
      <c r="FO57" s="160">
        <f>IF([Occurrence18]=0,0,SUM($FN$2:FN57))</f>
        <v>0</v>
      </c>
      <c r="FP57" s="160">
        <f>IF([Chambre2]*1='CHAMBRES FILLES 1e ETAGE'!$A$11,1,0)</f>
        <v>0</v>
      </c>
      <c r="FQ57" s="160">
        <f>IF([Occurrence19]=0,0,SUM($FP$2:FP57))</f>
        <v>0</v>
      </c>
      <c r="FR57" s="160">
        <f>IF([Chambre2]*1='CHAMBRES FILLES 1e ETAGE'!$A$17,1,0)</f>
        <v>0</v>
      </c>
      <c r="FS57" s="160">
        <f>IF([Occurrence20]=0,0,SUM($FR$2:FR57))</f>
        <v>0</v>
      </c>
      <c r="FT57" s="160">
        <f>IF([Chambre2]*1='CHAMBRES FILLES 1e ETAGE'!$A$23,1,0)</f>
        <v>0</v>
      </c>
      <c r="FU57" s="160">
        <f>IF([Occurrence21]=0,0,SUM($FT$2:FT57))</f>
        <v>0</v>
      </c>
      <c r="FV57" s="160">
        <f>IF([Chambre2]*1='CHAMBRES FILLES 1e ETAGE'!$A$29,1,0)</f>
        <v>0</v>
      </c>
      <c r="FW57" s="160">
        <f>IF([Occurrence22]=0,0,SUM($FV$2:FV57))</f>
        <v>0</v>
      </c>
      <c r="FX57" s="160">
        <f>IF([Chambre2]*1='CHAMBRES FILLES 1e ETAGE'!$A$35,1,0)</f>
        <v>0</v>
      </c>
      <c r="FY57" s="160">
        <f>IF([Occurrence23]=0,0,SUM($FX$2:FX57))</f>
        <v>0</v>
      </c>
      <c r="FZ57" s="160">
        <f>IF([Chambre2]*1='CHAMBRES FILLES 1e ETAGE'!$A$41,1,0)</f>
        <v>0</v>
      </c>
      <c r="GA57" s="160">
        <f>IF([Occurrence24]=0,0,SUM($FZ$2:FZ57))</f>
        <v>0</v>
      </c>
      <c r="GB57" s="160">
        <f>IF([Chambre2]*1='CHAMBRES FILLES 1e ETAGE'!$A$47,1,0)</f>
        <v>0</v>
      </c>
      <c r="GC57" s="160">
        <f>IF([Occurrence25]=0,0,SUM($GB$2:GB57))</f>
        <v>0</v>
      </c>
      <c r="GD57" s="160">
        <f>IF([Chambre2]*1='CHAMBRES FILLES 1e ETAGE'!$A$53,1,0)</f>
        <v>0</v>
      </c>
      <c r="GE57" s="160">
        <f>IF([Occurrence26]=0,0,SUM($GD$2:GD57))</f>
        <v>0</v>
      </c>
      <c r="GF57" s="160">
        <f>IF([chambre4]*1='CHAMBRES GARCONS 1e ETAGE'!$A$5,1,0)</f>
        <v>0</v>
      </c>
      <c r="GG57" s="160">
        <f>IF([Occurrence27]=0,0,SUM($GF$2:GF57))</f>
        <v>0</v>
      </c>
      <c r="GH57" s="160">
        <f>IF([chambre4]*1='CHAMBRES GARCONS 1e ETAGE'!$A$11,1,0)</f>
        <v>0</v>
      </c>
      <c r="GI57" s="160">
        <f>IF([Occurrence28]=0,0,SUM($GH$2:GH57))</f>
        <v>0</v>
      </c>
      <c r="GJ57" s="160">
        <f>IF([chambre4]*1='CHAMBRES GARCONS 1e ETAGE'!$A$17,1,0)</f>
        <v>0</v>
      </c>
      <c r="GK57" s="160">
        <f>IF([Occurrence29]=0,0,SUM($GJ$2:GJ57))</f>
        <v>0</v>
      </c>
      <c r="GL57" s="160">
        <f>IF([chambre4]*1='CHAMBRES GARCONS 1e ETAGE'!$A$23,1,0)</f>
        <v>0</v>
      </c>
      <c r="GM57" s="160">
        <f>IF([Occurrence30]=0,0,SUM($GL$2:GL57))</f>
        <v>0</v>
      </c>
      <c r="GN57" s="160">
        <f>IF([chambre4]*1='CHAMBRES GARCONS 1e ETAGE'!$A$29,1,0)</f>
        <v>0</v>
      </c>
      <c r="GO57" s="160">
        <f>IF([Occurrence31]=0,0,SUM($GN$2:GN57))</f>
        <v>0</v>
      </c>
      <c r="GP57" s="160">
        <f>IF([chambre4]*1='CHAMBRES GARCONS 1e ETAGE'!$A$35,1,0)</f>
        <v>0</v>
      </c>
      <c r="GQ57" s="160">
        <f>IF([Occurrence32]=0,0,SUM($GP$2:GP57))</f>
        <v>0</v>
      </c>
      <c r="GR57" s="160">
        <f>IF([chambre3]*1='CHAMBRES GARCONS RDC'!$A$5,1,0)</f>
        <v>0</v>
      </c>
      <c r="GS57" s="160">
        <f>IF([Occurrence33]=0,0,SUM($GR$2:GR57))</f>
        <v>0</v>
      </c>
      <c r="GT57" s="160">
        <f>IF([chambre3]*1='CHAMBRES GARCONS RDC'!$A$11,1,0)</f>
        <v>0</v>
      </c>
      <c r="GU57" s="160">
        <f>IF([Occurrence34]=0,0,SUM($GT$2:GT57))</f>
        <v>0</v>
      </c>
      <c r="GV57" s="160">
        <f>IF([chambre3]*1='CHAMBRES GARCONS RDC'!$A$17,1,0)</f>
        <v>0</v>
      </c>
      <c r="GW57" s="160">
        <f>IF([Occurrence35]=0,0,SUM($GV$2:GV57))</f>
        <v>0</v>
      </c>
      <c r="GX57" s="160">
        <f>IF([chambre3]*1='CHAMBRES GARCONS RDC'!$A$23,1,0)</f>
        <v>0</v>
      </c>
      <c r="GY57" s="160">
        <f>IF([Occurrence36]=0,0,SUM($GX$2:GX57))</f>
        <v>0</v>
      </c>
      <c r="GZ57" s="160">
        <f>IF([chambre3]*1='CHAMBRES GARCONS RDC'!$A$29,1,0)</f>
        <v>0</v>
      </c>
      <c r="HA57" s="160">
        <f>IF([Occurrence37]=0,0,SUM($GZ$2:GZ57))</f>
        <v>0</v>
      </c>
      <c r="HB57" s="160">
        <f>IF([chambre3]*1='CHAMBRES GARCONS RDC'!$A$35,1,0)</f>
        <v>0</v>
      </c>
      <c r="HC57" s="160">
        <f>IF([Occurrence38]=0,0,SUM($HB$2:HB57))</f>
        <v>0</v>
      </c>
      <c r="HD57" s="160">
        <f>IF([chambre3]*1='CHAMBRES GARCONS RDC'!$A$41,1,0)</f>
        <v>0</v>
      </c>
      <c r="HE57" s="160">
        <f>IF([Occurrence39]=0,0,SUM($HD$2:HD57))</f>
        <v>0</v>
      </c>
      <c r="HF57" s="160">
        <f>IF([chambre3]*1='CHAMBRES GARCONS RDC'!$A$47,1,0)</f>
        <v>0</v>
      </c>
      <c r="HG57" s="160">
        <f>IF([Occurrence40]=0,0,SUM($HF$2:HF57))</f>
        <v>0</v>
      </c>
      <c r="HH57" s="160">
        <f>IF([chambre3]*1='CHAMBRES GARCONS RDC'!$A$53,1,0)</f>
        <v>0</v>
      </c>
      <c r="HI57" s="160">
        <f>IF([Occurrence41]=0,0,SUM($HH$2:HH57))</f>
        <v>0</v>
      </c>
      <c r="HJ57" s="160">
        <f>IF([chambre3]*1='CHAMBRES GARCONS RDC'!$A$59,1,0)</f>
        <v>0</v>
      </c>
      <c r="HK57" s="160">
        <f>IF([Occurrence42]=0,0,SUM($HJ$2:HJ57))</f>
        <v>0</v>
      </c>
      <c r="HL57" s="160">
        <f>IF([chambre3]*1='CHAMBRES GARCONS RDC'!$A$65,1,0)</f>
        <v>0</v>
      </c>
      <c r="HM57" s="160">
        <f>IF([Occurrence43]=0,0,SUM($HL$2:HL57))</f>
        <v>0</v>
      </c>
      <c r="HN57" s="160">
        <f>IF([chambre3]*1='CHAMBRES GARCONS RDC'!$A$71,1,0)</f>
        <v>0</v>
      </c>
      <c r="HO57" s="160">
        <f>IF([Occurrence44]=0,0,SUM($HN$2:HN57))</f>
        <v>0</v>
      </c>
      <c r="HP57" s="160">
        <f>IF([chambre3]*1='CHAMBRES GARCONS RDC'!$A$77,1,0)</f>
        <v>0</v>
      </c>
      <c r="HQ57" s="160">
        <f>IF([Occurrence45]=0,0,SUM($HP$2:HP57))</f>
        <v>0</v>
      </c>
      <c r="HR57" s="160">
        <f>IF([chambre3]*1='CHAMBRES GARCONS RDC'!$A$83,1,0)</f>
        <v>0</v>
      </c>
      <c r="HS57" s="160">
        <f>IF([Occurrence46]=0,0,SUM($HR$2:HR57))</f>
        <v>0</v>
      </c>
      <c r="HT57" s="160">
        <f>IF([chambre3]*1='CHAMBRES GARCONS RDC'!$A$89,1,0)</f>
        <v>0</v>
      </c>
      <c r="HU57" s="160">
        <f>IF([Occurrence47]=0,0,SUM($HT$2:HT57))</f>
        <v>0</v>
      </c>
      <c r="HV57" s="160">
        <f>IF([chambre3]*1='CHAMBRES GARCONS RDC'!$A$95,1,0)</f>
        <v>0</v>
      </c>
      <c r="HW57" s="160">
        <f>IF([Occurrence48]=0,0,SUM($HV$2:HV57))</f>
        <v>0</v>
      </c>
      <c r="HX57" s="160"/>
      <c r="HY57" s="160"/>
      <c r="HZ57" s="160">
        <f>IF([Classe]='Liste élève par classes'!$B$5,1,0)</f>
        <v>1</v>
      </c>
      <c r="IA57" s="160">
        <f>IF([Occurrence]=0,0,SUM($HZ$2:HZ57))</f>
        <v>4</v>
      </c>
      <c r="IB5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169</v>
      </c>
      <c r="IC57" s="208"/>
    </row>
    <row r="58" spans="1:237">
      <c r="A58" t="s">
        <v>347</v>
      </c>
      <c r="B58" t="s">
        <v>348</v>
      </c>
      <c r="C58" s="158">
        <v>37499</v>
      </c>
      <c r="D58" s="62">
        <f t="shared" ca="1" si="0"/>
        <v>15</v>
      </c>
      <c r="E58" t="s">
        <v>5</v>
      </c>
      <c r="F58" s="159" t="s">
        <v>46</v>
      </c>
      <c r="G58" t="s">
        <v>45</v>
      </c>
      <c r="H58" s="160"/>
      <c r="I58" s="62"/>
      <c r="J58" s="62"/>
      <c r="K58" s="62"/>
      <c r="L58" s="61"/>
      <c r="M58">
        <v>247</v>
      </c>
      <c r="N58" s="62"/>
      <c r="O58" s="62"/>
      <c r="P58" s="62"/>
      <c r="Q58" s="62"/>
      <c r="R58" s="62"/>
      <c r="S58" s="62"/>
      <c r="T58" s="62"/>
      <c r="U58" s="61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163"/>
      <c r="AG58" s="163"/>
      <c r="AH58" s="163"/>
      <c r="AI58" s="163"/>
      <c r="AJ58" s="163"/>
      <c r="AK58" s="163"/>
      <c r="AL58" s="163"/>
      <c r="AM58" s="163"/>
      <c r="AN58" s="163"/>
      <c r="AO58" s="163"/>
      <c r="AP58" s="163"/>
      <c r="AQ58" s="163"/>
      <c r="AR58" s="163"/>
      <c r="AS58" s="163"/>
      <c r="AT58" s="163"/>
      <c r="AU58" s="163"/>
      <c r="AV58" s="163"/>
      <c r="AW58" s="163"/>
      <c r="AX58" s="163"/>
      <c r="AY58" s="163"/>
      <c r="AZ58" s="163"/>
      <c r="BA58" s="163"/>
      <c r="BB58" s="163"/>
      <c r="BC58" s="163"/>
      <c r="BD58" s="163"/>
      <c r="BE58" s="163"/>
      <c r="BF58" s="163"/>
      <c r="BG58" s="163"/>
      <c r="BH58" s="163"/>
      <c r="BI58" s="163"/>
      <c r="BJ58" s="163"/>
      <c r="BK58" s="163"/>
      <c r="BL58" s="163"/>
      <c r="BM58" s="163"/>
      <c r="BN58" s="163"/>
      <c r="BO58" s="163"/>
      <c r="BP58" s="163"/>
      <c r="BQ58" s="163"/>
      <c r="BR58" s="163"/>
      <c r="BS58" s="163"/>
      <c r="BT58" s="163"/>
      <c r="BU58" s="163"/>
      <c r="BV58" s="163"/>
      <c r="BW58" s="163"/>
      <c r="BX58" s="163"/>
      <c r="BY58" s="163"/>
      <c r="BZ58" s="163"/>
      <c r="CA58" s="163"/>
      <c r="CB58" s="163"/>
      <c r="CC58" s="163"/>
      <c r="CD58" s="163"/>
      <c r="CE58" s="163"/>
      <c r="CF58" s="163"/>
      <c r="CG58" s="163"/>
      <c r="CH58" s="163"/>
      <c r="CI58" s="163"/>
      <c r="CJ58" s="163"/>
      <c r="CK58" s="163"/>
      <c r="CL58" s="163"/>
      <c r="CM58" s="163"/>
      <c r="CN58" s="163"/>
      <c r="CO58" s="163"/>
      <c r="CP58" s="163"/>
      <c r="CQ58" s="163"/>
      <c r="CR58" s="163"/>
      <c r="CS58" s="163"/>
      <c r="CT58" s="163"/>
      <c r="CU58" s="163"/>
      <c r="CV58" s="163"/>
      <c r="CW58" s="163"/>
      <c r="CX58" s="163"/>
      <c r="CY58" s="163"/>
      <c r="CZ58" s="163"/>
      <c r="DA58" s="163"/>
      <c r="DB58" s="163"/>
      <c r="DC58" s="163"/>
      <c r="DD58" s="163"/>
      <c r="DE58" s="163"/>
      <c r="DF58" s="163"/>
      <c r="DG58" s="163"/>
      <c r="DH58" s="163"/>
      <c r="DI58" s="163"/>
      <c r="DJ58" s="163"/>
      <c r="DK58" s="163"/>
      <c r="DL58" s="163"/>
      <c r="DM58" s="163"/>
      <c r="DN58" s="163"/>
      <c r="DO58" s="163"/>
      <c r="DP58" s="163"/>
      <c r="DQ58" s="163"/>
      <c r="DR58" s="163"/>
      <c r="DS58" s="163"/>
      <c r="DT58" s="163"/>
      <c r="DU58" s="163"/>
      <c r="DV58" s="163"/>
      <c r="DW58" s="163"/>
      <c r="DX58" s="163"/>
      <c r="DY58" s="163"/>
      <c r="DZ58" s="163"/>
      <c r="EA58" s="163"/>
      <c r="EB58" s="163"/>
      <c r="EC58" s="163"/>
      <c r="ED58" s="163"/>
      <c r="EE58" s="163"/>
      <c r="EF58" s="163"/>
      <c r="EG58" s="163"/>
      <c r="EH58" s="160">
        <f>IF([Chambre]*1='CHAMBRES FILLES 2e ETAGE'!$A$5,1,0)</f>
        <v>0</v>
      </c>
      <c r="EI58" s="161">
        <f>IF([Occurrence2]=0,0,SUM($EH$2:EH58))</f>
        <v>0</v>
      </c>
      <c r="EJ58" s="160">
        <f>IF([Chambre]*1='CHAMBRES FILLES 2e ETAGE'!$A$11,1,0)</f>
        <v>0</v>
      </c>
      <c r="EK58" s="160">
        <f>IF([Occurrence3]=0,0,SUM($EJ$2:EJ58))</f>
        <v>0</v>
      </c>
      <c r="EL58" s="160">
        <f>IF([Chambre]*1='CHAMBRES FILLES 2e ETAGE'!$A$17,1,0)</f>
        <v>0</v>
      </c>
      <c r="EM58" s="160">
        <f>IF([Occurrence4]=0,0,SUM($EL$2:EL58))</f>
        <v>0</v>
      </c>
      <c r="EN58" s="160">
        <f>IF([Chambre]*1='CHAMBRES FILLES 2e ETAGE'!$A$23,1,0)</f>
        <v>0</v>
      </c>
      <c r="EO58" s="160">
        <f>IF([Occurrence5]=0,0,SUM($EN$2:EN58))</f>
        <v>0</v>
      </c>
      <c r="EP58" s="160">
        <f>IF([Chambre]*1='CHAMBRES FILLES 2e ETAGE'!$A$29,1,0)</f>
        <v>0</v>
      </c>
      <c r="EQ58" s="160">
        <f>IF([Occurrence6]=0,0,SUM($EP$2:EP58))</f>
        <v>0</v>
      </c>
      <c r="ER58" s="160">
        <f>IF([Chambre]*1='CHAMBRES FILLES 2e ETAGE'!$A$35,1,0)</f>
        <v>0</v>
      </c>
      <c r="ES58" s="160">
        <f>IF([Occurrence7]=0,0,SUM($ER$2:ER58))</f>
        <v>0</v>
      </c>
      <c r="ET58" s="160">
        <f>IF([Chambre]*1='CHAMBRES FILLES 2e ETAGE'!$A$41,1,0)</f>
        <v>0</v>
      </c>
      <c r="EU58" s="160">
        <f>IF([Occurrence8]=0,0,SUM($ET$2:ET58))</f>
        <v>0</v>
      </c>
      <c r="EV58" s="160">
        <f>IF([Chambre]*1='CHAMBRES FILLES 2e ETAGE'!$A$47,1,0)</f>
        <v>0</v>
      </c>
      <c r="EW58" s="160">
        <f>IF([Occurrence9]=0,0,SUM($EV$2:EV58))</f>
        <v>0</v>
      </c>
      <c r="EX58" s="160">
        <f>IF([Chambre]*1='CHAMBRES FILLES 2e ETAGE'!$A$53,1,0)</f>
        <v>0</v>
      </c>
      <c r="EY58" s="160">
        <f>IF([Occurrence10]=0,0,SUM($EX$2:EX58))</f>
        <v>0</v>
      </c>
      <c r="EZ58" s="160">
        <f>IF([Chambre]*1='CHAMBRES FILLES 2e ETAGE'!$A$59,1,0)</f>
        <v>0</v>
      </c>
      <c r="FA58" s="160">
        <f>IF([Occurrence11]=0,0,SUM($EZ$2:EZ58))</f>
        <v>0</v>
      </c>
      <c r="FB58" s="160">
        <f>IF([Chambre]*1='CHAMBRES FILLES 2e ETAGE'!$A$65,1,0)</f>
        <v>0</v>
      </c>
      <c r="FC58" s="160">
        <f>IF([Occurrence12]=0,0,SUM($FB$2:FB58))</f>
        <v>0</v>
      </c>
      <c r="FD58" s="160">
        <f>IF([Chambre]*1='CHAMBRES FILLES 2e ETAGE'!$A$71,1,0)</f>
        <v>0</v>
      </c>
      <c r="FE58" s="160">
        <f>IF([Occurrence13]=0,0,SUM($FD$2:FD58))</f>
        <v>0</v>
      </c>
      <c r="FF58" s="160">
        <f>IF([Chambre]*1='CHAMBRES FILLES 2e ETAGE'!$A$77,1,0)</f>
        <v>0</v>
      </c>
      <c r="FG58" s="160">
        <f>IF([Occurrence14]=0,0,SUM($FF$2:FF58))</f>
        <v>0</v>
      </c>
      <c r="FH58" s="160">
        <f>IF([Chambre]*1='CHAMBRES FILLES 2e ETAGE'!$A$83,1,0)</f>
        <v>0</v>
      </c>
      <c r="FI58" s="160">
        <f>IF([Occurrence15]=0,0,SUM($FH$2:FH58))</f>
        <v>0</v>
      </c>
      <c r="FJ58" s="160">
        <f>IF([Chambre]*1='CHAMBRES FILLES 2e ETAGE'!$A$89,1,0)</f>
        <v>0</v>
      </c>
      <c r="FK58" s="160">
        <f>IF([Occurrence16]=0,0,SUM($FJ$2:FJ58))</f>
        <v>0</v>
      </c>
      <c r="FL58" s="160">
        <f>IF([Chambre]*1='CHAMBRES FILLES 2e ETAGE'!$A$95,1,0)</f>
        <v>0</v>
      </c>
      <c r="FM58" s="160">
        <f>IF([Occurrence17]=0,0,SUM($FL$2:FL58))</f>
        <v>0</v>
      </c>
      <c r="FN58" s="160">
        <f>IF([Chambre2]*1='CHAMBRES FILLES 1e ETAGE'!$A$5,1,0)</f>
        <v>0</v>
      </c>
      <c r="FO58" s="160">
        <f>IF([Occurrence18]=0,0,SUM($FN$2:FN58))</f>
        <v>0</v>
      </c>
      <c r="FP58" s="160">
        <f>IF([Chambre2]*1='CHAMBRES FILLES 1e ETAGE'!$A$11,1,0)</f>
        <v>0</v>
      </c>
      <c r="FQ58" s="160">
        <f>IF([Occurrence19]=0,0,SUM($FP$2:FP58))</f>
        <v>0</v>
      </c>
      <c r="FR58" s="160">
        <f>IF([Chambre2]*1='CHAMBRES FILLES 1e ETAGE'!$A$17,1,0)</f>
        <v>0</v>
      </c>
      <c r="FS58" s="160">
        <f>IF([Occurrence20]=0,0,SUM($FR$2:FR58))</f>
        <v>0</v>
      </c>
      <c r="FT58" s="160">
        <f>IF([Chambre2]*1='CHAMBRES FILLES 1e ETAGE'!$A$23,1,0)</f>
        <v>0</v>
      </c>
      <c r="FU58" s="160">
        <f>IF([Occurrence21]=0,0,SUM($FT$2:FT58))</f>
        <v>0</v>
      </c>
      <c r="FV58" s="160">
        <f>IF([Chambre2]*1='CHAMBRES FILLES 1e ETAGE'!$A$29,1,0)</f>
        <v>0</v>
      </c>
      <c r="FW58" s="160">
        <f>IF([Occurrence22]=0,0,SUM($FV$2:FV58))</f>
        <v>0</v>
      </c>
      <c r="FX58" s="160">
        <f>IF([Chambre2]*1='CHAMBRES FILLES 1e ETAGE'!$A$35,1,0)</f>
        <v>0</v>
      </c>
      <c r="FY58" s="160">
        <f>IF([Occurrence23]=0,0,SUM($FX$2:FX58))</f>
        <v>0</v>
      </c>
      <c r="FZ58" s="160">
        <f>IF([Chambre2]*1='CHAMBRES FILLES 1e ETAGE'!$A$41,1,0)</f>
        <v>0</v>
      </c>
      <c r="GA58" s="160">
        <f>IF([Occurrence24]=0,0,SUM($FZ$2:FZ58))</f>
        <v>0</v>
      </c>
      <c r="GB58" s="160">
        <f>IF([Chambre2]*1='CHAMBRES FILLES 1e ETAGE'!$A$47,1,0)</f>
        <v>0</v>
      </c>
      <c r="GC58" s="160">
        <f>IF([Occurrence25]=0,0,SUM($GB$2:GB58))</f>
        <v>0</v>
      </c>
      <c r="GD58" s="160">
        <f>IF([Chambre2]*1='CHAMBRES FILLES 1e ETAGE'!$A$53,1,0)</f>
        <v>0</v>
      </c>
      <c r="GE58" s="160">
        <f>IF([Occurrence26]=0,0,SUM($GD$2:GD58))</f>
        <v>0</v>
      </c>
      <c r="GF58" s="160">
        <f>IF([chambre4]*1='CHAMBRES GARCONS 1e ETAGE'!$A$5,1,0)</f>
        <v>0</v>
      </c>
      <c r="GG58" s="160">
        <f>IF([Occurrence27]=0,0,SUM($GF$2:GF58))</f>
        <v>0</v>
      </c>
      <c r="GH58" s="160">
        <f>IF([chambre4]*1='CHAMBRES GARCONS 1e ETAGE'!$A$11,1,0)</f>
        <v>0</v>
      </c>
      <c r="GI58" s="160">
        <f>IF([Occurrence28]=0,0,SUM($GH$2:GH58))</f>
        <v>0</v>
      </c>
      <c r="GJ58" s="160">
        <f>IF([chambre4]*1='CHAMBRES GARCONS 1e ETAGE'!$A$17,1,0)</f>
        <v>0</v>
      </c>
      <c r="GK58" s="160">
        <f>IF([Occurrence29]=0,0,SUM($GJ$2:GJ58))</f>
        <v>0</v>
      </c>
      <c r="GL58" s="160">
        <f>IF([chambre4]*1='CHAMBRES GARCONS 1e ETAGE'!$A$23,1,0)</f>
        <v>0</v>
      </c>
      <c r="GM58" s="160">
        <f>IF([Occurrence30]=0,0,SUM($GL$2:GL58))</f>
        <v>0</v>
      </c>
      <c r="GN58" s="160">
        <f>IF([chambre4]*1='CHAMBRES GARCONS 1e ETAGE'!$A$29,1,0)</f>
        <v>0</v>
      </c>
      <c r="GO58" s="160">
        <f>IF([Occurrence31]=0,0,SUM($GN$2:GN58))</f>
        <v>0</v>
      </c>
      <c r="GP58" s="160">
        <f>IF([chambre4]*1='CHAMBRES GARCONS 1e ETAGE'!$A$35,1,0)</f>
        <v>0</v>
      </c>
      <c r="GQ58" s="160">
        <f>IF([Occurrence32]=0,0,SUM($GP$2:GP58))</f>
        <v>0</v>
      </c>
      <c r="GR58" s="160">
        <f>IF([chambre3]*1='CHAMBRES GARCONS RDC'!$A$5,1,0)</f>
        <v>0</v>
      </c>
      <c r="GS58" s="160">
        <f>IF([Occurrence33]=0,0,SUM($GR$2:GR58))</f>
        <v>0</v>
      </c>
      <c r="GT58" s="160">
        <f>IF([chambre3]*1='CHAMBRES GARCONS RDC'!$A$11,1,0)</f>
        <v>0</v>
      </c>
      <c r="GU58" s="160">
        <f>IF([Occurrence34]=0,0,SUM($GT$2:GT58))</f>
        <v>0</v>
      </c>
      <c r="GV58" s="160">
        <f>IF([chambre3]*1='CHAMBRES GARCONS RDC'!$A$17,1,0)</f>
        <v>0</v>
      </c>
      <c r="GW58" s="160">
        <f>IF([Occurrence35]=0,0,SUM($GV$2:GV58))</f>
        <v>0</v>
      </c>
      <c r="GX58" s="160">
        <f>IF([chambre3]*1='CHAMBRES GARCONS RDC'!$A$23,1,0)</f>
        <v>0</v>
      </c>
      <c r="GY58" s="160">
        <f>IF([Occurrence36]=0,0,SUM($GX$2:GX58))</f>
        <v>0</v>
      </c>
      <c r="GZ58" s="160">
        <f>IF([chambre3]*1='CHAMBRES GARCONS RDC'!$A$29,1,0)</f>
        <v>0</v>
      </c>
      <c r="HA58" s="160">
        <f>IF([Occurrence37]=0,0,SUM($GZ$2:GZ58))</f>
        <v>0</v>
      </c>
      <c r="HB58" s="160">
        <f>IF([chambre3]*1='CHAMBRES GARCONS RDC'!$A$35,1,0)</f>
        <v>0</v>
      </c>
      <c r="HC58" s="160">
        <f>IF([Occurrence38]=0,0,SUM($HB$2:HB58))</f>
        <v>0</v>
      </c>
      <c r="HD58" s="160">
        <f>IF([chambre3]*1='CHAMBRES GARCONS RDC'!$A$41,1,0)</f>
        <v>0</v>
      </c>
      <c r="HE58" s="160">
        <f>IF([Occurrence39]=0,0,SUM($HD$2:HD58))</f>
        <v>0</v>
      </c>
      <c r="HF58" s="160">
        <f>IF([chambre3]*1='CHAMBRES GARCONS RDC'!$A$47,1,0)</f>
        <v>0</v>
      </c>
      <c r="HG58" s="160">
        <f>IF([Occurrence40]=0,0,SUM($HF$2:HF58))</f>
        <v>0</v>
      </c>
      <c r="HH58" s="160">
        <f>IF([chambre3]*1='CHAMBRES GARCONS RDC'!$A$53,1,0)</f>
        <v>0</v>
      </c>
      <c r="HI58" s="160">
        <f>IF([Occurrence41]=0,0,SUM($HH$2:HH58))</f>
        <v>0</v>
      </c>
      <c r="HJ58" s="160">
        <f>IF([chambre3]*1='CHAMBRES GARCONS RDC'!$A$59,1,0)</f>
        <v>0</v>
      </c>
      <c r="HK58" s="160">
        <f>IF([Occurrence42]=0,0,SUM($HJ$2:HJ58))</f>
        <v>0</v>
      </c>
      <c r="HL58" s="160">
        <f>IF([chambre3]*1='CHAMBRES GARCONS RDC'!$A$65,1,0)</f>
        <v>0</v>
      </c>
      <c r="HM58" s="160">
        <f>IF([Occurrence43]=0,0,SUM($HL$2:HL58))</f>
        <v>0</v>
      </c>
      <c r="HN58" s="160">
        <f>IF([chambre3]*1='CHAMBRES GARCONS RDC'!$A$71,1,0)</f>
        <v>0</v>
      </c>
      <c r="HO58" s="160">
        <f>IF([Occurrence44]=0,0,SUM($HN$2:HN58))</f>
        <v>0</v>
      </c>
      <c r="HP58" s="160">
        <f>IF([chambre3]*1='CHAMBRES GARCONS RDC'!$A$77,1,0)</f>
        <v>0</v>
      </c>
      <c r="HQ58" s="160">
        <f>IF([Occurrence45]=0,0,SUM($HP$2:HP58))</f>
        <v>0</v>
      </c>
      <c r="HR58" s="160">
        <f>IF([chambre3]*1='CHAMBRES GARCONS RDC'!$A$83,1,0)</f>
        <v>0</v>
      </c>
      <c r="HS58" s="160">
        <f>IF([Occurrence46]=0,0,SUM($HR$2:HR58))</f>
        <v>0</v>
      </c>
      <c r="HT58" s="160">
        <f>IF([chambre3]*1='CHAMBRES GARCONS RDC'!$A$89,1,0)</f>
        <v>0</v>
      </c>
      <c r="HU58" s="160">
        <f>IF([Occurrence47]=0,0,SUM($HT$2:HT58))</f>
        <v>0</v>
      </c>
      <c r="HV58" s="160">
        <f>IF([chambre3]*1='CHAMBRES GARCONS RDC'!$A$95,1,0)</f>
        <v>0</v>
      </c>
      <c r="HW58" s="160">
        <f>IF([Occurrence48]=0,0,SUM($HV$2:HV58))</f>
        <v>0</v>
      </c>
      <c r="HX58" s="160"/>
      <c r="HY58" s="160"/>
      <c r="HZ58" s="160">
        <f>IF([Classe]='Liste élève par classes'!$B$5,1,0)</f>
        <v>0</v>
      </c>
      <c r="IA58" s="160">
        <f>IF([Occurrence]=0,0,SUM($HZ$2:HZ58))</f>
        <v>0</v>
      </c>
      <c r="IB5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58" s="208"/>
    </row>
    <row r="59" spans="1:237">
      <c r="A59" t="s">
        <v>349</v>
      </c>
      <c r="B59" t="s">
        <v>350</v>
      </c>
      <c r="C59" s="158">
        <v>37115</v>
      </c>
      <c r="D59" s="62">
        <f t="shared" ca="1" si="0"/>
        <v>16</v>
      </c>
      <c r="E59" t="s">
        <v>8</v>
      </c>
      <c r="F59" s="159" t="s">
        <v>50</v>
      </c>
      <c r="G59" t="s">
        <v>45</v>
      </c>
      <c r="H59" s="160"/>
      <c r="I59" s="62"/>
      <c r="J59" s="62"/>
      <c r="K59" s="62"/>
      <c r="L59" s="61"/>
      <c r="M59">
        <v>99</v>
      </c>
      <c r="N59" s="62"/>
      <c r="O59" s="62"/>
      <c r="P59" s="62"/>
      <c r="Q59" s="62"/>
      <c r="R59" s="62"/>
      <c r="S59" s="191"/>
      <c r="T59" s="62"/>
      <c r="U59" s="61">
        <v>132</v>
      </c>
      <c r="V59" s="62"/>
      <c r="W59" s="62"/>
      <c r="X59" s="62"/>
      <c r="Y59" s="62"/>
      <c r="Z59" s="62"/>
      <c r="AA59" s="62"/>
      <c r="AB59" s="62"/>
      <c r="AC59" s="62"/>
      <c r="AD59" s="62"/>
      <c r="AE59" s="62"/>
      <c r="AF59" s="163"/>
      <c r="AG59" s="163"/>
      <c r="AH59" s="163"/>
      <c r="AI59" s="163"/>
      <c r="AJ59" s="163"/>
      <c r="AK59" s="163"/>
      <c r="AL59" s="163"/>
      <c r="AM59" s="163"/>
      <c r="AN59" s="163"/>
      <c r="AO59" s="163"/>
      <c r="AP59" s="163"/>
      <c r="AQ59" s="163"/>
      <c r="AR59" s="163"/>
      <c r="AS59" s="163"/>
      <c r="AT59" s="163"/>
      <c r="AU59" s="163"/>
      <c r="AV59" s="163"/>
      <c r="AW59" s="163"/>
      <c r="AX59" s="163"/>
      <c r="AY59" s="163"/>
      <c r="AZ59" s="163"/>
      <c r="BA59" s="163"/>
      <c r="BB59" s="163"/>
      <c r="BC59" s="163" t="b">
        <v>0</v>
      </c>
      <c r="BD59" s="163" t="b">
        <v>1</v>
      </c>
      <c r="BE59" s="163" t="b">
        <v>1</v>
      </c>
      <c r="BF59" s="163" t="b">
        <v>0</v>
      </c>
      <c r="BG59" s="164" t="b">
        <v>0</v>
      </c>
      <c r="BH59" s="163" t="b">
        <v>1</v>
      </c>
      <c r="BI59" s="163"/>
      <c r="BJ59" s="163"/>
      <c r="BK59" s="163"/>
      <c r="BL59" s="163"/>
      <c r="BM59" s="163"/>
      <c r="BN59" s="163"/>
      <c r="BO59" s="163"/>
      <c r="BP59" s="163"/>
      <c r="BQ59" s="163" t="b">
        <v>0</v>
      </c>
      <c r="BR59" s="163"/>
      <c r="BS59" s="163"/>
      <c r="BT59" s="163"/>
      <c r="BU59" s="163"/>
      <c r="BV59" s="163"/>
      <c r="BW59" s="163"/>
      <c r="BX59" s="163"/>
      <c r="BY59" s="163"/>
      <c r="BZ59" s="163"/>
      <c r="CA59" s="163"/>
      <c r="CB59" s="163"/>
      <c r="CC59" s="163"/>
      <c r="CD59" s="163"/>
      <c r="CE59" s="163"/>
      <c r="CF59" s="163"/>
      <c r="CG59" s="163"/>
      <c r="CH59" s="163"/>
      <c r="CI59" s="163"/>
      <c r="CJ59" s="163"/>
      <c r="CK59" s="163"/>
      <c r="CL59" s="163"/>
      <c r="CM59" s="163"/>
      <c r="CN59" s="163"/>
      <c r="CO59" s="163"/>
      <c r="CP59" s="163"/>
      <c r="CQ59" s="163"/>
      <c r="CR59" s="163"/>
      <c r="CS59" s="163"/>
      <c r="CT59" s="163"/>
      <c r="CU59" s="163"/>
      <c r="CV59" s="163"/>
      <c r="CW59" s="163"/>
      <c r="CX59" s="163"/>
      <c r="CY59" s="163"/>
      <c r="CZ59" s="163"/>
      <c r="DA59" s="163"/>
      <c r="DB59" s="163"/>
      <c r="DC59" s="163"/>
      <c r="DD59" s="163"/>
      <c r="DE59" s="163"/>
      <c r="DF59" s="163"/>
      <c r="DG59" s="208"/>
      <c r="DH59" s="163"/>
      <c r="DI59" s="163"/>
      <c r="DJ59" s="163"/>
      <c r="DK59" s="163"/>
      <c r="DL59" s="163"/>
      <c r="DM59" s="163"/>
      <c r="DN59" s="163"/>
      <c r="DO59" s="163"/>
      <c r="DP59" s="163"/>
      <c r="DQ59" s="163"/>
      <c r="DR59" s="163"/>
      <c r="DS59" s="163"/>
      <c r="DT59" s="163"/>
      <c r="DU59" s="163"/>
      <c r="DV59" s="163"/>
      <c r="DW59" s="163"/>
      <c r="DX59" s="163"/>
      <c r="DY59" s="163"/>
      <c r="DZ59" s="163"/>
      <c r="EA59" s="163"/>
      <c r="EB59" s="163"/>
      <c r="EC59" s="163"/>
      <c r="ED59" s="163"/>
      <c r="EE59" s="163"/>
      <c r="EF59" s="163"/>
      <c r="EG59" s="163"/>
      <c r="EH59" s="160">
        <f>IF([Chambre]*1='CHAMBRES FILLES 2e ETAGE'!$A$5,1,0)</f>
        <v>0</v>
      </c>
      <c r="EI59" s="161">
        <f>IF([Occurrence2]=0,0,SUM($EH$2:EH59))</f>
        <v>0</v>
      </c>
      <c r="EJ59" s="160">
        <f>IF([Chambre]*1='CHAMBRES FILLES 2e ETAGE'!$A$11,1,0)</f>
        <v>0</v>
      </c>
      <c r="EK59" s="160">
        <f>IF([Occurrence3]=0,0,SUM($EJ$2:EJ59))</f>
        <v>0</v>
      </c>
      <c r="EL59" s="160">
        <f>IF([Chambre]*1='CHAMBRES FILLES 2e ETAGE'!$A$17,1,0)</f>
        <v>0</v>
      </c>
      <c r="EM59" s="160">
        <f>IF([Occurrence4]=0,0,SUM($EL$2:EL59))</f>
        <v>0</v>
      </c>
      <c r="EN59" s="160">
        <f>IF([Chambre]*1='CHAMBRES FILLES 2e ETAGE'!$A$23,1,0)</f>
        <v>0</v>
      </c>
      <c r="EO59" s="160">
        <f>IF([Occurrence5]=0,0,SUM($EN$2:EN59))</f>
        <v>0</v>
      </c>
      <c r="EP59" s="160">
        <f>IF([Chambre]*1='CHAMBRES FILLES 2e ETAGE'!$A$29,1,0)</f>
        <v>0</v>
      </c>
      <c r="EQ59" s="160">
        <f>IF([Occurrence6]=0,0,SUM($EP$2:EP59))</f>
        <v>0</v>
      </c>
      <c r="ER59" s="160">
        <f>IF([Chambre]*1='CHAMBRES FILLES 2e ETAGE'!$A$35,1,0)</f>
        <v>0</v>
      </c>
      <c r="ES59" s="160">
        <f>IF([Occurrence7]=0,0,SUM($ER$2:ER59))</f>
        <v>0</v>
      </c>
      <c r="ET59" s="160">
        <f>IF([Chambre]*1='CHAMBRES FILLES 2e ETAGE'!$A$41,1,0)</f>
        <v>0</v>
      </c>
      <c r="EU59" s="160">
        <f>IF([Occurrence8]=0,0,SUM($ET$2:ET59))</f>
        <v>0</v>
      </c>
      <c r="EV59" s="160">
        <f>IF([Chambre]*1='CHAMBRES FILLES 2e ETAGE'!$A$47,1,0)</f>
        <v>0</v>
      </c>
      <c r="EW59" s="160">
        <f>IF([Occurrence9]=0,0,SUM($EV$2:EV59))</f>
        <v>0</v>
      </c>
      <c r="EX59" s="160">
        <f>IF([Chambre]*1='CHAMBRES FILLES 2e ETAGE'!$A$53,1,0)</f>
        <v>0</v>
      </c>
      <c r="EY59" s="160">
        <f>IF([Occurrence10]=0,0,SUM($EX$2:EX59))</f>
        <v>0</v>
      </c>
      <c r="EZ59" s="160">
        <f>IF([Chambre]*1='CHAMBRES FILLES 2e ETAGE'!$A$59,1,0)</f>
        <v>0</v>
      </c>
      <c r="FA59" s="160">
        <f>IF([Occurrence11]=0,0,SUM($EZ$2:EZ59))</f>
        <v>0</v>
      </c>
      <c r="FB59" s="160">
        <f>IF([Chambre]*1='CHAMBRES FILLES 2e ETAGE'!$A$65,1,0)</f>
        <v>0</v>
      </c>
      <c r="FC59" s="160">
        <f>IF([Occurrence12]=0,0,SUM($FB$2:FB59))</f>
        <v>0</v>
      </c>
      <c r="FD59" s="160">
        <f>IF([Chambre]*1='CHAMBRES FILLES 2e ETAGE'!$A$71,1,0)</f>
        <v>0</v>
      </c>
      <c r="FE59" s="160">
        <f>IF([Occurrence13]=0,0,SUM($FD$2:FD59))</f>
        <v>0</v>
      </c>
      <c r="FF59" s="160">
        <f>IF([Chambre]*1='CHAMBRES FILLES 2e ETAGE'!$A$77,1,0)</f>
        <v>0</v>
      </c>
      <c r="FG59" s="160">
        <f>IF([Occurrence14]=0,0,SUM($FF$2:FF59))</f>
        <v>0</v>
      </c>
      <c r="FH59" s="160">
        <f>IF([Chambre]*1='CHAMBRES FILLES 2e ETAGE'!$A$83,1,0)</f>
        <v>0</v>
      </c>
      <c r="FI59" s="160">
        <f>IF([Occurrence15]=0,0,SUM($FH$2:FH59))</f>
        <v>0</v>
      </c>
      <c r="FJ59" s="160">
        <f>IF([Chambre]*1='CHAMBRES FILLES 2e ETAGE'!$A$89,1,0)</f>
        <v>0</v>
      </c>
      <c r="FK59" s="160">
        <f>IF([Occurrence16]=0,0,SUM($FJ$2:FJ59))</f>
        <v>0</v>
      </c>
      <c r="FL59" s="160">
        <f>IF([Chambre]*1='CHAMBRES FILLES 2e ETAGE'!$A$95,1,0)</f>
        <v>0</v>
      </c>
      <c r="FM59" s="160">
        <f>IF([Occurrence17]=0,0,SUM($FL$2:FL59))</f>
        <v>0</v>
      </c>
      <c r="FN59" s="160">
        <f>IF([Chambre2]*1='CHAMBRES FILLES 1e ETAGE'!$A$5,1,0)</f>
        <v>1</v>
      </c>
      <c r="FO59" s="160">
        <f>IF([Occurrence18]=0,0,SUM($FN$2:FN59))</f>
        <v>1</v>
      </c>
      <c r="FP59" s="160">
        <f>IF([Chambre2]*1='CHAMBRES FILLES 1e ETAGE'!$A$11,1,0)</f>
        <v>0</v>
      </c>
      <c r="FQ59" s="160">
        <f>IF([Occurrence19]=0,0,SUM($FP$2:FP59))</f>
        <v>0</v>
      </c>
      <c r="FR59" s="160">
        <f>IF([Chambre2]*1='CHAMBRES FILLES 1e ETAGE'!$A$17,1,0)</f>
        <v>0</v>
      </c>
      <c r="FS59" s="160">
        <f>IF([Occurrence20]=0,0,SUM($FR$2:FR59))</f>
        <v>0</v>
      </c>
      <c r="FT59" s="160">
        <f>IF([Chambre2]*1='CHAMBRES FILLES 1e ETAGE'!$A$23,1,0)</f>
        <v>0</v>
      </c>
      <c r="FU59" s="160">
        <f>IF([Occurrence21]=0,0,SUM($FT$2:FT59))</f>
        <v>0</v>
      </c>
      <c r="FV59" s="160">
        <f>IF([Chambre2]*1='CHAMBRES FILLES 1e ETAGE'!$A$29,1,0)</f>
        <v>0</v>
      </c>
      <c r="FW59" s="160">
        <f>IF([Occurrence22]=0,0,SUM($FV$2:FV59))</f>
        <v>0</v>
      </c>
      <c r="FX59" s="160">
        <f>IF([Chambre2]*1='CHAMBRES FILLES 1e ETAGE'!$A$35,1,0)</f>
        <v>0</v>
      </c>
      <c r="FY59" s="160">
        <f>IF([Occurrence23]=0,0,SUM($FX$2:FX59))</f>
        <v>0</v>
      </c>
      <c r="FZ59" s="160">
        <f>IF([Chambre2]*1='CHAMBRES FILLES 1e ETAGE'!$A$41,1,0)</f>
        <v>0</v>
      </c>
      <c r="GA59" s="160">
        <f>IF([Occurrence24]=0,0,SUM($FZ$2:FZ59))</f>
        <v>0</v>
      </c>
      <c r="GB59" s="160">
        <f>IF([Chambre2]*1='CHAMBRES FILLES 1e ETAGE'!$A$47,1,0)</f>
        <v>0</v>
      </c>
      <c r="GC59" s="160">
        <f>IF([Occurrence25]=0,0,SUM($GB$2:GB59))</f>
        <v>0</v>
      </c>
      <c r="GD59" s="160">
        <f>IF([Chambre2]*1='CHAMBRES FILLES 1e ETAGE'!$A$53,1,0)</f>
        <v>0</v>
      </c>
      <c r="GE59" s="160">
        <f>IF([Occurrence26]=0,0,SUM($GD$2:GD59))</f>
        <v>0</v>
      </c>
      <c r="GF59" s="160">
        <f>IF([chambre4]*1='CHAMBRES GARCONS 1e ETAGE'!$A$5,1,0)</f>
        <v>0</v>
      </c>
      <c r="GG59" s="160">
        <f>IF([Occurrence27]=0,0,SUM($GF$2:GF59))</f>
        <v>0</v>
      </c>
      <c r="GH59" s="160">
        <f>IF([chambre4]*1='CHAMBRES GARCONS 1e ETAGE'!$A$11,1,0)</f>
        <v>0</v>
      </c>
      <c r="GI59" s="160">
        <f>IF([Occurrence28]=0,0,SUM($GH$2:GH59))</f>
        <v>0</v>
      </c>
      <c r="GJ59" s="160">
        <f>IF([chambre4]*1='CHAMBRES GARCONS 1e ETAGE'!$A$17,1,0)</f>
        <v>0</v>
      </c>
      <c r="GK59" s="160">
        <f>IF([Occurrence29]=0,0,SUM($GJ$2:GJ59))</f>
        <v>0</v>
      </c>
      <c r="GL59" s="160">
        <f>IF([chambre4]*1='CHAMBRES GARCONS 1e ETAGE'!$A$23,1,0)</f>
        <v>0</v>
      </c>
      <c r="GM59" s="160">
        <f>IF([Occurrence30]=0,0,SUM($GL$2:GL59))</f>
        <v>0</v>
      </c>
      <c r="GN59" s="160">
        <f>IF([chambre4]*1='CHAMBRES GARCONS 1e ETAGE'!$A$29,1,0)</f>
        <v>0</v>
      </c>
      <c r="GO59" s="160">
        <f>IF([Occurrence31]=0,0,SUM($GN$2:GN59))</f>
        <v>0</v>
      </c>
      <c r="GP59" s="160">
        <f>IF([chambre4]*1='CHAMBRES GARCONS 1e ETAGE'!$A$35,1,0)</f>
        <v>0</v>
      </c>
      <c r="GQ59" s="160">
        <f>IF([Occurrence32]=0,0,SUM($GP$2:GP59))</f>
        <v>0</v>
      </c>
      <c r="GR59" s="160">
        <f>IF([chambre3]*1='CHAMBRES GARCONS RDC'!$A$5,1,0)</f>
        <v>0</v>
      </c>
      <c r="GS59" s="160">
        <f>IF([Occurrence33]=0,0,SUM($GR$2:GR59))</f>
        <v>0</v>
      </c>
      <c r="GT59" s="160">
        <f>IF([chambre3]*1='CHAMBRES GARCONS RDC'!$A$11,1,0)</f>
        <v>0</v>
      </c>
      <c r="GU59" s="160">
        <f>IF([Occurrence34]=0,0,SUM($GT$2:GT59))</f>
        <v>0</v>
      </c>
      <c r="GV59" s="160">
        <f>IF([chambre3]*1='CHAMBRES GARCONS RDC'!$A$17,1,0)</f>
        <v>0</v>
      </c>
      <c r="GW59" s="160">
        <f>IF([Occurrence35]=0,0,SUM($GV$2:GV59))</f>
        <v>0</v>
      </c>
      <c r="GX59" s="160">
        <f>IF([chambre3]*1='CHAMBRES GARCONS RDC'!$A$23,1,0)</f>
        <v>0</v>
      </c>
      <c r="GY59" s="160">
        <f>IF([Occurrence36]=0,0,SUM($GX$2:GX59))</f>
        <v>0</v>
      </c>
      <c r="GZ59" s="160">
        <f>IF([chambre3]*1='CHAMBRES GARCONS RDC'!$A$29,1,0)</f>
        <v>0</v>
      </c>
      <c r="HA59" s="160">
        <f>IF([Occurrence37]=0,0,SUM($GZ$2:GZ59))</f>
        <v>0</v>
      </c>
      <c r="HB59" s="160">
        <f>IF([chambre3]*1='CHAMBRES GARCONS RDC'!$A$35,1,0)</f>
        <v>0</v>
      </c>
      <c r="HC59" s="160">
        <f>IF([Occurrence38]=0,0,SUM($HB$2:HB59))</f>
        <v>0</v>
      </c>
      <c r="HD59" s="160">
        <f>IF([chambre3]*1='CHAMBRES GARCONS RDC'!$A$41,1,0)</f>
        <v>0</v>
      </c>
      <c r="HE59" s="160">
        <f>IF([Occurrence39]=0,0,SUM($HD$2:HD59))</f>
        <v>0</v>
      </c>
      <c r="HF59" s="160">
        <f>IF([chambre3]*1='CHAMBRES GARCONS RDC'!$A$47,1,0)</f>
        <v>0</v>
      </c>
      <c r="HG59" s="160">
        <f>IF([Occurrence40]=0,0,SUM($HF$2:HF59))</f>
        <v>0</v>
      </c>
      <c r="HH59" s="160">
        <f>IF([chambre3]*1='CHAMBRES GARCONS RDC'!$A$53,1,0)</f>
        <v>0</v>
      </c>
      <c r="HI59" s="160">
        <f>IF([Occurrence41]=0,0,SUM($HH$2:HH59))</f>
        <v>0</v>
      </c>
      <c r="HJ59" s="160">
        <f>IF([chambre3]*1='CHAMBRES GARCONS RDC'!$A$59,1,0)</f>
        <v>0</v>
      </c>
      <c r="HK59" s="160">
        <f>IF([Occurrence42]=0,0,SUM($HJ$2:HJ59))</f>
        <v>0</v>
      </c>
      <c r="HL59" s="160">
        <f>IF([chambre3]*1='CHAMBRES GARCONS RDC'!$A$65,1,0)</f>
        <v>0</v>
      </c>
      <c r="HM59" s="160">
        <f>IF([Occurrence43]=0,0,SUM($HL$2:HL59))</f>
        <v>0</v>
      </c>
      <c r="HN59" s="160">
        <f>IF([chambre3]*1='CHAMBRES GARCONS RDC'!$A$71,1,0)</f>
        <v>0</v>
      </c>
      <c r="HO59" s="160">
        <f>IF([Occurrence44]=0,0,SUM($HN$2:HN59))</f>
        <v>0</v>
      </c>
      <c r="HP59" s="160">
        <f>IF([chambre3]*1='CHAMBRES GARCONS RDC'!$A$77,1,0)</f>
        <v>0</v>
      </c>
      <c r="HQ59" s="160">
        <f>IF([Occurrence45]=0,0,SUM($HP$2:HP59))</f>
        <v>0</v>
      </c>
      <c r="HR59" s="160">
        <f>IF([chambre3]*1='CHAMBRES GARCONS RDC'!$A$83,1,0)</f>
        <v>0</v>
      </c>
      <c r="HS59" s="160">
        <f>IF([Occurrence46]=0,0,SUM($HR$2:HR59))</f>
        <v>0</v>
      </c>
      <c r="HT59" s="160">
        <f>IF([chambre3]*1='CHAMBRES GARCONS RDC'!$A$89,1,0)</f>
        <v>0</v>
      </c>
      <c r="HU59" s="160">
        <f>IF([Occurrence47]=0,0,SUM($HT$2:HT59))</f>
        <v>0</v>
      </c>
      <c r="HV59" s="160">
        <f>IF([chambre3]*1='CHAMBRES GARCONS RDC'!$A$95,1,0)</f>
        <v>0</v>
      </c>
      <c r="HW59" s="160">
        <f>IF([Occurrence48]=0,0,SUM($HV$2:HV59))</f>
        <v>0</v>
      </c>
      <c r="HX59" s="160"/>
      <c r="HY59" s="160"/>
      <c r="HZ59" s="160">
        <f>IF([Classe]='Liste élève par classes'!$B$5,1,0)</f>
        <v>1</v>
      </c>
      <c r="IA59" s="160">
        <f>IF([Occurrence]=0,0,SUM($HZ$2:HZ59))</f>
        <v>5</v>
      </c>
      <c r="IB5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132</v>
      </c>
      <c r="IC59" s="208"/>
    </row>
    <row r="60" spans="1:237">
      <c r="A60" t="s">
        <v>351</v>
      </c>
      <c r="B60" t="s">
        <v>352</v>
      </c>
      <c r="C60" s="158">
        <v>37475</v>
      </c>
      <c r="D60" s="62">
        <f t="shared" ca="1" si="0"/>
        <v>15</v>
      </c>
      <c r="E60" t="s">
        <v>7</v>
      </c>
      <c r="F60" s="159" t="s">
        <v>46</v>
      </c>
      <c r="G60" t="s">
        <v>40</v>
      </c>
      <c r="H60" s="160"/>
      <c r="I60" s="62"/>
      <c r="J60" s="161" t="s">
        <v>244</v>
      </c>
      <c r="K60" s="161"/>
      <c r="L60" s="160"/>
      <c r="M60">
        <v>6</v>
      </c>
      <c r="N60" s="161" t="s">
        <v>244</v>
      </c>
      <c r="O60" s="161" t="s">
        <v>244</v>
      </c>
      <c r="P60" s="161" t="s">
        <v>244</v>
      </c>
      <c r="Q60" s="161" t="s">
        <v>244</v>
      </c>
      <c r="R60" s="161" t="s">
        <v>244</v>
      </c>
      <c r="S60" s="161"/>
      <c r="T60" s="161" t="s">
        <v>244</v>
      </c>
      <c r="U60" s="160"/>
      <c r="V60" s="161" t="s">
        <v>244</v>
      </c>
      <c r="W60" s="161" t="s">
        <v>244</v>
      </c>
      <c r="X60" s="161" t="s">
        <v>244</v>
      </c>
      <c r="Y60" s="161" t="s">
        <v>244</v>
      </c>
      <c r="Z60" s="161" t="s">
        <v>244</v>
      </c>
      <c r="AA60" s="161" t="s">
        <v>244</v>
      </c>
      <c r="AB60" s="161" t="s">
        <v>244</v>
      </c>
      <c r="AC60" s="161" t="s">
        <v>244</v>
      </c>
      <c r="AD60" s="161" t="s">
        <v>244</v>
      </c>
      <c r="AE60" s="161" t="s">
        <v>244</v>
      </c>
      <c r="AF60" s="163" t="s">
        <v>244</v>
      </c>
      <c r="AG60" s="163" t="s">
        <v>244</v>
      </c>
      <c r="AH60" s="163" t="s">
        <v>244</v>
      </c>
      <c r="AI60" s="163"/>
      <c r="AJ60" s="163"/>
      <c r="AK60" s="163"/>
      <c r="AL60" s="163"/>
      <c r="AM60" s="163"/>
      <c r="AN60" s="163"/>
      <c r="AO60" s="163"/>
      <c r="AP60" s="163"/>
      <c r="AQ60" s="163"/>
      <c r="AR60" s="163"/>
      <c r="AS60" s="163"/>
      <c r="AT60" s="163"/>
      <c r="AU60" s="163"/>
      <c r="AV60" s="163"/>
      <c r="AW60" s="163"/>
      <c r="AX60" s="163"/>
      <c r="AY60" s="163"/>
      <c r="AZ60" s="163"/>
      <c r="BA60" s="163"/>
      <c r="BB60" s="163"/>
      <c r="BC60" s="163"/>
      <c r="BD60" s="163"/>
      <c r="BE60" s="163"/>
      <c r="BF60" s="163"/>
      <c r="BG60" s="163"/>
      <c r="BH60" s="163"/>
      <c r="BI60" s="163"/>
      <c r="BJ60" s="163"/>
      <c r="BK60" s="163"/>
      <c r="BL60" s="163"/>
      <c r="BM60" s="163"/>
      <c r="BN60" s="163"/>
      <c r="BO60" s="163"/>
      <c r="BP60" s="163"/>
      <c r="BQ60" s="163"/>
      <c r="BR60" s="163"/>
      <c r="BS60" s="163"/>
      <c r="BT60" s="163"/>
      <c r="BU60" s="163"/>
      <c r="BV60" s="163"/>
      <c r="BW60" s="163"/>
      <c r="BX60" s="163"/>
      <c r="BY60" s="163"/>
      <c r="BZ60" s="163"/>
      <c r="CA60" s="163"/>
      <c r="CB60" s="163"/>
      <c r="CC60" s="163"/>
      <c r="CD60" s="163"/>
      <c r="CE60" s="163"/>
      <c r="CF60" s="163"/>
      <c r="CG60" s="163"/>
      <c r="CH60" s="163"/>
      <c r="CI60" s="163"/>
      <c r="CJ60" s="163"/>
      <c r="CK60" s="163"/>
      <c r="CL60" s="163"/>
      <c r="CM60" s="163"/>
      <c r="CN60" s="163"/>
      <c r="CO60" s="163"/>
      <c r="CP60" s="163"/>
      <c r="CQ60" s="163"/>
      <c r="CR60" s="163"/>
      <c r="CS60" s="163"/>
      <c r="CT60" s="163"/>
      <c r="CU60" s="163"/>
      <c r="CV60" s="163"/>
      <c r="CW60" s="163"/>
      <c r="CX60" s="163"/>
      <c r="CY60" s="163"/>
      <c r="CZ60" s="163"/>
      <c r="DA60" s="163"/>
      <c r="DB60" s="163"/>
      <c r="DC60" s="163"/>
      <c r="DD60" s="163"/>
      <c r="DE60" s="163"/>
      <c r="DF60" s="163"/>
      <c r="DG60" s="163"/>
      <c r="DH60" s="163"/>
      <c r="DI60" s="163"/>
      <c r="DJ60" s="163"/>
      <c r="DK60" s="163"/>
      <c r="DL60" s="163"/>
      <c r="DM60" s="163"/>
      <c r="DN60" s="163"/>
      <c r="DO60" s="163"/>
      <c r="DP60" s="163"/>
      <c r="DQ60" s="163"/>
      <c r="DR60" s="163"/>
      <c r="DS60" s="163"/>
      <c r="DT60" s="163"/>
      <c r="DU60" s="163"/>
      <c r="DV60" s="163"/>
      <c r="DW60" s="163"/>
      <c r="DX60" s="163"/>
      <c r="DY60" s="163"/>
      <c r="DZ60" s="163"/>
      <c r="EA60" s="163"/>
      <c r="EB60" s="163"/>
      <c r="EC60" s="163"/>
      <c r="ED60" s="163"/>
      <c r="EE60" s="163"/>
      <c r="EF60" s="163"/>
      <c r="EG60" s="163"/>
      <c r="EH60" s="160">
        <f>IF([Chambre]*1='CHAMBRES FILLES 2e ETAGE'!$A$5,1,0)</f>
        <v>0</v>
      </c>
      <c r="EI60" s="161">
        <f>IF([Occurrence2]=0,0,SUM($EH$2:EH60))</f>
        <v>0</v>
      </c>
      <c r="EJ60" s="160">
        <f>IF([Chambre]*1='CHAMBRES FILLES 2e ETAGE'!$A$11,1,0)</f>
        <v>0</v>
      </c>
      <c r="EK60" s="160">
        <f>IF([Occurrence3]=0,0,SUM($EJ$2:EJ60))</f>
        <v>0</v>
      </c>
      <c r="EL60" s="160">
        <f>IF([Chambre]*1='CHAMBRES FILLES 2e ETAGE'!$A$17,1,0)</f>
        <v>0</v>
      </c>
      <c r="EM60" s="160">
        <f>IF([Occurrence4]=0,0,SUM($EL$2:EL60))</f>
        <v>0</v>
      </c>
      <c r="EN60" s="160">
        <f>IF([Chambre]*1='CHAMBRES FILLES 2e ETAGE'!$A$23,1,0)</f>
        <v>0</v>
      </c>
      <c r="EO60" s="160">
        <f>IF([Occurrence5]=0,0,SUM($EN$2:EN60))</f>
        <v>0</v>
      </c>
      <c r="EP60" s="160">
        <f>IF([Chambre]*1='CHAMBRES FILLES 2e ETAGE'!$A$29,1,0)</f>
        <v>0</v>
      </c>
      <c r="EQ60" s="160">
        <f>IF([Occurrence6]=0,0,SUM($EP$2:EP60))</f>
        <v>0</v>
      </c>
      <c r="ER60" s="160">
        <f>IF([Chambre]*1='CHAMBRES FILLES 2e ETAGE'!$A$35,1,0)</f>
        <v>0</v>
      </c>
      <c r="ES60" s="160">
        <f>IF([Occurrence7]=0,0,SUM($ER$2:ER60))</f>
        <v>0</v>
      </c>
      <c r="ET60" s="160">
        <f>IF([Chambre]*1='CHAMBRES FILLES 2e ETAGE'!$A$41,1,0)</f>
        <v>0</v>
      </c>
      <c r="EU60" s="160">
        <f>IF([Occurrence8]=0,0,SUM($ET$2:ET60))</f>
        <v>0</v>
      </c>
      <c r="EV60" s="160">
        <f>IF([Chambre]*1='CHAMBRES FILLES 2e ETAGE'!$A$47,1,0)</f>
        <v>0</v>
      </c>
      <c r="EW60" s="160">
        <f>IF([Occurrence9]=0,0,SUM($EV$2:EV60))</f>
        <v>0</v>
      </c>
      <c r="EX60" s="160">
        <f>IF([Chambre]*1='CHAMBRES FILLES 2e ETAGE'!$A$53,1,0)</f>
        <v>0</v>
      </c>
      <c r="EY60" s="160">
        <f>IF([Occurrence10]=0,0,SUM($EX$2:EX60))</f>
        <v>0</v>
      </c>
      <c r="EZ60" s="160">
        <f>IF([Chambre]*1='CHAMBRES FILLES 2e ETAGE'!$A$59,1,0)</f>
        <v>0</v>
      </c>
      <c r="FA60" s="160">
        <f>IF([Occurrence11]=0,0,SUM($EZ$2:EZ60))</f>
        <v>0</v>
      </c>
      <c r="FB60" s="160">
        <f>IF([Chambre]*1='CHAMBRES FILLES 2e ETAGE'!$A$65,1,0)</f>
        <v>0</v>
      </c>
      <c r="FC60" s="160">
        <f>IF([Occurrence12]=0,0,SUM($FB$2:FB60))</f>
        <v>0</v>
      </c>
      <c r="FD60" s="160">
        <f>IF([Chambre]*1='CHAMBRES FILLES 2e ETAGE'!$A$71,1,0)</f>
        <v>0</v>
      </c>
      <c r="FE60" s="160">
        <f>IF([Occurrence13]=0,0,SUM($FD$2:FD60))</f>
        <v>0</v>
      </c>
      <c r="FF60" s="160">
        <f>IF([Chambre]*1='CHAMBRES FILLES 2e ETAGE'!$A$77,1,0)</f>
        <v>0</v>
      </c>
      <c r="FG60" s="160">
        <f>IF([Occurrence14]=0,0,SUM($FF$2:FF60))</f>
        <v>0</v>
      </c>
      <c r="FH60" s="160">
        <f>IF([Chambre]*1='CHAMBRES FILLES 2e ETAGE'!$A$83,1,0)</f>
        <v>0</v>
      </c>
      <c r="FI60" s="160">
        <f>IF([Occurrence15]=0,0,SUM($FH$2:FH60))</f>
        <v>0</v>
      </c>
      <c r="FJ60" s="160">
        <f>IF([Chambre]*1='CHAMBRES FILLES 2e ETAGE'!$A$89,1,0)</f>
        <v>0</v>
      </c>
      <c r="FK60" s="160">
        <f>IF([Occurrence16]=0,0,SUM($FJ$2:FJ60))</f>
        <v>0</v>
      </c>
      <c r="FL60" s="160">
        <f>IF([Chambre]*1='CHAMBRES FILLES 2e ETAGE'!$A$95,1,0)</f>
        <v>0</v>
      </c>
      <c r="FM60" s="160">
        <f>IF([Occurrence17]=0,0,SUM($FL$2:FL60))</f>
        <v>0</v>
      </c>
      <c r="FN60" s="160">
        <f>IF([Chambre2]*1='CHAMBRES FILLES 1e ETAGE'!$A$5,1,0)</f>
        <v>0</v>
      </c>
      <c r="FO60" s="160">
        <f>IF([Occurrence18]=0,0,SUM($FN$2:FN60))</f>
        <v>0</v>
      </c>
      <c r="FP60" s="160">
        <f>IF([Chambre2]*1='CHAMBRES FILLES 1e ETAGE'!$A$11,1,0)</f>
        <v>0</v>
      </c>
      <c r="FQ60" s="160">
        <f>IF([Occurrence19]=0,0,SUM($FP$2:FP60))</f>
        <v>0</v>
      </c>
      <c r="FR60" s="160">
        <f>IF([Chambre2]*1='CHAMBRES FILLES 1e ETAGE'!$A$17,1,0)</f>
        <v>0</v>
      </c>
      <c r="FS60" s="160">
        <f>IF([Occurrence20]=0,0,SUM($FR$2:FR60))</f>
        <v>0</v>
      </c>
      <c r="FT60" s="160">
        <f>IF([Chambre2]*1='CHAMBRES FILLES 1e ETAGE'!$A$23,1,0)</f>
        <v>0</v>
      </c>
      <c r="FU60" s="160">
        <f>IF([Occurrence21]=0,0,SUM($FT$2:FT60))</f>
        <v>0</v>
      </c>
      <c r="FV60" s="160">
        <f>IF([Chambre2]*1='CHAMBRES FILLES 1e ETAGE'!$A$29,1,0)</f>
        <v>0</v>
      </c>
      <c r="FW60" s="160">
        <f>IF([Occurrence22]=0,0,SUM($FV$2:FV60))</f>
        <v>0</v>
      </c>
      <c r="FX60" s="160">
        <f>IF([Chambre2]*1='CHAMBRES FILLES 1e ETAGE'!$A$35,1,0)</f>
        <v>0</v>
      </c>
      <c r="FY60" s="160">
        <f>IF([Occurrence23]=0,0,SUM($FX$2:FX60))</f>
        <v>0</v>
      </c>
      <c r="FZ60" s="160">
        <f>IF([Chambre2]*1='CHAMBRES FILLES 1e ETAGE'!$A$41,1,0)</f>
        <v>0</v>
      </c>
      <c r="GA60" s="160">
        <f>IF([Occurrence24]=0,0,SUM($FZ$2:FZ60))</f>
        <v>0</v>
      </c>
      <c r="GB60" s="160">
        <f>IF([Chambre2]*1='CHAMBRES FILLES 1e ETAGE'!$A$47,1,0)</f>
        <v>0</v>
      </c>
      <c r="GC60" s="160">
        <f>IF([Occurrence25]=0,0,SUM($GB$2:GB60))</f>
        <v>0</v>
      </c>
      <c r="GD60" s="160">
        <f>IF([Chambre2]*1='CHAMBRES FILLES 1e ETAGE'!$A$53,1,0)</f>
        <v>0</v>
      </c>
      <c r="GE60" s="160">
        <f>IF([Occurrence26]=0,0,SUM($GD$2:GD60))</f>
        <v>0</v>
      </c>
      <c r="GF60" s="160">
        <f>IF([chambre4]*1='CHAMBRES GARCONS 1e ETAGE'!$A$5,1,0)</f>
        <v>0</v>
      </c>
      <c r="GG60" s="160">
        <f>IF([Occurrence27]=0,0,SUM($GF$2:GF60))</f>
        <v>0</v>
      </c>
      <c r="GH60" s="160">
        <f>IF([chambre4]*1='CHAMBRES GARCONS 1e ETAGE'!$A$11,1,0)</f>
        <v>0</v>
      </c>
      <c r="GI60" s="160">
        <f>IF([Occurrence28]=0,0,SUM($GH$2:GH60))</f>
        <v>0</v>
      </c>
      <c r="GJ60" s="160">
        <f>IF([chambre4]*1='CHAMBRES GARCONS 1e ETAGE'!$A$17,1,0)</f>
        <v>0</v>
      </c>
      <c r="GK60" s="160">
        <f>IF([Occurrence29]=0,0,SUM($GJ$2:GJ60))</f>
        <v>0</v>
      </c>
      <c r="GL60" s="160">
        <f>IF([chambre4]*1='CHAMBRES GARCONS 1e ETAGE'!$A$23,1,0)</f>
        <v>0</v>
      </c>
      <c r="GM60" s="160">
        <f>IF([Occurrence30]=0,0,SUM($GL$2:GL60))</f>
        <v>0</v>
      </c>
      <c r="GN60" s="160">
        <f>IF([chambre4]*1='CHAMBRES GARCONS 1e ETAGE'!$A$29,1,0)</f>
        <v>0</v>
      </c>
      <c r="GO60" s="160">
        <f>IF([Occurrence31]=0,0,SUM($GN$2:GN60))</f>
        <v>0</v>
      </c>
      <c r="GP60" s="160">
        <f>IF([chambre4]*1='CHAMBRES GARCONS 1e ETAGE'!$A$35,1,0)</f>
        <v>0</v>
      </c>
      <c r="GQ60" s="160">
        <f>IF([Occurrence32]=0,0,SUM($GP$2:GP60))</f>
        <v>0</v>
      </c>
      <c r="GR60" s="160">
        <f>IF([chambre3]*1='CHAMBRES GARCONS RDC'!$A$5,1,0)</f>
        <v>0</v>
      </c>
      <c r="GS60" s="160">
        <f>IF([Occurrence33]=0,0,SUM($GR$2:GR60))</f>
        <v>0</v>
      </c>
      <c r="GT60" s="160">
        <f>IF([chambre3]*1='CHAMBRES GARCONS RDC'!$A$11,1,0)</f>
        <v>0</v>
      </c>
      <c r="GU60" s="160">
        <f>IF([Occurrence34]=0,0,SUM($GT$2:GT60))</f>
        <v>0</v>
      </c>
      <c r="GV60" s="160">
        <f>IF([chambre3]*1='CHAMBRES GARCONS RDC'!$A$17,1,0)</f>
        <v>0</v>
      </c>
      <c r="GW60" s="160">
        <f>IF([Occurrence35]=0,0,SUM($GV$2:GV60))</f>
        <v>0</v>
      </c>
      <c r="GX60" s="160">
        <f>IF([chambre3]*1='CHAMBRES GARCONS RDC'!$A$23,1,0)</f>
        <v>0</v>
      </c>
      <c r="GY60" s="160">
        <f>IF([Occurrence36]=0,0,SUM($GX$2:GX60))</f>
        <v>0</v>
      </c>
      <c r="GZ60" s="160">
        <f>IF([chambre3]*1='CHAMBRES GARCONS RDC'!$A$29,1,0)</f>
        <v>0</v>
      </c>
      <c r="HA60" s="160">
        <f>IF([Occurrence37]=0,0,SUM($GZ$2:GZ60))</f>
        <v>0</v>
      </c>
      <c r="HB60" s="160">
        <f>IF([chambre3]*1='CHAMBRES GARCONS RDC'!$A$35,1,0)</f>
        <v>0</v>
      </c>
      <c r="HC60" s="160">
        <f>IF([Occurrence38]=0,0,SUM($HB$2:HB60))</f>
        <v>0</v>
      </c>
      <c r="HD60" s="160">
        <f>IF([chambre3]*1='CHAMBRES GARCONS RDC'!$A$41,1,0)</f>
        <v>0</v>
      </c>
      <c r="HE60" s="160">
        <f>IF([Occurrence39]=0,0,SUM($HD$2:HD60))</f>
        <v>0</v>
      </c>
      <c r="HF60" s="160">
        <f>IF([chambre3]*1='CHAMBRES GARCONS RDC'!$A$47,1,0)</f>
        <v>0</v>
      </c>
      <c r="HG60" s="160">
        <f>IF([Occurrence40]=0,0,SUM($HF$2:HF60))</f>
        <v>0</v>
      </c>
      <c r="HH60" s="160">
        <f>IF([chambre3]*1='CHAMBRES GARCONS RDC'!$A$53,1,0)</f>
        <v>0</v>
      </c>
      <c r="HI60" s="160">
        <f>IF([Occurrence41]=0,0,SUM($HH$2:HH60))</f>
        <v>0</v>
      </c>
      <c r="HJ60" s="160">
        <f>IF([chambre3]*1='CHAMBRES GARCONS RDC'!$A$59,1,0)</f>
        <v>0</v>
      </c>
      <c r="HK60" s="160">
        <f>IF([Occurrence42]=0,0,SUM($HJ$2:HJ60))</f>
        <v>0</v>
      </c>
      <c r="HL60" s="160">
        <f>IF([chambre3]*1='CHAMBRES GARCONS RDC'!$A$65,1,0)</f>
        <v>0</v>
      </c>
      <c r="HM60" s="160">
        <f>IF([Occurrence43]=0,0,SUM($HL$2:HL60))</f>
        <v>0</v>
      </c>
      <c r="HN60" s="160">
        <f>IF([chambre3]*1='CHAMBRES GARCONS RDC'!$A$71,1,0)</f>
        <v>0</v>
      </c>
      <c r="HO60" s="160">
        <f>IF([Occurrence44]=0,0,SUM($HN$2:HN60))</f>
        <v>0</v>
      </c>
      <c r="HP60" s="160">
        <f>IF([chambre3]*1='CHAMBRES GARCONS RDC'!$A$77,1,0)</f>
        <v>0</v>
      </c>
      <c r="HQ60" s="160">
        <f>IF([Occurrence45]=0,0,SUM($HP$2:HP60))</f>
        <v>0</v>
      </c>
      <c r="HR60" s="160">
        <f>IF([chambre3]*1='CHAMBRES GARCONS RDC'!$A$83,1,0)</f>
        <v>0</v>
      </c>
      <c r="HS60" s="160">
        <f>IF([Occurrence46]=0,0,SUM($HR$2:HR60))</f>
        <v>0</v>
      </c>
      <c r="HT60" s="160">
        <f>IF([chambre3]*1='CHAMBRES GARCONS RDC'!$A$89,1,0)</f>
        <v>0</v>
      </c>
      <c r="HU60" s="160">
        <f>IF([Occurrence47]=0,0,SUM($HT$2:HT60))</f>
        <v>0</v>
      </c>
      <c r="HV60" s="160">
        <f>IF([chambre3]*1='CHAMBRES GARCONS RDC'!$A$95,1,0)</f>
        <v>0</v>
      </c>
      <c r="HW60" s="160">
        <f>IF([Occurrence48]=0,0,SUM($HV$2:HV60))</f>
        <v>0</v>
      </c>
      <c r="HX60" s="160"/>
      <c r="HY60" s="160"/>
      <c r="HZ60" s="160">
        <f>IF([Classe]='Liste élève par classes'!$B$5,1,0)</f>
        <v>0</v>
      </c>
      <c r="IA60" s="160">
        <f>IF([Occurrence]=0,0,SUM($HZ$2:HZ60))</f>
        <v>0</v>
      </c>
      <c r="IB6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60" s="208"/>
    </row>
    <row r="61" spans="1:237">
      <c r="A61" t="s">
        <v>353</v>
      </c>
      <c r="B61" t="s">
        <v>354</v>
      </c>
      <c r="C61" s="158">
        <v>37609</v>
      </c>
      <c r="D61" s="62">
        <f t="shared" ca="1" si="0"/>
        <v>14</v>
      </c>
      <c r="E61" t="s">
        <v>11</v>
      </c>
      <c r="F61" s="159" t="s">
        <v>46</v>
      </c>
      <c r="G61" t="s">
        <v>45</v>
      </c>
      <c r="H61" s="160"/>
      <c r="I61" s="62"/>
      <c r="J61" s="62"/>
      <c r="K61" s="62"/>
      <c r="L61" s="61"/>
      <c r="M61">
        <v>159</v>
      </c>
      <c r="N61" s="62"/>
      <c r="O61" s="62"/>
      <c r="P61" s="62"/>
      <c r="Q61" s="62"/>
      <c r="R61" s="62"/>
      <c r="S61" s="62"/>
      <c r="T61" s="62"/>
      <c r="U61" s="61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163"/>
      <c r="AG61" s="163"/>
      <c r="AH61" s="163"/>
      <c r="AI61" s="163"/>
      <c r="AJ61" s="163"/>
      <c r="AK61" s="163"/>
      <c r="AL61" s="163"/>
      <c r="AM61" s="163"/>
      <c r="AN61" s="163"/>
      <c r="AO61" s="163"/>
      <c r="AP61" s="163"/>
      <c r="AQ61" s="163"/>
      <c r="AR61" s="163"/>
      <c r="AS61" s="163"/>
      <c r="AT61" s="163"/>
      <c r="AU61" s="163"/>
      <c r="AV61" s="163"/>
      <c r="AW61" s="163"/>
      <c r="AX61" s="163"/>
      <c r="AY61" s="163"/>
      <c r="AZ61" s="163"/>
      <c r="BA61" s="163"/>
      <c r="BB61" s="163"/>
      <c r="BC61" s="163"/>
      <c r="BD61" s="163"/>
      <c r="BE61" s="163"/>
      <c r="BF61" s="163"/>
      <c r="BG61" s="163"/>
      <c r="BH61" s="163"/>
      <c r="BI61" s="163"/>
      <c r="BJ61" s="163"/>
      <c r="BK61" s="163"/>
      <c r="BL61" s="163"/>
      <c r="BM61" s="163"/>
      <c r="BN61" s="163"/>
      <c r="BO61" s="163"/>
      <c r="BP61" s="163"/>
      <c r="BQ61" s="163"/>
      <c r="BR61" s="163"/>
      <c r="BS61" s="163"/>
      <c r="BT61" s="163"/>
      <c r="BU61" s="163"/>
      <c r="BV61" s="163"/>
      <c r="BW61" s="163"/>
      <c r="BX61" s="163"/>
      <c r="BY61" s="163"/>
      <c r="BZ61" s="163"/>
      <c r="CA61" s="163"/>
      <c r="CB61" s="163"/>
      <c r="CC61" s="163"/>
      <c r="CD61" s="163"/>
      <c r="CE61" s="163"/>
      <c r="CF61" s="163"/>
      <c r="CG61" s="163"/>
      <c r="CH61" s="163"/>
      <c r="CI61" s="163"/>
      <c r="CJ61" s="163"/>
      <c r="CK61" s="163"/>
      <c r="CL61" s="163"/>
      <c r="CM61" s="163"/>
      <c r="CN61" s="163"/>
      <c r="CO61" s="163"/>
      <c r="CP61" s="163"/>
      <c r="CQ61" s="163"/>
      <c r="CR61" s="163"/>
      <c r="CS61" s="163"/>
      <c r="CT61" s="163"/>
      <c r="CU61" s="163"/>
      <c r="CV61" s="163"/>
      <c r="CW61" s="163"/>
      <c r="CX61" s="163"/>
      <c r="CY61" s="163"/>
      <c r="CZ61" s="163"/>
      <c r="DA61" s="163"/>
      <c r="DB61" s="163"/>
      <c r="DC61" s="163"/>
      <c r="DD61" s="163"/>
      <c r="DE61" s="163"/>
      <c r="DF61" s="163"/>
      <c r="DG61" s="163"/>
      <c r="DH61" s="163"/>
      <c r="DI61" s="163"/>
      <c r="DJ61" s="163"/>
      <c r="DK61" s="163"/>
      <c r="DL61" s="163"/>
      <c r="DM61" s="163"/>
      <c r="DN61" s="163"/>
      <c r="DO61" s="163"/>
      <c r="DP61" s="163"/>
      <c r="DQ61" s="163"/>
      <c r="DR61" s="163"/>
      <c r="DS61" s="163"/>
      <c r="DT61" s="163"/>
      <c r="DU61" s="163"/>
      <c r="DV61" s="163"/>
      <c r="DW61" s="163"/>
      <c r="DX61" s="163"/>
      <c r="DY61" s="163"/>
      <c r="DZ61" s="163"/>
      <c r="EA61" s="163"/>
      <c r="EB61" s="163"/>
      <c r="EC61" s="163"/>
      <c r="ED61" s="163"/>
      <c r="EE61" s="163"/>
      <c r="EF61" s="163"/>
      <c r="EG61" s="163"/>
      <c r="EH61" s="160">
        <f>IF([Chambre]*1='CHAMBRES FILLES 2e ETAGE'!$A$5,1,0)</f>
        <v>0</v>
      </c>
      <c r="EI61" s="161">
        <f>IF([Occurrence2]=0,0,SUM($EH$2:EH61))</f>
        <v>0</v>
      </c>
      <c r="EJ61" s="160">
        <f>IF([Chambre]*1='CHAMBRES FILLES 2e ETAGE'!$A$11,1,0)</f>
        <v>0</v>
      </c>
      <c r="EK61" s="160">
        <f>IF([Occurrence3]=0,0,SUM($EJ$2:EJ61))</f>
        <v>0</v>
      </c>
      <c r="EL61" s="160">
        <f>IF([Chambre]*1='CHAMBRES FILLES 2e ETAGE'!$A$17,1,0)</f>
        <v>0</v>
      </c>
      <c r="EM61" s="160">
        <f>IF([Occurrence4]=0,0,SUM($EL$2:EL61))</f>
        <v>0</v>
      </c>
      <c r="EN61" s="160">
        <f>IF([Chambre]*1='CHAMBRES FILLES 2e ETAGE'!$A$23,1,0)</f>
        <v>0</v>
      </c>
      <c r="EO61" s="160">
        <f>IF([Occurrence5]=0,0,SUM($EN$2:EN61))</f>
        <v>0</v>
      </c>
      <c r="EP61" s="160">
        <f>IF([Chambre]*1='CHAMBRES FILLES 2e ETAGE'!$A$29,1,0)</f>
        <v>0</v>
      </c>
      <c r="EQ61" s="160">
        <f>IF([Occurrence6]=0,0,SUM($EP$2:EP61))</f>
        <v>0</v>
      </c>
      <c r="ER61" s="160">
        <f>IF([Chambre]*1='CHAMBRES FILLES 2e ETAGE'!$A$35,1,0)</f>
        <v>0</v>
      </c>
      <c r="ES61" s="160">
        <f>IF([Occurrence7]=0,0,SUM($ER$2:ER61))</f>
        <v>0</v>
      </c>
      <c r="ET61" s="160">
        <f>IF([Chambre]*1='CHAMBRES FILLES 2e ETAGE'!$A$41,1,0)</f>
        <v>0</v>
      </c>
      <c r="EU61" s="160">
        <f>IF([Occurrence8]=0,0,SUM($ET$2:ET61))</f>
        <v>0</v>
      </c>
      <c r="EV61" s="160">
        <f>IF([Chambre]*1='CHAMBRES FILLES 2e ETAGE'!$A$47,1,0)</f>
        <v>0</v>
      </c>
      <c r="EW61" s="160">
        <f>IF([Occurrence9]=0,0,SUM($EV$2:EV61))</f>
        <v>0</v>
      </c>
      <c r="EX61" s="160">
        <f>IF([Chambre]*1='CHAMBRES FILLES 2e ETAGE'!$A$53,1,0)</f>
        <v>0</v>
      </c>
      <c r="EY61" s="160">
        <f>IF([Occurrence10]=0,0,SUM($EX$2:EX61))</f>
        <v>0</v>
      </c>
      <c r="EZ61" s="160">
        <f>IF([Chambre]*1='CHAMBRES FILLES 2e ETAGE'!$A$59,1,0)</f>
        <v>0</v>
      </c>
      <c r="FA61" s="160">
        <f>IF([Occurrence11]=0,0,SUM($EZ$2:EZ61))</f>
        <v>0</v>
      </c>
      <c r="FB61" s="160">
        <f>IF([Chambre]*1='CHAMBRES FILLES 2e ETAGE'!$A$65,1,0)</f>
        <v>0</v>
      </c>
      <c r="FC61" s="160">
        <f>IF([Occurrence12]=0,0,SUM($FB$2:FB61))</f>
        <v>0</v>
      </c>
      <c r="FD61" s="160">
        <f>IF([Chambre]*1='CHAMBRES FILLES 2e ETAGE'!$A$71,1,0)</f>
        <v>0</v>
      </c>
      <c r="FE61" s="160">
        <f>IF([Occurrence13]=0,0,SUM($FD$2:FD61))</f>
        <v>0</v>
      </c>
      <c r="FF61" s="160">
        <f>IF([Chambre]*1='CHAMBRES FILLES 2e ETAGE'!$A$77,1,0)</f>
        <v>0</v>
      </c>
      <c r="FG61" s="160">
        <f>IF([Occurrence14]=0,0,SUM($FF$2:FF61))</f>
        <v>0</v>
      </c>
      <c r="FH61" s="160">
        <f>IF([Chambre]*1='CHAMBRES FILLES 2e ETAGE'!$A$83,1,0)</f>
        <v>0</v>
      </c>
      <c r="FI61" s="160">
        <f>IF([Occurrence15]=0,0,SUM($FH$2:FH61))</f>
        <v>0</v>
      </c>
      <c r="FJ61" s="160">
        <f>IF([Chambre]*1='CHAMBRES FILLES 2e ETAGE'!$A$89,1,0)</f>
        <v>0</v>
      </c>
      <c r="FK61" s="160">
        <f>IF([Occurrence16]=0,0,SUM($FJ$2:FJ61))</f>
        <v>0</v>
      </c>
      <c r="FL61" s="160">
        <f>IF([Chambre]*1='CHAMBRES FILLES 2e ETAGE'!$A$95,1,0)</f>
        <v>0</v>
      </c>
      <c r="FM61" s="160">
        <f>IF([Occurrence17]=0,0,SUM($FL$2:FL61))</f>
        <v>0</v>
      </c>
      <c r="FN61" s="160">
        <f>IF([Chambre2]*1='CHAMBRES FILLES 1e ETAGE'!$A$5,1,0)</f>
        <v>0</v>
      </c>
      <c r="FO61" s="160">
        <f>IF([Occurrence18]=0,0,SUM($FN$2:FN61))</f>
        <v>0</v>
      </c>
      <c r="FP61" s="160">
        <f>IF([Chambre2]*1='CHAMBRES FILLES 1e ETAGE'!$A$11,1,0)</f>
        <v>0</v>
      </c>
      <c r="FQ61" s="160">
        <f>IF([Occurrence19]=0,0,SUM($FP$2:FP61))</f>
        <v>0</v>
      </c>
      <c r="FR61" s="160">
        <f>IF([Chambre2]*1='CHAMBRES FILLES 1e ETAGE'!$A$17,1,0)</f>
        <v>0</v>
      </c>
      <c r="FS61" s="160">
        <f>IF([Occurrence20]=0,0,SUM($FR$2:FR61))</f>
        <v>0</v>
      </c>
      <c r="FT61" s="160">
        <f>IF([Chambre2]*1='CHAMBRES FILLES 1e ETAGE'!$A$23,1,0)</f>
        <v>0</v>
      </c>
      <c r="FU61" s="160">
        <f>IF([Occurrence21]=0,0,SUM($FT$2:FT61))</f>
        <v>0</v>
      </c>
      <c r="FV61" s="160">
        <f>IF([Chambre2]*1='CHAMBRES FILLES 1e ETAGE'!$A$29,1,0)</f>
        <v>0</v>
      </c>
      <c r="FW61" s="160">
        <f>IF([Occurrence22]=0,0,SUM($FV$2:FV61))</f>
        <v>0</v>
      </c>
      <c r="FX61" s="160">
        <f>IF([Chambre2]*1='CHAMBRES FILLES 1e ETAGE'!$A$35,1,0)</f>
        <v>0</v>
      </c>
      <c r="FY61" s="160">
        <f>IF([Occurrence23]=0,0,SUM($FX$2:FX61))</f>
        <v>0</v>
      </c>
      <c r="FZ61" s="160">
        <f>IF([Chambre2]*1='CHAMBRES FILLES 1e ETAGE'!$A$41,1,0)</f>
        <v>0</v>
      </c>
      <c r="GA61" s="160">
        <f>IF([Occurrence24]=0,0,SUM($FZ$2:FZ61))</f>
        <v>0</v>
      </c>
      <c r="GB61" s="160">
        <f>IF([Chambre2]*1='CHAMBRES FILLES 1e ETAGE'!$A$47,1,0)</f>
        <v>0</v>
      </c>
      <c r="GC61" s="160">
        <f>IF([Occurrence25]=0,0,SUM($GB$2:GB61))</f>
        <v>0</v>
      </c>
      <c r="GD61" s="160">
        <f>IF([Chambre2]*1='CHAMBRES FILLES 1e ETAGE'!$A$53,1,0)</f>
        <v>0</v>
      </c>
      <c r="GE61" s="160">
        <f>IF([Occurrence26]=0,0,SUM($GD$2:GD61))</f>
        <v>0</v>
      </c>
      <c r="GF61" s="160">
        <f>IF([chambre4]*1='CHAMBRES GARCONS 1e ETAGE'!$A$5,1,0)</f>
        <v>0</v>
      </c>
      <c r="GG61" s="160">
        <f>IF([Occurrence27]=0,0,SUM($GF$2:GF61))</f>
        <v>0</v>
      </c>
      <c r="GH61" s="160">
        <f>IF([chambre4]*1='CHAMBRES GARCONS 1e ETAGE'!$A$11,1,0)</f>
        <v>0</v>
      </c>
      <c r="GI61" s="160">
        <f>IF([Occurrence28]=0,0,SUM($GH$2:GH61))</f>
        <v>0</v>
      </c>
      <c r="GJ61" s="160">
        <f>IF([chambre4]*1='CHAMBRES GARCONS 1e ETAGE'!$A$17,1,0)</f>
        <v>0</v>
      </c>
      <c r="GK61" s="160">
        <f>IF([Occurrence29]=0,0,SUM($GJ$2:GJ61))</f>
        <v>0</v>
      </c>
      <c r="GL61" s="160">
        <f>IF([chambre4]*1='CHAMBRES GARCONS 1e ETAGE'!$A$23,1,0)</f>
        <v>0</v>
      </c>
      <c r="GM61" s="160">
        <f>IF([Occurrence30]=0,0,SUM($GL$2:GL61))</f>
        <v>0</v>
      </c>
      <c r="GN61" s="160">
        <f>IF([chambre4]*1='CHAMBRES GARCONS 1e ETAGE'!$A$29,1,0)</f>
        <v>0</v>
      </c>
      <c r="GO61" s="160">
        <f>IF([Occurrence31]=0,0,SUM($GN$2:GN61))</f>
        <v>0</v>
      </c>
      <c r="GP61" s="160">
        <f>IF([chambre4]*1='CHAMBRES GARCONS 1e ETAGE'!$A$35,1,0)</f>
        <v>0</v>
      </c>
      <c r="GQ61" s="160">
        <f>IF([Occurrence32]=0,0,SUM($GP$2:GP61))</f>
        <v>0</v>
      </c>
      <c r="GR61" s="160">
        <f>IF([chambre3]*1='CHAMBRES GARCONS RDC'!$A$5,1,0)</f>
        <v>0</v>
      </c>
      <c r="GS61" s="160">
        <f>IF([Occurrence33]=0,0,SUM($GR$2:GR61))</f>
        <v>0</v>
      </c>
      <c r="GT61" s="160">
        <f>IF([chambre3]*1='CHAMBRES GARCONS RDC'!$A$11,1,0)</f>
        <v>0</v>
      </c>
      <c r="GU61" s="160">
        <f>IF([Occurrence34]=0,0,SUM($GT$2:GT61))</f>
        <v>0</v>
      </c>
      <c r="GV61" s="160">
        <f>IF([chambre3]*1='CHAMBRES GARCONS RDC'!$A$17,1,0)</f>
        <v>0</v>
      </c>
      <c r="GW61" s="160">
        <f>IF([Occurrence35]=0,0,SUM($GV$2:GV61))</f>
        <v>0</v>
      </c>
      <c r="GX61" s="160">
        <f>IF([chambre3]*1='CHAMBRES GARCONS RDC'!$A$23,1,0)</f>
        <v>0</v>
      </c>
      <c r="GY61" s="160">
        <f>IF([Occurrence36]=0,0,SUM($GX$2:GX61))</f>
        <v>0</v>
      </c>
      <c r="GZ61" s="160">
        <f>IF([chambre3]*1='CHAMBRES GARCONS RDC'!$A$29,1,0)</f>
        <v>0</v>
      </c>
      <c r="HA61" s="160">
        <f>IF([Occurrence37]=0,0,SUM($GZ$2:GZ61))</f>
        <v>0</v>
      </c>
      <c r="HB61" s="160">
        <f>IF([chambre3]*1='CHAMBRES GARCONS RDC'!$A$35,1,0)</f>
        <v>0</v>
      </c>
      <c r="HC61" s="160">
        <f>IF([Occurrence38]=0,0,SUM($HB$2:HB61))</f>
        <v>0</v>
      </c>
      <c r="HD61" s="160">
        <f>IF([chambre3]*1='CHAMBRES GARCONS RDC'!$A$41,1,0)</f>
        <v>0</v>
      </c>
      <c r="HE61" s="160">
        <f>IF([Occurrence39]=0,0,SUM($HD$2:HD61))</f>
        <v>0</v>
      </c>
      <c r="HF61" s="160">
        <f>IF([chambre3]*1='CHAMBRES GARCONS RDC'!$A$47,1,0)</f>
        <v>0</v>
      </c>
      <c r="HG61" s="160">
        <f>IF([Occurrence40]=0,0,SUM($HF$2:HF61))</f>
        <v>0</v>
      </c>
      <c r="HH61" s="160">
        <f>IF([chambre3]*1='CHAMBRES GARCONS RDC'!$A$53,1,0)</f>
        <v>0</v>
      </c>
      <c r="HI61" s="160">
        <f>IF([Occurrence41]=0,0,SUM($HH$2:HH61))</f>
        <v>0</v>
      </c>
      <c r="HJ61" s="160">
        <f>IF([chambre3]*1='CHAMBRES GARCONS RDC'!$A$59,1,0)</f>
        <v>0</v>
      </c>
      <c r="HK61" s="160">
        <f>IF([Occurrence42]=0,0,SUM($HJ$2:HJ61))</f>
        <v>0</v>
      </c>
      <c r="HL61" s="160">
        <f>IF([chambre3]*1='CHAMBRES GARCONS RDC'!$A$65,1,0)</f>
        <v>0</v>
      </c>
      <c r="HM61" s="160">
        <f>IF([Occurrence43]=0,0,SUM($HL$2:HL61))</f>
        <v>0</v>
      </c>
      <c r="HN61" s="160">
        <f>IF([chambre3]*1='CHAMBRES GARCONS RDC'!$A$71,1,0)</f>
        <v>0</v>
      </c>
      <c r="HO61" s="160">
        <f>IF([Occurrence44]=0,0,SUM($HN$2:HN61))</f>
        <v>0</v>
      </c>
      <c r="HP61" s="160">
        <f>IF([chambre3]*1='CHAMBRES GARCONS RDC'!$A$77,1,0)</f>
        <v>0</v>
      </c>
      <c r="HQ61" s="160">
        <f>IF([Occurrence45]=0,0,SUM($HP$2:HP61))</f>
        <v>0</v>
      </c>
      <c r="HR61" s="160">
        <f>IF([chambre3]*1='CHAMBRES GARCONS RDC'!$A$83,1,0)</f>
        <v>0</v>
      </c>
      <c r="HS61" s="160">
        <f>IF([Occurrence46]=0,0,SUM($HR$2:HR61))</f>
        <v>0</v>
      </c>
      <c r="HT61" s="160">
        <f>IF([chambre3]*1='CHAMBRES GARCONS RDC'!$A$89,1,0)</f>
        <v>0</v>
      </c>
      <c r="HU61" s="160">
        <f>IF([Occurrence47]=0,0,SUM($HT$2:HT61))</f>
        <v>0</v>
      </c>
      <c r="HV61" s="160">
        <f>IF([chambre3]*1='CHAMBRES GARCONS RDC'!$A$95,1,0)</f>
        <v>0</v>
      </c>
      <c r="HW61" s="160">
        <f>IF([Occurrence48]=0,0,SUM($HV$2:HV61))</f>
        <v>0</v>
      </c>
      <c r="HX61" s="160"/>
      <c r="HY61" s="160"/>
      <c r="HZ61" s="160">
        <f>IF([Classe]='Liste élève par classes'!$B$5,1,0)</f>
        <v>0</v>
      </c>
      <c r="IA61" s="160">
        <f>IF([Occurrence]=0,0,SUM($HZ$2:HZ61))</f>
        <v>0</v>
      </c>
      <c r="IB6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61" s="208"/>
    </row>
    <row r="62" spans="1:237">
      <c r="A62" t="s">
        <v>355</v>
      </c>
      <c r="B62" t="s">
        <v>356</v>
      </c>
      <c r="C62" s="158">
        <v>37211</v>
      </c>
      <c r="D62" s="62">
        <f t="shared" ca="1" si="0"/>
        <v>15</v>
      </c>
      <c r="E62" t="s">
        <v>5</v>
      </c>
      <c r="F62" s="159" t="s">
        <v>46</v>
      </c>
      <c r="G62" t="s">
        <v>45</v>
      </c>
      <c r="H62" s="160"/>
      <c r="I62" s="62"/>
      <c r="J62" s="62"/>
      <c r="K62" s="62"/>
      <c r="L62" s="61"/>
      <c r="M62">
        <v>248</v>
      </c>
      <c r="N62" s="62"/>
      <c r="O62" s="62"/>
      <c r="P62" s="62"/>
      <c r="Q62" s="62"/>
      <c r="R62" s="62"/>
      <c r="S62" s="62"/>
      <c r="T62" s="62"/>
      <c r="U62" s="61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163"/>
      <c r="AG62" s="163"/>
      <c r="AH62" s="163"/>
      <c r="AI62" s="163"/>
      <c r="AJ62" s="163"/>
      <c r="AK62" s="163"/>
      <c r="AL62" s="163"/>
      <c r="AM62" s="163"/>
      <c r="AN62" s="163"/>
      <c r="AO62" s="163"/>
      <c r="AP62" s="163"/>
      <c r="AQ62" s="163"/>
      <c r="AR62" s="163"/>
      <c r="AS62" s="163"/>
      <c r="AT62" s="163"/>
      <c r="AU62" s="163"/>
      <c r="AV62" s="163"/>
      <c r="AW62" s="163"/>
      <c r="AX62" s="163"/>
      <c r="AY62" s="163"/>
      <c r="AZ62" s="163"/>
      <c r="BA62" s="163"/>
      <c r="BB62" s="163"/>
      <c r="BC62" s="163"/>
      <c r="BD62" s="163"/>
      <c r="BE62" s="163"/>
      <c r="BF62" s="163"/>
      <c r="BG62" s="163"/>
      <c r="BH62" s="163"/>
      <c r="BI62" s="163"/>
      <c r="BJ62" s="163"/>
      <c r="BK62" s="163"/>
      <c r="BL62" s="163"/>
      <c r="BM62" s="163"/>
      <c r="BN62" s="163"/>
      <c r="BO62" s="163"/>
      <c r="BP62" s="163"/>
      <c r="BQ62" s="163"/>
      <c r="BR62" s="163"/>
      <c r="BS62" s="163"/>
      <c r="BT62" s="163"/>
      <c r="BU62" s="163"/>
      <c r="BV62" s="163"/>
      <c r="BW62" s="163"/>
      <c r="BX62" s="163"/>
      <c r="BY62" s="163"/>
      <c r="BZ62" s="163"/>
      <c r="CA62" s="163"/>
      <c r="CB62" s="163"/>
      <c r="CC62" s="163"/>
      <c r="CD62" s="163"/>
      <c r="CE62" s="163"/>
      <c r="CF62" s="163"/>
      <c r="CG62" s="163"/>
      <c r="CH62" s="163"/>
      <c r="CI62" s="163"/>
      <c r="CJ62" s="163"/>
      <c r="CK62" s="163"/>
      <c r="CL62" s="163"/>
      <c r="CM62" s="163"/>
      <c r="CN62" s="163"/>
      <c r="CO62" s="163"/>
      <c r="CP62" s="163"/>
      <c r="CQ62" s="163"/>
      <c r="CR62" s="163"/>
      <c r="CS62" s="163"/>
      <c r="CT62" s="163"/>
      <c r="CU62" s="163"/>
      <c r="CV62" s="163"/>
      <c r="CW62" s="163"/>
      <c r="CX62" s="163"/>
      <c r="CY62" s="163"/>
      <c r="CZ62" s="163"/>
      <c r="DA62" s="163"/>
      <c r="DB62" s="163"/>
      <c r="DC62" s="163"/>
      <c r="DD62" s="163"/>
      <c r="DE62" s="163"/>
      <c r="DF62" s="163"/>
      <c r="DG62" s="163"/>
      <c r="DH62" s="163"/>
      <c r="DI62" s="163"/>
      <c r="DJ62" s="163"/>
      <c r="DK62" s="163"/>
      <c r="DL62" s="163"/>
      <c r="DM62" s="163"/>
      <c r="DN62" s="163"/>
      <c r="DO62" s="163"/>
      <c r="DP62" s="163"/>
      <c r="DQ62" s="163"/>
      <c r="DR62" s="163"/>
      <c r="DS62" s="163"/>
      <c r="DT62" s="163"/>
      <c r="DU62" s="163"/>
      <c r="DV62" s="163"/>
      <c r="DW62" s="163"/>
      <c r="DX62" s="163"/>
      <c r="DY62" s="163"/>
      <c r="DZ62" s="163"/>
      <c r="EA62" s="163"/>
      <c r="EB62" s="163"/>
      <c r="EC62" s="163"/>
      <c r="ED62" s="163"/>
      <c r="EE62" s="163"/>
      <c r="EF62" s="163"/>
      <c r="EG62" s="163"/>
      <c r="EH62" s="160">
        <f>IF([Chambre]*1='CHAMBRES FILLES 2e ETAGE'!$A$5,1,0)</f>
        <v>0</v>
      </c>
      <c r="EI62" s="161">
        <f>IF([Occurrence2]=0,0,SUM($EH$2:EH62))</f>
        <v>0</v>
      </c>
      <c r="EJ62" s="160">
        <f>IF([Chambre]*1='CHAMBRES FILLES 2e ETAGE'!$A$11,1,0)</f>
        <v>0</v>
      </c>
      <c r="EK62" s="160">
        <f>IF([Occurrence3]=0,0,SUM($EJ$2:EJ62))</f>
        <v>0</v>
      </c>
      <c r="EL62" s="160">
        <f>IF([Chambre]*1='CHAMBRES FILLES 2e ETAGE'!$A$17,1,0)</f>
        <v>0</v>
      </c>
      <c r="EM62" s="160">
        <f>IF([Occurrence4]=0,0,SUM($EL$2:EL62))</f>
        <v>0</v>
      </c>
      <c r="EN62" s="160">
        <f>IF([Chambre]*1='CHAMBRES FILLES 2e ETAGE'!$A$23,1,0)</f>
        <v>0</v>
      </c>
      <c r="EO62" s="160">
        <f>IF([Occurrence5]=0,0,SUM($EN$2:EN62))</f>
        <v>0</v>
      </c>
      <c r="EP62" s="160">
        <f>IF([Chambre]*1='CHAMBRES FILLES 2e ETAGE'!$A$29,1,0)</f>
        <v>0</v>
      </c>
      <c r="EQ62" s="160">
        <f>IF([Occurrence6]=0,0,SUM($EP$2:EP62))</f>
        <v>0</v>
      </c>
      <c r="ER62" s="160">
        <f>IF([Chambre]*1='CHAMBRES FILLES 2e ETAGE'!$A$35,1,0)</f>
        <v>0</v>
      </c>
      <c r="ES62" s="160">
        <f>IF([Occurrence7]=0,0,SUM($ER$2:ER62))</f>
        <v>0</v>
      </c>
      <c r="ET62" s="160">
        <f>IF([Chambre]*1='CHAMBRES FILLES 2e ETAGE'!$A$41,1,0)</f>
        <v>0</v>
      </c>
      <c r="EU62" s="160">
        <f>IF([Occurrence8]=0,0,SUM($ET$2:ET62))</f>
        <v>0</v>
      </c>
      <c r="EV62" s="160">
        <f>IF([Chambre]*1='CHAMBRES FILLES 2e ETAGE'!$A$47,1,0)</f>
        <v>0</v>
      </c>
      <c r="EW62" s="160">
        <f>IF([Occurrence9]=0,0,SUM($EV$2:EV62))</f>
        <v>0</v>
      </c>
      <c r="EX62" s="160">
        <f>IF([Chambre]*1='CHAMBRES FILLES 2e ETAGE'!$A$53,1,0)</f>
        <v>0</v>
      </c>
      <c r="EY62" s="160">
        <f>IF([Occurrence10]=0,0,SUM($EX$2:EX62))</f>
        <v>0</v>
      </c>
      <c r="EZ62" s="160">
        <f>IF([Chambre]*1='CHAMBRES FILLES 2e ETAGE'!$A$59,1,0)</f>
        <v>0</v>
      </c>
      <c r="FA62" s="160">
        <f>IF([Occurrence11]=0,0,SUM($EZ$2:EZ62))</f>
        <v>0</v>
      </c>
      <c r="FB62" s="160">
        <f>IF([Chambre]*1='CHAMBRES FILLES 2e ETAGE'!$A$65,1,0)</f>
        <v>0</v>
      </c>
      <c r="FC62" s="160">
        <f>IF([Occurrence12]=0,0,SUM($FB$2:FB62))</f>
        <v>0</v>
      </c>
      <c r="FD62" s="160">
        <f>IF([Chambre]*1='CHAMBRES FILLES 2e ETAGE'!$A$71,1,0)</f>
        <v>0</v>
      </c>
      <c r="FE62" s="160">
        <f>IF([Occurrence13]=0,0,SUM($FD$2:FD62))</f>
        <v>0</v>
      </c>
      <c r="FF62" s="160">
        <f>IF([Chambre]*1='CHAMBRES FILLES 2e ETAGE'!$A$77,1,0)</f>
        <v>0</v>
      </c>
      <c r="FG62" s="160">
        <f>IF([Occurrence14]=0,0,SUM($FF$2:FF62))</f>
        <v>0</v>
      </c>
      <c r="FH62" s="160">
        <f>IF([Chambre]*1='CHAMBRES FILLES 2e ETAGE'!$A$83,1,0)</f>
        <v>0</v>
      </c>
      <c r="FI62" s="160">
        <f>IF([Occurrence15]=0,0,SUM($FH$2:FH62))</f>
        <v>0</v>
      </c>
      <c r="FJ62" s="160">
        <f>IF([Chambre]*1='CHAMBRES FILLES 2e ETAGE'!$A$89,1,0)</f>
        <v>0</v>
      </c>
      <c r="FK62" s="160">
        <f>IF([Occurrence16]=0,0,SUM($FJ$2:FJ62))</f>
        <v>0</v>
      </c>
      <c r="FL62" s="160">
        <f>IF([Chambre]*1='CHAMBRES FILLES 2e ETAGE'!$A$95,1,0)</f>
        <v>0</v>
      </c>
      <c r="FM62" s="160">
        <f>IF([Occurrence17]=0,0,SUM($FL$2:FL62))</f>
        <v>0</v>
      </c>
      <c r="FN62" s="160">
        <f>IF([Chambre2]*1='CHAMBRES FILLES 1e ETAGE'!$A$5,1,0)</f>
        <v>0</v>
      </c>
      <c r="FO62" s="160">
        <f>IF([Occurrence18]=0,0,SUM($FN$2:FN62))</f>
        <v>0</v>
      </c>
      <c r="FP62" s="160">
        <f>IF([Chambre2]*1='CHAMBRES FILLES 1e ETAGE'!$A$11,1,0)</f>
        <v>0</v>
      </c>
      <c r="FQ62" s="160">
        <f>IF([Occurrence19]=0,0,SUM($FP$2:FP62))</f>
        <v>0</v>
      </c>
      <c r="FR62" s="160">
        <f>IF([Chambre2]*1='CHAMBRES FILLES 1e ETAGE'!$A$17,1,0)</f>
        <v>0</v>
      </c>
      <c r="FS62" s="160">
        <f>IF([Occurrence20]=0,0,SUM($FR$2:FR62))</f>
        <v>0</v>
      </c>
      <c r="FT62" s="160">
        <f>IF([Chambre2]*1='CHAMBRES FILLES 1e ETAGE'!$A$23,1,0)</f>
        <v>0</v>
      </c>
      <c r="FU62" s="160">
        <f>IF([Occurrence21]=0,0,SUM($FT$2:FT62))</f>
        <v>0</v>
      </c>
      <c r="FV62" s="160">
        <f>IF([Chambre2]*1='CHAMBRES FILLES 1e ETAGE'!$A$29,1,0)</f>
        <v>0</v>
      </c>
      <c r="FW62" s="160">
        <f>IF([Occurrence22]=0,0,SUM($FV$2:FV62))</f>
        <v>0</v>
      </c>
      <c r="FX62" s="160">
        <f>IF([Chambre2]*1='CHAMBRES FILLES 1e ETAGE'!$A$35,1,0)</f>
        <v>0</v>
      </c>
      <c r="FY62" s="160">
        <f>IF([Occurrence23]=0,0,SUM($FX$2:FX62))</f>
        <v>0</v>
      </c>
      <c r="FZ62" s="160">
        <f>IF([Chambre2]*1='CHAMBRES FILLES 1e ETAGE'!$A$41,1,0)</f>
        <v>0</v>
      </c>
      <c r="GA62" s="160">
        <f>IF([Occurrence24]=0,0,SUM($FZ$2:FZ62))</f>
        <v>0</v>
      </c>
      <c r="GB62" s="160">
        <f>IF([Chambre2]*1='CHAMBRES FILLES 1e ETAGE'!$A$47,1,0)</f>
        <v>0</v>
      </c>
      <c r="GC62" s="160">
        <f>IF([Occurrence25]=0,0,SUM($GB$2:GB62))</f>
        <v>0</v>
      </c>
      <c r="GD62" s="160">
        <f>IF([Chambre2]*1='CHAMBRES FILLES 1e ETAGE'!$A$53,1,0)</f>
        <v>0</v>
      </c>
      <c r="GE62" s="160">
        <f>IF([Occurrence26]=0,0,SUM($GD$2:GD62))</f>
        <v>0</v>
      </c>
      <c r="GF62" s="160">
        <f>IF([chambre4]*1='CHAMBRES GARCONS 1e ETAGE'!$A$5,1,0)</f>
        <v>0</v>
      </c>
      <c r="GG62" s="160">
        <f>IF([Occurrence27]=0,0,SUM($GF$2:GF62))</f>
        <v>0</v>
      </c>
      <c r="GH62" s="160">
        <f>IF([chambre4]*1='CHAMBRES GARCONS 1e ETAGE'!$A$11,1,0)</f>
        <v>0</v>
      </c>
      <c r="GI62" s="160">
        <f>IF([Occurrence28]=0,0,SUM($GH$2:GH62))</f>
        <v>0</v>
      </c>
      <c r="GJ62" s="160">
        <f>IF([chambre4]*1='CHAMBRES GARCONS 1e ETAGE'!$A$17,1,0)</f>
        <v>0</v>
      </c>
      <c r="GK62" s="160">
        <f>IF([Occurrence29]=0,0,SUM($GJ$2:GJ62))</f>
        <v>0</v>
      </c>
      <c r="GL62" s="160">
        <f>IF([chambre4]*1='CHAMBRES GARCONS 1e ETAGE'!$A$23,1,0)</f>
        <v>0</v>
      </c>
      <c r="GM62" s="160">
        <f>IF([Occurrence30]=0,0,SUM($GL$2:GL62))</f>
        <v>0</v>
      </c>
      <c r="GN62" s="160">
        <f>IF([chambre4]*1='CHAMBRES GARCONS 1e ETAGE'!$A$29,1,0)</f>
        <v>0</v>
      </c>
      <c r="GO62" s="160">
        <f>IF([Occurrence31]=0,0,SUM($GN$2:GN62))</f>
        <v>0</v>
      </c>
      <c r="GP62" s="160">
        <f>IF([chambre4]*1='CHAMBRES GARCONS 1e ETAGE'!$A$35,1,0)</f>
        <v>0</v>
      </c>
      <c r="GQ62" s="160">
        <f>IF([Occurrence32]=0,0,SUM($GP$2:GP62))</f>
        <v>0</v>
      </c>
      <c r="GR62" s="160">
        <f>IF([chambre3]*1='CHAMBRES GARCONS RDC'!$A$5,1,0)</f>
        <v>0</v>
      </c>
      <c r="GS62" s="160">
        <f>IF([Occurrence33]=0,0,SUM($GR$2:GR62))</f>
        <v>0</v>
      </c>
      <c r="GT62" s="160">
        <f>IF([chambre3]*1='CHAMBRES GARCONS RDC'!$A$11,1,0)</f>
        <v>0</v>
      </c>
      <c r="GU62" s="160">
        <f>IF([Occurrence34]=0,0,SUM($GT$2:GT62))</f>
        <v>0</v>
      </c>
      <c r="GV62" s="160">
        <f>IF([chambre3]*1='CHAMBRES GARCONS RDC'!$A$17,1,0)</f>
        <v>0</v>
      </c>
      <c r="GW62" s="160">
        <f>IF([Occurrence35]=0,0,SUM($GV$2:GV62))</f>
        <v>0</v>
      </c>
      <c r="GX62" s="160">
        <f>IF([chambre3]*1='CHAMBRES GARCONS RDC'!$A$23,1,0)</f>
        <v>0</v>
      </c>
      <c r="GY62" s="160">
        <f>IF([Occurrence36]=0,0,SUM($GX$2:GX62))</f>
        <v>0</v>
      </c>
      <c r="GZ62" s="160">
        <f>IF([chambre3]*1='CHAMBRES GARCONS RDC'!$A$29,1,0)</f>
        <v>0</v>
      </c>
      <c r="HA62" s="160">
        <f>IF([Occurrence37]=0,0,SUM($GZ$2:GZ62))</f>
        <v>0</v>
      </c>
      <c r="HB62" s="160">
        <f>IF([chambre3]*1='CHAMBRES GARCONS RDC'!$A$35,1,0)</f>
        <v>0</v>
      </c>
      <c r="HC62" s="160">
        <f>IF([Occurrence38]=0,0,SUM($HB$2:HB62))</f>
        <v>0</v>
      </c>
      <c r="HD62" s="160">
        <f>IF([chambre3]*1='CHAMBRES GARCONS RDC'!$A$41,1,0)</f>
        <v>0</v>
      </c>
      <c r="HE62" s="160">
        <f>IF([Occurrence39]=0,0,SUM($HD$2:HD62))</f>
        <v>0</v>
      </c>
      <c r="HF62" s="160">
        <f>IF([chambre3]*1='CHAMBRES GARCONS RDC'!$A$47,1,0)</f>
        <v>0</v>
      </c>
      <c r="HG62" s="160">
        <f>IF([Occurrence40]=0,0,SUM($HF$2:HF62))</f>
        <v>0</v>
      </c>
      <c r="HH62" s="160">
        <f>IF([chambre3]*1='CHAMBRES GARCONS RDC'!$A$53,1,0)</f>
        <v>0</v>
      </c>
      <c r="HI62" s="160">
        <f>IF([Occurrence41]=0,0,SUM($HH$2:HH62))</f>
        <v>0</v>
      </c>
      <c r="HJ62" s="160">
        <f>IF([chambre3]*1='CHAMBRES GARCONS RDC'!$A$59,1,0)</f>
        <v>0</v>
      </c>
      <c r="HK62" s="160">
        <f>IF([Occurrence42]=0,0,SUM($HJ$2:HJ62))</f>
        <v>0</v>
      </c>
      <c r="HL62" s="160">
        <f>IF([chambre3]*1='CHAMBRES GARCONS RDC'!$A$65,1,0)</f>
        <v>0</v>
      </c>
      <c r="HM62" s="160">
        <f>IF([Occurrence43]=0,0,SUM($HL$2:HL62))</f>
        <v>0</v>
      </c>
      <c r="HN62" s="160">
        <f>IF([chambre3]*1='CHAMBRES GARCONS RDC'!$A$71,1,0)</f>
        <v>0</v>
      </c>
      <c r="HO62" s="160">
        <f>IF([Occurrence44]=0,0,SUM($HN$2:HN62))</f>
        <v>0</v>
      </c>
      <c r="HP62" s="160">
        <f>IF([chambre3]*1='CHAMBRES GARCONS RDC'!$A$77,1,0)</f>
        <v>0</v>
      </c>
      <c r="HQ62" s="160">
        <f>IF([Occurrence45]=0,0,SUM($HP$2:HP62))</f>
        <v>0</v>
      </c>
      <c r="HR62" s="160">
        <f>IF([chambre3]*1='CHAMBRES GARCONS RDC'!$A$83,1,0)</f>
        <v>0</v>
      </c>
      <c r="HS62" s="160">
        <f>IF([Occurrence46]=0,0,SUM($HR$2:HR62))</f>
        <v>0</v>
      </c>
      <c r="HT62" s="160">
        <f>IF([chambre3]*1='CHAMBRES GARCONS RDC'!$A$89,1,0)</f>
        <v>0</v>
      </c>
      <c r="HU62" s="160">
        <f>IF([Occurrence47]=0,0,SUM($HT$2:HT62))</f>
        <v>0</v>
      </c>
      <c r="HV62" s="160">
        <f>IF([chambre3]*1='CHAMBRES GARCONS RDC'!$A$95,1,0)</f>
        <v>0</v>
      </c>
      <c r="HW62" s="160">
        <f>IF([Occurrence48]=0,0,SUM($HV$2:HV62))</f>
        <v>0</v>
      </c>
      <c r="HX62" s="160"/>
      <c r="HY62" s="160"/>
      <c r="HZ62" s="160">
        <f>IF([Classe]='Liste élève par classes'!$B$5,1,0)</f>
        <v>0</v>
      </c>
      <c r="IA62" s="160">
        <f>IF([Occurrence]=0,0,SUM($HZ$2:HZ62))</f>
        <v>0</v>
      </c>
      <c r="IB6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62" s="208"/>
    </row>
    <row r="63" spans="1:237">
      <c r="A63" t="s">
        <v>357</v>
      </c>
      <c r="B63" t="s">
        <v>358</v>
      </c>
      <c r="C63" s="158">
        <v>36498</v>
      </c>
      <c r="D63" s="62">
        <f t="shared" ca="1" si="0"/>
        <v>17</v>
      </c>
      <c r="E63" t="s">
        <v>3</v>
      </c>
      <c r="F63" s="165" t="s">
        <v>46</v>
      </c>
      <c r="G63" t="s">
        <v>40</v>
      </c>
      <c r="H63" s="160"/>
      <c r="I63" s="62"/>
      <c r="J63" s="62"/>
      <c r="K63" s="62"/>
      <c r="L63" s="61"/>
      <c r="M63" s="62"/>
      <c r="N63" s="62"/>
      <c r="O63" s="62"/>
      <c r="P63" s="62"/>
      <c r="Q63" s="62"/>
      <c r="R63" s="62"/>
      <c r="S63" s="62"/>
      <c r="T63" s="62"/>
      <c r="U63" s="61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163"/>
      <c r="AG63" s="163"/>
      <c r="AH63" s="163"/>
      <c r="AI63" s="163"/>
      <c r="AJ63" s="163"/>
      <c r="AK63" s="163"/>
      <c r="AL63" s="163"/>
      <c r="AM63" s="163"/>
      <c r="AN63" s="163"/>
      <c r="AO63" s="163"/>
      <c r="AP63" s="163"/>
      <c r="AQ63" s="163"/>
      <c r="AR63" s="163"/>
      <c r="AS63" s="163"/>
      <c r="AT63" s="163"/>
      <c r="AU63" s="163"/>
      <c r="AV63" s="163"/>
      <c r="AW63" s="163"/>
      <c r="AX63" s="163"/>
      <c r="AY63" s="163"/>
      <c r="AZ63" s="163"/>
      <c r="BA63" s="163"/>
      <c r="BB63" s="163"/>
      <c r="BC63" s="163" t="b">
        <v>0</v>
      </c>
      <c r="BD63" s="163" t="b">
        <v>0</v>
      </c>
      <c r="BE63" s="163" t="b">
        <v>0</v>
      </c>
      <c r="BF63" s="163" t="b">
        <v>0</v>
      </c>
      <c r="BG63" s="163" t="b">
        <v>0</v>
      </c>
      <c r="BH63" s="163" t="b">
        <v>0</v>
      </c>
      <c r="BI63" s="163" t="b">
        <v>1</v>
      </c>
      <c r="BJ63" s="163" t="b">
        <v>0</v>
      </c>
      <c r="BK63" s="163" t="b">
        <v>0</v>
      </c>
      <c r="BL63" s="163" t="b">
        <v>0</v>
      </c>
      <c r="BM63" s="163"/>
      <c r="BN63" s="163"/>
      <c r="BO63" s="163"/>
      <c r="BP63" s="163"/>
      <c r="BQ63" s="163"/>
      <c r="BR63" s="163"/>
      <c r="BS63" s="163"/>
      <c r="BT63" s="163"/>
      <c r="BU63" s="163"/>
      <c r="BV63" s="163"/>
      <c r="BW63" s="163"/>
      <c r="BX63" s="163"/>
      <c r="BY63" s="163"/>
      <c r="BZ63" s="163"/>
      <c r="CA63" s="163"/>
      <c r="CB63" s="163"/>
      <c r="CC63" s="163"/>
      <c r="CD63" s="163"/>
      <c r="CE63" s="163"/>
      <c r="CF63" s="163"/>
      <c r="CG63" s="163"/>
      <c r="CH63" s="163"/>
      <c r="CI63" s="163"/>
      <c r="CJ63" s="163"/>
      <c r="CK63" s="163"/>
      <c r="CL63" s="163"/>
      <c r="CM63" s="163"/>
      <c r="CN63" s="163"/>
      <c r="CO63" s="163"/>
      <c r="CP63" s="163"/>
      <c r="CQ63" s="163"/>
      <c r="CR63" s="163"/>
      <c r="CS63" s="163"/>
      <c r="CT63" s="163"/>
      <c r="CU63" s="163"/>
      <c r="CV63" s="163"/>
      <c r="CW63" s="163"/>
      <c r="CX63" s="163"/>
      <c r="CY63" s="163"/>
      <c r="CZ63" s="163"/>
      <c r="DA63" s="163"/>
      <c r="DB63" s="163"/>
      <c r="DC63" s="163"/>
      <c r="DD63" s="163"/>
      <c r="DE63" s="163"/>
      <c r="DF63" s="163"/>
      <c r="DG63" s="163"/>
      <c r="DH63" s="163"/>
      <c r="DI63" s="163"/>
      <c r="DJ63" s="163"/>
      <c r="DK63" s="163"/>
      <c r="DL63" s="163"/>
      <c r="DM63" s="163"/>
      <c r="DN63" s="163"/>
      <c r="DO63" s="163"/>
      <c r="DP63" s="163"/>
      <c r="DQ63" s="163"/>
      <c r="DR63" s="163"/>
      <c r="DS63" s="163"/>
      <c r="DT63" s="163"/>
      <c r="DU63" s="163"/>
      <c r="DV63" s="163"/>
      <c r="DW63" s="163"/>
      <c r="DX63" s="163"/>
      <c r="DY63" s="163"/>
      <c r="DZ63" s="163"/>
      <c r="EA63" s="163"/>
      <c r="EB63" s="163"/>
      <c r="EC63" s="163"/>
      <c r="ED63" s="163"/>
      <c r="EE63" s="163"/>
      <c r="EF63" s="163"/>
      <c r="EG63" s="163"/>
      <c r="EH63" s="160">
        <f>IF([Chambre]*1='CHAMBRES FILLES 2e ETAGE'!$A$5,1,0)</f>
        <v>0</v>
      </c>
      <c r="EI63" s="161">
        <f>IF([Occurrence2]=0,0,SUM($EH$2:EH63))</f>
        <v>0</v>
      </c>
      <c r="EJ63" s="160">
        <f>IF([Chambre]*1='CHAMBRES FILLES 2e ETAGE'!$A$11,1,0)</f>
        <v>0</v>
      </c>
      <c r="EK63" s="160">
        <f>IF([Occurrence3]=0,0,SUM($EJ$2:EJ63))</f>
        <v>0</v>
      </c>
      <c r="EL63" s="160">
        <f>IF([Chambre]*1='CHAMBRES FILLES 2e ETAGE'!$A$17,1,0)</f>
        <v>0</v>
      </c>
      <c r="EM63" s="160">
        <f>IF([Occurrence4]=0,0,SUM($EL$2:EL63))</f>
        <v>0</v>
      </c>
      <c r="EN63" s="160">
        <f>IF([Chambre]*1='CHAMBRES FILLES 2e ETAGE'!$A$23,1,0)</f>
        <v>0</v>
      </c>
      <c r="EO63" s="160">
        <f>IF([Occurrence5]=0,0,SUM($EN$2:EN63))</f>
        <v>0</v>
      </c>
      <c r="EP63" s="160">
        <f>IF([Chambre]*1='CHAMBRES FILLES 2e ETAGE'!$A$29,1,0)</f>
        <v>0</v>
      </c>
      <c r="EQ63" s="160">
        <f>IF([Occurrence6]=0,0,SUM($EP$2:EP63))</f>
        <v>0</v>
      </c>
      <c r="ER63" s="160">
        <f>IF([Chambre]*1='CHAMBRES FILLES 2e ETAGE'!$A$35,1,0)</f>
        <v>0</v>
      </c>
      <c r="ES63" s="160">
        <f>IF([Occurrence7]=0,0,SUM($ER$2:ER63))</f>
        <v>0</v>
      </c>
      <c r="ET63" s="160">
        <f>IF([Chambre]*1='CHAMBRES FILLES 2e ETAGE'!$A$41,1,0)</f>
        <v>0</v>
      </c>
      <c r="EU63" s="160">
        <f>IF([Occurrence8]=0,0,SUM($ET$2:ET63))</f>
        <v>0</v>
      </c>
      <c r="EV63" s="160">
        <f>IF([Chambre]*1='CHAMBRES FILLES 2e ETAGE'!$A$47,1,0)</f>
        <v>0</v>
      </c>
      <c r="EW63" s="160">
        <f>IF([Occurrence9]=0,0,SUM($EV$2:EV63))</f>
        <v>0</v>
      </c>
      <c r="EX63" s="160">
        <f>IF([Chambre]*1='CHAMBRES FILLES 2e ETAGE'!$A$53,1,0)</f>
        <v>0</v>
      </c>
      <c r="EY63" s="160">
        <f>IF([Occurrence10]=0,0,SUM($EX$2:EX63))</f>
        <v>0</v>
      </c>
      <c r="EZ63" s="160">
        <f>IF([Chambre]*1='CHAMBRES FILLES 2e ETAGE'!$A$59,1,0)</f>
        <v>0</v>
      </c>
      <c r="FA63" s="160">
        <f>IF([Occurrence11]=0,0,SUM($EZ$2:EZ63))</f>
        <v>0</v>
      </c>
      <c r="FB63" s="160">
        <f>IF([Chambre]*1='CHAMBRES FILLES 2e ETAGE'!$A$65,1,0)</f>
        <v>0</v>
      </c>
      <c r="FC63" s="160">
        <f>IF([Occurrence12]=0,0,SUM($FB$2:FB63))</f>
        <v>0</v>
      </c>
      <c r="FD63" s="160">
        <f>IF([Chambre]*1='CHAMBRES FILLES 2e ETAGE'!$A$71,1,0)</f>
        <v>0</v>
      </c>
      <c r="FE63" s="160">
        <f>IF([Occurrence13]=0,0,SUM($FD$2:FD63))</f>
        <v>0</v>
      </c>
      <c r="FF63" s="160">
        <f>IF([Chambre]*1='CHAMBRES FILLES 2e ETAGE'!$A$77,1,0)</f>
        <v>0</v>
      </c>
      <c r="FG63" s="160">
        <f>IF([Occurrence14]=0,0,SUM($FF$2:FF63))</f>
        <v>0</v>
      </c>
      <c r="FH63" s="160">
        <f>IF([Chambre]*1='CHAMBRES FILLES 2e ETAGE'!$A$83,1,0)</f>
        <v>0</v>
      </c>
      <c r="FI63" s="160">
        <f>IF([Occurrence15]=0,0,SUM($FH$2:FH63))</f>
        <v>0</v>
      </c>
      <c r="FJ63" s="160">
        <f>IF([Chambre]*1='CHAMBRES FILLES 2e ETAGE'!$A$89,1,0)</f>
        <v>0</v>
      </c>
      <c r="FK63" s="160">
        <f>IF([Occurrence16]=0,0,SUM($FJ$2:FJ63))</f>
        <v>0</v>
      </c>
      <c r="FL63" s="160">
        <f>IF([Chambre]*1='CHAMBRES FILLES 2e ETAGE'!$A$95,1,0)</f>
        <v>0</v>
      </c>
      <c r="FM63" s="160">
        <f>IF([Occurrence17]=0,0,SUM($FL$2:FL63))</f>
        <v>0</v>
      </c>
      <c r="FN63" s="160">
        <f>IF([Chambre2]*1='CHAMBRES FILLES 1e ETAGE'!$A$5,1,0)</f>
        <v>0</v>
      </c>
      <c r="FO63" s="160">
        <f>IF([Occurrence18]=0,0,SUM($FN$2:FN63))</f>
        <v>0</v>
      </c>
      <c r="FP63" s="160">
        <f>IF([Chambre2]*1='CHAMBRES FILLES 1e ETAGE'!$A$11,1,0)</f>
        <v>0</v>
      </c>
      <c r="FQ63" s="160">
        <f>IF([Occurrence19]=0,0,SUM($FP$2:FP63))</f>
        <v>0</v>
      </c>
      <c r="FR63" s="160">
        <f>IF([Chambre2]*1='CHAMBRES FILLES 1e ETAGE'!$A$17,1,0)</f>
        <v>0</v>
      </c>
      <c r="FS63" s="160">
        <f>IF([Occurrence20]=0,0,SUM($FR$2:FR63))</f>
        <v>0</v>
      </c>
      <c r="FT63" s="160">
        <f>IF([Chambre2]*1='CHAMBRES FILLES 1e ETAGE'!$A$23,1,0)</f>
        <v>0</v>
      </c>
      <c r="FU63" s="160">
        <f>IF([Occurrence21]=0,0,SUM($FT$2:FT63))</f>
        <v>0</v>
      </c>
      <c r="FV63" s="160">
        <f>IF([Chambre2]*1='CHAMBRES FILLES 1e ETAGE'!$A$29,1,0)</f>
        <v>0</v>
      </c>
      <c r="FW63" s="160">
        <f>IF([Occurrence22]=0,0,SUM($FV$2:FV63))</f>
        <v>0</v>
      </c>
      <c r="FX63" s="160">
        <f>IF([Chambre2]*1='CHAMBRES FILLES 1e ETAGE'!$A$35,1,0)</f>
        <v>0</v>
      </c>
      <c r="FY63" s="160">
        <f>IF([Occurrence23]=0,0,SUM($FX$2:FX63))</f>
        <v>0</v>
      </c>
      <c r="FZ63" s="160">
        <f>IF([Chambre2]*1='CHAMBRES FILLES 1e ETAGE'!$A$41,1,0)</f>
        <v>0</v>
      </c>
      <c r="GA63" s="160">
        <f>IF([Occurrence24]=0,0,SUM($FZ$2:FZ63))</f>
        <v>0</v>
      </c>
      <c r="GB63" s="160">
        <f>IF([Chambre2]*1='CHAMBRES FILLES 1e ETAGE'!$A$47,1,0)</f>
        <v>0</v>
      </c>
      <c r="GC63" s="160">
        <f>IF([Occurrence25]=0,0,SUM($GB$2:GB63))</f>
        <v>0</v>
      </c>
      <c r="GD63" s="160">
        <f>IF([Chambre2]*1='CHAMBRES FILLES 1e ETAGE'!$A$53,1,0)</f>
        <v>0</v>
      </c>
      <c r="GE63" s="160">
        <f>IF([Occurrence26]=0,0,SUM($GD$2:GD63))</f>
        <v>0</v>
      </c>
      <c r="GF63" s="160">
        <f>IF([chambre4]*1='CHAMBRES GARCONS 1e ETAGE'!$A$5,1,0)</f>
        <v>0</v>
      </c>
      <c r="GG63" s="160">
        <f>IF([Occurrence27]=0,0,SUM($GF$2:GF63))</f>
        <v>0</v>
      </c>
      <c r="GH63" s="160">
        <f>IF([chambre4]*1='CHAMBRES GARCONS 1e ETAGE'!$A$11,1,0)</f>
        <v>0</v>
      </c>
      <c r="GI63" s="160">
        <f>IF([Occurrence28]=0,0,SUM($GH$2:GH63))</f>
        <v>0</v>
      </c>
      <c r="GJ63" s="160">
        <f>IF([chambre4]*1='CHAMBRES GARCONS 1e ETAGE'!$A$17,1,0)</f>
        <v>0</v>
      </c>
      <c r="GK63" s="160">
        <f>IF([Occurrence29]=0,0,SUM($GJ$2:GJ63))</f>
        <v>0</v>
      </c>
      <c r="GL63" s="160">
        <f>IF([chambre4]*1='CHAMBRES GARCONS 1e ETAGE'!$A$23,1,0)</f>
        <v>0</v>
      </c>
      <c r="GM63" s="160">
        <f>IF([Occurrence30]=0,0,SUM($GL$2:GL63))</f>
        <v>0</v>
      </c>
      <c r="GN63" s="160">
        <f>IF([chambre4]*1='CHAMBRES GARCONS 1e ETAGE'!$A$29,1,0)</f>
        <v>0</v>
      </c>
      <c r="GO63" s="160">
        <f>IF([Occurrence31]=0,0,SUM($GN$2:GN63))</f>
        <v>0</v>
      </c>
      <c r="GP63" s="160">
        <f>IF([chambre4]*1='CHAMBRES GARCONS 1e ETAGE'!$A$35,1,0)</f>
        <v>0</v>
      </c>
      <c r="GQ63" s="160">
        <f>IF([Occurrence32]=0,0,SUM($GP$2:GP63))</f>
        <v>0</v>
      </c>
      <c r="GR63" s="160">
        <f>IF([chambre3]*1='CHAMBRES GARCONS RDC'!$A$5,1,0)</f>
        <v>0</v>
      </c>
      <c r="GS63" s="160">
        <f>IF([Occurrence33]=0,0,SUM($GR$2:GR63))</f>
        <v>0</v>
      </c>
      <c r="GT63" s="160">
        <f>IF([chambre3]*1='CHAMBRES GARCONS RDC'!$A$11,1,0)</f>
        <v>0</v>
      </c>
      <c r="GU63" s="160">
        <f>IF([Occurrence34]=0,0,SUM($GT$2:GT63))</f>
        <v>0</v>
      </c>
      <c r="GV63" s="160">
        <f>IF([chambre3]*1='CHAMBRES GARCONS RDC'!$A$17,1,0)</f>
        <v>0</v>
      </c>
      <c r="GW63" s="160">
        <f>IF([Occurrence35]=0,0,SUM($GV$2:GV63))</f>
        <v>0</v>
      </c>
      <c r="GX63" s="160">
        <f>IF([chambre3]*1='CHAMBRES GARCONS RDC'!$A$23,1,0)</f>
        <v>0</v>
      </c>
      <c r="GY63" s="160">
        <f>IF([Occurrence36]=0,0,SUM($GX$2:GX63))</f>
        <v>0</v>
      </c>
      <c r="GZ63" s="160">
        <f>IF([chambre3]*1='CHAMBRES GARCONS RDC'!$A$29,1,0)</f>
        <v>0</v>
      </c>
      <c r="HA63" s="160">
        <f>IF([Occurrence37]=0,0,SUM($GZ$2:GZ63))</f>
        <v>0</v>
      </c>
      <c r="HB63" s="160">
        <f>IF([chambre3]*1='CHAMBRES GARCONS RDC'!$A$35,1,0)</f>
        <v>0</v>
      </c>
      <c r="HC63" s="160">
        <f>IF([Occurrence38]=0,0,SUM($HB$2:HB63))</f>
        <v>0</v>
      </c>
      <c r="HD63" s="160">
        <f>IF([chambre3]*1='CHAMBRES GARCONS RDC'!$A$41,1,0)</f>
        <v>0</v>
      </c>
      <c r="HE63" s="160">
        <f>IF([Occurrence39]=0,0,SUM($HD$2:HD63))</f>
        <v>0</v>
      </c>
      <c r="HF63" s="160">
        <f>IF([chambre3]*1='CHAMBRES GARCONS RDC'!$A$47,1,0)</f>
        <v>0</v>
      </c>
      <c r="HG63" s="160">
        <f>IF([Occurrence40]=0,0,SUM($HF$2:HF63))</f>
        <v>0</v>
      </c>
      <c r="HH63" s="160">
        <f>IF([chambre3]*1='CHAMBRES GARCONS RDC'!$A$53,1,0)</f>
        <v>0</v>
      </c>
      <c r="HI63" s="160">
        <f>IF([Occurrence41]=0,0,SUM($HH$2:HH63))</f>
        <v>0</v>
      </c>
      <c r="HJ63" s="160">
        <f>IF([chambre3]*1='CHAMBRES GARCONS RDC'!$A$59,1,0)</f>
        <v>0</v>
      </c>
      <c r="HK63" s="160">
        <f>IF([Occurrence42]=0,0,SUM($HJ$2:HJ63))</f>
        <v>0</v>
      </c>
      <c r="HL63" s="160">
        <f>IF([chambre3]*1='CHAMBRES GARCONS RDC'!$A$65,1,0)</f>
        <v>0</v>
      </c>
      <c r="HM63" s="160">
        <f>IF([Occurrence43]=0,0,SUM($HL$2:HL63))</f>
        <v>0</v>
      </c>
      <c r="HN63" s="160">
        <f>IF([chambre3]*1='CHAMBRES GARCONS RDC'!$A$71,1,0)</f>
        <v>0</v>
      </c>
      <c r="HO63" s="160">
        <f>IF([Occurrence44]=0,0,SUM($HN$2:HN63))</f>
        <v>0</v>
      </c>
      <c r="HP63" s="160">
        <f>IF([chambre3]*1='CHAMBRES GARCONS RDC'!$A$77,1,0)</f>
        <v>0</v>
      </c>
      <c r="HQ63" s="160">
        <f>IF([Occurrence45]=0,0,SUM($HP$2:HP63))</f>
        <v>0</v>
      </c>
      <c r="HR63" s="160">
        <f>IF([chambre3]*1='CHAMBRES GARCONS RDC'!$A$83,1,0)</f>
        <v>0</v>
      </c>
      <c r="HS63" s="160">
        <f>IF([Occurrence46]=0,0,SUM($HR$2:HR63))</f>
        <v>0</v>
      </c>
      <c r="HT63" s="160">
        <f>IF([chambre3]*1='CHAMBRES GARCONS RDC'!$A$89,1,0)</f>
        <v>0</v>
      </c>
      <c r="HU63" s="160">
        <f>IF([Occurrence47]=0,0,SUM($HT$2:HT63))</f>
        <v>0</v>
      </c>
      <c r="HV63" s="160">
        <f>IF([chambre3]*1='CHAMBRES GARCONS RDC'!$A$95,1,0)</f>
        <v>0</v>
      </c>
      <c r="HW63" s="160">
        <f>IF([Occurrence48]=0,0,SUM($HV$2:HV63))</f>
        <v>0</v>
      </c>
      <c r="HX63" s="160"/>
      <c r="HY63" s="160"/>
      <c r="HZ63" s="160">
        <f>IF([Classe]='Liste élève par classes'!$B$5,1,0)</f>
        <v>0</v>
      </c>
      <c r="IA63" s="160">
        <f>IF([Occurrence]=0,0,SUM($HZ$2:HZ63))</f>
        <v>0</v>
      </c>
      <c r="IB6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63" s="208"/>
    </row>
    <row r="64" spans="1:237">
      <c r="A64" t="s">
        <v>359</v>
      </c>
      <c r="B64" t="s">
        <v>360</v>
      </c>
      <c r="C64" s="158">
        <v>36092</v>
      </c>
      <c r="D64" s="62">
        <f t="shared" ca="1" si="0"/>
        <v>19</v>
      </c>
      <c r="E64" t="s">
        <v>1</v>
      </c>
      <c r="F64" s="159" t="s">
        <v>46</v>
      </c>
      <c r="G64" t="s">
        <v>40</v>
      </c>
      <c r="H64" s="160"/>
      <c r="I64" s="161"/>
      <c r="J64" s="161"/>
      <c r="K64" s="161"/>
      <c r="L64" s="160"/>
      <c r="M64">
        <v>224</v>
      </c>
      <c r="N64" s="161"/>
      <c r="O64" s="161"/>
      <c r="P64" s="161"/>
      <c r="Q64" s="161"/>
      <c r="R64" s="161"/>
      <c r="S64" s="161"/>
      <c r="T64" s="161"/>
      <c r="U64" s="160"/>
      <c r="V64" s="161"/>
      <c r="W64" s="161"/>
      <c r="X64" s="161"/>
      <c r="Y64" s="161"/>
      <c r="Z64" s="161"/>
      <c r="AA64" s="161"/>
      <c r="AB64" s="161"/>
      <c r="AC64" s="161"/>
      <c r="AD64" s="161"/>
      <c r="AE64" s="161"/>
      <c r="AF64" s="163"/>
      <c r="AG64" s="163"/>
      <c r="AH64" s="163"/>
      <c r="AI64" s="163"/>
      <c r="AJ64" s="163"/>
      <c r="AK64" s="163"/>
      <c r="AL64" s="163"/>
      <c r="AM64" s="163"/>
      <c r="AN64" s="163"/>
      <c r="AO64" s="163"/>
      <c r="AP64" s="163"/>
      <c r="AQ64" s="163"/>
      <c r="AR64" s="163"/>
      <c r="AS64" s="163"/>
      <c r="AT64" s="163"/>
      <c r="AU64" s="163"/>
      <c r="AV64" s="163"/>
      <c r="AW64" s="163"/>
      <c r="AX64" s="163"/>
      <c r="AY64" s="163"/>
      <c r="AZ64" s="163"/>
      <c r="BA64" s="163"/>
      <c r="BB64" s="163"/>
      <c r="BC64" s="163"/>
      <c r="BD64" s="163"/>
      <c r="BE64" s="163"/>
      <c r="BF64" s="163"/>
      <c r="BG64" s="163"/>
      <c r="BH64" s="163"/>
      <c r="BI64" s="163"/>
      <c r="BJ64" s="163"/>
      <c r="BK64" s="163"/>
      <c r="BL64" s="163"/>
      <c r="BM64" s="163"/>
      <c r="BN64" s="163"/>
      <c r="BO64" s="163"/>
      <c r="BP64" s="163"/>
      <c r="BQ64" s="163"/>
      <c r="BR64" s="163"/>
      <c r="BS64" s="163"/>
      <c r="BT64" s="163"/>
      <c r="BU64" s="163"/>
      <c r="BV64" s="163"/>
      <c r="BW64" s="163"/>
      <c r="BX64" s="163"/>
      <c r="BY64" s="163"/>
      <c r="BZ64" s="163"/>
      <c r="CA64" s="163"/>
      <c r="CB64" s="163"/>
      <c r="CC64" s="163"/>
      <c r="CD64" s="163"/>
      <c r="CE64" s="163"/>
      <c r="CF64" s="163"/>
      <c r="CG64" s="163"/>
      <c r="CH64" s="163"/>
      <c r="CI64" s="163"/>
      <c r="CJ64" s="163"/>
      <c r="CK64" s="163"/>
      <c r="CL64" s="163"/>
      <c r="CM64" s="163"/>
      <c r="CN64" s="163"/>
      <c r="CO64" s="163"/>
      <c r="CP64" s="163"/>
      <c r="CQ64" s="163"/>
      <c r="CR64" s="163"/>
      <c r="CS64" s="163"/>
      <c r="CT64" s="163"/>
      <c r="CU64" s="163"/>
      <c r="CV64" s="163"/>
      <c r="CW64" s="163"/>
      <c r="CX64" s="163"/>
      <c r="CY64" s="163"/>
      <c r="CZ64" s="163"/>
      <c r="DA64" s="163"/>
      <c r="DB64" s="163"/>
      <c r="DC64" s="163"/>
      <c r="DD64" s="163"/>
      <c r="DE64" s="163"/>
      <c r="DF64" s="163"/>
      <c r="DG64" s="163"/>
      <c r="DH64" s="163"/>
      <c r="DI64" s="163"/>
      <c r="DJ64" s="163"/>
      <c r="DK64" s="163"/>
      <c r="DL64" s="163"/>
      <c r="DM64" s="163"/>
      <c r="DN64" s="163"/>
      <c r="DO64" s="163"/>
      <c r="DP64" s="163"/>
      <c r="DQ64" s="163"/>
      <c r="DR64" s="163"/>
      <c r="DS64" s="163"/>
      <c r="DT64" s="163"/>
      <c r="DU64" s="163"/>
      <c r="DV64" s="163"/>
      <c r="DW64" s="163"/>
      <c r="DX64" s="163"/>
      <c r="DY64" s="163"/>
      <c r="DZ64" s="163"/>
      <c r="EA64" s="163"/>
      <c r="EB64" s="163"/>
      <c r="EC64" s="163"/>
      <c r="ED64" s="163"/>
      <c r="EE64" s="163"/>
      <c r="EF64" s="163"/>
      <c r="EG64" s="163"/>
      <c r="EH64" s="160">
        <f>IF([Chambre]*1='CHAMBRES FILLES 2e ETAGE'!$A$5,1,0)</f>
        <v>0</v>
      </c>
      <c r="EI64" s="161">
        <f>IF([Occurrence2]=0,0,SUM($EH$2:EH64))</f>
        <v>0</v>
      </c>
      <c r="EJ64" s="160">
        <f>IF([Chambre]*1='CHAMBRES FILLES 2e ETAGE'!$A$11,1,0)</f>
        <v>0</v>
      </c>
      <c r="EK64" s="160">
        <f>IF([Occurrence3]=0,0,SUM($EJ$2:EJ64))</f>
        <v>0</v>
      </c>
      <c r="EL64" s="160">
        <f>IF([Chambre]*1='CHAMBRES FILLES 2e ETAGE'!$A$17,1,0)</f>
        <v>0</v>
      </c>
      <c r="EM64" s="160">
        <f>IF([Occurrence4]=0,0,SUM($EL$2:EL64))</f>
        <v>0</v>
      </c>
      <c r="EN64" s="160">
        <f>IF([Chambre]*1='CHAMBRES FILLES 2e ETAGE'!$A$23,1,0)</f>
        <v>0</v>
      </c>
      <c r="EO64" s="160">
        <f>IF([Occurrence5]=0,0,SUM($EN$2:EN64))</f>
        <v>0</v>
      </c>
      <c r="EP64" s="160">
        <f>IF([Chambre]*1='CHAMBRES FILLES 2e ETAGE'!$A$29,1,0)</f>
        <v>0</v>
      </c>
      <c r="EQ64" s="160">
        <f>IF([Occurrence6]=0,0,SUM($EP$2:EP64))</f>
        <v>0</v>
      </c>
      <c r="ER64" s="160">
        <f>IF([Chambre]*1='CHAMBRES FILLES 2e ETAGE'!$A$35,1,0)</f>
        <v>0</v>
      </c>
      <c r="ES64" s="160">
        <f>IF([Occurrence7]=0,0,SUM($ER$2:ER64))</f>
        <v>0</v>
      </c>
      <c r="ET64" s="160">
        <f>IF([Chambre]*1='CHAMBRES FILLES 2e ETAGE'!$A$41,1,0)</f>
        <v>0</v>
      </c>
      <c r="EU64" s="160">
        <f>IF([Occurrence8]=0,0,SUM($ET$2:ET64))</f>
        <v>0</v>
      </c>
      <c r="EV64" s="160">
        <f>IF([Chambre]*1='CHAMBRES FILLES 2e ETAGE'!$A$47,1,0)</f>
        <v>0</v>
      </c>
      <c r="EW64" s="160">
        <f>IF([Occurrence9]=0,0,SUM($EV$2:EV64))</f>
        <v>0</v>
      </c>
      <c r="EX64" s="160">
        <f>IF([Chambre]*1='CHAMBRES FILLES 2e ETAGE'!$A$53,1,0)</f>
        <v>0</v>
      </c>
      <c r="EY64" s="160">
        <f>IF([Occurrence10]=0,0,SUM($EX$2:EX64))</f>
        <v>0</v>
      </c>
      <c r="EZ64" s="160">
        <f>IF([Chambre]*1='CHAMBRES FILLES 2e ETAGE'!$A$59,1,0)</f>
        <v>0</v>
      </c>
      <c r="FA64" s="160">
        <f>IF([Occurrence11]=0,0,SUM($EZ$2:EZ64))</f>
        <v>0</v>
      </c>
      <c r="FB64" s="160">
        <f>IF([Chambre]*1='CHAMBRES FILLES 2e ETAGE'!$A$65,1,0)</f>
        <v>0</v>
      </c>
      <c r="FC64" s="160">
        <f>IF([Occurrence12]=0,0,SUM($FB$2:FB64))</f>
        <v>0</v>
      </c>
      <c r="FD64" s="160">
        <f>IF([Chambre]*1='CHAMBRES FILLES 2e ETAGE'!$A$71,1,0)</f>
        <v>0</v>
      </c>
      <c r="FE64" s="160">
        <f>IF([Occurrence13]=0,0,SUM($FD$2:FD64))</f>
        <v>0</v>
      </c>
      <c r="FF64" s="160">
        <f>IF([Chambre]*1='CHAMBRES FILLES 2e ETAGE'!$A$77,1,0)</f>
        <v>0</v>
      </c>
      <c r="FG64" s="160">
        <f>IF([Occurrence14]=0,0,SUM($FF$2:FF64))</f>
        <v>0</v>
      </c>
      <c r="FH64" s="160">
        <f>IF([Chambre]*1='CHAMBRES FILLES 2e ETAGE'!$A$83,1,0)</f>
        <v>0</v>
      </c>
      <c r="FI64" s="160">
        <f>IF([Occurrence15]=0,0,SUM($FH$2:FH64))</f>
        <v>0</v>
      </c>
      <c r="FJ64" s="160">
        <f>IF([Chambre]*1='CHAMBRES FILLES 2e ETAGE'!$A$89,1,0)</f>
        <v>0</v>
      </c>
      <c r="FK64" s="160">
        <f>IF([Occurrence16]=0,0,SUM($FJ$2:FJ64))</f>
        <v>0</v>
      </c>
      <c r="FL64" s="160">
        <f>IF([Chambre]*1='CHAMBRES FILLES 2e ETAGE'!$A$95,1,0)</f>
        <v>0</v>
      </c>
      <c r="FM64" s="160">
        <f>IF([Occurrence17]=0,0,SUM($FL$2:FL64))</f>
        <v>0</v>
      </c>
      <c r="FN64" s="160">
        <f>IF([Chambre2]*1='CHAMBRES FILLES 1e ETAGE'!$A$5,1,0)</f>
        <v>0</v>
      </c>
      <c r="FO64" s="160">
        <f>IF([Occurrence18]=0,0,SUM($FN$2:FN64))</f>
        <v>0</v>
      </c>
      <c r="FP64" s="160">
        <f>IF([Chambre2]*1='CHAMBRES FILLES 1e ETAGE'!$A$11,1,0)</f>
        <v>0</v>
      </c>
      <c r="FQ64" s="160">
        <f>IF([Occurrence19]=0,0,SUM($FP$2:FP64))</f>
        <v>0</v>
      </c>
      <c r="FR64" s="160">
        <f>IF([Chambre2]*1='CHAMBRES FILLES 1e ETAGE'!$A$17,1,0)</f>
        <v>0</v>
      </c>
      <c r="FS64" s="160">
        <f>IF([Occurrence20]=0,0,SUM($FR$2:FR64))</f>
        <v>0</v>
      </c>
      <c r="FT64" s="160">
        <f>IF([Chambre2]*1='CHAMBRES FILLES 1e ETAGE'!$A$23,1,0)</f>
        <v>0</v>
      </c>
      <c r="FU64" s="160">
        <f>IF([Occurrence21]=0,0,SUM($FT$2:FT64))</f>
        <v>0</v>
      </c>
      <c r="FV64" s="160">
        <f>IF([Chambre2]*1='CHAMBRES FILLES 1e ETAGE'!$A$29,1,0)</f>
        <v>0</v>
      </c>
      <c r="FW64" s="160">
        <f>IF([Occurrence22]=0,0,SUM($FV$2:FV64))</f>
        <v>0</v>
      </c>
      <c r="FX64" s="160">
        <f>IF([Chambre2]*1='CHAMBRES FILLES 1e ETAGE'!$A$35,1,0)</f>
        <v>0</v>
      </c>
      <c r="FY64" s="160">
        <f>IF([Occurrence23]=0,0,SUM($FX$2:FX64))</f>
        <v>0</v>
      </c>
      <c r="FZ64" s="160">
        <f>IF([Chambre2]*1='CHAMBRES FILLES 1e ETAGE'!$A$41,1,0)</f>
        <v>0</v>
      </c>
      <c r="GA64" s="160">
        <f>IF([Occurrence24]=0,0,SUM($FZ$2:FZ64))</f>
        <v>0</v>
      </c>
      <c r="GB64" s="160">
        <f>IF([Chambre2]*1='CHAMBRES FILLES 1e ETAGE'!$A$47,1,0)</f>
        <v>0</v>
      </c>
      <c r="GC64" s="160">
        <f>IF([Occurrence25]=0,0,SUM($GB$2:GB64))</f>
        <v>0</v>
      </c>
      <c r="GD64" s="160">
        <f>IF([Chambre2]*1='CHAMBRES FILLES 1e ETAGE'!$A$53,1,0)</f>
        <v>0</v>
      </c>
      <c r="GE64" s="160">
        <f>IF([Occurrence26]=0,0,SUM($GD$2:GD64))</f>
        <v>0</v>
      </c>
      <c r="GF64" s="160">
        <f>IF([chambre4]*1='CHAMBRES GARCONS 1e ETAGE'!$A$5,1,0)</f>
        <v>0</v>
      </c>
      <c r="GG64" s="160">
        <f>IF([Occurrence27]=0,0,SUM($GF$2:GF64))</f>
        <v>0</v>
      </c>
      <c r="GH64" s="160">
        <f>IF([chambre4]*1='CHAMBRES GARCONS 1e ETAGE'!$A$11,1,0)</f>
        <v>0</v>
      </c>
      <c r="GI64" s="160">
        <f>IF([Occurrence28]=0,0,SUM($GH$2:GH64))</f>
        <v>0</v>
      </c>
      <c r="GJ64" s="160">
        <f>IF([chambre4]*1='CHAMBRES GARCONS 1e ETAGE'!$A$17,1,0)</f>
        <v>0</v>
      </c>
      <c r="GK64" s="160">
        <f>IF([Occurrence29]=0,0,SUM($GJ$2:GJ64))</f>
        <v>0</v>
      </c>
      <c r="GL64" s="160">
        <f>IF([chambre4]*1='CHAMBRES GARCONS 1e ETAGE'!$A$23,1,0)</f>
        <v>0</v>
      </c>
      <c r="GM64" s="160">
        <f>IF([Occurrence30]=0,0,SUM($GL$2:GL64))</f>
        <v>0</v>
      </c>
      <c r="GN64" s="160">
        <f>IF([chambre4]*1='CHAMBRES GARCONS 1e ETAGE'!$A$29,1,0)</f>
        <v>0</v>
      </c>
      <c r="GO64" s="160">
        <f>IF([Occurrence31]=0,0,SUM($GN$2:GN64))</f>
        <v>0</v>
      </c>
      <c r="GP64" s="160">
        <f>IF([chambre4]*1='CHAMBRES GARCONS 1e ETAGE'!$A$35,1,0)</f>
        <v>0</v>
      </c>
      <c r="GQ64" s="160">
        <f>IF([Occurrence32]=0,0,SUM($GP$2:GP64))</f>
        <v>0</v>
      </c>
      <c r="GR64" s="160">
        <f>IF([chambre3]*1='CHAMBRES GARCONS RDC'!$A$5,1,0)</f>
        <v>0</v>
      </c>
      <c r="GS64" s="160">
        <f>IF([Occurrence33]=0,0,SUM($GR$2:GR64))</f>
        <v>0</v>
      </c>
      <c r="GT64" s="160">
        <f>IF([chambre3]*1='CHAMBRES GARCONS RDC'!$A$11,1,0)</f>
        <v>0</v>
      </c>
      <c r="GU64" s="160">
        <f>IF([Occurrence34]=0,0,SUM($GT$2:GT64))</f>
        <v>0</v>
      </c>
      <c r="GV64" s="160">
        <f>IF([chambre3]*1='CHAMBRES GARCONS RDC'!$A$17,1,0)</f>
        <v>0</v>
      </c>
      <c r="GW64" s="160">
        <f>IF([Occurrence35]=0,0,SUM($GV$2:GV64))</f>
        <v>0</v>
      </c>
      <c r="GX64" s="160">
        <f>IF([chambre3]*1='CHAMBRES GARCONS RDC'!$A$23,1,0)</f>
        <v>0</v>
      </c>
      <c r="GY64" s="160">
        <f>IF([Occurrence36]=0,0,SUM($GX$2:GX64))</f>
        <v>0</v>
      </c>
      <c r="GZ64" s="160">
        <f>IF([chambre3]*1='CHAMBRES GARCONS RDC'!$A$29,1,0)</f>
        <v>0</v>
      </c>
      <c r="HA64" s="160">
        <f>IF([Occurrence37]=0,0,SUM($GZ$2:GZ64))</f>
        <v>0</v>
      </c>
      <c r="HB64" s="160">
        <f>IF([chambre3]*1='CHAMBRES GARCONS RDC'!$A$35,1,0)</f>
        <v>0</v>
      </c>
      <c r="HC64" s="160">
        <f>IF([Occurrence38]=0,0,SUM($HB$2:HB64))</f>
        <v>0</v>
      </c>
      <c r="HD64" s="160">
        <f>IF([chambre3]*1='CHAMBRES GARCONS RDC'!$A$41,1,0)</f>
        <v>0</v>
      </c>
      <c r="HE64" s="160">
        <f>IF([Occurrence39]=0,0,SUM($HD$2:HD64))</f>
        <v>0</v>
      </c>
      <c r="HF64" s="160">
        <f>IF([chambre3]*1='CHAMBRES GARCONS RDC'!$A$47,1,0)</f>
        <v>0</v>
      </c>
      <c r="HG64" s="160">
        <f>IF([Occurrence40]=0,0,SUM($HF$2:HF64))</f>
        <v>0</v>
      </c>
      <c r="HH64" s="160">
        <f>IF([chambre3]*1='CHAMBRES GARCONS RDC'!$A$53,1,0)</f>
        <v>0</v>
      </c>
      <c r="HI64" s="160">
        <f>IF([Occurrence41]=0,0,SUM($HH$2:HH64))</f>
        <v>0</v>
      </c>
      <c r="HJ64" s="160">
        <f>IF([chambre3]*1='CHAMBRES GARCONS RDC'!$A$59,1,0)</f>
        <v>0</v>
      </c>
      <c r="HK64" s="160">
        <f>IF([Occurrence42]=0,0,SUM($HJ$2:HJ64))</f>
        <v>0</v>
      </c>
      <c r="HL64" s="160">
        <f>IF([chambre3]*1='CHAMBRES GARCONS RDC'!$A$65,1,0)</f>
        <v>0</v>
      </c>
      <c r="HM64" s="160">
        <f>IF([Occurrence43]=0,0,SUM($HL$2:HL64))</f>
        <v>0</v>
      </c>
      <c r="HN64" s="160">
        <f>IF([chambre3]*1='CHAMBRES GARCONS RDC'!$A$71,1,0)</f>
        <v>0</v>
      </c>
      <c r="HO64" s="160">
        <f>IF([Occurrence44]=0,0,SUM($HN$2:HN64))</f>
        <v>0</v>
      </c>
      <c r="HP64" s="160">
        <f>IF([chambre3]*1='CHAMBRES GARCONS RDC'!$A$77,1,0)</f>
        <v>0</v>
      </c>
      <c r="HQ64" s="160">
        <f>IF([Occurrence45]=0,0,SUM($HP$2:HP64))</f>
        <v>0</v>
      </c>
      <c r="HR64" s="160">
        <f>IF([chambre3]*1='CHAMBRES GARCONS RDC'!$A$83,1,0)</f>
        <v>0</v>
      </c>
      <c r="HS64" s="160">
        <f>IF([Occurrence46]=0,0,SUM($HR$2:HR64))</f>
        <v>0</v>
      </c>
      <c r="HT64" s="160">
        <f>IF([chambre3]*1='CHAMBRES GARCONS RDC'!$A$89,1,0)</f>
        <v>0</v>
      </c>
      <c r="HU64" s="160">
        <f>IF([Occurrence47]=0,0,SUM($HT$2:HT64))</f>
        <v>0</v>
      </c>
      <c r="HV64" s="160">
        <f>IF([chambre3]*1='CHAMBRES GARCONS RDC'!$A$95,1,0)</f>
        <v>0</v>
      </c>
      <c r="HW64" s="160">
        <f>IF([Occurrence48]=0,0,SUM($HV$2:HV64))</f>
        <v>0</v>
      </c>
      <c r="HX64" s="160"/>
      <c r="HY64" s="160"/>
      <c r="HZ64" s="160">
        <f>IF([Classe]='Liste élève par classes'!$B$5,1,0)</f>
        <v>0</v>
      </c>
      <c r="IA64" s="160">
        <f>IF([Occurrence]=0,0,SUM($HZ$2:HZ64))</f>
        <v>0</v>
      </c>
      <c r="IB6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64" s="208"/>
    </row>
    <row r="65" spans="1:237">
      <c r="A65" t="s">
        <v>361</v>
      </c>
      <c r="B65" t="s">
        <v>362</v>
      </c>
      <c r="C65" s="158">
        <v>36261</v>
      </c>
      <c r="D65" s="62">
        <f t="shared" ca="1" si="0"/>
        <v>18</v>
      </c>
      <c r="E65" t="s">
        <v>9</v>
      </c>
      <c r="F65" s="159" t="s">
        <v>50</v>
      </c>
      <c r="G65" t="s">
        <v>40</v>
      </c>
      <c r="H65" s="160"/>
      <c r="I65" s="161"/>
      <c r="J65" s="161"/>
      <c r="K65" s="161"/>
      <c r="L65" s="160"/>
      <c r="M65">
        <v>31</v>
      </c>
      <c r="N65" s="161"/>
      <c r="O65" s="161"/>
      <c r="P65" s="161"/>
      <c r="Q65" s="161"/>
      <c r="R65" s="161"/>
      <c r="S65" s="190"/>
      <c r="T65" s="161"/>
      <c r="U65" s="160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3"/>
      <c r="AG65" s="163"/>
      <c r="AH65" s="163"/>
      <c r="AI65" s="163"/>
      <c r="AJ65" s="163"/>
      <c r="AK65" s="163"/>
      <c r="AL65" s="163"/>
      <c r="AM65" s="163"/>
      <c r="AN65" s="163"/>
      <c r="AO65" s="163"/>
      <c r="AP65" s="163"/>
      <c r="AQ65" s="163"/>
      <c r="AR65" s="163"/>
      <c r="AS65" s="163"/>
      <c r="AT65" s="163"/>
      <c r="AU65" s="163"/>
      <c r="AV65" s="163"/>
      <c r="AW65" s="163"/>
      <c r="AX65" s="163"/>
      <c r="AY65" s="163"/>
      <c r="AZ65" s="163"/>
      <c r="BA65" s="163"/>
      <c r="BB65" s="163"/>
      <c r="BC65" s="163" t="b">
        <v>0</v>
      </c>
      <c r="BD65" s="163" t="b">
        <v>1</v>
      </c>
      <c r="BE65" s="163" t="b">
        <v>1</v>
      </c>
      <c r="BF65" s="163" t="b">
        <v>0</v>
      </c>
      <c r="BG65" s="164" t="b">
        <v>0</v>
      </c>
      <c r="BH65" s="163" t="b">
        <v>1</v>
      </c>
      <c r="BI65" s="163"/>
      <c r="BJ65" s="163"/>
      <c r="BK65" s="163"/>
      <c r="BL65" s="163"/>
      <c r="BM65" s="163"/>
      <c r="BN65" s="163"/>
      <c r="BO65" s="163"/>
      <c r="BP65" s="163"/>
      <c r="BQ65" s="163" t="b">
        <v>0</v>
      </c>
      <c r="BR65" s="163"/>
      <c r="BS65" s="163"/>
      <c r="BT65" s="163"/>
      <c r="BU65" s="163"/>
      <c r="BV65" s="163"/>
      <c r="BW65" s="163"/>
      <c r="BX65" s="163"/>
      <c r="BY65" s="163"/>
      <c r="BZ65" s="163"/>
      <c r="CA65" s="163"/>
      <c r="CB65" s="163"/>
      <c r="CC65" s="163"/>
      <c r="CD65" s="163"/>
      <c r="CE65" s="163"/>
      <c r="CF65" s="163"/>
      <c r="CG65" s="163"/>
      <c r="CH65" s="163"/>
      <c r="CI65" s="163"/>
      <c r="CJ65" s="163"/>
      <c r="CK65" s="163"/>
      <c r="CL65" s="163"/>
      <c r="CM65" s="163"/>
      <c r="CN65" s="163"/>
      <c r="CO65" s="163"/>
      <c r="CP65" s="163"/>
      <c r="CQ65" s="163"/>
      <c r="CR65" s="163"/>
      <c r="CS65" s="163"/>
      <c r="CT65" s="163"/>
      <c r="CU65" s="163"/>
      <c r="CV65" s="163"/>
      <c r="CW65" s="163"/>
      <c r="CX65" s="163"/>
      <c r="CY65" s="163"/>
      <c r="CZ65" s="163"/>
      <c r="DA65" s="163"/>
      <c r="DB65" s="163"/>
      <c r="DC65" s="163"/>
      <c r="DD65" s="163"/>
      <c r="DE65" s="163"/>
      <c r="DF65" s="163"/>
      <c r="DG65" s="208">
        <v>154</v>
      </c>
      <c r="DH65" s="163"/>
      <c r="DI65" s="163"/>
      <c r="DJ65" s="163"/>
      <c r="DK65" s="163"/>
      <c r="DL65" s="163"/>
      <c r="DM65" s="163"/>
      <c r="DN65" s="163"/>
      <c r="DO65" s="163"/>
      <c r="DP65" s="163"/>
      <c r="DQ65" s="163"/>
      <c r="DR65" s="163"/>
      <c r="DS65" s="163"/>
      <c r="DT65" s="163"/>
      <c r="DU65" s="163"/>
      <c r="DV65" s="163"/>
      <c r="DW65" s="163"/>
      <c r="DX65" s="163"/>
      <c r="DY65" s="163"/>
      <c r="DZ65" s="163"/>
      <c r="EA65" s="163"/>
      <c r="EB65" s="163"/>
      <c r="EC65" s="163"/>
      <c r="ED65" s="163"/>
      <c r="EE65" s="163"/>
      <c r="EF65" s="163"/>
      <c r="EG65" s="163"/>
      <c r="EH65" s="160">
        <f>IF([Chambre]*1='CHAMBRES FILLES 2e ETAGE'!$A$5,1,0)</f>
        <v>0</v>
      </c>
      <c r="EI65" s="161">
        <f>IF([Occurrence2]=0,0,SUM($EH$2:EH65))</f>
        <v>0</v>
      </c>
      <c r="EJ65" s="160">
        <f>IF([Chambre]*1='CHAMBRES FILLES 2e ETAGE'!$A$11,1,0)</f>
        <v>0</v>
      </c>
      <c r="EK65" s="160">
        <f>IF([Occurrence3]=0,0,SUM($EJ$2:EJ65))</f>
        <v>0</v>
      </c>
      <c r="EL65" s="160">
        <f>IF([Chambre]*1='CHAMBRES FILLES 2e ETAGE'!$A$17,1,0)</f>
        <v>0</v>
      </c>
      <c r="EM65" s="160">
        <f>IF([Occurrence4]=0,0,SUM($EL$2:EL65))</f>
        <v>0</v>
      </c>
      <c r="EN65" s="160">
        <f>IF([Chambre]*1='CHAMBRES FILLES 2e ETAGE'!$A$23,1,0)</f>
        <v>0</v>
      </c>
      <c r="EO65" s="160">
        <f>IF([Occurrence5]=0,0,SUM($EN$2:EN65))</f>
        <v>0</v>
      </c>
      <c r="EP65" s="160">
        <f>IF([Chambre]*1='CHAMBRES FILLES 2e ETAGE'!$A$29,1,0)</f>
        <v>0</v>
      </c>
      <c r="EQ65" s="160">
        <f>IF([Occurrence6]=0,0,SUM($EP$2:EP65))</f>
        <v>0</v>
      </c>
      <c r="ER65" s="160">
        <f>IF([Chambre]*1='CHAMBRES FILLES 2e ETAGE'!$A$35,1,0)</f>
        <v>0</v>
      </c>
      <c r="ES65" s="160">
        <f>IF([Occurrence7]=0,0,SUM($ER$2:ER65))</f>
        <v>0</v>
      </c>
      <c r="ET65" s="160">
        <f>IF([Chambre]*1='CHAMBRES FILLES 2e ETAGE'!$A$41,1,0)</f>
        <v>0</v>
      </c>
      <c r="EU65" s="160">
        <f>IF([Occurrence8]=0,0,SUM($ET$2:ET65))</f>
        <v>0</v>
      </c>
      <c r="EV65" s="160">
        <f>IF([Chambre]*1='CHAMBRES FILLES 2e ETAGE'!$A$47,1,0)</f>
        <v>0</v>
      </c>
      <c r="EW65" s="160">
        <f>IF([Occurrence9]=0,0,SUM($EV$2:EV65))</f>
        <v>0</v>
      </c>
      <c r="EX65" s="160">
        <f>IF([Chambre]*1='CHAMBRES FILLES 2e ETAGE'!$A$53,1,0)</f>
        <v>0</v>
      </c>
      <c r="EY65" s="160">
        <f>IF([Occurrence10]=0,0,SUM($EX$2:EX65))</f>
        <v>0</v>
      </c>
      <c r="EZ65" s="160">
        <f>IF([Chambre]*1='CHAMBRES FILLES 2e ETAGE'!$A$59,1,0)</f>
        <v>0</v>
      </c>
      <c r="FA65" s="160">
        <f>IF([Occurrence11]=0,0,SUM($EZ$2:EZ65))</f>
        <v>0</v>
      </c>
      <c r="FB65" s="160">
        <f>IF([Chambre]*1='CHAMBRES FILLES 2e ETAGE'!$A$65,1,0)</f>
        <v>0</v>
      </c>
      <c r="FC65" s="160">
        <f>IF([Occurrence12]=0,0,SUM($FB$2:FB65))</f>
        <v>0</v>
      </c>
      <c r="FD65" s="160">
        <f>IF([Chambre]*1='CHAMBRES FILLES 2e ETAGE'!$A$71,1,0)</f>
        <v>0</v>
      </c>
      <c r="FE65" s="160">
        <f>IF([Occurrence13]=0,0,SUM($FD$2:FD65))</f>
        <v>0</v>
      </c>
      <c r="FF65" s="160">
        <f>IF([Chambre]*1='CHAMBRES FILLES 2e ETAGE'!$A$77,1,0)</f>
        <v>0</v>
      </c>
      <c r="FG65" s="160">
        <f>IF([Occurrence14]=0,0,SUM($FF$2:FF65))</f>
        <v>0</v>
      </c>
      <c r="FH65" s="160">
        <f>IF([Chambre]*1='CHAMBRES FILLES 2e ETAGE'!$A$83,1,0)</f>
        <v>0</v>
      </c>
      <c r="FI65" s="160">
        <f>IF([Occurrence15]=0,0,SUM($FH$2:FH65))</f>
        <v>0</v>
      </c>
      <c r="FJ65" s="160">
        <f>IF([Chambre]*1='CHAMBRES FILLES 2e ETAGE'!$A$89,1,0)</f>
        <v>0</v>
      </c>
      <c r="FK65" s="160">
        <f>IF([Occurrence16]=0,0,SUM($FJ$2:FJ65))</f>
        <v>0</v>
      </c>
      <c r="FL65" s="160">
        <f>IF([Chambre]*1='CHAMBRES FILLES 2e ETAGE'!$A$95,1,0)</f>
        <v>0</v>
      </c>
      <c r="FM65" s="160">
        <f>IF([Occurrence17]=0,0,SUM($FL$2:FL65))</f>
        <v>0</v>
      </c>
      <c r="FN65" s="160">
        <f>IF([Chambre2]*1='CHAMBRES FILLES 1e ETAGE'!$A$5,1,0)</f>
        <v>0</v>
      </c>
      <c r="FO65" s="160">
        <f>IF([Occurrence18]=0,0,SUM($FN$2:FN65))</f>
        <v>0</v>
      </c>
      <c r="FP65" s="160">
        <f>IF([Chambre2]*1='CHAMBRES FILLES 1e ETAGE'!$A$11,1,0)</f>
        <v>0</v>
      </c>
      <c r="FQ65" s="160">
        <f>IF([Occurrence19]=0,0,SUM($FP$2:FP65))</f>
        <v>0</v>
      </c>
      <c r="FR65" s="160">
        <f>IF([Chambre2]*1='CHAMBRES FILLES 1e ETAGE'!$A$17,1,0)</f>
        <v>0</v>
      </c>
      <c r="FS65" s="160">
        <f>IF([Occurrence20]=0,0,SUM($FR$2:FR65))</f>
        <v>0</v>
      </c>
      <c r="FT65" s="160">
        <f>IF([Chambre2]*1='CHAMBRES FILLES 1e ETAGE'!$A$23,1,0)</f>
        <v>0</v>
      </c>
      <c r="FU65" s="160">
        <f>IF([Occurrence21]=0,0,SUM($FT$2:FT65))</f>
        <v>0</v>
      </c>
      <c r="FV65" s="160">
        <f>IF([Chambre2]*1='CHAMBRES FILLES 1e ETAGE'!$A$29,1,0)</f>
        <v>0</v>
      </c>
      <c r="FW65" s="160">
        <f>IF([Occurrence22]=0,0,SUM($FV$2:FV65))</f>
        <v>0</v>
      </c>
      <c r="FX65" s="160">
        <f>IF([Chambre2]*1='CHAMBRES FILLES 1e ETAGE'!$A$35,1,0)</f>
        <v>0</v>
      </c>
      <c r="FY65" s="160">
        <f>IF([Occurrence23]=0,0,SUM($FX$2:FX65))</f>
        <v>0</v>
      </c>
      <c r="FZ65" s="160">
        <f>IF([Chambre2]*1='CHAMBRES FILLES 1e ETAGE'!$A$41,1,0)</f>
        <v>0</v>
      </c>
      <c r="GA65" s="160">
        <f>IF([Occurrence24]=0,0,SUM($FZ$2:FZ65))</f>
        <v>0</v>
      </c>
      <c r="GB65" s="160">
        <f>IF([Chambre2]*1='CHAMBRES FILLES 1e ETAGE'!$A$47,1,0)</f>
        <v>0</v>
      </c>
      <c r="GC65" s="160">
        <f>IF([Occurrence25]=0,0,SUM($GB$2:GB65))</f>
        <v>0</v>
      </c>
      <c r="GD65" s="160">
        <f>IF([Chambre2]*1='CHAMBRES FILLES 1e ETAGE'!$A$53,1,0)</f>
        <v>0</v>
      </c>
      <c r="GE65" s="160">
        <f>IF([Occurrence26]=0,0,SUM($GD$2:GD65))</f>
        <v>0</v>
      </c>
      <c r="GF65" s="160">
        <f>IF([chambre4]*1='CHAMBRES GARCONS 1e ETAGE'!$A$5,1,0)</f>
        <v>0</v>
      </c>
      <c r="GG65" s="160">
        <f>IF([Occurrence27]=0,0,SUM($GF$2:GF65))</f>
        <v>0</v>
      </c>
      <c r="GH65" s="160">
        <f>IF([chambre4]*1='CHAMBRES GARCONS 1e ETAGE'!$A$11,1,0)</f>
        <v>0</v>
      </c>
      <c r="GI65" s="160">
        <f>IF([Occurrence28]=0,0,SUM($GH$2:GH65))</f>
        <v>0</v>
      </c>
      <c r="GJ65" s="160">
        <f>IF([chambre4]*1='CHAMBRES GARCONS 1e ETAGE'!$A$17,1,0)</f>
        <v>0</v>
      </c>
      <c r="GK65" s="160">
        <f>IF([Occurrence29]=0,0,SUM($GJ$2:GJ65))</f>
        <v>0</v>
      </c>
      <c r="GL65" s="160">
        <f>IF([chambre4]*1='CHAMBRES GARCONS 1e ETAGE'!$A$23,1,0)</f>
        <v>0</v>
      </c>
      <c r="GM65" s="160">
        <f>IF([Occurrence30]=0,0,SUM($GL$2:GL65))</f>
        <v>0</v>
      </c>
      <c r="GN65" s="160">
        <f>IF([chambre4]*1='CHAMBRES GARCONS 1e ETAGE'!$A$29,1,0)</f>
        <v>0</v>
      </c>
      <c r="GO65" s="160">
        <f>IF([Occurrence31]=0,0,SUM($GN$2:GN65))</f>
        <v>0</v>
      </c>
      <c r="GP65" s="160">
        <f>IF([chambre4]*1='CHAMBRES GARCONS 1e ETAGE'!$A$35,1,0)</f>
        <v>1</v>
      </c>
      <c r="GQ65" s="160">
        <f>IF([Occurrence32]=0,0,SUM($GP$2:GP65))</f>
        <v>1</v>
      </c>
      <c r="GR65" s="160">
        <f>IF([chambre3]*1='CHAMBRES GARCONS RDC'!$A$5,1,0)</f>
        <v>0</v>
      </c>
      <c r="GS65" s="160">
        <f>IF([Occurrence33]=0,0,SUM($GR$2:GR65))</f>
        <v>0</v>
      </c>
      <c r="GT65" s="160">
        <f>IF([chambre3]*1='CHAMBRES GARCONS RDC'!$A$11,1,0)</f>
        <v>0</v>
      </c>
      <c r="GU65" s="160">
        <f>IF([Occurrence34]=0,0,SUM($GT$2:GT65))</f>
        <v>0</v>
      </c>
      <c r="GV65" s="160">
        <f>IF([chambre3]*1='CHAMBRES GARCONS RDC'!$A$17,1,0)</f>
        <v>0</v>
      </c>
      <c r="GW65" s="160">
        <f>IF([Occurrence35]=0,0,SUM($GV$2:GV65))</f>
        <v>0</v>
      </c>
      <c r="GX65" s="160">
        <f>IF([chambre3]*1='CHAMBRES GARCONS RDC'!$A$23,1,0)</f>
        <v>0</v>
      </c>
      <c r="GY65" s="160">
        <f>IF([Occurrence36]=0,0,SUM($GX$2:GX65))</f>
        <v>0</v>
      </c>
      <c r="GZ65" s="160">
        <f>IF([chambre3]*1='CHAMBRES GARCONS RDC'!$A$29,1,0)</f>
        <v>0</v>
      </c>
      <c r="HA65" s="160">
        <f>IF([Occurrence37]=0,0,SUM($GZ$2:GZ65))</f>
        <v>0</v>
      </c>
      <c r="HB65" s="160">
        <f>IF([chambre3]*1='CHAMBRES GARCONS RDC'!$A$35,1,0)</f>
        <v>0</v>
      </c>
      <c r="HC65" s="160">
        <f>IF([Occurrence38]=0,0,SUM($HB$2:HB65))</f>
        <v>0</v>
      </c>
      <c r="HD65" s="160">
        <f>IF([chambre3]*1='CHAMBRES GARCONS RDC'!$A$41,1,0)</f>
        <v>0</v>
      </c>
      <c r="HE65" s="160">
        <f>IF([Occurrence39]=0,0,SUM($HD$2:HD65))</f>
        <v>0</v>
      </c>
      <c r="HF65" s="160">
        <f>IF([chambre3]*1='CHAMBRES GARCONS RDC'!$A$47,1,0)</f>
        <v>0</v>
      </c>
      <c r="HG65" s="160">
        <f>IF([Occurrence40]=0,0,SUM($HF$2:HF65))</f>
        <v>0</v>
      </c>
      <c r="HH65" s="160">
        <f>IF([chambre3]*1='CHAMBRES GARCONS RDC'!$A$53,1,0)</f>
        <v>0</v>
      </c>
      <c r="HI65" s="160">
        <f>IF([Occurrence41]=0,0,SUM($HH$2:HH65))</f>
        <v>0</v>
      </c>
      <c r="HJ65" s="160">
        <f>IF([chambre3]*1='CHAMBRES GARCONS RDC'!$A$59,1,0)</f>
        <v>0</v>
      </c>
      <c r="HK65" s="160">
        <f>IF([Occurrence42]=0,0,SUM($HJ$2:HJ65))</f>
        <v>0</v>
      </c>
      <c r="HL65" s="160">
        <f>IF([chambre3]*1='CHAMBRES GARCONS RDC'!$A$65,1,0)</f>
        <v>0</v>
      </c>
      <c r="HM65" s="160">
        <f>IF([Occurrence43]=0,0,SUM($HL$2:HL65))</f>
        <v>0</v>
      </c>
      <c r="HN65" s="160">
        <f>IF([chambre3]*1='CHAMBRES GARCONS RDC'!$A$71,1,0)</f>
        <v>0</v>
      </c>
      <c r="HO65" s="160">
        <f>IF([Occurrence44]=0,0,SUM($HN$2:HN65))</f>
        <v>0</v>
      </c>
      <c r="HP65" s="160">
        <f>IF([chambre3]*1='CHAMBRES GARCONS RDC'!$A$77,1,0)</f>
        <v>0</v>
      </c>
      <c r="HQ65" s="160">
        <f>IF([Occurrence45]=0,0,SUM($HP$2:HP65))</f>
        <v>0</v>
      </c>
      <c r="HR65" s="160">
        <f>IF([chambre3]*1='CHAMBRES GARCONS RDC'!$A$83,1,0)</f>
        <v>0</v>
      </c>
      <c r="HS65" s="160">
        <f>IF([Occurrence46]=0,0,SUM($HR$2:HR65))</f>
        <v>0</v>
      </c>
      <c r="HT65" s="160">
        <f>IF([chambre3]*1='CHAMBRES GARCONS RDC'!$A$89,1,0)</f>
        <v>0</v>
      </c>
      <c r="HU65" s="160">
        <f>IF([Occurrence47]=0,0,SUM($HT$2:HT65))</f>
        <v>0</v>
      </c>
      <c r="HV65" s="160">
        <f>IF([chambre3]*1='CHAMBRES GARCONS RDC'!$A$95,1,0)</f>
        <v>0</v>
      </c>
      <c r="HW65" s="160">
        <f>IF([Occurrence48]=0,0,SUM($HV$2:HV65))</f>
        <v>0</v>
      </c>
      <c r="HX65" s="160"/>
      <c r="HY65" s="160"/>
      <c r="HZ65" s="160">
        <f>IF([Classe]='Liste élève par classes'!$B$5,1,0)</f>
        <v>0</v>
      </c>
      <c r="IA65" s="160">
        <f>IF([Occurrence]=0,0,SUM($HZ$2:HZ65))</f>
        <v>0</v>
      </c>
      <c r="IB6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154</v>
      </c>
      <c r="IC65" s="208"/>
    </row>
    <row r="66" spans="1:237">
      <c r="A66" t="s">
        <v>363</v>
      </c>
      <c r="B66" t="s">
        <v>335</v>
      </c>
      <c r="C66" s="158">
        <v>36817</v>
      </c>
      <c r="D66" s="62">
        <f t="shared" ca="1" si="0"/>
        <v>17</v>
      </c>
      <c r="E66" t="s">
        <v>2</v>
      </c>
      <c r="F66" s="159" t="s">
        <v>46</v>
      </c>
      <c r="G66" t="s">
        <v>45</v>
      </c>
      <c r="H66" s="160"/>
      <c r="I66" s="62"/>
      <c r="J66" s="161" t="s">
        <v>244</v>
      </c>
      <c r="K66" s="161"/>
      <c r="L66" s="160"/>
      <c r="M66">
        <v>143</v>
      </c>
      <c r="N66" s="161" t="s">
        <v>244</v>
      </c>
      <c r="O66" s="161" t="s">
        <v>244</v>
      </c>
      <c r="P66" s="161" t="s">
        <v>244</v>
      </c>
      <c r="Q66" s="161" t="s">
        <v>244</v>
      </c>
      <c r="R66" s="161" t="s">
        <v>244</v>
      </c>
      <c r="S66" s="161"/>
      <c r="T66" s="161" t="s">
        <v>244</v>
      </c>
      <c r="U66" s="160"/>
      <c r="V66" s="161" t="s">
        <v>244</v>
      </c>
      <c r="W66" s="161" t="s">
        <v>244</v>
      </c>
      <c r="X66" s="161" t="s">
        <v>244</v>
      </c>
      <c r="Y66" s="161" t="s">
        <v>244</v>
      </c>
      <c r="Z66" s="161" t="s">
        <v>244</v>
      </c>
      <c r="AA66" s="161" t="s">
        <v>244</v>
      </c>
      <c r="AB66" s="161" t="s">
        <v>244</v>
      </c>
      <c r="AC66" s="161" t="s">
        <v>244</v>
      </c>
      <c r="AD66" s="161" t="s">
        <v>244</v>
      </c>
      <c r="AE66" s="161" t="s">
        <v>244</v>
      </c>
      <c r="AF66" s="163" t="s">
        <v>244</v>
      </c>
      <c r="AG66" s="163" t="s">
        <v>244</v>
      </c>
      <c r="AH66" s="163" t="s">
        <v>244</v>
      </c>
      <c r="AI66" s="163"/>
      <c r="AJ66" s="163"/>
      <c r="AK66" s="163"/>
      <c r="AL66" s="163"/>
      <c r="AM66" s="163"/>
      <c r="AN66" s="163"/>
      <c r="AO66" s="163"/>
      <c r="AP66" s="163"/>
      <c r="AQ66" s="163"/>
      <c r="AR66" s="163"/>
      <c r="AS66" s="163"/>
      <c r="AT66" s="163"/>
      <c r="AU66" s="163"/>
      <c r="AV66" s="163"/>
      <c r="AW66" s="163"/>
      <c r="AX66" s="163"/>
      <c r="AY66" s="163"/>
      <c r="AZ66" s="163"/>
      <c r="BA66" s="163"/>
      <c r="BB66" s="163"/>
      <c r="BC66" s="163"/>
      <c r="BD66" s="163"/>
      <c r="BE66" s="163"/>
      <c r="BF66" s="163"/>
      <c r="BG66" s="163"/>
      <c r="BH66" s="163"/>
      <c r="BI66" s="163"/>
      <c r="BJ66" s="163"/>
      <c r="BK66" s="163"/>
      <c r="BL66" s="163"/>
      <c r="BM66" s="163"/>
      <c r="BN66" s="163"/>
      <c r="BO66" s="163"/>
      <c r="BP66" s="163"/>
      <c r="BQ66" s="163"/>
      <c r="BR66" s="163"/>
      <c r="BS66" s="163"/>
      <c r="BT66" s="163"/>
      <c r="BU66" s="163"/>
      <c r="BV66" s="163"/>
      <c r="BW66" s="163"/>
      <c r="BX66" s="163"/>
      <c r="BY66" s="163"/>
      <c r="BZ66" s="163"/>
      <c r="CA66" s="163"/>
      <c r="CB66" s="163"/>
      <c r="CC66" s="163"/>
      <c r="CD66" s="163"/>
      <c r="CE66" s="163"/>
      <c r="CF66" s="163"/>
      <c r="CG66" s="163"/>
      <c r="CH66" s="163"/>
      <c r="CI66" s="163"/>
      <c r="CJ66" s="163"/>
      <c r="CK66" s="163"/>
      <c r="CL66" s="163"/>
      <c r="CM66" s="163"/>
      <c r="CN66" s="163"/>
      <c r="CO66" s="163"/>
      <c r="CP66" s="163"/>
      <c r="CQ66" s="163"/>
      <c r="CR66" s="163"/>
      <c r="CS66" s="163"/>
      <c r="CT66" s="163"/>
      <c r="CU66" s="163"/>
      <c r="CV66" s="163"/>
      <c r="CW66" s="163"/>
      <c r="CX66" s="163"/>
      <c r="CY66" s="163"/>
      <c r="CZ66" s="163"/>
      <c r="DA66" s="163"/>
      <c r="DB66" s="163"/>
      <c r="DC66" s="163"/>
      <c r="DD66" s="163"/>
      <c r="DE66" s="163"/>
      <c r="DF66" s="163"/>
      <c r="DG66" s="163"/>
      <c r="DH66" s="163"/>
      <c r="DI66" s="163"/>
      <c r="DJ66" s="163"/>
      <c r="DK66" s="163"/>
      <c r="DL66" s="163"/>
      <c r="DM66" s="163"/>
      <c r="DN66" s="163"/>
      <c r="DO66" s="163"/>
      <c r="DP66" s="163"/>
      <c r="DQ66" s="163"/>
      <c r="DR66" s="163"/>
      <c r="DS66" s="163"/>
      <c r="DT66" s="163"/>
      <c r="DU66" s="163"/>
      <c r="DV66" s="163"/>
      <c r="DW66" s="163"/>
      <c r="DX66" s="163"/>
      <c r="DY66" s="163"/>
      <c r="DZ66" s="163"/>
      <c r="EA66" s="163"/>
      <c r="EB66" s="163"/>
      <c r="EC66" s="163"/>
      <c r="ED66" s="163"/>
      <c r="EE66" s="163"/>
      <c r="EF66" s="163"/>
      <c r="EG66" s="163"/>
      <c r="EH66" s="160">
        <f>IF([Chambre]*1='CHAMBRES FILLES 2e ETAGE'!$A$5,1,0)</f>
        <v>0</v>
      </c>
      <c r="EI66" s="161">
        <f>IF([Occurrence2]=0,0,SUM($EH$2:EH66))</f>
        <v>0</v>
      </c>
      <c r="EJ66" s="160">
        <f>IF([Chambre]*1='CHAMBRES FILLES 2e ETAGE'!$A$11,1,0)</f>
        <v>0</v>
      </c>
      <c r="EK66" s="160">
        <f>IF([Occurrence3]=0,0,SUM($EJ$2:EJ66))</f>
        <v>0</v>
      </c>
      <c r="EL66" s="160">
        <f>IF([Chambre]*1='CHAMBRES FILLES 2e ETAGE'!$A$17,1,0)</f>
        <v>0</v>
      </c>
      <c r="EM66" s="160">
        <f>IF([Occurrence4]=0,0,SUM($EL$2:EL66))</f>
        <v>0</v>
      </c>
      <c r="EN66" s="160">
        <f>IF([Chambre]*1='CHAMBRES FILLES 2e ETAGE'!$A$23,1,0)</f>
        <v>0</v>
      </c>
      <c r="EO66" s="160">
        <f>IF([Occurrence5]=0,0,SUM($EN$2:EN66))</f>
        <v>0</v>
      </c>
      <c r="EP66" s="160">
        <f>IF([Chambre]*1='CHAMBRES FILLES 2e ETAGE'!$A$29,1,0)</f>
        <v>0</v>
      </c>
      <c r="EQ66" s="160">
        <f>IF([Occurrence6]=0,0,SUM($EP$2:EP66))</f>
        <v>0</v>
      </c>
      <c r="ER66" s="160">
        <f>IF([Chambre]*1='CHAMBRES FILLES 2e ETAGE'!$A$35,1,0)</f>
        <v>0</v>
      </c>
      <c r="ES66" s="160">
        <f>IF([Occurrence7]=0,0,SUM($ER$2:ER66))</f>
        <v>0</v>
      </c>
      <c r="ET66" s="160">
        <f>IF([Chambre]*1='CHAMBRES FILLES 2e ETAGE'!$A$41,1,0)</f>
        <v>0</v>
      </c>
      <c r="EU66" s="160">
        <f>IF([Occurrence8]=0,0,SUM($ET$2:ET66))</f>
        <v>0</v>
      </c>
      <c r="EV66" s="160">
        <f>IF([Chambre]*1='CHAMBRES FILLES 2e ETAGE'!$A$47,1,0)</f>
        <v>0</v>
      </c>
      <c r="EW66" s="160">
        <f>IF([Occurrence9]=0,0,SUM($EV$2:EV66))</f>
        <v>0</v>
      </c>
      <c r="EX66" s="160">
        <f>IF([Chambre]*1='CHAMBRES FILLES 2e ETAGE'!$A$53,1,0)</f>
        <v>0</v>
      </c>
      <c r="EY66" s="160">
        <f>IF([Occurrence10]=0,0,SUM($EX$2:EX66))</f>
        <v>0</v>
      </c>
      <c r="EZ66" s="160">
        <f>IF([Chambre]*1='CHAMBRES FILLES 2e ETAGE'!$A$59,1,0)</f>
        <v>0</v>
      </c>
      <c r="FA66" s="160">
        <f>IF([Occurrence11]=0,0,SUM($EZ$2:EZ66))</f>
        <v>0</v>
      </c>
      <c r="FB66" s="160">
        <f>IF([Chambre]*1='CHAMBRES FILLES 2e ETAGE'!$A$65,1,0)</f>
        <v>0</v>
      </c>
      <c r="FC66" s="160">
        <f>IF([Occurrence12]=0,0,SUM($FB$2:FB66))</f>
        <v>0</v>
      </c>
      <c r="FD66" s="160">
        <f>IF([Chambre]*1='CHAMBRES FILLES 2e ETAGE'!$A$71,1,0)</f>
        <v>0</v>
      </c>
      <c r="FE66" s="160">
        <f>IF([Occurrence13]=0,0,SUM($FD$2:FD66))</f>
        <v>0</v>
      </c>
      <c r="FF66" s="160">
        <f>IF([Chambre]*1='CHAMBRES FILLES 2e ETAGE'!$A$77,1,0)</f>
        <v>0</v>
      </c>
      <c r="FG66" s="160">
        <f>IF([Occurrence14]=0,0,SUM($FF$2:FF66))</f>
        <v>0</v>
      </c>
      <c r="FH66" s="160">
        <f>IF([Chambre]*1='CHAMBRES FILLES 2e ETAGE'!$A$83,1,0)</f>
        <v>0</v>
      </c>
      <c r="FI66" s="160">
        <f>IF([Occurrence15]=0,0,SUM($FH$2:FH66))</f>
        <v>0</v>
      </c>
      <c r="FJ66" s="160">
        <f>IF([Chambre]*1='CHAMBRES FILLES 2e ETAGE'!$A$89,1,0)</f>
        <v>0</v>
      </c>
      <c r="FK66" s="160">
        <f>IF([Occurrence16]=0,0,SUM($FJ$2:FJ66))</f>
        <v>0</v>
      </c>
      <c r="FL66" s="160">
        <f>IF([Chambre]*1='CHAMBRES FILLES 2e ETAGE'!$A$95,1,0)</f>
        <v>0</v>
      </c>
      <c r="FM66" s="160">
        <f>IF([Occurrence17]=0,0,SUM($FL$2:FL66))</f>
        <v>0</v>
      </c>
      <c r="FN66" s="160">
        <f>IF([Chambre2]*1='CHAMBRES FILLES 1e ETAGE'!$A$5,1,0)</f>
        <v>0</v>
      </c>
      <c r="FO66" s="160">
        <f>IF([Occurrence18]=0,0,SUM($FN$2:FN66))</f>
        <v>0</v>
      </c>
      <c r="FP66" s="160">
        <f>IF([Chambre2]*1='CHAMBRES FILLES 1e ETAGE'!$A$11,1,0)</f>
        <v>0</v>
      </c>
      <c r="FQ66" s="160">
        <f>IF([Occurrence19]=0,0,SUM($FP$2:FP66))</f>
        <v>0</v>
      </c>
      <c r="FR66" s="160">
        <f>IF([Chambre2]*1='CHAMBRES FILLES 1e ETAGE'!$A$17,1,0)</f>
        <v>0</v>
      </c>
      <c r="FS66" s="160">
        <f>IF([Occurrence20]=0,0,SUM($FR$2:FR66))</f>
        <v>0</v>
      </c>
      <c r="FT66" s="160">
        <f>IF([Chambre2]*1='CHAMBRES FILLES 1e ETAGE'!$A$23,1,0)</f>
        <v>0</v>
      </c>
      <c r="FU66" s="160">
        <f>IF([Occurrence21]=0,0,SUM($FT$2:FT66))</f>
        <v>0</v>
      </c>
      <c r="FV66" s="160">
        <f>IF([Chambre2]*1='CHAMBRES FILLES 1e ETAGE'!$A$29,1,0)</f>
        <v>0</v>
      </c>
      <c r="FW66" s="160">
        <f>IF([Occurrence22]=0,0,SUM($FV$2:FV66))</f>
        <v>0</v>
      </c>
      <c r="FX66" s="160">
        <f>IF([Chambre2]*1='CHAMBRES FILLES 1e ETAGE'!$A$35,1,0)</f>
        <v>0</v>
      </c>
      <c r="FY66" s="160">
        <f>IF([Occurrence23]=0,0,SUM($FX$2:FX66))</f>
        <v>0</v>
      </c>
      <c r="FZ66" s="160">
        <f>IF([Chambre2]*1='CHAMBRES FILLES 1e ETAGE'!$A$41,1,0)</f>
        <v>0</v>
      </c>
      <c r="GA66" s="160">
        <f>IF([Occurrence24]=0,0,SUM($FZ$2:FZ66))</f>
        <v>0</v>
      </c>
      <c r="GB66" s="160">
        <f>IF([Chambre2]*1='CHAMBRES FILLES 1e ETAGE'!$A$47,1,0)</f>
        <v>0</v>
      </c>
      <c r="GC66" s="160">
        <f>IF([Occurrence25]=0,0,SUM($GB$2:GB66))</f>
        <v>0</v>
      </c>
      <c r="GD66" s="160">
        <f>IF([Chambre2]*1='CHAMBRES FILLES 1e ETAGE'!$A$53,1,0)</f>
        <v>0</v>
      </c>
      <c r="GE66" s="160">
        <f>IF([Occurrence26]=0,0,SUM($GD$2:GD66))</f>
        <v>0</v>
      </c>
      <c r="GF66" s="160">
        <f>IF([chambre4]*1='CHAMBRES GARCONS 1e ETAGE'!$A$5,1,0)</f>
        <v>0</v>
      </c>
      <c r="GG66" s="160">
        <f>IF([Occurrence27]=0,0,SUM($GF$2:GF66))</f>
        <v>0</v>
      </c>
      <c r="GH66" s="160">
        <f>IF([chambre4]*1='CHAMBRES GARCONS 1e ETAGE'!$A$11,1,0)</f>
        <v>0</v>
      </c>
      <c r="GI66" s="160">
        <f>IF([Occurrence28]=0,0,SUM($GH$2:GH66))</f>
        <v>0</v>
      </c>
      <c r="GJ66" s="160">
        <f>IF([chambre4]*1='CHAMBRES GARCONS 1e ETAGE'!$A$17,1,0)</f>
        <v>0</v>
      </c>
      <c r="GK66" s="160">
        <f>IF([Occurrence29]=0,0,SUM($GJ$2:GJ66))</f>
        <v>0</v>
      </c>
      <c r="GL66" s="160">
        <f>IF([chambre4]*1='CHAMBRES GARCONS 1e ETAGE'!$A$23,1,0)</f>
        <v>0</v>
      </c>
      <c r="GM66" s="160">
        <f>IF([Occurrence30]=0,0,SUM($GL$2:GL66))</f>
        <v>0</v>
      </c>
      <c r="GN66" s="160">
        <f>IF([chambre4]*1='CHAMBRES GARCONS 1e ETAGE'!$A$29,1,0)</f>
        <v>0</v>
      </c>
      <c r="GO66" s="160">
        <f>IF([Occurrence31]=0,0,SUM($GN$2:GN66))</f>
        <v>0</v>
      </c>
      <c r="GP66" s="160">
        <f>IF([chambre4]*1='CHAMBRES GARCONS 1e ETAGE'!$A$35,1,0)</f>
        <v>0</v>
      </c>
      <c r="GQ66" s="160">
        <f>IF([Occurrence32]=0,0,SUM($GP$2:GP66))</f>
        <v>0</v>
      </c>
      <c r="GR66" s="160">
        <f>IF([chambre3]*1='CHAMBRES GARCONS RDC'!$A$5,1,0)</f>
        <v>0</v>
      </c>
      <c r="GS66" s="160">
        <f>IF([Occurrence33]=0,0,SUM($GR$2:GR66))</f>
        <v>0</v>
      </c>
      <c r="GT66" s="160">
        <f>IF([chambre3]*1='CHAMBRES GARCONS RDC'!$A$11,1,0)</f>
        <v>0</v>
      </c>
      <c r="GU66" s="160">
        <f>IF([Occurrence34]=0,0,SUM($GT$2:GT66))</f>
        <v>0</v>
      </c>
      <c r="GV66" s="160">
        <f>IF([chambre3]*1='CHAMBRES GARCONS RDC'!$A$17,1,0)</f>
        <v>0</v>
      </c>
      <c r="GW66" s="160">
        <f>IF([Occurrence35]=0,0,SUM($GV$2:GV66))</f>
        <v>0</v>
      </c>
      <c r="GX66" s="160">
        <f>IF([chambre3]*1='CHAMBRES GARCONS RDC'!$A$23,1,0)</f>
        <v>0</v>
      </c>
      <c r="GY66" s="160">
        <f>IF([Occurrence36]=0,0,SUM($GX$2:GX66))</f>
        <v>0</v>
      </c>
      <c r="GZ66" s="160">
        <f>IF([chambre3]*1='CHAMBRES GARCONS RDC'!$A$29,1,0)</f>
        <v>0</v>
      </c>
      <c r="HA66" s="160">
        <f>IF([Occurrence37]=0,0,SUM($GZ$2:GZ66))</f>
        <v>0</v>
      </c>
      <c r="HB66" s="160">
        <f>IF([chambre3]*1='CHAMBRES GARCONS RDC'!$A$35,1,0)</f>
        <v>0</v>
      </c>
      <c r="HC66" s="160">
        <f>IF([Occurrence38]=0,0,SUM($HB$2:HB66))</f>
        <v>0</v>
      </c>
      <c r="HD66" s="160">
        <f>IF([chambre3]*1='CHAMBRES GARCONS RDC'!$A$41,1,0)</f>
        <v>0</v>
      </c>
      <c r="HE66" s="160">
        <f>IF([Occurrence39]=0,0,SUM($HD$2:HD66))</f>
        <v>0</v>
      </c>
      <c r="HF66" s="160">
        <f>IF([chambre3]*1='CHAMBRES GARCONS RDC'!$A$47,1,0)</f>
        <v>0</v>
      </c>
      <c r="HG66" s="160">
        <f>IF([Occurrence40]=0,0,SUM($HF$2:HF66))</f>
        <v>0</v>
      </c>
      <c r="HH66" s="160">
        <f>IF([chambre3]*1='CHAMBRES GARCONS RDC'!$A$53,1,0)</f>
        <v>0</v>
      </c>
      <c r="HI66" s="160">
        <f>IF([Occurrence41]=0,0,SUM($HH$2:HH66))</f>
        <v>0</v>
      </c>
      <c r="HJ66" s="160">
        <f>IF([chambre3]*1='CHAMBRES GARCONS RDC'!$A$59,1,0)</f>
        <v>0</v>
      </c>
      <c r="HK66" s="160">
        <f>IF([Occurrence42]=0,0,SUM($HJ$2:HJ66))</f>
        <v>0</v>
      </c>
      <c r="HL66" s="160">
        <f>IF([chambre3]*1='CHAMBRES GARCONS RDC'!$A$65,1,0)</f>
        <v>0</v>
      </c>
      <c r="HM66" s="160">
        <f>IF([Occurrence43]=0,0,SUM($HL$2:HL66))</f>
        <v>0</v>
      </c>
      <c r="HN66" s="160">
        <f>IF([chambre3]*1='CHAMBRES GARCONS RDC'!$A$71,1,0)</f>
        <v>0</v>
      </c>
      <c r="HO66" s="160">
        <f>IF([Occurrence44]=0,0,SUM($HN$2:HN66))</f>
        <v>0</v>
      </c>
      <c r="HP66" s="160">
        <f>IF([chambre3]*1='CHAMBRES GARCONS RDC'!$A$77,1,0)</f>
        <v>0</v>
      </c>
      <c r="HQ66" s="160">
        <f>IF([Occurrence45]=0,0,SUM($HP$2:HP66))</f>
        <v>0</v>
      </c>
      <c r="HR66" s="160">
        <f>IF([chambre3]*1='CHAMBRES GARCONS RDC'!$A$83,1,0)</f>
        <v>0</v>
      </c>
      <c r="HS66" s="160">
        <f>IF([Occurrence46]=0,0,SUM($HR$2:HR66))</f>
        <v>0</v>
      </c>
      <c r="HT66" s="160">
        <f>IF([chambre3]*1='CHAMBRES GARCONS RDC'!$A$89,1,0)</f>
        <v>0</v>
      </c>
      <c r="HU66" s="160">
        <f>IF([Occurrence47]=0,0,SUM($HT$2:HT66))</f>
        <v>0</v>
      </c>
      <c r="HV66" s="160">
        <f>IF([chambre3]*1='CHAMBRES GARCONS RDC'!$A$95,1,0)</f>
        <v>0</v>
      </c>
      <c r="HW66" s="160">
        <f>IF([Occurrence48]=0,0,SUM($HV$2:HV66))</f>
        <v>0</v>
      </c>
      <c r="HX66" s="160"/>
      <c r="HY66" s="160"/>
      <c r="HZ66" s="160">
        <f>IF([Classe]='Liste élève par classes'!$B$5,1,0)</f>
        <v>0</v>
      </c>
      <c r="IA66" s="160">
        <f>IF([Occurrence]=0,0,SUM($HZ$2:HZ66))</f>
        <v>0</v>
      </c>
      <c r="IB6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66" s="208"/>
    </row>
    <row r="67" spans="1:237">
      <c r="A67" t="s">
        <v>364</v>
      </c>
      <c r="B67" t="s">
        <v>365</v>
      </c>
      <c r="C67" s="158">
        <v>37161</v>
      </c>
      <c r="D67" s="62">
        <f t="shared" ca="1" si="0"/>
        <v>16</v>
      </c>
      <c r="E67" t="s">
        <v>8</v>
      </c>
      <c r="F67" s="159" t="s">
        <v>50</v>
      </c>
      <c r="G67" t="s">
        <v>45</v>
      </c>
      <c r="H67" s="160"/>
      <c r="I67" s="62"/>
      <c r="J67" s="62"/>
      <c r="K67" s="62"/>
      <c r="L67" s="61"/>
      <c r="M67">
        <v>100</v>
      </c>
      <c r="N67" s="62"/>
      <c r="O67" s="62"/>
      <c r="P67" s="62"/>
      <c r="Q67" s="62"/>
      <c r="R67" s="62"/>
      <c r="S67" s="191"/>
      <c r="T67" s="62"/>
      <c r="U67" s="61">
        <v>132</v>
      </c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163"/>
      <c r="AG67" s="163"/>
      <c r="AH67" s="163"/>
      <c r="AI67" s="163"/>
      <c r="AJ67" s="163"/>
      <c r="AK67" s="163"/>
      <c r="AL67" s="163"/>
      <c r="AM67" s="163"/>
      <c r="AN67" s="163"/>
      <c r="AO67" s="163"/>
      <c r="AP67" s="163"/>
      <c r="AQ67" s="163"/>
      <c r="AR67" s="163"/>
      <c r="AS67" s="163"/>
      <c r="AT67" s="163"/>
      <c r="AU67" s="163"/>
      <c r="AV67" s="163"/>
      <c r="AW67" s="163"/>
      <c r="AX67" s="163"/>
      <c r="AY67" s="163"/>
      <c r="AZ67" s="163"/>
      <c r="BA67" s="163"/>
      <c r="BB67" s="163"/>
      <c r="BC67" s="163" t="b">
        <v>0</v>
      </c>
      <c r="BD67" s="163" t="b">
        <v>1</v>
      </c>
      <c r="BE67" s="163" t="b">
        <v>1</v>
      </c>
      <c r="BF67" s="163" t="b">
        <v>0</v>
      </c>
      <c r="BG67" s="164" t="b">
        <v>0</v>
      </c>
      <c r="BH67" s="163" t="b">
        <v>1</v>
      </c>
      <c r="BI67" s="163"/>
      <c r="BJ67" s="163"/>
      <c r="BK67" s="163"/>
      <c r="BL67" s="163"/>
      <c r="BM67" s="163"/>
      <c r="BN67" s="163"/>
      <c r="BO67" s="163"/>
      <c r="BP67" s="163"/>
      <c r="BQ67" s="163" t="b">
        <v>0</v>
      </c>
      <c r="BR67" s="163"/>
      <c r="BS67" s="163"/>
      <c r="BT67" s="163"/>
      <c r="BU67" s="163"/>
      <c r="BV67" s="163"/>
      <c r="BW67" s="163"/>
      <c r="BX67" s="163"/>
      <c r="BY67" s="163"/>
      <c r="BZ67" s="163"/>
      <c r="CA67" s="163"/>
      <c r="CB67" s="163"/>
      <c r="CC67" s="163"/>
      <c r="CD67" s="163"/>
      <c r="CE67" s="163"/>
      <c r="CF67" s="163"/>
      <c r="CG67" s="163"/>
      <c r="CH67" s="163"/>
      <c r="CI67" s="163"/>
      <c r="CJ67" s="163"/>
      <c r="CK67" s="163"/>
      <c r="CL67" s="163"/>
      <c r="CM67" s="163"/>
      <c r="CN67" s="163"/>
      <c r="CO67" s="163"/>
      <c r="CP67" s="163"/>
      <c r="CQ67" s="163"/>
      <c r="CR67" s="163"/>
      <c r="CS67" s="163"/>
      <c r="CT67" s="163"/>
      <c r="CU67" s="163"/>
      <c r="CV67" s="163"/>
      <c r="CW67" s="163"/>
      <c r="CX67" s="163"/>
      <c r="CY67" s="163"/>
      <c r="CZ67" s="163"/>
      <c r="DA67" s="163"/>
      <c r="DB67" s="163"/>
      <c r="DC67" s="163"/>
      <c r="DD67" s="163"/>
      <c r="DE67" s="163"/>
      <c r="DF67" s="163"/>
      <c r="DG67" s="208"/>
      <c r="DH67" s="163"/>
      <c r="DI67" s="163"/>
      <c r="DJ67" s="163"/>
      <c r="DK67" s="163"/>
      <c r="DL67" s="163"/>
      <c r="DM67" s="163"/>
      <c r="DN67" s="163"/>
      <c r="DO67" s="163"/>
      <c r="DP67" s="163"/>
      <c r="DQ67" s="163"/>
      <c r="DR67" s="163"/>
      <c r="DS67" s="163"/>
      <c r="DT67" s="163"/>
      <c r="DU67" s="163"/>
      <c r="DV67" s="163"/>
      <c r="DW67" s="163"/>
      <c r="DX67" s="163"/>
      <c r="DY67" s="163"/>
      <c r="DZ67" s="163"/>
      <c r="EA67" s="163"/>
      <c r="EB67" s="163"/>
      <c r="EC67" s="163"/>
      <c r="ED67" s="163"/>
      <c r="EE67" s="163"/>
      <c r="EF67" s="163"/>
      <c r="EG67" s="163"/>
      <c r="EH67" s="160">
        <f>IF([Chambre]*1='CHAMBRES FILLES 2e ETAGE'!$A$5,1,0)</f>
        <v>0</v>
      </c>
      <c r="EI67" s="161">
        <f>IF([Occurrence2]=0,0,SUM($EH$2:EH67))</f>
        <v>0</v>
      </c>
      <c r="EJ67" s="160">
        <f>IF([Chambre]*1='CHAMBRES FILLES 2e ETAGE'!$A$11,1,0)</f>
        <v>0</v>
      </c>
      <c r="EK67" s="160">
        <f>IF([Occurrence3]=0,0,SUM($EJ$2:EJ67))</f>
        <v>0</v>
      </c>
      <c r="EL67" s="160">
        <f>IF([Chambre]*1='CHAMBRES FILLES 2e ETAGE'!$A$17,1,0)</f>
        <v>0</v>
      </c>
      <c r="EM67" s="160">
        <f>IF([Occurrence4]=0,0,SUM($EL$2:EL67))</f>
        <v>0</v>
      </c>
      <c r="EN67" s="160">
        <f>IF([Chambre]*1='CHAMBRES FILLES 2e ETAGE'!$A$23,1,0)</f>
        <v>0</v>
      </c>
      <c r="EO67" s="160">
        <f>IF([Occurrence5]=0,0,SUM($EN$2:EN67))</f>
        <v>0</v>
      </c>
      <c r="EP67" s="160">
        <f>IF([Chambre]*1='CHAMBRES FILLES 2e ETAGE'!$A$29,1,0)</f>
        <v>0</v>
      </c>
      <c r="EQ67" s="160">
        <f>IF([Occurrence6]=0,0,SUM($EP$2:EP67))</f>
        <v>0</v>
      </c>
      <c r="ER67" s="160">
        <f>IF([Chambre]*1='CHAMBRES FILLES 2e ETAGE'!$A$35,1,0)</f>
        <v>0</v>
      </c>
      <c r="ES67" s="160">
        <f>IF([Occurrence7]=0,0,SUM($ER$2:ER67))</f>
        <v>0</v>
      </c>
      <c r="ET67" s="160">
        <f>IF([Chambre]*1='CHAMBRES FILLES 2e ETAGE'!$A$41,1,0)</f>
        <v>0</v>
      </c>
      <c r="EU67" s="160">
        <f>IF([Occurrence8]=0,0,SUM($ET$2:ET67))</f>
        <v>0</v>
      </c>
      <c r="EV67" s="160">
        <f>IF([Chambre]*1='CHAMBRES FILLES 2e ETAGE'!$A$47,1,0)</f>
        <v>0</v>
      </c>
      <c r="EW67" s="160">
        <f>IF([Occurrence9]=0,0,SUM($EV$2:EV67))</f>
        <v>0</v>
      </c>
      <c r="EX67" s="160">
        <f>IF([Chambre]*1='CHAMBRES FILLES 2e ETAGE'!$A$53,1,0)</f>
        <v>0</v>
      </c>
      <c r="EY67" s="160">
        <f>IF([Occurrence10]=0,0,SUM($EX$2:EX67))</f>
        <v>0</v>
      </c>
      <c r="EZ67" s="160">
        <f>IF([Chambre]*1='CHAMBRES FILLES 2e ETAGE'!$A$59,1,0)</f>
        <v>0</v>
      </c>
      <c r="FA67" s="160">
        <f>IF([Occurrence11]=0,0,SUM($EZ$2:EZ67))</f>
        <v>0</v>
      </c>
      <c r="FB67" s="160">
        <f>IF([Chambre]*1='CHAMBRES FILLES 2e ETAGE'!$A$65,1,0)</f>
        <v>0</v>
      </c>
      <c r="FC67" s="160">
        <f>IF([Occurrence12]=0,0,SUM($FB$2:FB67))</f>
        <v>0</v>
      </c>
      <c r="FD67" s="160">
        <f>IF([Chambre]*1='CHAMBRES FILLES 2e ETAGE'!$A$71,1,0)</f>
        <v>0</v>
      </c>
      <c r="FE67" s="160">
        <f>IF([Occurrence13]=0,0,SUM($FD$2:FD67))</f>
        <v>0</v>
      </c>
      <c r="FF67" s="160">
        <f>IF([Chambre]*1='CHAMBRES FILLES 2e ETAGE'!$A$77,1,0)</f>
        <v>0</v>
      </c>
      <c r="FG67" s="160">
        <f>IF([Occurrence14]=0,0,SUM($FF$2:FF67))</f>
        <v>0</v>
      </c>
      <c r="FH67" s="160">
        <f>IF([Chambre]*1='CHAMBRES FILLES 2e ETAGE'!$A$83,1,0)</f>
        <v>0</v>
      </c>
      <c r="FI67" s="160">
        <f>IF([Occurrence15]=0,0,SUM($FH$2:FH67))</f>
        <v>0</v>
      </c>
      <c r="FJ67" s="160">
        <f>IF([Chambre]*1='CHAMBRES FILLES 2e ETAGE'!$A$89,1,0)</f>
        <v>0</v>
      </c>
      <c r="FK67" s="160">
        <f>IF([Occurrence16]=0,0,SUM($FJ$2:FJ67))</f>
        <v>0</v>
      </c>
      <c r="FL67" s="160">
        <f>IF([Chambre]*1='CHAMBRES FILLES 2e ETAGE'!$A$95,1,0)</f>
        <v>0</v>
      </c>
      <c r="FM67" s="160">
        <f>IF([Occurrence17]=0,0,SUM($FL$2:FL67))</f>
        <v>0</v>
      </c>
      <c r="FN67" s="160">
        <f>IF([Chambre2]*1='CHAMBRES FILLES 1e ETAGE'!$A$5,1,0)</f>
        <v>1</v>
      </c>
      <c r="FO67" s="160">
        <f>IF([Occurrence18]=0,0,SUM($FN$2:FN67))</f>
        <v>2</v>
      </c>
      <c r="FP67" s="160">
        <f>IF([Chambre2]*1='CHAMBRES FILLES 1e ETAGE'!$A$11,1,0)</f>
        <v>0</v>
      </c>
      <c r="FQ67" s="160">
        <f>IF([Occurrence19]=0,0,SUM($FP$2:FP67))</f>
        <v>0</v>
      </c>
      <c r="FR67" s="160">
        <f>IF([Chambre2]*1='CHAMBRES FILLES 1e ETAGE'!$A$17,1,0)</f>
        <v>0</v>
      </c>
      <c r="FS67" s="160">
        <f>IF([Occurrence20]=0,0,SUM($FR$2:FR67))</f>
        <v>0</v>
      </c>
      <c r="FT67" s="160">
        <f>IF([Chambre2]*1='CHAMBRES FILLES 1e ETAGE'!$A$23,1,0)</f>
        <v>0</v>
      </c>
      <c r="FU67" s="160">
        <f>IF([Occurrence21]=0,0,SUM($FT$2:FT67))</f>
        <v>0</v>
      </c>
      <c r="FV67" s="160">
        <f>IF([Chambre2]*1='CHAMBRES FILLES 1e ETAGE'!$A$29,1,0)</f>
        <v>0</v>
      </c>
      <c r="FW67" s="160">
        <f>IF([Occurrence22]=0,0,SUM($FV$2:FV67))</f>
        <v>0</v>
      </c>
      <c r="FX67" s="160">
        <f>IF([Chambre2]*1='CHAMBRES FILLES 1e ETAGE'!$A$35,1,0)</f>
        <v>0</v>
      </c>
      <c r="FY67" s="160">
        <f>IF([Occurrence23]=0,0,SUM($FX$2:FX67))</f>
        <v>0</v>
      </c>
      <c r="FZ67" s="160">
        <f>IF([Chambre2]*1='CHAMBRES FILLES 1e ETAGE'!$A$41,1,0)</f>
        <v>0</v>
      </c>
      <c r="GA67" s="160">
        <f>IF([Occurrence24]=0,0,SUM($FZ$2:FZ67))</f>
        <v>0</v>
      </c>
      <c r="GB67" s="160">
        <f>IF([Chambre2]*1='CHAMBRES FILLES 1e ETAGE'!$A$47,1,0)</f>
        <v>0</v>
      </c>
      <c r="GC67" s="160">
        <f>IF([Occurrence25]=0,0,SUM($GB$2:GB67))</f>
        <v>0</v>
      </c>
      <c r="GD67" s="160">
        <f>IF([Chambre2]*1='CHAMBRES FILLES 1e ETAGE'!$A$53,1,0)</f>
        <v>0</v>
      </c>
      <c r="GE67" s="160">
        <f>IF([Occurrence26]=0,0,SUM($GD$2:GD67))</f>
        <v>0</v>
      </c>
      <c r="GF67" s="160">
        <f>IF([chambre4]*1='CHAMBRES GARCONS 1e ETAGE'!$A$5,1,0)</f>
        <v>0</v>
      </c>
      <c r="GG67" s="160">
        <f>IF([Occurrence27]=0,0,SUM($GF$2:GF67))</f>
        <v>0</v>
      </c>
      <c r="GH67" s="160">
        <f>IF([chambre4]*1='CHAMBRES GARCONS 1e ETAGE'!$A$11,1,0)</f>
        <v>0</v>
      </c>
      <c r="GI67" s="160">
        <f>IF([Occurrence28]=0,0,SUM($GH$2:GH67))</f>
        <v>0</v>
      </c>
      <c r="GJ67" s="160">
        <f>IF([chambre4]*1='CHAMBRES GARCONS 1e ETAGE'!$A$17,1,0)</f>
        <v>0</v>
      </c>
      <c r="GK67" s="160">
        <f>IF([Occurrence29]=0,0,SUM($GJ$2:GJ67))</f>
        <v>0</v>
      </c>
      <c r="GL67" s="160">
        <f>IF([chambre4]*1='CHAMBRES GARCONS 1e ETAGE'!$A$23,1,0)</f>
        <v>0</v>
      </c>
      <c r="GM67" s="160">
        <f>IF([Occurrence30]=0,0,SUM($GL$2:GL67))</f>
        <v>0</v>
      </c>
      <c r="GN67" s="160">
        <f>IF([chambre4]*1='CHAMBRES GARCONS 1e ETAGE'!$A$29,1,0)</f>
        <v>0</v>
      </c>
      <c r="GO67" s="160">
        <f>IF([Occurrence31]=0,0,SUM($GN$2:GN67))</f>
        <v>0</v>
      </c>
      <c r="GP67" s="160">
        <f>IF([chambre4]*1='CHAMBRES GARCONS 1e ETAGE'!$A$35,1,0)</f>
        <v>0</v>
      </c>
      <c r="GQ67" s="160">
        <f>IF([Occurrence32]=0,0,SUM($GP$2:GP67))</f>
        <v>0</v>
      </c>
      <c r="GR67" s="160">
        <f>IF([chambre3]*1='CHAMBRES GARCONS RDC'!$A$5,1,0)</f>
        <v>0</v>
      </c>
      <c r="GS67" s="160">
        <f>IF([Occurrence33]=0,0,SUM($GR$2:GR67))</f>
        <v>0</v>
      </c>
      <c r="GT67" s="160">
        <f>IF([chambre3]*1='CHAMBRES GARCONS RDC'!$A$11,1,0)</f>
        <v>0</v>
      </c>
      <c r="GU67" s="160">
        <f>IF([Occurrence34]=0,0,SUM($GT$2:GT67))</f>
        <v>0</v>
      </c>
      <c r="GV67" s="160">
        <f>IF([chambre3]*1='CHAMBRES GARCONS RDC'!$A$17,1,0)</f>
        <v>0</v>
      </c>
      <c r="GW67" s="160">
        <f>IF([Occurrence35]=0,0,SUM($GV$2:GV67))</f>
        <v>0</v>
      </c>
      <c r="GX67" s="160">
        <f>IF([chambre3]*1='CHAMBRES GARCONS RDC'!$A$23,1,0)</f>
        <v>0</v>
      </c>
      <c r="GY67" s="160">
        <f>IF([Occurrence36]=0,0,SUM($GX$2:GX67))</f>
        <v>0</v>
      </c>
      <c r="GZ67" s="160">
        <f>IF([chambre3]*1='CHAMBRES GARCONS RDC'!$A$29,1,0)</f>
        <v>0</v>
      </c>
      <c r="HA67" s="160">
        <f>IF([Occurrence37]=0,0,SUM($GZ$2:GZ67))</f>
        <v>0</v>
      </c>
      <c r="HB67" s="160">
        <f>IF([chambre3]*1='CHAMBRES GARCONS RDC'!$A$35,1,0)</f>
        <v>0</v>
      </c>
      <c r="HC67" s="160">
        <f>IF([Occurrence38]=0,0,SUM($HB$2:HB67))</f>
        <v>0</v>
      </c>
      <c r="HD67" s="160">
        <f>IF([chambre3]*1='CHAMBRES GARCONS RDC'!$A$41,1,0)</f>
        <v>0</v>
      </c>
      <c r="HE67" s="160">
        <f>IF([Occurrence39]=0,0,SUM($HD$2:HD67))</f>
        <v>0</v>
      </c>
      <c r="HF67" s="160">
        <f>IF([chambre3]*1='CHAMBRES GARCONS RDC'!$A$47,1,0)</f>
        <v>0</v>
      </c>
      <c r="HG67" s="160">
        <f>IF([Occurrence40]=0,0,SUM($HF$2:HF67))</f>
        <v>0</v>
      </c>
      <c r="HH67" s="160">
        <f>IF([chambre3]*1='CHAMBRES GARCONS RDC'!$A$53,1,0)</f>
        <v>0</v>
      </c>
      <c r="HI67" s="160">
        <f>IF([Occurrence41]=0,0,SUM($HH$2:HH67))</f>
        <v>0</v>
      </c>
      <c r="HJ67" s="160">
        <f>IF([chambre3]*1='CHAMBRES GARCONS RDC'!$A$59,1,0)</f>
        <v>0</v>
      </c>
      <c r="HK67" s="160">
        <f>IF([Occurrence42]=0,0,SUM($HJ$2:HJ67))</f>
        <v>0</v>
      </c>
      <c r="HL67" s="160">
        <f>IF([chambre3]*1='CHAMBRES GARCONS RDC'!$A$65,1,0)</f>
        <v>0</v>
      </c>
      <c r="HM67" s="160">
        <f>IF([Occurrence43]=0,0,SUM($HL$2:HL67))</f>
        <v>0</v>
      </c>
      <c r="HN67" s="160">
        <f>IF([chambre3]*1='CHAMBRES GARCONS RDC'!$A$71,1,0)</f>
        <v>0</v>
      </c>
      <c r="HO67" s="160">
        <f>IF([Occurrence44]=0,0,SUM($HN$2:HN67))</f>
        <v>0</v>
      </c>
      <c r="HP67" s="160">
        <f>IF([chambre3]*1='CHAMBRES GARCONS RDC'!$A$77,1,0)</f>
        <v>0</v>
      </c>
      <c r="HQ67" s="160">
        <f>IF([Occurrence45]=0,0,SUM($HP$2:HP67))</f>
        <v>0</v>
      </c>
      <c r="HR67" s="160">
        <f>IF([chambre3]*1='CHAMBRES GARCONS RDC'!$A$83,1,0)</f>
        <v>0</v>
      </c>
      <c r="HS67" s="160">
        <f>IF([Occurrence46]=0,0,SUM($HR$2:HR67))</f>
        <v>0</v>
      </c>
      <c r="HT67" s="160">
        <f>IF([chambre3]*1='CHAMBRES GARCONS RDC'!$A$89,1,0)</f>
        <v>0</v>
      </c>
      <c r="HU67" s="160">
        <f>IF([Occurrence47]=0,0,SUM($HT$2:HT67))</f>
        <v>0</v>
      </c>
      <c r="HV67" s="160">
        <f>IF([chambre3]*1='CHAMBRES GARCONS RDC'!$A$95,1,0)</f>
        <v>0</v>
      </c>
      <c r="HW67" s="160">
        <f>IF([Occurrence48]=0,0,SUM($HV$2:HV67))</f>
        <v>0</v>
      </c>
      <c r="HX67" s="160"/>
      <c r="HY67" s="160"/>
      <c r="HZ67" s="160">
        <f>IF([Classe]='Liste élève par classes'!$B$5,1,0)</f>
        <v>1</v>
      </c>
      <c r="IA67" s="160">
        <f>IF([Occurrence]=0,0,SUM($HZ$2:HZ67))</f>
        <v>6</v>
      </c>
      <c r="IB6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132</v>
      </c>
      <c r="IC67" s="208"/>
    </row>
    <row r="68" spans="1:237">
      <c r="A68" t="s">
        <v>366</v>
      </c>
      <c r="B68" t="s">
        <v>367</v>
      </c>
      <c r="C68" s="158">
        <v>35724</v>
      </c>
      <c r="D68" s="62">
        <f t="shared" ref="D68:D131" ca="1" si="1">IF(MONTH(TODAY())&gt;MONTH(C68),YEAR(TODAY())-YEAR(C68),IF(MONTH(TODAY())&lt;MONTH(C68),YEAR(TODAY())-YEAR(C68)-1,IF(DAY(TODAY())&lt;DAY(C68),YEAR(TODAY())-YEAR(C68)-1,YEAR(TODAY())-YEAR(C68))))</f>
        <v>20</v>
      </c>
      <c r="E68" t="s">
        <v>4</v>
      </c>
      <c r="F68" s="159" t="s">
        <v>46</v>
      </c>
      <c r="G68" t="s">
        <v>45</v>
      </c>
      <c r="H68" s="160"/>
      <c r="I68" s="62"/>
      <c r="J68" s="62"/>
      <c r="K68" s="62"/>
      <c r="L68" s="61"/>
      <c r="M68" s="62"/>
      <c r="N68" s="62"/>
      <c r="O68" s="62"/>
      <c r="P68" s="62"/>
      <c r="Q68" s="62"/>
      <c r="R68" s="62"/>
      <c r="S68" s="62"/>
      <c r="T68" s="62"/>
      <c r="U68" s="61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163"/>
      <c r="AG68" s="163"/>
      <c r="AH68" s="163"/>
      <c r="AI68" s="163"/>
      <c r="AJ68" s="163"/>
      <c r="AK68" s="163"/>
      <c r="AL68" s="163"/>
      <c r="AM68" s="163"/>
      <c r="AN68" s="163"/>
      <c r="AO68" s="163"/>
      <c r="AP68" s="163"/>
      <c r="AQ68" s="163"/>
      <c r="AR68" s="163"/>
      <c r="AS68" s="163"/>
      <c r="AT68" s="163"/>
      <c r="AU68" s="163"/>
      <c r="AV68" s="163"/>
      <c r="AW68" s="163"/>
      <c r="AX68" s="163"/>
      <c r="AY68" s="163"/>
      <c r="AZ68" s="163"/>
      <c r="BA68" s="163"/>
      <c r="BB68" s="163"/>
      <c r="BC68" s="163" t="b">
        <v>0</v>
      </c>
      <c r="BD68" s="163" t="b">
        <v>0</v>
      </c>
      <c r="BE68" s="163" t="b">
        <v>0</v>
      </c>
      <c r="BF68" s="163" t="b">
        <v>0</v>
      </c>
      <c r="BG68" s="163" t="b">
        <v>0</v>
      </c>
      <c r="BH68" s="163" t="b">
        <v>0</v>
      </c>
      <c r="BI68" s="163" t="b">
        <v>1</v>
      </c>
      <c r="BJ68" s="163" t="b">
        <v>0</v>
      </c>
      <c r="BK68" s="163" t="b">
        <v>0</v>
      </c>
      <c r="BL68" s="163" t="b">
        <v>0</v>
      </c>
      <c r="BM68" s="163"/>
      <c r="BN68" s="163"/>
      <c r="BO68" s="163"/>
      <c r="BP68" s="163"/>
      <c r="BQ68" s="163"/>
      <c r="BR68" s="163"/>
      <c r="BS68" s="163"/>
      <c r="BT68" s="163"/>
      <c r="BU68" s="163"/>
      <c r="BV68" s="163"/>
      <c r="BW68" s="163"/>
      <c r="BX68" s="163"/>
      <c r="BY68" s="163"/>
      <c r="BZ68" s="163"/>
      <c r="CA68" s="163"/>
      <c r="CB68" s="163"/>
      <c r="CC68" s="163"/>
      <c r="CD68" s="163"/>
      <c r="CE68" s="163"/>
      <c r="CF68" s="163"/>
      <c r="CG68" s="163"/>
      <c r="CH68" s="163"/>
      <c r="CI68" s="163"/>
      <c r="CJ68" s="163"/>
      <c r="CK68" s="163"/>
      <c r="CL68" s="163"/>
      <c r="CM68" s="163"/>
      <c r="CN68" s="163"/>
      <c r="CO68" s="163"/>
      <c r="CP68" s="163"/>
      <c r="CQ68" s="163"/>
      <c r="CR68" s="163"/>
      <c r="CS68" s="163"/>
      <c r="CT68" s="163"/>
      <c r="CU68" s="163"/>
      <c r="CV68" s="163"/>
      <c r="CW68" s="163"/>
      <c r="CX68" s="163"/>
      <c r="CY68" s="163"/>
      <c r="CZ68" s="163"/>
      <c r="DA68" s="163"/>
      <c r="DB68" s="163"/>
      <c r="DC68" s="163"/>
      <c r="DD68" s="163"/>
      <c r="DE68" s="163"/>
      <c r="DF68" s="163"/>
      <c r="DG68" s="163"/>
      <c r="DH68" s="163"/>
      <c r="DI68" s="163"/>
      <c r="DJ68" s="163"/>
      <c r="DK68" s="163"/>
      <c r="DL68" s="163"/>
      <c r="DM68" s="163"/>
      <c r="DN68" s="163"/>
      <c r="DO68" s="163"/>
      <c r="DP68" s="163"/>
      <c r="DQ68" s="163"/>
      <c r="DR68" s="163"/>
      <c r="DS68" s="163"/>
      <c r="DT68" s="163"/>
      <c r="DU68" s="163"/>
      <c r="DV68" s="163"/>
      <c r="DW68" s="163"/>
      <c r="DX68" s="163"/>
      <c r="DY68" s="163"/>
      <c r="DZ68" s="163"/>
      <c r="EA68" s="163"/>
      <c r="EB68" s="163"/>
      <c r="EC68" s="163"/>
      <c r="ED68" s="163"/>
      <c r="EE68" s="163"/>
      <c r="EF68" s="163"/>
      <c r="EG68" s="163"/>
      <c r="EH68" s="160">
        <f>IF([Chambre]*1='CHAMBRES FILLES 2e ETAGE'!$A$5,1,0)</f>
        <v>0</v>
      </c>
      <c r="EI68" s="161">
        <f>IF([Occurrence2]=0,0,SUM($EH$2:EH68))</f>
        <v>0</v>
      </c>
      <c r="EJ68" s="160">
        <f>IF([Chambre]*1='CHAMBRES FILLES 2e ETAGE'!$A$11,1,0)</f>
        <v>0</v>
      </c>
      <c r="EK68" s="160">
        <f>IF([Occurrence3]=0,0,SUM($EJ$2:EJ68))</f>
        <v>0</v>
      </c>
      <c r="EL68" s="160">
        <f>IF([Chambre]*1='CHAMBRES FILLES 2e ETAGE'!$A$17,1,0)</f>
        <v>0</v>
      </c>
      <c r="EM68" s="160">
        <f>IF([Occurrence4]=0,0,SUM($EL$2:EL68))</f>
        <v>0</v>
      </c>
      <c r="EN68" s="160">
        <f>IF([Chambre]*1='CHAMBRES FILLES 2e ETAGE'!$A$23,1,0)</f>
        <v>0</v>
      </c>
      <c r="EO68" s="160">
        <f>IF([Occurrence5]=0,0,SUM($EN$2:EN68))</f>
        <v>0</v>
      </c>
      <c r="EP68" s="160">
        <f>IF([Chambre]*1='CHAMBRES FILLES 2e ETAGE'!$A$29,1,0)</f>
        <v>0</v>
      </c>
      <c r="EQ68" s="160">
        <f>IF([Occurrence6]=0,0,SUM($EP$2:EP68))</f>
        <v>0</v>
      </c>
      <c r="ER68" s="160">
        <f>IF([Chambre]*1='CHAMBRES FILLES 2e ETAGE'!$A$35,1,0)</f>
        <v>0</v>
      </c>
      <c r="ES68" s="160">
        <f>IF([Occurrence7]=0,0,SUM($ER$2:ER68))</f>
        <v>0</v>
      </c>
      <c r="ET68" s="160">
        <f>IF([Chambre]*1='CHAMBRES FILLES 2e ETAGE'!$A$41,1,0)</f>
        <v>0</v>
      </c>
      <c r="EU68" s="160">
        <f>IF([Occurrence8]=0,0,SUM($ET$2:ET68))</f>
        <v>0</v>
      </c>
      <c r="EV68" s="160">
        <f>IF([Chambre]*1='CHAMBRES FILLES 2e ETAGE'!$A$47,1,0)</f>
        <v>0</v>
      </c>
      <c r="EW68" s="160">
        <f>IF([Occurrence9]=0,0,SUM($EV$2:EV68))</f>
        <v>0</v>
      </c>
      <c r="EX68" s="160">
        <f>IF([Chambre]*1='CHAMBRES FILLES 2e ETAGE'!$A$53,1,0)</f>
        <v>0</v>
      </c>
      <c r="EY68" s="160">
        <f>IF([Occurrence10]=0,0,SUM($EX$2:EX68))</f>
        <v>0</v>
      </c>
      <c r="EZ68" s="160">
        <f>IF([Chambre]*1='CHAMBRES FILLES 2e ETAGE'!$A$59,1,0)</f>
        <v>0</v>
      </c>
      <c r="FA68" s="160">
        <f>IF([Occurrence11]=0,0,SUM($EZ$2:EZ68))</f>
        <v>0</v>
      </c>
      <c r="FB68" s="160">
        <f>IF([Chambre]*1='CHAMBRES FILLES 2e ETAGE'!$A$65,1,0)</f>
        <v>0</v>
      </c>
      <c r="FC68" s="160">
        <f>IF([Occurrence12]=0,0,SUM($FB$2:FB68))</f>
        <v>0</v>
      </c>
      <c r="FD68" s="160">
        <f>IF([Chambre]*1='CHAMBRES FILLES 2e ETAGE'!$A$71,1,0)</f>
        <v>0</v>
      </c>
      <c r="FE68" s="160">
        <f>IF([Occurrence13]=0,0,SUM($FD$2:FD68))</f>
        <v>0</v>
      </c>
      <c r="FF68" s="160">
        <f>IF([Chambre]*1='CHAMBRES FILLES 2e ETAGE'!$A$77,1,0)</f>
        <v>0</v>
      </c>
      <c r="FG68" s="160">
        <f>IF([Occurrence14]=0,0,SUM($FF$2:FF68))</f>
        <v>0</v>
      </c>
      <c r="FH68" s="160">
        <f>IF([Chambre]*1='CHAMBRES FILLES 2e ETAGE'!$A$83,1,0)</f>
        <v>0</v>
      </c>
      <c r="FI68" s="160">
        <f>IF([Occurrence15]=0,0,SUM($FH$2:FH68))</f>
        <v>0</v>
      </c>
      <c r="FJ68" s="160">
        <f>IF([Chambre]*1='CHAMBRES FILLES 2e ETAGE'!$A$89,1,0)</f>
        <v>0</v>
      </c>
      <c r="FK68" s="160">
        <f>IF([Occurrence16]=0,0,SUM($FJ$2:FJ68))</f>
        <v>0</v>
      </c>
      <c r="FL68" s="160">
        <f>IF([Chambre]*1='CHAMBRES FILLES 2e ETAGE'!$A$95,1,0)</f>
        <v>0</v>
      </c>
      <c r="FM68" s="160">
        <f>IF([Occurrence17]=0,0,SUM($FL$2:FL68))</f>
        <v>0</v>
      </c>
      <c r="FN68" s="160">
        <f>IF([Chambre2]*1='CHAMBRES FILLES 1e ETAGE'!$A$5,1,0)</f>
        <v>0</v>
      </c>
      <c r="FO68" s="160">
        <f>IF([Occurrence18]=0,0,SUM($FN$2:FN68))</f>
        <v>0</v>
      </c>
      <c r="FP68" s="160">
        <f>IF([Chambre2]*1='CHAMBRES FILLES 1e ETAGE'!$A$11,1,0)</f>
        <v>0</v>
      </c>
      <c r="FQ68" s="160">
        <f>IF([Occurrence19]=0,0,SUM($FP$2:FP68))</f>
        <v>0</v>
      </c>
      <c r="FR68" s="160">
        <f>IF([Chambre2]*1='CHAMBRES FILLES 1e ETAGE'!$A$17,1,0)</f>
        <v>0</v>
      </c>
      <c r="FS68" s="160">
        <f>IF([Occurrence20]=0,0,SUM($FR$2:FR68))</f>
        <v>0</v>
      </c>
      <c r="FT68" s="160">
        <f>IF([Chambre2]*1='CHAMBRES FILLES 1e ETAGE'!$A$23,1,0)</f>
        <v>0</v>
      </c>
      <c r="FU68" s="160">
        <f>IF([Occurrence21]=0,0,SUM($FT$2:FT68))</f>
        <v>0</v>
      </c>
      <c r="FV68" s="160">
        <f>IF([Chambre2]*1='CHAMBRES FILLES 1e ETAGE'!$A$29,1,0)</f>
        <v>0</v>
      </c>
      <c r="FW68" s="160">
        <f>IF([Occurrence22]=0,0,SUM($FV$2:FV68))</f>
        <v>0</v>
      </c>
      <c r="FX68" s="160">
        <f>IF([Chambre2]*1='CHAMBRES FILLES 1e ETAGE'!$A$35,1,0)</f>
        <v>0</v>
      </c>
      <c r="FY68" s="160">
        <f>IF([Occurrence23]=0,0,SUM($FX$2:FX68))</f>
        <v>0</v>
      </c>
      <c r="FZ68" s="160">
        <f>IF([Chambre2]*1='CHAMBRES FILLES 1e ETAGE'!$A$41,1,0)</f>
        <v>0</v>
      </c>
      <c r="GA68" s="160">
        <f>IF([Occurrence24]=0,0,SUM($FZ$2:FZ68))</f>
        <v>0</v>
      </c>
      <c r="GB68" s="160">
        <f>IF([Chambre2]*1='CHAMBRES FILLES 1e ETAGE'!$A$47,1,0)</f>
        <v>0</v>
      </c>
      <c r="GC68" s="160">
        <f>IF([Occurrence25]=0,0,SUM($GB$2:GB68))</f>
        <v>0</v>
      </c>
      <c r="GD68" s="160">
        <f>IF([Chambre2]*1='CHAMBRES FILLES 1e ETAGE'!$A$53,1,0)</f>
        <v>0</v>
      </c>
      <c r="GE68" s="160">
        <f>IF([Occurrence26]=0,0,SUM($GD$2:GD68))</f>
        <v>0</v>
      </c>
      <c r="GF68" s="160">
        <f>IF([chambre4]*1='CHAMBRES GARCONS 1e ETAGE'!$A$5,1,0)</f>
        <v>0</v>
      </c>
      <c r="GG68" s="160">
        <f>IF([Occurrence27]=0,0,SUM($GF$2:GF68))</f>
        <v>0</v>
      </c>
      <c r="GH68" s="160">
        <f>IF([chambre4]*1='CHAMBRES GARCONS 1e ETAGE'!$A$11,1,0)</f>
        <v>0</v>
      </c>
      <c r="GI68" s="160">
        <f>IF([Occurrence28]=0,0,SUM($GH$2:GH68))</f>
        <v>0</v>
      </c>
      <c r="GJ68" s="160">
        <f>IF([chambre4]*1='CHAMBRES GARCONS 1e ETAGE'!$A$17,1,0)</f>
        <v>0</v>
      </c>
      <c r="GK68" s="160">
        <f>IF([Occurrence29]=0,0,SUM($GJ$2:GJ68))</f>
        <v>0</v>
      </c>
      <c r="GL68" s="160">
        <f>IF([chambre4]*1='CHAMBRES GARCONS 1e ETAGE'!$A$23,1,0)</f>
        <v>0</v>
      </c>
      <c r="GM68" s="160">
        <f>IF([Occurrence30]=0,0,SUM($GL$2:GL68))</f>
        <v>0</v>
      </c>
      <c r="GN68" s="160">
        <f>IF([chambre4]*1='CHAMBRES GARCONS 1e ETAGE'!$A$29,1,0)</f>
        <v>0</v>
      </c>
      <c r="GO68" s="160">
        <f>IF([Occurrence31]=0,0,SUM($GN$2:GN68))</f>
        <v>0</v>
      </c>
      <c r="GP68" s="160">
        <f>IF([chambre4]*1='CHAMBRES GARCONS 1e ETAGE'!$A$35,1,0)</f>
        <v>0</v>
      </c>
      <c r="GQ68" s="160">
        <f>IF([Occurrence32]=0,0,SUM($GP$2:GP68))</f>
        <v>0</v>
      </c>
      <c r="GR68" s="160">
        <f>IF([chambre3]*1='CHAMBRES GARCONS RDC'!$A$5,1,0)</f>
        <v>0</v>
      </c>
      <c r="GS68" s="160">
        <f>IF([Occurrence33]=0,0,SUM($GR$2:GR68))</f>
        <v>0</v>
      </c>
      <c r="GT68" s="160">
        <f>IF([chambre3]*1='CHAMBRES GARCONS RDC'!$A$11,1,0)</f>
        <v>0</v>
      </c>
      <c r="GU68" s="160">
        <f>IF([Occurrence34]=0,0,SUM($GT$2:GT68))</f>
        <v>0</v>
      </c>
      <c r="GV68" s="160">
        <f>IF([chambre3]*1='CHAMBRES GARCONS RDC'!$A$17,1,0)</f>
        <v>0</v>
      </c>
      <c r="GW68" s="160">
        <f>IF([Occurrence35]=0,0,SUM($GV$2:GV68))</f>
        <v>0</v>
      </c>
      <c r="GX68" s="160">
        <f>IF([chambre3]*1='CHAMBRES GARCONS RDC'!$A$23,1,0)</f>
        <v>0</v>
      </c>
      <c r="GY68" s="160">
        <f>IF([Occurrence36]=0,0,SUM($GX$2:GX68))</f>
        <v>0</v>
      </c>
      <c r="GZ68" s="160">
        <f>IF([chambre3]*1='CHAMBRES GARCONS RDC'!$A$29,1,0)</f>
        <v>0</v>
      </c>
      <c r="HA68" s="160">
        <f>IF([Occurrence37]=0,0,SUM($GZ$2:GZ68))</f>
        <v>0</v>
      </c>
      <c r="HB68" s="160">
        <f>IF([chambre3]*1='CHAMBRES GARCONS RDC'!$A$35,1,0)</f>
        <v>0</v>
      </c>
      <c r="HC68" s="160">
        <f>IF([Occurrence38]=0,0,SUM($HB$2:HB68))</f>
        <v>0</v>
      </c>
      <c r="HD68" s="160">
        <f>IF([chambre3]*1='CHAMBRES GARCONS RDC'!$A$41,1,0)</f>
        <v>0</v>
      </c>
      <c r="HE68" s="160">
        <f>IF([Occurrence39]=0,0,SUM($HD$2:HD68))</f>
        <v>0</v>
      </c>
      <c r="HF68" s="160">
        <f>IF([chambre3]*1='CHAMBRES GARCONS RDC'!$A$47,1,0)</f>
        <v>0</v>
      </c>
      <c r="HG68" s="160">
        <f>IF([Occurrence40]=0,0,SUM($HF$2:HF68))</f>
        <v>0</v>
      </c>
      <c r="HH68" s="160">
        <f>IF([chambre3]*1='CHAMBRES GARCONS RDC'!$A$53,1,0)</f>
        <v>0</v>
      </c>
      <c r="HI68" s="160">
        <f>IF([Occurrence41]=0,0,SUM($HH$2:HH68))</f>
        <v>0</v>
      </c>
      <c r="HJ68" s="160">
        <f>IF([chambre3]*1='CHAMBRES GARCONS RDC'!$A$59,1,0)</f>
        <v>0</v>
      </c>
      <c r="HK68" s="160">
        <f>IF([Occurrence42]=0,0,SUM($HJ$2:HJ68))</f>
        <v>0</v>
      </c>
      <c r="HL68" s="160">
        <f>IF([chambre3]*1='CHAMBRES GARCONS RDC'!$A$65,1,0)</f>
        <v>0</v>
      </c>
      <c r="HM68" s="160">
        <f>IF([Occurrence43]=0,0,SUM($HL$2:HL68))</f>
        <v>0</v>
      </c>
      <c r="HN68" s="160">
        <f>IF([chambre3]*1='CHAMBRES GARCONS RDC'!$A$71,1,0)</f>
        <v>0</v>
      </c>
      <c r="HO68" s="160">
        <f>IF([Occurrence44]=0,0,SUM($HN$2:HN68))</f>
        <v>0</v>
      </c>
      <c r="HP68" s="160">
        <f>IF([chambre3]*1='CHAMBRES GARCONS RDC'!$A$77,1,0)</f>
        <v>0</v>
      </c>
      <c r="HQ68" s="160">
        <f>IF([Occurrence45]=0,0,SUM($HP$2:HP68))</f>
        <v>0</v>
      </c>
      <c r="HR68" s="160">
        <f>IF([chambre3]*1='CHAMBRES GARCONS RDC'!$A$83,1,0)</f>
        <v>0</v>
      </c>
      <c r="HS68" s="160">
        <f>IF([Occurrence46]=0,0,SUM($HR$2:HR68))</f>
        <v>0</v>
      </c>
      <c r="HT68" s="160">
        <f>IF([chambre3]*1='CHAMBRES GARCONS RDC'!$A$89,1,0)</f>
        <v>0</v>
      </c>
      <c r="HU68" s="160">
        <f>IF([Occurrence47]=0,0,SUM($HT$2:HT68))</f>
        <v>0</v>
      </c>
      <c r="HV68" s="160">
        <f>IF([chambre3]*1='CHAMBRES GARCONS RDC'!$A$95,1,0)</f>
        <v>0</v>
      </c>
      <c r="HW68" s="160">
        <f>IF([Occurrence48]=0,0,SUM($HV$2:HV68))</f>
        <v>0</v>
      </c>
      <c r="HX68" s="160"/>
      <c r="HY68" s="160"/>
      <c r="HZ68" s="160">
        <f>IF([Classe]='Liste élève par classes'!$B$5,1,0)</f>
        <v>0</v>
      </c>
      <c r="IA68" s="160">
        <f>IF([Occurrence]=0,0,SUM($HZ$2:HZ68))</f>
        <v>0</v>
      </c>
      <c r="IB6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68" s="208"/>
    </row>
    <row r="69" spans="1:237">
      <c r="A69" t="s">
        <v>368</v>
      </c>
      <c r="B69" t="s">
        <v>369</v>
      </c>
      <c r="C69" s="158">
        <v>36664</v>
      </c>
      <c r="D69" s="62">
        <f t="shared" ca="1" si="1"/>
        <v>17</v>
      </c>
      <c r="E69" t="s">
        <v>9</v>
      </c>
      <c r="F69" s="159" t="s">
        <v>50</v>
      </c>
      <c r="G69" t="s">
        <v>40</v>
      </c>
      <c r="H69" s="160"/>
      <c r="I69" s="161"/>
      <c r="J69" s="161"/>
      <c r="K69" s="161"/>
      <c r="L69" s="160"/>
      <c r="M69">
        <v>32</v>
      </c>
      <c r="N69" s="161"/>
      <c r="O69" s="161"/>
      <c r="P69" s="161"/>
      <c r="Q69" s="161"/>
      <c r="R69" s="161"/>
      <c r="S69" s="190"/>
      <c r="T69" s="161"/>
      <c r="U69" s="160"/>
      <c r="V69" s="161"/>
      <c r="W69" s="161"/>
      <c r="X69" s="161"/>
      <c r="Y69" s="161"/>
      <c r="Z69" s="161"/>
      <c r="AA69" s="161"/>
      <c r="AB69" s="161"/>
      <c r="AC69" s="161"/>
      <c r="AD69" s="161"/>
      <c r="AE69" s="161"/>
      <c r="AF69" s="163"/>
      <c r="AG69" s="163"/>
      <c r="AH69" s="163"/>
      <c r="AI69" s="163"/>
      <c r="AJ69" s="163"/>
      <c r="AK69" s="163"/>
      <c r="AL69" s="163"/>
      <c r="AM69" s="163"/>
      <c r="AN69" s="163"/>
      <c r="AO69" s="163"/>
      <c r="AP69" s="163"/>
      <c r="AQ69" s="163"/>
      <c r="AR69" s="163"/>
      <c r="AS69" s="163"/>
      <c r="AT69" s="163"/>
      <c r="AU69" s="163"/>
      <c r="AV69" s="163"/>
      <c r="AW69" s="163"/>
      <c r="AX69" s="163"/>
      <c r="AY69" s="163"/>
      <c r="AZ69" s="163"/>
      <c r="BA69" s="163"/>
      <c r="BB69" s="163"/>
      <c r="BC69" s="163" t="b">
        <v>0</v>
      </c>
      <c r="BD69" s="163" t="b">
        <v>1</v>
      </c>
      <c r="BE69" s="163" t="b">
        <v>1</v>
      </c>
      <c r="BF69" s="163" t="b">
        <v>0</v>
      </c>
      <c r="BG69" s="164" t="b">
        <v>0</v>
      </c>
      <c r="BH69" s="163" t="b">
        <v>1</v>
      </c>
      <c r="BI69" s="163"/>
      <c r="BJ69" s="163"/>
      <c r="BK69" s="163"/>
      <c r="BL69" s="163"/>
      <c r="BM69" s="163"/>
      <c r="BN69" s="163"/>
      <c r="BO69" s="163"/>
      <c r="BP69" s="163"/>
      <c r="BQ69" s="163" t="b">
        <v>0</v>
      </c>
      <c r="BR69" s="163"/>
      <c r="BS69" s="163"/>
      <c r="BT69" s="163"/>
      <c r="BU69" s="163"/>
      <c r="BV69" s="163"/>
      <c r="BW69" s="163"/>
      <c r="BX69" s="163"/>
      <c r="BY69" s="163"/>
      <c r="BZ69" s="163"/>
      <c r="CA69" s="163"/>
      <c r="CB69" s="163"/>
      <c r="CC69" s="163"/>
      <c r="CD69" s="163"/>
      <c r="CE69" s="163"/>
      <c r="CF69" s="163"/>
      <c r="CG69" s="163"/>
      <c r="CH69" s="163"/>
      <c r="CI69" s="163"/>
      <c r="CJ69" s="163"/>
      <c r="CK69" s="163"/>
      <c r="CL69" s="163"/>
      <c r="CM69" s="163"/>
      <c r="CN69" s="163"/>
      <c r="CO69" s="163"/>
      <c r="CP69" s="163"/>
      <c r="CQ69" s="163"/>
      <c r="CR69" s="163"/>
      <c r="CS69" s="163"/>
      <c r="CT69" s="163"/>
      <c r="CU69" s="163"/>
      <c r="CV69" s="163"/>
      <c r="CW69" s="163"/>
      <c r="CX69" s="163"/>
      <c r="CY69" s="163"/>
      <c r="CZ69" s="163"/>
      <c r="DA69" s="163">
        <v>106</v>
      </c>
      <c r="DB69" s="163"/>
      <c r="DC69" s="163"/>
      <c r="DD69" s="163"/>
      <c r="DE69" s="163"/>
      <c r="DF69" s="163"/>
      <c r="DG69" s="208"/>
      <c r="DH69" s="163"/>
      <c r="DI69" s="163"/>
      <c r="DJ69" s="163"/>
      <c r="DK69" s="163"/>
      <c r="DL69" s="163"/>
      <c r="DM69" s="163"/>
      <c r="DN69" s="163"/>
      <c r="DO69" s="163"/>
      <c r="DP69" s="163"/>
      <c r="DQ69" s="163"/>
      <c r="DR69" s="163"/>
      <c r="DS69" s="163"/>
      <c r="DT69" s="163"/>
      <c r="DU69" s="163"/>
      <c r="DV69" s="163"/>
      <c r="DW69" s="163"/>
      <c r="DX69" s="163"/>
      <c r="DY69" s="163"/>
      <c r="DZ69" s="163"/>
      <c r="EA69" s="163"/>
      <c r="EB69" s="163"/>
      <c r="EC69" s="163"/>
      <c r="ED69" s="163"/>
      <c r="EE69" s="163"/>
      <c r="EF69" s="163"/>
      <c r="EG69" s="163"/>
      <c r="EH69" s="160">
        <f>IF([Chambre]*1='CHAMBRES FILLES 2e ETAGE'!$A$5,1,0)</f>
        <v>0</v>
      </c>
      <c r="EI69" s="161">
        <f>IF([Occurrence2]=0,0,SUM($EH$2:EH69))</f>
        <v>0</v>
      </c>
      <c r="EJ69" s="160">
        <f>IF([Chambre]*1='CHAMBRES FILLES 2e ETAGE'!$A$11,1,0)</f>
        <v>0</v>
      </c>
      <c r="EK69" s="160">
        <f>IF([Occurrence3]=0,0,SUM($EJ$2:EJ69))</f>
        <v>0</v>
      </c>
      <c r="EL69" s="160">
        <f>IF([Chambre]*1='CHAMBRES FILLES 2e ETAGE'!$A$17,1,0)</f>
        <v>0</v>
      </c>
      <c r="EM69" s="160">
        <f>IF([Occurrence4]=0,0,SUM($EL$2:EL69))</f>
        <v>0</v>
      </c>
      <c r="EN69" s="160">
        <f>IF([Chambre]*1='CHAMBRES FILLES 2e ETAGE'!$A$23,1,0)</f>
        <v>0</v>
      </c>
      <c r="EO69" s="160">
        <f>IF([Occurrence5]=0,0,SUM($EN$2:EN69))</f>
        <v>0</v>
      </c>
      <c r="EP69" s="160">
        <f>IF([Chambre]*1='CHAMBRES FILLES 2e ETAGE'!$A$29,1,0)</f>
        <v>0</v>
      </c>
      <c r="EQ69" s="160">
        <f>IF([Occurrence6]=0,0,SUM($EP$2:EP69))</f>
        <v>0</v>
      </c>
      <c r="ER69" s="160">
        <f>IF([Chambre]*1='CHAMBRES FILLES 2e ETAGE'!$A$35,1,0)</f>
        <v>0</v>
      </c>
      <c r="ES69" s="160">
        <f>IF([Occurrence7]=0,0,SUM($ER$2:ER69))</f>
        <v>0</v>
      </c>
      <c r="ET69" s="160">
        <f>IF([Chambre]*1='CHAMBRES FILLES 2e ETAGE'!$A$41,1,0)</f>
        <v>0</v>
      </c>
      <c r="EU69" s="160">
        <f>IF([Occurrence8]=0,0,SUM($ET$2:ET69))</f>
        <v>0</v>
      </c>
      <c r="EV69" s="160">
        <f>IF([Chambre]*1='CHAMBRES FILLES 2e ETAGE'!$A$47,1,0)</f>
        <v>0</v>
      </c>
      <c r="EW69" s="160">
        <f>IF([Occurrence9]=0,0,SUM($EV$2:EV69))</f>
        <v>0</v>
      </c>
      <c r="EX69" s="160">
        <f>IF([Chambre]*1='CHAMBRES FILLES 2e ETAGE'!$A$53,1,0)</f>
        <v>0</v>
      </c>
      <c r="EY69" s="160">
        <f>IF([Occurrence10]=0,0,SUM($EX$2:EX69))</f>
        <v>0</v>
      </c>
      <c r="EZ69" s="160">
        <f>IF([Chambre]*1='CHAMBRES FILLES 2e ETAGE'!$A$59,1,0)</f>
        <v>0</v>
      </c>
      <c r="FA69" s="160">
        <f>IF([Occurrence11]=0,0,SUM($EZ$2:EZ69))</f>
        <v>0</v>
      </c>
      <c r="FB69" s="160">
        <f>IF([Chambre]*1='CHAMBRES FILLES 2e ETAGE'!$A$65,1,0)</f>
        <v>0</v>
      </c>
      <c r="FC69" s="160">
        <f>IF([Occurrence12]=0,0,SUM($FB$2:FB69))</f>
        <v>0</v>
      </c>
      <c r="FD69" s="160">
        <f>IF([Chambre]*1='CHAMBRES FILLES 2e ETAGE'!$A$71,1,0)</f>
        <v>0</v>
      </c>
      <c r="FE69" s="160">
        <f>IF([Occurrence13]=0,0,SUM($FD$2:FD69))</f>
        <v>0</v>
      </c>
      <c r="FF69" s="160">
        <f>IF([Chambre]*1='CHAMBRES FILLES 2e ETAGE'!$A$77,1,0)</f>
        <v>0</v>
      </c>
      <c r="FG69" s="160">
        <f>IF([Occurrence14]=0,0,SUM($FF$2:FF69))</f>
        <v>0</v>
      </c>
      <c r="FH69" s="160">
        <f>IF([Chambre]*1='CHAMBRES FILLES 2e ETAGE'!$A$83,1,0)</f>
        <v>0</v>
      </c>
      <c r="FI69" s="160">
        <f>IF([Occurrence15]=0,0,SUM($FH$2:FH69))</f>
        <v>0</v>
      </c>
      <c r="FJ69" s="160">
        <f>IF([Chambre]*1='CHAMBRES FILLES 2e ETAGE'!$A$89,1,0)</f>
        <v>0</v>
      </c>
      <c r="FK69" s="160">
        <f>IF([Occurrence16]=0,0,SUM($FJ$2:FJ69))</f>
        <v>0</v>
      </c>
      <c r="FL69" s="160">
        <f>IF([Chambre]*1='CHAMBRES FILLES 2e ETAGE'!$A$95,1,0)</f>
        <v>0</v>
      </c>
      <c r="FM69" s="160">
        <f>IF([Occurrence17]=0,0,SUM($FL$2:FL69))</f>
        <v>0</v>
      </c>
      <c r="FN69" s="160">
        <f>IF([Chambre2]*1='CHAMBRES FILLES 1e ETAGE'!$A$5,1,0)</f>
        <v>0</v>
      </c>
      <c r="FO69" s="160">
        <f>IF([Occurrence18]=0,0,SUM($FN$2:FN69))</f>
        <v>0</v>
      </c>
      <c r="FP69" s="160">
        <f>IF([Chambre2]*1='CHAMBRES FILLES 1e ETAGE'!$A$11,1,0)</f>
        <v>0</v>
      </c>
      <c r="FQ69" s="160">
        <f>IF([Occurrence19]=0,0,SUM($FP$2:FP69))</f>
        <v>0</v>
      </c>
      <c r="FR69" s="160">
        <f>IF([Chambre2]*1='CHAMBRES FILLES 1e ETAGE'!$A$17,1,0)</f>
        <v>0</v>
      </c>
      <c r="FS69" s="160">
        <f>IF([Occurrence20]=0,0,SUM($FR$2:FR69))</f>
        <v>0</v>
      </c>
      <c r="FT69" s="160">
        <f>IF([Chambre2]*1='CHAMBRES FILLES 1e ETAGE'!$A$23,1,0)</f>
        <v>0</v>
      </c>
      <c r="FU69" s="160">
        <f>IF([Occurrence21]=0,0,SUM($FT$2:FT69))</f>
        <v>0</v>
      </c>
      <c r="FV69" s="160">
        <f>IF([Chambre2]*1='CHAMBRES FILLES 1e ETAGE'!$A$29,1,0)</f>
        <v>0</v>
      </c>
      <c r="FW69" s="160">
        <f>IF([Occurrence22]=0,0,SUM($FV$2:FV69))</f>
        <v>0</v>
      </c>
      <c r="FX69" s="160">
        <f>IF([Chambre2]*1='CHAMBRES FILLES 1e ETAGE'!$A$35,1,0)</f>
        <v>0</v>
      </c>
      <c r="FY69" s="160">
        <f>IF([Occurrence23]=0,0,SUM($FX$2:FX69))</f>
        <v>0</v>
      </c>
      <c r="FZ69" s="160">
        <f>IF([Chambre2]*1='CHAMBRES FILLES 1e ETAGE'!$A$41,1,0)</f>
        <v>0</v>
      </c>
      <c r="GA69" s="160">
        <f>IF([Occurrence24]=0,0,SUM($FZ$2:FZ69))</f>
        <v>0</v>
      </c>
      <c r="GB69" s="160">
        <f>IF([Chambre2]*1='CHAMBRES FILLES 1e ETAGE'!$A$47,1,0)</f>
        <v>0</v>
      </c>
      <c r="GC69" s="160">
        <f>IF([Occurrence25]=0,0,SUM($GB$2:GB69))</f>
        <v>0</v>
      </c>
      <c r="GD69" s="160">
        <f>IF([Chambre2]*1='CHAMBRES FILLES 1e ETAGE'!$A$53,1,0)</f>
        <v>0</v>
      </c>
      <c r="GE69" s="160">
        <f>IF([Occurrence26]=0,0,SUM($GD$2:GD69))</f>
        <v>0</v>
      </c>
      <c r="GF69" s="160">
        <f>IF([chambre4]*1='CHAMBRES GARCONS 1e ETAGE'!$A$5,1,0)</f>
        <v>0</v>
      </c>
      <c r="GG69" s="160">
        <f>IF([Occurrence27]=0,0,SUM($GF$2:GF69))</f>
        <v>0</v>
      </c>
      <c r="GH69" s="160">
        <f>IF([chambre4]*1='CHAMBRES GARCONS 1e ETAGE'!$A$11,1,0)</f>
        <v>0</v>
      </c>
      <c r="GI69" s="160">
        <f>IF([Occurrence28]=0,0,SUM($GH$2:GH69))</f>
        <v>0</v>
      </c>
      <c r="GJ69" s="160">
        <f>IF([chambre4]*1='CHAMBRES GARCONS 1e ETAGE'!$A$17,1,0)</f>
        <v>0</v>
      </c>
      <c r="GK69" s="160">
        <f>IF([Occurrence29]=0,0,SUM($GJ$2:GJ69))</f>
        <v>0</v>
      </c>
      <c r="GL69" s="160">
        <f>IF([chambre4]*1='CHAMBRES GARCONS 1e ETAGE'!$A$23,1,0)</f>
        <v>0</v>
      </c>
      <c r="GM69" s="160">
        <f>IF([Occurrence30]=0,0,SUM($GL$2:GL69))</f>
        <v>0</v>
      </c>
      <c r="GN69" s="160">
        <f>IF([chambre4]*1='CHAMBRES GARCONS 1e ETAGE'!$A$29,1,0)</f>
        <v>0</v>
      </c>
      <c r="GO69" s="160">
        <f>IF([Occurrence31]=0,0,SUM($GN$2:GN69))</f>
        <v>0</v>
      </c>
      <c r="GP69" s="160">
        <f>IF([chambre4]*1='CHAMBRES GARCONS 1e ETAGE'!$A$35,1,0)</f>
        <v>0</v>
      </c>
      <c r="GQ69" s="160">
        <f>IF([Occurrence32]=0,0,SUM($GP$2:GP69))</f>
        <v>0</v>
      </c>
      <c r="GR69" s="160">
        <f>IF([chambre3]*1='CHAMBRES GARCONS RDC'!$A$5,1,0)</f>
        <v>0</v>
      </c>
      <c r="GS69" s="160">
        <f>IF([Occurrence33]=0,0,SUM($GR$2:GR69))</f>
        <v>0</v>
      </c>
      <c r="GT69" s="160">
        <f>IF([chambre3]*1='CHAMBRES GARCONS RDC'!$A$11,1,0)</f>
        <v>1</v>
      </c>
      <c r="GU69" s="160">
        <f>IF([Occurrence34]=0,0,SUM($GT$2:GT69))</f>
        <v>1</v>
      </c>
      <c r="GV69" s="160">
        <f>IF([chambre3]*1='CHAMBRES GARCONS RDC'!$A$17,1,0)</f>
        <v>0</v>
      </c>
      <c r="GW69" s="160">
        <f>IF([Occurrence35]=0,0,SUM($GV$2:GV69))</f>
        <v>0</v>
      </c>
      <c r="GX69" s="160">
        <f>IF([chambre3]*1='CHAMBRES GARCONS RDC'!$A$23,1,0)</f>
        <v>0</v>
      </c>
      <c r="GY69" s="160">
        <f>IF([Occurrence36]=0,0,SUM($GX$2:GX69))</f>
        <v>0</v>
      </c>
      <c r="GZ69" s="160">
        <f>IF([chambre3]*1='CHAMBRES GARCONS RDC'!$A$29,1,0)</f>
        <v>0</v>
      </c>
      <c r="HA69" s="160">
        <f>IF([Occurrence37]=0,0,SUM($GZ$2:GZ69))</f>
        <v>0</v>
      </c>
      <c r="HB69" s="160">
        <f>IF([chambre3]*1='CHAMBRES GARCONS RDC'!$A$35,1,0)</f>
        <v>0</v>
      </c>
      <c r="HC69" s="160">
        <f>IF([Occurrence38]=0,0,SUM($HB$2:HB69))</f>
        <v>0</v>
      </c>
      <c r="HD69" s="160">
        <f>IF([chambre3]*1='CHAMBRES GARCONS RDC'!$A$41,1,0)</f>
        <v>0</v>
      </c>
      <c r="HE69" s="160">
        <f>IF([Occurrence39]=0,0,SUM($HD$2:HD69))</f>
        <v>0</v>
      </c>
      <c r="HF69" s="160">
        <f>IF([chambre3]*1='CHAMBRES GARCONS RDC'!$A$47,1,0)</f>
        <v>0</v>
      </c>
      <c r="HG69" s="160">
        <f>IF([Occurrence40]=0,0,SUM($HF$2:HF69))</f>
        <v>0</v>
      </c>
      <c r="HH69" s="160">
        <f>IF([chambre3]*1='CHAMBRES GARCONS RDC'!$A$53,1,0)</f>
        <v>0</v>
      </c>
      <c r="HI69" s="160">
        <f>IF([Occurrence41]=0,0,SUM($HH$2:HH69))</f>
        <v>0</v>
      </c>
      <c r="HJ69" s="160">
        <f>IF([chambre3]*1='CHAMBRES GARCONS RDC'!$A$59,1,0)</f>
        <v>0</v>
      </c>
      <c r="HK69" s="160">
        <f>IF([Occurrence42]=0,0,SUM($HJ$2:HJ69))</f>
        <v>0</v>
      </c>
      <c r="HL69" s="160">
        <f>IF([chambre3]*1='CHAMBRES GARCONS RDC'!$A$65,1,0)</f>
        <v>0</v>
      </c>
      <c r="HM69" s="160">
        <f>IF([Occurrence43]=0,0,SUM($HL$2:HL69))</f>
        <v>0</v>
      </c>
      <c r="HN69" s="160">
        <f>IF([chambre3]*1='CHAMBRES GARCONS RDC'!$A$71,1,0)</f>
        <v>0</v>
      </c>
      <c r="HO69" s="160">
        <f>IF([Occurrence44]=0,0,SUM($HN$2:HN69))</f>
        <v>0</v>
      </c>
      <c r="HP69" s="160">
        <f>IF([chambre3]*1='CHAMBRES GARCONS RDC'!$A$77,1,0)</f>
        <v>0</v>
      </c>
      <c r="HQ69" s="160">
        <f>IF([Occurrence45]=0,0,SUM($HP$2:HP69))</f>
        <v>0</v>
      </c>
      <c r="HR69" s="160">
        <f>IF([chambre3]*1='CHAMBRES GARCONS RDC'!$A$83,1,0)</f>
        <v>0</v>
      </c>
      <c r="HS69" s="160">
        <f>IF([Occurrence46]=0,0,SUM($HR$2:HR69))</f>
        <v>0</v>
      </c>
      <c r="HT69" s="160">
        <f>IF([chambre3]*1='CHAMBRES GARCONS RDC'!$A$89,1,0)</f>
        <v>0</v>
      </c>
      <c r="HU69" s="160">
        <f>IF([Occurrence47]=0,0,SUM($HT$2:HT69))</f>
        <v>0</v>
      </c>
      <c r="HV69" s="160">
        <f>IF([chambre3]*1='CHAMBRES GARCONS RDC'!$A$95,1,0)</f>
        <v>0</v>
      </c>
      <c r="HW69" s="160">
        <f>IF([Occurrence48]=0,0,SUM($HV$2:HV69))</f>
        <v>0</v>
      </c>
      <c r="HX69" s="160"/>
      <c r="HY69" s="160"/>
      <c r="HZ69" s="160">
        <f>IF([Classe]='Liste élève par classes'!$B$5,1,0)</f>
        <v>0</v>
      </c>
      <c r="IA69" s="160">
        <f>IF([Occurrence]=0,0,SUM($HZ$2:HZ69))</f>
        <v>0</v>
      </c>
      <c r="IB6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106</v>
      </c>
      <c r="IC69" s="208"/>
    </row>
    <row r="70" spans="1:237">
      <c r="A70" t="s">
        <v>370</v>
      </c>
      <c r="B70" t="s">
        <v>371</v>
      </c>
      <c r="C70" s="158">
        <v>37456</v>
      </c>
      <c r="D70" s="62">
        <f t="shared" ca="1" si="1"/>
        <v>15</v>
      </c>
      <c r="E70" t="s">
        <v>7</v>
      </c>
      <c r="F70" s="159" t="s">
        <v>46</v>
      </c>
      <c r="G70" t="s">
        <v>40</v>
      </c>
      <c r="H70" s="160"/>
      <c r="I70" s="62"/>
      <c r="J70" s="62"/>
      <c r="K70" s="62"/>
      <c r="L70" s="61"/>
      <c r="M70">
        <v>7</v>
      </c>
      <c r="N70" s="62"/>
      <c r="O70" s="62"/>
      <c r="P70" s="62"/>
      <c r="Q70" s="62"/>
      <c r="R70" s="62"/>
      <c r="S70" s="62"/>
      <c r="T70" s="62"/>
      <c r="U70" s="61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163"/>
      <c r="AG70" s="163"/>
      <c r="AH70" s="163"/>
      <c r="AI70" s="163"/>
      <c r="AJ70" s="163"/>
      <c r="AK70" s="163"/>
      <c r="AL70" s="163"/>
      <c r="AM70" s="163"/>
      <c r="AN70" s="163"/>
      <c r="AO70" s="163"/>
      <c r="AP70" s="163"/>
      <c r="AQ70" s="163"/>
      <c r="AR70" s="163"/>
      <c r="AS70" s="163"/>
      <c r="AT70" s="163"/>
      <c r="AU70" s="163"/>
      <c r="AV70" s="163"/>
      <c r="AW70" s="163"/>
      <c r="AX70" s="163"/>
      <c r="AY70" s="163"/>
      <c r="AZ70" s="163"/>
      <c r="BA70" s="163"/>
      <c r="BB70" s="163"/>
      <c r="BC70" s="163"/>
      <c r="BD70" s="163"/>
      <c r="BE70" s="163"/>
      <c r="BF70" s="163"/>
      <c r="BG70" s="163"/>
      <c r="BH70" s="163"/>
      <c r="BI70" s="163"/>
      <c r="BJ70" s="163"/>
      <c r="BK70" s="163"/>
      <c r="BL70" s="163"/>
      <c r="BM70" s="163"/>
      <c r="BN70" s="163"/>
      <c r="BO70" s="163"/>
      <c r="BP70" s="163"/>
      <c r="BQ70" s="163"/>
      <c r="BR70" s="163"/>
      <c r="BS70" s="163"/>
      <c r="BT70" s="163"/>
      <c r="BU70" s="163"/>
      <c r="BV70" s="163"/>
      <c r="BW70" s="163"/>
      <c r="BX70" s="163"/>
      <c r="BY70" s="163"/>
      <c r="BZ70" s="163"/>
      <c r="CA70" s="163"/>
      <c r="CB70" s="163"/>
      <c r="CC70" s="163"/>
      <c r="CD70" s="163"/>
      <c r="CE70" s="163"/>
      <c r="CF70" s="163"/>
      <c r="CG70" s="163"/>
      <c r="CH70" s="163"/>
      <c r="CI70" s="163"/>
      <c r="CJ70" s="163"/>
      <c r="CK70" s="163"/>
      <c r="CL70" s="163"/>
      <c r="CM70" s="163"/>
      <c r="CN70" s="163"/>
      <c r="CO70" s="163"/>
      <c r="CP70" s="163"/>
      <c r="CQ70" s="163"/>
      <c r="CR70" s="163"/>
      <c r="CS70" s="163"/>
      <c r="CT70" s="163"/>
      <c r="CU70" s="163"/>
      <c r="CV70" s="163"/>
      <c r="CW70" s="163"/>
      <c r="CX70" s="163"/>
      <c r="CY70" s="163"/>
      <c r="CZ70" s="163"/>
      <c r="DA70" s="163"/>
      <c r="DB70" s="163"/>
      <c r="DC70" s="163"/>
      <c r="DD70" s="163"/>
      <c r="DE70" s="163"/>
      <c r="DF70" s="163"/>
      <c r="DG70" s="163"/>
      <c r="DH70" s="163"/>
      <c r="DI70" s="163"/>
      <c r="DJ70" s="163"/>
      <c r="DK70" s="163"/>
      <c r="DL70" s="163"/>
      <c r="DM70" s="163"/>
      <c r="DN70" s="163"/>
      <c r="DO70" s="163"/>
      <c r="DP70" s="163"/>
      <c r="DQ70" s="163"/>
      <c r="DR70" s="163"/>
      <c r="DS70" s="163"/>
      <c r="DT70" s="163"/>
      <c r="DU70" s="163"/>
      <c r="DV70" s="163"/>
      <c r="DW70" s="163"/>
      <c r="DX70" s="163"/>
      <c r="DY70" s="163"/>
      <c r="DZ70" s="163"/>
      <c r="EA70" s="163"/>
      <c r="EB70" s="163"/>
      <c r="EC70" s="163"/>
      <c r="ED70" s="163"/>
      <c r="EE70" s="163"/>
      <c r="EF70" s="163"/>
      <c r="EG70" s="163"/>
      <c r="EH70" s="160">
        <f>IF([Chambre]*1='CHAMBRES FILLES 2e ETAGE'!$A$5,1,0)</f>
        <v>0</v>
      </c>
      <c r="EI70" s="161">
        <f>IF([Occurrence2]=0,0,SUM($EH$2:EH70))</f>
        <v>0</v>
      </c>
      <c r="EJ70" s="160">
        <f>IF([Chambre]*1='CHAMBRES FILLES 2e ETAGE'!$A$11,1,0)</f>
        <v>0</v>
      </c>
      <c r="EK70" s="160">
        <f>IF([Occurrence3]=0,0,SUM($EJ$2:EJ70))</f>
        <v>0</v>
      </c>
      <c r="EL70" s="160">
        <f>IF([Chambre]*1='CHAMBRES FILLES 2e ETAGE'!$A$17,1,0)</f>
        <v>0</v>
      </c>
      <c r="EM70" s="160">
        <f>IF([Occurrence4]=0,0,SUM($EL$2:EL70))</f>
        <v>0</v>
      </c>
      <c r="EN70" s="160">
        <f>IF([Chambre]*1='CHAMBRES FILLES 2e ETAGE'!$A$23,1,0)</f>
        <v>0</v>
      </c>
      <c r="EO70" s="160">
        <f>IF([Occurrence5]=0,0,SUM($EN$2:EN70))</f>
        <v>0</v>
      </c>
      <c r="EP70" s="160">
        <f>IF([Chambre]*1='CHAMBRES FILLES 2e ETAGE'!$A$29,1,0)</f>
        <v>0</v>
      </c>
      <c r="EQ70" s="160">
        <f>IF([Occurrence6]=0,0,SUM($EP$2:EP70))</f>
        <v>0</v>
      </c>
      <c r="ER70" s="160">
        <f>IF([Chambre]*1='CHAMBRES FILLES 2e ETAGE'!$A$35,1,0)</f>
        <v>0</v>
      </c>
      <c r="ES70" s="160">
        <f>IF([Occurrence7]=0,0,SUM($ER$2:ER70))</f>
        <v>0</v>
      </c>
      <c r="ET70" s="160">
        <f>IF([Chambre]*1='CHAMBRES FILLES 2e ETAGE'!$A$41,1,0)</f>
        <v>0</v>
      </c>
      <c r="EU70" s="160">
        <f>IF([Occurrence8]=0,0,SUM($ET$2:ET70))</f>
        <v>0</v>
      </c>
      <c r="EV70" s="160">
        <f>IF([Chambre]*1='CHAMBRES FILLES 2e ETAGE'!$A$47,1,0)</f>
        <v>0</v>
      </c>
      <c r="EW70" s="160">
        <f>IF([Occurrence9]=0,0,SUM($EV$2:EV70))</f>
        <v>0</v>
      </c>
      <c r="EX70" s="160">
        <f>IF([Chambre]*1='CHAMBRES FILLES 2e ETAGE'!$A$53,1,0)</f>
        <v>0</v>
      </c>
      <c r="EY70" s="160">
        <f>IF([Occurrence10]=0,0,SUM($EX$2:EX70))</f>
        <v>0</v>
      </c>
      <c r="EZ70" s="160">
        <f>IF([Chambre]*1='CHAMBRES FILLES 2e ETAGE'!$A$59,1,0)</f>
        <v>0</v>
      </c>
      <c r="FA70" s="160">
        <f>IF([Occurrence11]=0,0,SUM($EZ$2:EZ70))</f>
        <v>0</v>
      </c>
      <c r="FB70" s="160">
        <f>IF([Chambre]*1='CHAMBRES FILLES 2e ETAGE'!$A$65,1,0)</f>
        <v>0</v>
      </c>
      <c r="FC70" s="160">
        <f>IF([Occurrence12]=0,0,SUM($FB$2:FB70))</f>
        <v>0</v>
      </c>
      <c r="FD70" s="160">
        <f>IF([Chambre]*1='CHAMBRES FILLES 2e ETAGE'!$A$71,1,0)</f>
        <v>0</v>
      </c>
      <c r="FE70" s="160">
        <f>IF([Occurrence13]=0,0,SUM($FD$2:FD70))</f>
        <v>0</v>
      </c>
      <c r="FF70" s="160">
        <f>IF([Chambre]*1='CHAMBRES FILLES 2e ETAGE'!$A$77,1,0)</f>
        <v>0</v>
      </c>
      <c r="FG70" s="160">
        <f>IF([Occurrence14]=0,0,SUM($FF$2:FF70))</f>
        <v>0</v>
      </c>
      <c r="FH70" s="160">
        <f>IF([Chambre]*1='CHAMBRES FILLES 2e ETAGE'!$A$83,1,0)</f>
        <v>0</v>
      </c>
      <c r="FI70" s="160">
        <f>IF([Occurrence15]=0,0,SUM($FH$2:FH70))</f>
        <v>0</v>
      </c>
      <c r="FJ70" s="160">
        <f>IF([Chambre]*1='CHAMBRES FILLES 2e ETAGE'!$A$89,1,0)</f>
        <v>0</v>
      </c>
      <c r="FK70" s="160">
        <f>IF([Occurrence16]=0,0,SUM($FJ$2:FJ70))</f>
        <v>0</v>
      </c>
      <c r="FL70" s="160">
        <f>IF([Chambre]*1='CHAMBRES FILLES 2e ETAGE'!$A$95,1,0)</f>
        <v>0</v>
      </c>
      <c r="FM70" s="160">
        <f>IF([Occurrence17]=0,0,SUM($FL$2:FL70))</f>
        <v>0</v>
      </c>
      <c r="FN70" s="160">
        <f>IF([Chambre2]*1='CHAMBRES FILLES 1e ETAGE'!$A$5,1,0)</f>
        <v>0</v>
      </c>
      <c r="FO70" s="160">
        <f>IF([Occurrence18]=0,0,SUM($FN$2:FN70))</f>
        <v>0</v>
      </c>
      <c r="FP70" s="160">
        <f>IF([Chambre2]*1='CHAMBRES FILLES 1e ETAGE'!$A$11,1,0)</f>
        <v>0</v>
      </c>
      <c r="FQ70" s="160">
        <f>IF([Occurrence19]=0,0,SUM($FP$2:FP70))</f>
        <v>0</v>
      </c>
      <c r="FR70" s="160">
        <f>IF([Chambre2]*1='CHAMBRES FILLES 1e ETAGE'!$A$17,1,0)</f>
        <v>0</v>
      </c>
      <c r="FS70" s="160">
        <f>IF([Occurrence20]=0,0,SUM($FR$2:FR70))</f>
        <v>0</v>
      </c>
      <c r="FT70" s="160">
        <f>IF([Chambre2]*1='CHAMBRES FILLES 1e ETAGE'!$A$23,1,0)</f>
        <v>0</v>
      </c>
      <c r="FU70" s="160">
        <f>IF([Occurrence21]=0,0,SUM($FT$2:FT70))</f>
        <v>0</v>
      </c>
      <c r="FV70" s="160">
        <f>IF([Chambre2]*1='CHAMBRES FILLES 1e ETAGE'!$A$29,1,0)</f>
        <v>0</v>
      </c>
      <c r="FW70" s="160">
        <f>IF([Occurrence22]=0,0,SUM($FV$2:FV70))</f>
        <v>0</v>
      </c>
      <c r="FX70" s="160">
        <f>IF([Chambre2]*1='CHAMBRES FILLES 1e ETAGE'!$A$35,1,0)</f>
        <v>0</v>
      </c>
      <c r="FY70" s="160">
        <f>IF([Occurrence23]=0,0,SUM($FX$2:FX70))</f>
        <v>0</v>
      </c>
      <c r="FZ70" s="160">
        <f>IF([Chambre2]*1='CHAMBRES FILLES 1e ETAGE'!$A$41,1,0)</f>
        <v>0</v>
      </c>
      <c r="GA70" s="160">
        <f>IF([Occurrence24]=0,0,SUM($FZ$2:FZ70))</f>
        <v>0</v>
      </c>
      <c r="GB70" s="160">
        <f>IF([Chambre2]*1='CHAMBRES FILLES 1e ETAGE'!$A$47,1,0)</f>
        <v>0</v>
      </c>
      <c r="GC70" s="160">
        <f>IF([Occurrence25]=0,0,SUM($GB$2:GB70))</f>
        <v>0</v>
      </c>
      <c r="GD70" s="160">
        <f>IF([Chambre2]*1='CHAMBRES FILLES 1e ETAGE'!$A$53,1,0)</f>
        <v>0</v>
      </c>
      <c r="GE70" s="160">
        <f>IF([Occurrence26]=0,0,SUM($GD$2:GD70))</f>
        <v>0</v>
      </c>
      <c r="GF70" s="160">
        <f>IF([chambre4]*1='CHAMBRES GARCONS 1e ETAGE'!$A$5,1,0)</f>
        <v>0</v>
      </c>
      <c r="GG70" s="160">
        <f>IF([Occurrence27]=0,0,SUM($GF$2:GF70))</f>
        <v>0</v>
      </c>
      <c r="GH70" s="160">
        <f>IF([chambre4]*1='CHAMBRES GARCONS 1e ETAGE'!$A$11,1,0)</f>
        <v>0</v>
      </c>
      <c r="GI70" s="160">
        <f>IF([Occurrence28]=0,0,SUM($GH$2:GH70))</f>
        <v>0</v>
      </c>
      <c r="GJ70" s="160">
        <f>IF([chambre4]*1='CHAMBRES GARCONS 1e ETAGE'!$A$17,1,0)</f>
        <v>0</v>
      </c>
      <c r="GK70" s="160">
        <f>IF([Occurrence29]=0,0,SUM($GJ$2:GJ70))</f>
        <v>0</v>
      </c>
      <c r="GL70" s="160">
        <f>IF([chambre4]*1='CHAMBRES GARCONS 1e ETAGE'!$A$23,1,0)</f>
        <v>0</v>
      </c>
      <c r="GM70" s="160">
        <f>IF([Occurrence30]=0,0,SUM($GL$2:GL70))</f>
        <v>0</v>
      </c>
      <c r="GN70" s="160">
        <f>IF([chambre4]*1='CHAMBRES GARCONS 1e ETAGE'!$A$29,1,0)</f>
        <v>0</v>
      </c>
      <c r="GO70" s="160">
        <f>IF([Occurrence31]=0,0,SUM($GN$2:GN70))</f>
        <v>0</v>
      </c>
      <c r="GP70" s="160">
        <f>IF([chambre4]*1='CHAMBRES GARCONS 1e ETAGE'!$A$35,1,0)</f>
        <v>0</v>
      </c>
      <c r="GQ70" s="160">
        <f>IF([Occurrence32]=0,0,SUM($GP$2:GP70))</f>
        <v>0</v>
      </c>
      <c r="GR70" s="160">
        <f>IF([chambre3]*1='CHAMBRES GARCONS RDC'!$A$5,1,0)</f>
        <v>0</v>
      </c>
      <c r="GS70" s="160">
        <f>IF([Occurrence33]=0,0,SUM($GR$2:GR70))</f>
        <v>0</v>
      </c>
      <c r="GT70" s="160">
        <f>IF([chambre3]*1='CHAMBRES GARCONS RDC'!$A$11,1,0)</f>
        <v>0</v>
      </c>
      <c r="GU70" s="160">
        <f>IF([Occurrence34]=0,0,SUM($GT$2:GT70))</f>
        <v>0</v>
      </c>
      <c r="GV70" s="160">
        <f>IF([chambre3]*1='CHAMBRES GARCONS RDC'!$A$17,1,0)</f>
        <v>0</v>
      </c>
      <c r="GW70" s="160">
        <f>IF([Occurrence35]=0,0,SUM($GV$2:GV70))</f>
        <v>0</v>
      </c>
      <c r="GX70" s="160">
        <f>IF([chambre3]*1='CHAMBRES GARCONS RDC'!$A$23,1,0)</f>
        <v>0</v>
      </c>
      <c r="GY70" s="160">
        <f>IF([Occurrence36]=0,0,SUM($GX$2:GX70))</f>
        <v>0</v>
      </c>
      <c r="GZ70" s="160">
        <f>IF([chambre3]*1='CHAMBRES GARCONS RDC'!$A$29,1,0)</f>
        <v>0</v>
      </c>
      <c r="HA70" s="160">
        <f>IF([Occurrence37]=0,0,SUM($GZ$2:GZ70))</f>
        <v>0</v>
      </c>
      <c r="HB70" s="160">
        <f>IF([chambre3]*1='CHAMBRES GARCONS RDC'!$A$35,1,0)</f>
        <v>0</v>
      </c>
      <c r="HC70" s="160">
        <f>IF([Occurrence38]=0,0,SUM($HB$2:HB70))</f>
        <v>0</v>
      </c>
      <c r="HD70" s="160">
        <f>IF([chambre3]*1='CHAMBRES GARCONS RDC'!$A$41,1,0)</f>
        <v>0</v>
      </c>
      <c r="HE70" s="160">
        <f>IF([Occurrence39]=0,0,SUM($HD$2:HD70))</f>
        <v>0</v>
      </c>
      <c r="HF70" s="160">
        <f>IF([chambre3]*1='CHAMBRES GARCONS RDC'!$A$47,1,0)</f>
        <v>0</v>
      </c>
      <c r="HG70" s="160">
        <f>IF([Occurrence40]=0,0,SUM($HF$2:HF70))</f>
        <v>0</v>
      </c>
      <c r="HH70" s="160">
        <f>IF([chambre3]*1='CHAMBRES GARCONS RDC'!$A$53,1,0)</f>
        <v>0</v>
      </c>
      <c r="HI70" s="160">
        <f>IF([Occurrence41]=0,0,SUM($HH$2:HH70))</f>
        <v>0</v>
      </c>
      <c r="HJ70" s="160">
        <f>IF([chambre3]*1='CHAMBRES GARCONS RDC'!$A$59,1,0)</f>
        <v>0</v>
      </c>
      <c r="HK70" s="160">
        <f>IF([Occurrence42]=0,0,SUM($HJ$2:HJ70))</f>
        <v>0</v>
      </c>
      <c r="HL70" s="160">
        <f>IF([chambre3]*1='CHAMBRES GARCONS RDC'!$A$65,1,0)</f>
        <v>0</v>
      </c>
      <c r="HM70" s="160">
        <f>IF([Occurrence43]=0,0,SUM($HL$2:HL70))</f>
        <v>0</v>
      </c>
      <c r="HN70" s="160">
        <f>IF([chambre3]*1='CHAMBRES GARCONS RDC'!$A$71,1,0)</f>
        <v>0</v>
      </c>
      <c r="HO70" s="160">
        <f>IF([Occurrence44]=0,0,SUM($HN$2:HN70))</f>
        <v>0</v>
      </c>
      <c r="HP70" s="160">
        <f>IF([chambre3]*1='CHAMBRES GARCONS RDC'!$A$77,1,0)</f>
        <v>0</v>
      </c>
      <c r="HQ70" s="160">
        <f>IF([Occurrence45]=0,0,SUM($HP$2:HP70))</f>
        <v>0</v>
      </c>
      <c r="HR70" s="160">
        <f>IF([chambre3]*1='CHAMBRES GARCONS RDC'!$A$83,1,0)</f>
        <v>0</v>
      </c>
      <c r="HS70" s="160">
        <f>IF([Occurrence46]=0,0,SUM($HR$2:HR70))</f>
        <v>0</v>
      </c>
      <c r="HT70" s="160">
        <f>IF([chambre3]*1='CHAMBRES GARCONS RDC'!$A$89,1,0)</f>
        <v>0</v>
      </c>
      <c r="HU70" s="160">
        <f>IF([Occurrence47]=0,0,SUM($HT$2:HT70))</f>
        <v>0</v>
      </c>
      <c r="HV70" s="160">
        <f>IF([chambre3]*1='CHAMBRES GARCONS RDC'!$A$95,1,0)</f>
        <v>0</v>
      </c>
      <c r="HW70" s="160">
        <f>IF([Occurrence48]=0,0,SUM($HV$2:HV70))</f>
        <v>0</v>
      </c>
      <c r="HX70" s="160"/>
      <c r="HY70" s="160"/>
      <c r="HZ70" s="160">
        <f>IF([Classe]='Liste élève par classes'!$B$5,1,0)</f>
        <v>0</v>
      </c>
      <c r="IA70" s="160">
        <f>IF([Occurrence]=0,0,SUM($HZ$2:HZ70))</f>
        <v>0</v>
      </c>
      <c r="IB7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70" s="208"/>
    </row>
    <row r="71" spans="1:237">
      <c r="A71" t="s">
        <v>372</v>
      </c>
      <c r="B71" t="s">
        <v>326</v>
      </c>
      <c r="C71" s="158">
        <v>37560</v>
      </c>
      <c r="D71" s="62">
        <f t="shared" ca="1" si="1"/>
        <v>15</v>
      </c>
      <c r="E71" t="s">
        <v>11</v>
      </c>
      <c r="F71" s="159" t="s">
        <v>50</v>
      </c>
      <c r="G71" t="s">
        <v>45</v>
      </c>
      <c r="H71" s="160"/>
      <c r="I71" s="62"/>
      <c r="J71" s="62" t="s">
        <v>244</v>
      </c>
      <c r="K71" s="62"/>
      <c r="L71" s="61">
        <v>164</v>
      </c>
      <c r="M71">
        <v>160</v>
      </c>
      <c r="N71" s="62" t="s">
        <v>244</v>
      </c>
      <c r="O71" s="62" t="s">
        <v>244</v>
      </c>
      <c r="P71" s="62" t="s">
        <v>244</v>
      </c>
      <c r="Q71" s="62" t="s">
        <v>244</v>
      </c>
      <c r="R71" s="62" t="s">
        <v>244</v>
      </c>
      <c r="S71" s="191"/>
      <c r="T71" s="62" t="s">
        <v>244</v>
      </c>
      <c r="U71" s="61"/>
      <c r="V71" s="62" t="s">
        <v>244</v>
      </c>
      <c r="W71" s="62" t="s">
        <v>244</v>
      </c>
      <c r="X71" s="62" t="s">
        <v>244</v>
      </c>
      <c r="Y71" s="62" t="s">
        <v>244</v>
      </c>
      <c r="Z71" s="62" t="s">
        <v>244</v>
      </c>
      <c r="AA71" s="62" t="s">
        <v>244</v>
      </c>
      <c r="AB71" s="62" t="s">
        <v>244</v>
      </c>
      <c r="AC71" s="62" t="s">
        <v>244</v>
      </c>
      <c r="AD71" s="62" t="s">
        <v>244</v>
      </c>
      <c r="AE71" s="62" t="s">
        <v>244</v>
      </c>
      <c r="AF71" s="166" t="s">
        <v>244</v>
      </c>
      <c r="AG71" s="166"/>
      <c r="AH71" s="166"/>
      <c r="AI71" s="166"/>
      <c r="AJ71" s="166"/>
      <c r="AK71" s="166"/>
      <c r="AL71" s="166"/>
      <c r="AM71" s="166"/>
      <c r="AN71" s="166"/>
      <c r="AO71" s="166"/>
      <c r="AP71" s="166"/>
      <c r="AQ71" s="166"/>
      <c r="AR71" s="166"/>
      <c r="AS71" s="166"/>
      <c r="AT71" s="166"/>
      <c r="AU71" s="166"/>
      <c r="AV71" s="166"/>
      <c r="AW71" s="166"/>
      <c r="AX71" s="166"/>
      <c r="AY71" s="166"/>
      <c r="AZ71" s="166"/>
      <c r="BA71" s="166"/>
      <c r="BB71" s="166"/>
      <c r="BC71" s="163" t="b">
        <v>0</v>
      </c>
      <c r="BD71" s="163" t="b">
        <v>1</v>
      </c>
      <c r="BE71" s="163" t="b">
        <v>1</v>
      </c>
      <c r="BF71" s="163" t="b">
        <v>0</v>
      </c>
      <c r="BG71" s="164" t="b">
        <v>0</v>
      </c>
      <c r="BH71" s="163" t="b">
        <v>1</v>
      </c>
      <c r="BI71" s="166"/>
      <c r="BJ71" s="166"/>
      <c r="BK71" s="166"/>
      <c r="BL71" s="166"/>
      <c r="BM71" s="166"/>
      <c r="BN71" s="166"/>
      <c r="BO71" s="166"/>
      <c r="BP71" s="166"/>
      <c r="BQ71" s="163" t="b">
        <v>0</v>
      </c>
      <c r="BR71" s="166"/>
      <c r="BS71" s="166"/>
      <c r="BT71" s="166"/>
      <c r="BU71" s="166"/>
      <c r="BV71" s="166"/>
      <c r="BW71" s="166"/>
      <c r="BX71" s="166"/>
      <c r="BY71" s="166"/>
      <c r="BZ71" s="166"/>
      <c r="CA71" s="166"/>
      <c r="CB71" s="166"/>
      <c r="CC71" s="166"/>
      <c r="CD71" s="166"/>
      <c r="CE71" s="166"/>
      <c r="CF71" s="166"/>
      <c r="CG71" s="166"/>
      <c r="CH71" s="166"/>
      <c r="CI71" s="166"/>
      <c r="CJ71" s="166"/>
      <c r="CK71" s="166"/>
      <c r="CL71" s="166"/>
      <c r="CM71" s="166"/>
      <c r="CN71" s="166"/>
      <c r="CO71" s="166"/>
      <c r="CP71" s="166"/>
      <c r="CQ71" s="166"/>
      <c r="CR71" s="166"/>
      <c r="CS71" s="166"/>
      <c r="CT71" s="166"/>
      <c r="CU71" s="166"/>
      <c r="CV71" s="166"/>
      <c r="CW71" s="166"/>
      <c r="CX71" s="166"/>
      <c r="CY71" s="166"/>
      <c r="CZ71" s="166"/>
      <c r="DA71" s="166"/>
      <c r="DB71" s="166"/>
      <c r="DC71" s="166"/>
      <c r="DD71" s="166"/>
      <c r="DE71" s="166"/>
      <c r="DF71" s="166"/>
      <c r="DG71" s="212"/>
      <c r="DH71" s="166"/>
      <c r="DI71" s="166"/>
      <c r="DJ71" s="166"/>
      <c r="DK71" s="166"/>
      <c r="DL71" s="166"/>
      <c r="DM71" s="166"/>
      <c r="DN71" s="166"/>
      <c r="DO71" s="166"/>
      <c r="DP71" s="166"/>
      <c r="DQ71" s="166"/>
      <c r="DR71" s="166"/>
      <c r="DS71" s="166"/>
      <c r="DT71" s="166"/>
      <c r="DU71" s="166"/>
      <c r="DV71" s="166"/>
      <c r="DW71" s="166"/>
      <c r="DX71" s="166"/>
      <c r="DY71" s="166"/>
      <c r="DZ71" s="166"/>
      <c r="EA71" s="166"/>
      <c r="EB71" s="166"/>
      <c r="EC71" s="166"/>
      <c r="ED71" s="166"/>
      <c r="EE71" s="166"/>
      <c r="EF71" s="166"/>
      <c r="EG71" s="166"/>
      <c r="EH71" s="160">
        <f>IF([Chambre]*1='CHAMBRES FILLES 2e ETAGE'!$A$5,1,0)</f>
        <v>0</v>
      </c>
      <c r="EI71" s="161">
        <f>IF([Occurrence2]=0,0,SUM($EH$2:EH71))</f>
        <v>0</v>
      </c>
      <c r="EJ71" s="160">
        <f>IF([Chambre]*1='CHAMBRES FILLES 2e ETAGE'!$A$11,1,0)</f>
        <v>0</v>
      </c>
      <c r="EK71" s="160">
        <f>IF([Occurrence3]=0,0,SUM($EJ$2:EJ71))</f>
        <v>0</v>
      </c>
      <c r="EL71" s="160">
        <f>IF([Chambre]*1='CHAMBRES FILLES 2e ETAGE'!$A$17,1,0)</f>
        <v>0</v>
      </c>
      <c r="EM71" s="160">
        <f>IF([Occurrence4]=0,0,SUM($EL$2:EL71))</f>
        <v>0</v>
      </c>
      <c r="EN71" s="160">
        <f>IF([Chambre]*1='CHAMBRES FILLES 2e ETAGE'!$A$23,1,0)</f>
        <v>0</v>
      </c>
      <c r="EO71" s="160">
        <f>IF([Occurrence5]=0,0,SUM($EN$2:EN71))</f>
        <v>0</v>
      </c>
      <c r="EP71" s="160">
        <f>IF([Chambre]*1='CHAMBRES FILLES 2e ETAGE'!$A$29,1,0)</f>
        <v>0</v>
      </c>
      <c r="EQ71" s="160">
        <f>IF([Occurrence6]=0,0,SUM($EP$2:EP71))</f>
        <v>0</v>
      </c>
      <c r="ER71" s="160">
        <f>IF([Chambre]*1='CHAMBRES FILLES 2e ETAGE'!$A$35,1,0)</f>
        <v>0</v>
      </c>
      <c r="ES71" s="160">
        <f>IF([Occurrence7]=0,0,SUM($ER$2:ER71))</f>
        <v>0</v>
      </c>
      <c r="ET71" s="160">
        <f>IF([Chambre]*1='CHAMBRES FILLES 2e ETAGE'!$A$41,1,0)</f>
        <v>0</v>
      </c>
      <c r="EU71" s="160">
        <f>IF([Occurrence8]=0,0,SUM($ET$2:ET71))</f>
        <v>0</v>
      </c>
      <c r="EV71" s="160">
        <f>IF([Chambre]*1='CHAMBRES FILLES 2e ETAGE'!$A$47,1,0)</f>
        <v>1</v>
      </c>
      <c r="EW71" s="160">
        <f>IF([Occurrence9]=0,0,SUM($EV$2:EV71))</f>
        <v>1</v>
      </c>
      <c r="EX71" s="160">
        <f>IF([Chambre]*1='CHAMBRES FILLES 2e ETAGE'!$A$53,1,0)</f>
        <v>0</v>
      </c>
      <c r="EY71" s="160">
        <f>IF([Occurrence10]=0,0,SUM($EX$2:EX71))</f>
        <v>0</v>
      </c>
      <c r="EZ71" s="160">
        <f>IF([Chambre]*1='CHAMBRES FILLES 2e ETAGE'!$A$59,1,0)</f>
        <v>0</v>
      </c>
      <c r="FA71" s="160">
        <f>IF([Occurrence11]=0,0,SUM($EZ$2:EZ71))</f>
        <v>0</v>
      </c>
      <c r="FB71" s="160">
        <f>IF([Chambre]*1='CHAMBRES FILLES 2e ETAGE'!$A$65,1,0)</f>
        <v>0</v>
      </c>
      <c r="FC71" s="160">
        <f>IF([Occurrence12]=0,0,SUM($FB$2:FB71))</f>
        <v>0</v>
      </c>
      <c r="FD71" s="160">
        <f>IF([Chambre]*1='CHAMBRES FILLES 2e ETAGE'!$A$71,1,0)</f>
        <v>0</v>
      </c>
      <c r="FE71" s="160">
        <f>IF([Occurrence13]=0,0,SUM($FD$2:FD71))</f>
        <v>0</v>
      </c>
      <c r="FF71" s="160">
        <f>IF([Chambre]*1='CHAMBRES FILLES 2e ETAGE'!$A$77,1,0)</f>
        <v>0</v>
      </c>
      <c r="FG71" s="160">
        <f>IF([Occurrence14]=0,0,SUM($FF$2:FF71))</f>
        <v>0</v>
      </c>
      <c r="FH71" s="160">
        <f>IF([Chambre]*1='CHAMBRES FILLES 2e ETAGE'!$A$83,1,0)</f>
        <v>0</v>
      </c>
      <c r="FI71" s="160">
        <f>IF([Occurrence15]=0,0,SUM($FH$2:FH71))</f>
        <v>0</v>
      </c>
      <c r="FJ71" s="160">
        <f>IF([Chambre]*1='CHAMBRES FILLES 2e ETAGE'!$A$89,1,0)</f>
        <v>0</v>
      </c>
      <c r="FK71" s="160">
        <f>IF([Occurrence16]=0,0,SUM($FJ$2:FJ71))</f>
        <v>0</v>
      </c>
      <c r="FL71" s="160">
        <f>IF([Chambre]*1='CHAMBRES FILLES 2e ETAGE'!$A$95,1,0)</f>
        <v>0</v>
      </c>
      <c r="FM71" s="160">
        <f>IF([Occurrence17]=0,0,SUM($FL$2:FL71))</f>
        <v>0</v>
      </c>
      <c r="FN71" s="160">
        <f>IF([Chambre2]*1='CHAMBRES FILLES 1e ETAGE'!$A$5,1,0)</f>
        <v>0</v>
      </c>
      <c r="FO71" s="160">
        <f>IF([Occurrence18]=0,0,SUM($FN$2:FN71))</f>
        <v>0</v>
      </c>
      <c r="FP71" s="160">
        <f>IF([Chambre2]*1='CHAMBRES FILLES 1e ETAGE'!$A$11,1,0)</f>
        <v>0</v>
      </c>
      <c r="FQ71" s="160">
        <f>IF([Occurrence19]=0,0,SUM($FP$2:FP71))</f>
        <v>0</v>
      </c>
      <c r="FR71" s="160">
        <f>IF([Chambre2]*1='CHAMBRES FILLES 1e ETAGE'!$A$17,1,0)</f>
        <v>0</v>
      </c>
      <c r="FS71" s="160">
        <f>IF([Occurrence20]=0,0,SUM($FR$2:FR71))</f>
        <v>0</v>
      </c>
      <c r="FT71" s="160">
        <f>IF([Chambre2]*1='CHAMBRES FILLES 1e ETAGE'!$A$23,1,0)</f>
        <v>0</v>
      </c>
      <c r="FU71" s="160">
        <f>IF([Occurrence21]=0,0,SUM($FT$2:FT71))</f>
        <v>0</v>
      </c>
      <c r="FV71" s="160">
        <f>IF([Chambre2]*1='CHAMBRES FILLES 1e ETAGE'!$A$29,1,0)</f>
        <v>0</v>
      </c>
      <c r="FW71" s="160">
        <f>IF([Occurrence22]=0,0,SUM($FV$2:FV71))</f>
        <v>0</v>
      </c>
      <c r="FX71" s="160">
        <f>IF([Chambre2]*1='CHAMBRES FILLES 1e ETAGE'!$A$35,1,0)</f>
        <v>0</v>
      </c>
      <c r="FY71" s="160">
        <f>IF([Occurrence23]=0,0,SUM($FX$2:FX71))</f>
        <v>0</v>
      </c>
      <c r="FZ71" s="160">
        <f>IF([Chambre2]*1='CHAMBRES FILLES 1e ETAGE'!$A$41,1,0)</f>
        <v>0</v>
      </c>
      <c r="GA71" s="160">
        <f>IF([Occurrence24]=0,0,SUM($FZ$2:FZ71))</f>
        <v>0</v>
      </c>
      <c r="GB71" s="160">
        <f>IF([Chambre2]*1='CHAMBRES FILLES 1e ETAGE'!$A$47,1,0)</f>
        <v>0</v>
      </c>
      <c r="GC71" s="160">
        <f>IF([Occurrence25]=0,0,SUM($GB$2:GB71))</f>
        <v>0</v>
      </c>
      <c r="GD71" s="160">
        <f>IF([Chambre2]*1='CHAMBRES FILLES 1e ETAGE'!$A$53,1,0)</f>
        <v>0</v>
      </c>
      <c r="GE71" s="160">
        <f>IF([Occurrence26]=0,0,SUM($GD$2:GD71))</f>
        <v>0</v>
      </c>
      <c r="GF71" s="160">
        <f>IF([chambre4]*1='CHAMBRES GARCONS 1e ETAGE'!$A$5,1,0)</f>
        <v>0</v>
      </c>
      <c r="GG71" s="160">
        <f>IF([Occurrence27]=0,0,SUM($GF$2:GF71))</f>
        <v>0</v>
      </c>
      <c r="GH71" s="160">
        <f>IF([chambre4]*1='CHAMBRES GARCONS 1e ETAGE'!$A$11,1,0)</f>
        <v>0</v>
      </c>
      <c r="GI71" s="160">
        <f>IF([Occurrence28]=0,0,SUM($GH$2:GH71))</f>
        <v>0</v>
      </c>
      <c r="GJ71" s="160">
        <f>IF([chambre4]*1='CHAMBRES GARCONS 1e ETAGE'!$A$17,1,0)</f>
        <v>0</v>
      </c>
      <c r="GK71" s="160">
        <f>IF([Occurrence29]=0,0,SUM($GJ$2:GJ71))</f>
        <v>0</v>
      </c>
      <c r="GL71" s="160">
        <f>IF([chambre4]*1='CHAMBRES GARCONS 1e ETAGE'!$A$23,1,0)</f>
        <v>0</v>
      </c>
      <c r="GM71" s="160">
        <f>IF([Occurrence30]=0,0,SUM($GL$2:GL71))</f>
        <v>0</v>
      </c>
      <c r="GN71" s="160">
        <f>IF([chambre4]*1='CHAMBRES GARCONS 1e ETAGE'!$A$29,1,0)</f>
        <v>0</v>
      </c>
      <c r="GO71" s="160">
        <f>IF([Occurrence31]=0,0,SUM($GN$2:GN71))</f>
        <v>0</v>
      </c>
      <c r="GP71" s="160">
        <f>IF([chambre4]*1='CHAMBRES GARCONS 1e ETAGE'!$A$35,1,0)</f>
        <v>0</v>
      </c>
      <c r="GQ71" s="160">
        <f>IF([Occurrence32]=0,0,SUM($GP$2:GP71))</f>
        <v>0</v>
      </c>
      <c r="GR71" s="160">
        <f>IF([chambre3]*1='CHAMBRES GARCONS RDC'!$A$5,1,0)</f>
        <v>0</v>
      </c>
      <c r="GS71" s="160">
        <f>IF([Occurrence33]=0,0,SUM($GR$2:GR71))</f>
        <v>0</v>
      </c>
      <c r="GT71" s="160">
        <f>IF([chambre3]*1='CHAMBRES GARCONS RDC'!$A$11,1,0)</f>
        <v>0</v>
      </c>
      <c r="GU71" s="160">
        <f>IF([Occurrence34]=0,0,SUM($GT$2:GT71))</f>
        <v>0</v>
      </c>
      <c r="GV71" s="160">
        <f>IF([chambre3]*1='CHAMBRES GARCONS RDC'!$A$17,1,0)</f>
        <v>0</v>
      </c>
      <c r="GW71" s="160">
        <f>IF([Occurrence35]=0,0,SUM($GV$2:GV71))</f>
        <v>0</v>
      </c>
      <c r="GX71" s="160">
        <f>IF([chambre3]*1='CHAMBRES GARCONS RDC'!$A$23,1,0)</f>
        <v>0</v>
      </c>
      <c r="GY71" s="160">
        <f>IF([Occurrence36]=0,0,SUM($GX$2:GX71))</f>
        <v>0</v>
      </c>
      <c r="GZ71" s="160">
        <f>IF([chambre3]*1='CHAMBRES GARCONS RDC'!$A$29,1,0)</f>
        <v>0</v>
      </c>
      <c r="HA71" s="160">
        <f>IF([Occurrence37]=0,0,SUM($GZ$2:GZ71))</f>
        <v>0</v>
      </c>
      <c r="HB71" s="160">
        <f>IF([chambre3]*1='CHAMBRES GARCONS RDC'!$A$35,1,0)</f>
        <v>0</v>
      </c>
      <c r="HC71" s="160">
        <f>IF([Occurrence38]=0,0,SUM($HB$2:HB71))</f>
        <v>0</v>
      </c>
      <c r="HD71" s="160">
        <f>IF([chambre3]*1='CHAMBRES GARCONS RDC'!$A$41,1,0)</f>
        <v>0</v>
      </c>
      <c r="HE71" s="160">
        <f>IF([Occurrence39]=0,0,SUM($HD$2:HD71))</f>
        <v>0</v>
      </c>
      <c r="HF71" s="160">
        <f>IF([chambre3]*1='CHAMBRES GARCONS RDC'!$A$47,1,0)</f>
        <v>0</v>
      </c>
      <c r="HG71" s="160">
        <f>IF([Occurrence40]=0,0,SUM($HF$2:HF71))</f>
        <v>0</v>
      </c>
      <c r="HH71" s="160">
        <f>IF([chambre3]*1='CHAMBRES GARCONS RDC'!$A$53,1,0)</f>
        <v>0</v>
      </c>
      <c r="HI71" s="160">
        <f>IF([Occurrence41]=0,0,SUM($HH$2:HH71))</f>
        <v>0</v>
      </c>
      <c r="HJ71" s="160">
        <f>IF([chambre3]*1='CHAMBRES GARCONS RDC'!$A$59,1,0)</f>
        <v>0</v>
      </c>
      <c r="HK71" s="160">
        <f>IF([Occurrence42]=0,0,SUM($HJ$2:HJ71))</f>
        <v>0</v>
      </c>
      <c r="HL71" s="160">
        <f>IF([chambre3]*1='CHAMBRES GARCONS RDC'!$A$65,1,0)</f>
        <v>0</v>
      </c>
      <c r="HM71" s="160">
        <f>IF([Occurrence43]=0,0,SUM($HL$2:HL71))</f>
        <v>0</v>
      </c>
      <c r="HN71" s="160">
        <f>IF([chambre3]*1='CHAMBRES GARCONS RDC'!$A$71,1,0)</f>
        <v>0</v>
      </c>
      <c r="HO71" s="160">
        <f>IF([Occurrence44]=0,0,SUM($HN$2:HN71))</f>
        <v>0</v>
      </c>
      <c r="HP71" s="160">
        <f>IF([chambre3]*1='CHAMBRES GARCONS RDC'!$A$77,1,0)</f>
        <v>0</v>
      </c>
      <c r="HQ71" s="160">
        <f>IF([Occurrence45]=0,0,SUM($HP$2:HP71))</f>
        <v>0</v>
      </c>
      <c r="HR71" s="160">
        <f>IF([chambre3]*1='CHAMBRES GARCONS RDC'!$A$83,1,0)</f>
        <v>0</v>
      </c>
      <c r="HS71" s="160">
        <f>IF([Occurrence46]=0,0,SUM($HR$2:HR71))</f>
        <v>0</v>
      </c>
      <c r="HT71" s="160">
        <f>IF([chambre3]*1='CHAMBRES GARCONS RDC'!$A$89,1,0)</f>
        <v>0</v>
      </c>
      <c r="HU71" s="160">
        <f>IF([Occurrence47]=0,0,SUM($HT$2:HT71))</f>
        <v>0</v>
      </c>
      <c r="HV71" s="160">
        <f>IF([chambre3]*1='CHAMBRES GARCONS RDC'!$A$95,1,0)</f>
        <v>0</v>
      </c>
      <c r="HW71" s="160">
        <f>IF([Occurrence48]=0,0,SUM($HV$2:HV71))</f>
        <v>0</v>
      </c>
      <c r="HX71" s="160"/>
      <c r="HY71" s="160"/>
      <c r="HZ71" s="160">
        <f>IF([Classe]='Liste élève par classes'!$B$5,1,0)</f>
        <v>0</v>
      </c>
      <c r="IA71" s="160">
        <f>IF([Occurrence]=0,0,SUM($HZ$2:HZ71))</f>
        <v>0</v>
      </c>
      <c r="IB7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164</v>
      </c>
      <c r="IC71" s="208"/>
    </row>
    <row r="72" spans="1:237">
      <c r="A72" t="s">
        <v>373</v>
      </c>
      <c r="B72" t="s">
        <v>297</v>
      </c>
      <c r="C72" s="158">
        <v>37000</v>
      </c>
      <c r="D72" s="62">
        <f t="shared" ca="1" si="1"/>
        <v>16</v>
      </c>
      <c r="E72" t="s">
        <v>8</v>
      </c>
      <c r="F72" s="159" t="s">
        <v>46</v>
      </c>
      <c r="G72" t="s">
        <v>40</v>
      </c>
      <c r="H72" s="160"/>
      <c r="I72" s="62"/>
      <c r="J72" s="161" t="s">
        <v>244</v>
      </c>
      <c r="K72" s="161"/>
      <c r="L72" s="160"/>
      <c r="M72">
        <v>101</v>
      </c>
      <c r="N72" s="161" t="s">
        <v>244</v>
      </c>
      <c r="O72" s="161" t="s">
        <v>244</v>
      </c>
      <c r="P72" s="161" t="s">
        <v>244</v>
      </c>
      <c r="Q72" s="161" t="s">
        <v>244</v>
      </c>
      <c r="R72" s="161" t="s">
        <v>244</v>
      </c>
      <c r="S72" s="161"/>
      <c r="T72" s="161" t="s">
        <v>244</v>
      </c>
      <c r="U72" s="160"/>
      <c r="V72" s="161" t="s">
        <v>244</v>
      </c>
      <c r="W72" s="161" t="s">
        <v>244</v>
      </c>
      <c r="X72" s="161" t="s">
        <v>244</v>
      </c>
      <c r="Y72" s="161" t="s">
        <v>244</v>
      </c>
      <c r="Z72" s="161" t="s">
        <v>244</v>
      </c>
      <c r="AA72" s="161" t="s">
        <v>244</v>
      </c>
      <c r="AB72" s="161" t="s">
        <v>244</v>
      </c>
      <c r="AC72" s="161" t="s">
        <v>244</v>
      </c>
      <c r="AD72" s="161" t="s">
        <v>244</v>
      </c>
      <c r="AE72" s="161" t="s">
        <v>244</v>
      </c>
      <c r="AF72" s="163" t="s">
        <v>244</v>
      </c>
      <c r="AG72" s="163" t="s">
        <v>244</v>
      </c>
      <c r="AH72" s="163" t="s">
        <v>244</v>
      </c>
      <c r="AI72" s="163"/>
      <c r="AJ72" s="163"/>
      <c r="AK72" s="163"/>
      <c r="AL72" s="163"/>
      <c r="AM72" s="163"/>
      <c r="AN72" s="163"/>
      <c r="AO72" s="163"/>
      <c r="AP72" s="163"/>
      <c r="AQ72" s="163"/>
      <c r="AR72" s="163"/>
      <c r="AS72" s="163"/>
      <c r="AT72" s="163"/>
      <c r="AU72" s="163"/>
      <c r="AV72" s="163"/>
      <c r="AW72" s="163"/>
      <c r="AX72" s="163"/>
      <c r="AY72" s="163"/>
      <c r="AZ72" s="163"/>
      <c r="BA72" s="163"/>
      <c r="BB72" s="163"/>
      <c r="BC72" s="163"/>
      <c r="BD72" s="163"/>
      <c r="BE72" s="163"/>
      <c r="BF72" s="163"/>
      <c r="BG72" s="163"/>
      <c r="BH72" s="163"/>
      <c r="BI72" s="163"/>
      <c r="BJ72" s="163"/>
      <c r="BK72" s="163"/>
      <c r="BL72" s="163"/>
      <c r="BM72" s="163"/>
      <c r="BN72" s="163"/>
      <c r="BO72" s="163"/>
      <c r="BP72" s="163"/>
      <c r="BQ72" s="163"/>
      <c r="BR72" s="163"/>
      <c r="BS72" s="163"/>
      <c r="BT72" s="163"/>
      <c r="BU72" s="163"/>
      <c r="BV72" s="163"/>
      <c r="BW72" s="163"/>
      <c r="BX72" s="163"/>
      <c r="BY72" s="163"/>
      <c r="BZ72" s="163"/>
      <c r="CA72" s="163"/>
      <c r="CB72" s="163"/>
      <c r="CC72" s="163"/>
      <c r="CD72" s="163"/>
      <c r="CE72" s="163"/>
      <c r="CF72" s="163"/>
      <c r="CG72" s="163"/>
      <c r="CH72" s="163"/>
      <c r="CI72" s="163"/>
      <c r="CJ72" s="163"/>
      <c r="CK72" s="163"/>
      <c r="CL72" s="163"/>
      <c r="CM72" s="163"/>
      <c r="CN72" s="163"/>
      <c r="CO72" s="163"/>
      <c r="CP72" s="163"/>
      <c r="CQ72" s="163"/>
      <c r="CR72" s="163"/>
      <c r="CS72" s="163"/>
      <c r="CT72" s="163"/>
      <c r="CU72" s="163"/>
      <c r="CV72" s="163"/>
      <c r="CW72" s="163"/>
      <c r="CX72" s="163"/>
      <c r="CY72" s="163"/>
      <c r="CZ72" s="163"/>
      <c r="DA72" s="163"/>
      <c r="DB72" s="163"/>
      <c r="DC72" s="163"/>
      <c r="DD72" s="163"/>
      <c r="DE72" s="163"/>
      <c r="DF72" s="163"/>
      <c r="DG72" s="163"/>
      <c r="DH72" s="163"/>
      <c r="DI72" s="163"/>
      <c r="DJ72" s="163"/>
      <c r="DK72" s="163"/>
      <c r="DL72" s="163"/>
      <c r="DM72" s="163"/>
      <c r="DN72" s="163"/>
      <c r="DO72" s="163"/>
      <c r="DP72" s="163"/>
      <c r="DQ72" s="163"/>
      <c r="DR72" s="163"/>
      <c r="DS72" s="163"/>
      <c r="DT72" s="163"/>
      <c r="DU72" s="163"/>
      <c r="DV72" s="163"/>
      <c r="DW72" s="163"/>
      <c r="DX72" s="163"/>
      <c r="DY72" s="163"/>
      <c r="DZ72" s="163"/>
      <c r="EA72" s="163"/>
      <c r="EB72" s="163"/>
      <c r="EC72" s="163"/>
      <c r="ED72" s="163"/>
      <c r="EE72" s="163"/>
      <c r="EF72" s="163"/>
      <c r="EG72" s="163"/>
      <c r="EH72" s="160">
        <f>IF([Chambre]*1='CHAMBRES FILLES 2e ETAGE'!$A$5,1,0)</f>
        <v>0</v>
      </c>
      <c r="EI72" s="161">
        <f>IF([Occurrence2]=0,0,SUM($EH$2:EH72))</f>
        <v>0</v>
      </c>
      <c r="EJ72" s="160">
        <f>IF([Chambre]*1='CHAMBRES FILLES 2e ETAGE'!$A$11,1,0)</f>
        <v>0</v>
      </c>
      <c r="EK72" s="160">
        <f>IF([Occurrence3]=0,0,SUM($EJ$2:EJ72))</f>
        <v>0</v>
      </c>
      <c r="EL72" s="160">
        <f>IF([Chambre]*1='CHAMBRES FILLES 2e ETAGE'!$A$17,1,0)</f>
        <v>0</v>
      </c>
      <c r="EM72" s="160">
        <f>IF([Occurrence4]=0,0,SUM($EL$2:EL72))</f>
        <v>0</v>
      </c>
      <c r="EN72" s="160">
        <f>IF([Chambre]*1='CHAMBRES FILLES 2e ETAGE'!$A$23,1,0)</f>
        <v>0</v>
      </c>
      <c r="EO72" s="160">
        <f>IF([Occurrence5]=0,0,SUM($EN$2:EN72))</f>
        <v>0</v>
      </c>
      <c r="EP72" s="160">
        <f>IF([Chambre]*1='CHAMBRES FILLES 2e ETAGE'!$A$29,1,0)</f>
        <v>0</v>
      </c>
      <c r="EQ72" s="160">
        <f>IF([Occurrence6]=0,0,SUM($EP$2:EP72))</f>
        <v>0</v>
      </c>
      <c r="ER72" s="160">
        <f>IF([Chambre]*1='CHAMBRES FILLES 2e ETAGE'!$A$35,1,0)</f>
        <v>0</v>
      </c>
      <c r="ES72" s="160">
        <f>IF([Occurrence7]=0,0,SUM($ER$2:ER72))</f>
        <v>0</v>
      </c>
      <c r="ET72" s="160">
        <f>IF([Chambre]*1='CHAMBRES FILLES 2e ETAGE'!$A$41,1,0)</f>
        <v>0</v>
      </c>
      <c r="EU72" s="160">
        <f>IF([Occurrence8]=0,0,SUM($ET$2:ET72))</f>
        <v>0</v>
      </c>
      <c r="EV72" s="160">
        <f>IF([Chambre]*1='CHAMBRES FILLES 2e ETAGE'!$A$47,1,0)</f>
        <v>0</v>
      </c>
      <c r="EW72" s="160">
        <f>IF([Occurrence9]=0,0,SUM($EV$2:EV72))</f>
        <v>0</v>
      </c>
      <c r="EX72" s="160">
        <f>IF([Chambre]*1='CHAMBRES FILLES 2e ETAGE'!$A$53,1,0)</f>
        <v>0</v>
      </c>
      <c r="EY72" s="160">
        <f>IF([Occurrence10]=0,0,SUM($EX$2:EX72))</f>
        <v>0</v>
      </c>
      <c r="EZ72" s="160">
        <f>IF([Chambre]*1='CHAMBRES FILLES 2e ETAGE'!$A$59,1,0)</f>
        <v>0</v>
      </c>
      <c r="FA72" s="160">
        <f>IF([Occurrence11]=0,0,SUM($EZ$2:EZ72))</f>
        <v>0</v>
      </c>
      <c r="FB72" s="160">
        <f>IF([Chambre]*1='CHAMBRES FILLES 2e ETAGE'!$A$65,1,0)</f>
        <v>0</v>
      </c>
      <c r="FC72" s="160">
        <f>IF([Occurrence12]=0,0,SUM($FB$2:FB72))</f>
        <v>0</v>
      </c>
      <c r="FD72" s="160">
        <f>IF([Chambre]*1='CHAMBRES FILLES 2e ETAGE'!$A$71,1,0)</f>
        <v>0</v>
      </c>
      <c r="FE72" s="160">
        <f>IF([Occurrence13]=0,0,SUM($FD$2:FD72))</f>
        <v>0</v>
      </c>
      <c r="FF72" s="160">
        <f>IF([Chambre]*1='CHAMBRES FILLES 2e ETAGE'!$A$77,1,0)</f>
        <v>0</v>
      </c>
      <c r="FG72" s="160">
        <f>IF([Occurrence14]=0,0,SUM($FF$2:FF72))</f>
        <v>0</v>
      </c>
      <c r="FH72" s="160">
        <f>IF([Chambre]*1='CHAMBRES FILLES 2e ETAGE'!$A$83,1,0)</f>
        <v>0</v>
      </c>
      <c r="FI72" s="160">
        <f>IF([Occurrence15]=0,0,SUM($FH$2:FH72))</f>
        <v>0</v>
      </c>
      <c r="FJ72" s="160">
        <f>IF([Chambre]*1='CHAMBRES FILLES 2e ETAGE'!$A$89,1,0)</f>
        <v>0</v>
      </c>
      <c r="FK72" s="160">
        <f>IF([Occurrence16]=0,0,SUM($FJ$2:FJ72))</f>
        <v>0</v>
      </c>
      <c r="FL72" s="160">
        <f>IF([Chambre]*1='CHAMBRES FILLES 2e ETAGE'!$A$95,1,0)</f>
        <v>0</v>
      </c>
      <c r="FM72" s="160">
        <f>IF([Occurrence17]=0,0,SUM($FL$2:FL72))</f>
        <v>0</v>
      </c>
      <c r="FN72" s="160">
        <f>IF([Chambre2]*1='CHAMBRES FILLES 1e ETAGE'!$A$5,1,0)</f>
        <v>0</v>
      </c>
      <c r="FO72" s="160">
        <f>IF([Occurrence18]=0,0,SUM($FN$2:FN72))</f>
        <v>0</v>
      </c>
      <c r="FP72" s="160">
        <f>IF([Chambre2]*1='CHAMBRES FILLES 1e ETAGE'!$A$11,1,0)</f>
        <v>0</v>
      </c>
      <c r="FQ72" s="160">
        <f>IF([Occurrence19]=0,0,SUM($FP$2:FP72))</f>
        <v>0</v>
      </c>
      <c r="FR72" s="160">
        <f>IF([Chambre2]*1='CHAMBRES FILLES 1e ETAGE'!$A$17,1,0)</f>
        <v>0</v>
      </c>
      <c r="FS72" s="160">
        <f>IF([Occurrence20]=0,0,SUM($FR$2:FR72))</f>
        <v>0</v>
      </c>
      <c r="FT72" s="160">
        <f>IF([Chambre2]*1='CHAMBRES FILLES 1e ETAGE'!$A$23,1,0)</f>
        <v>0</v>
      </c>
      <c r="FU72" s="160">
        <f>IF([Occurrence21]=0,0,SUM($FT$2:FT72))</f>
        <v>0</v>
      </c>
      <c r="FV72" s="160">
        <f>IF([Chambre2]*1='CHAMBRES FILLES 1e ETAGE'!$A$29,1,0)</f>
        <v>0</v>
      </c>
      <c r="FW72" s="160">
        <f>IF([Occurrence22]=0,0,SUM($FV$2:FV72))</f>
        <v>0</v>
      </c>
      <c r="FX72" s="160">
        <f>IF([Chambre2]*1='CHAMBRES FILLES 1e ETAGE'!$A$35,1,0)</f>
        <v>0</v>
      </c>
      <c r="FY72" s="160">
        <f>IF([Occurrence23]=0,0,SUM($FX$2:FX72))</f>
        <v>0</v>
      </c>
      <c r="FZ72" s="160">
        <f>IF([Chambre2]*1='CHAMBRES FILLES 1e ETAGE'!$A$41,1,0)</f>
        <v>0</v>
      </c>
      <c r="GA72" s="160">
        <f>IF([Occurrence24]=0,0,SUM($FZ$2:FZ72))</f>
        <v>0</v>
      </c>
      <c r="GB72" s="160">
        <f>IF([Chambre2]*1='CHAMBRES FILLES 1e ETAGE'!$A$47,1,0)</f>
        <v>0</v>
      </c>
      <c r="GC72" s="160">
        <f>IF([Occurrence25]=0,0,SUM($GB$2:GB72))</f>
        <v>0</v>
      </c>
      <c r="GD72" s="160">
        <f>IF([Chambre2]*1='CHAMBRES FILLES 1e ETAGE'!$A$53,1,0)</f>
        <v>0</v>
      </c>
      <c r="GE72" s="160">
        <f>IF([Occurrence26]=0,0,SUM($GD$2:GD72))</f>
        <v>0</v>
      </c>
      <c r="GF72" s="160">
        <f>IF([chambre4]*1='CHAMBRES GARCONS 1e ETAGE'!$A$5,1,0)</f>
        <v>0</v>
      </c>
      <c r="GG72" s="160">
        <f>IF([Occurrence27]=0,0,SUM($GF$2:GF72))</f>
        <v>0</v>
      </c>
      <c r="GH72" s="160">
        <f>IF([chambre4]*1='CHAMBRES GARCONS 1e ETAGE'!$A$11,1,0)</f>
        <v>0</v>
      </c>
      <c r="GI72" s="160">
        <f>IF([Occurrence28]=0,0,SUM($GH$2:GH72))</f>
        <v>0</v>
      </c>
      <c r="GJ72" s="160">
        <f>IF([chambre4]*1='CHAMBRES GARCONS 1e ETAGE'!$A$17,1,0)</f>
        <v>0</v>
      </c>
      <c r="GK72" s="160">
        <f>IF([Occurrence29]=0,0,SUM($GJ$2:GJ72))</f>
        <v>0</v>
      </c>
      <c r="GL72" s="160">
        <f>IF([chambre4]*1='CHAMBRES GARCONS 1e ETAGE'!$A$23,1,0)</f>
        <v>0</v>
      </c>
      <c r="GM72" s="160">
        <f>IF([Occurrence30]=0,0,SUM($GL$2:GL72))</f>
        <v>0</v>
      </c>
      <c r="GN72" s="160">
        <f>IF([chambre4]*1='CHAMBRES GARCONS 1e ETAGE'!$A$29,1,0)</f>
        <v>0</v>
      </c>
      <c r="GO72" s="160">
        <f>IF([Occurrence31]=0,0,SUM($GN$2:GN72))</f>
        <v>0</v>
      </c>
      <c r="GP72" s="160">
        <f>IF([chambre4]*1='CHAMBRES GARCONS 1e ETAGE'!$A$35,1,0)</f>
        <v>0</v>
      </c>
      <c r="GQ72" s="160">
        <f>IF([Occurrence32]=0,0,SUM($GP$2:GP72))</f>
        <v>0</v>
      </c>
      <c r="GR72" s="160">
        <f>IF([chambre3]*1='CHAMBRES GARCONS RDC'!$A$5,1,0)</f>
        <v>0</v>
      </c>
      <c r="GS72" s="160">
        <f>IF([Occurrence33]=0,0,SUM($GR$2:GR72))</f>
        <v>0</v>
      </c>
      <c r="GT72" s="160">
        <f>IF([chambre3]*1='CHAMBRES GARCONS RDC'!$A$11,1,0)</f>
        <v>0</v>
      </c>
      <c r="GU72" s="160">
        <f>IF([Occurrence34]=0,0,SUM($GT$2:GT72))</f>
        <v>0</v>
      </c>
      <c r="GV72" s="160">
        <f>IF([chambre3]*1='CHAMBRES GARCONS RDC'!$A$17,1,0)</f>
        <v>0</v>
      </c>
      <c r="GW72" s="160">
        <f>IF([Occurrence35]=0,0,SUM($GV$2:GV72))</f>
        <v>0</v>
      </c>
      <c r="GX72" s="160">
        <f>IF([chambre3]*1='CHAMBRES GARCONS RDC'!$A$23,1,0)</f>
        <v>0</v>
      </c>
      <c r="GY72" s="160">
        <f>IF([Occurrence36]=0,0,SUM($GX$2:GX72))</f>
        <v>0</v>
      </c>
      <c r="GZ72" s="160">
        <f>IF([chambre3]*1='CHAMBRES GARCONS RDC'!$A$29,1,0)</f>
        <v>0</v>
      </c>
      <c r="HA72" s="160">
        <f>IF([Occurrence37]=0,0,SUM($GZ$2:GZ72))</f>
        <v>0</v>
      </c>
      <c r="HB72" s="160">
        <f>IF([chambre3]*1='CHAMBRES GARCONS RDC'!$A$35,1,0)</f>
        <v>0</v>
      </c>
      <c r="HC72" s="160">
        <f>IF([Occurrence38]=0,0,SUM($HB$2:HB72))</f>
        <v>0</v>
      </c>
      <c r="HD72" s="160">
        <f>IF([chambre3]*1='CHAMBRES GARCONS RDC'!$A$41,1,0)</f>
        <v>0</v>
      </c>
      <c r="HE72" s="160">
        <f>IF([Occurrence39]=0,0,SUM($HD$2:HD72))</f>
        <v>0</v>
      </c>
      <c r="HF72" s="160">
        <f>IF([chambre3]*1='CHAMBRES GARCONS RDC'!$A$47,1,0)</f>
        <v>0</v>
      </c>
      <c r="HG72" s="160">
        <f>IF([Occurrence40]=0,0,SUM($HF$2:HF72))</f>
        <v>0</v>
      </c>
      <c r="HH72" s="160">
        <f>IF([chambre3]*1='CHAMBRES GARCONS RDC'!$A$53,1,0)</f>
        <v>0</v>
      </c>
      <c r="HI72" s="160">
        <f>IF([Occurrence41]=0,0,SUM($HH$2:HH72))</f>
        <v>0</v>
      </c>
      <c r="HJ72" s="160">
        <f>IF([chambre3]*1='CHAMBRES GARCONS RDC'!$A$59,1,0)</f>
        <v>0</v>
      </c>
      <c r="HK72" s="160">
        <f>IF([Occurrence42]=0,0,SUM($HJ$2:HJ72))</f>
        <v>0</v>
      </c>
      <c r="HL72" s="160">
        <f>IF([chambre3]*1='CHAMBRES GARCONS RDC'!$A$65,1,0)</f>
        <v>0</v>
      </c>
      <c r="HM72" s="160">
        <f>IF([Occurrence43]=0,0,SUM($HL$2:HL72))</f>
        <v>0</v>
      </c>
      <c r="HN72" s="160">
        <f>IF([chambre3]*1='CHAMBRES GARCONS RDC'!$A$71,1,0)</f>
        <v>0</v>
      </c>
      <c r="HO72" s="160">
        <f>IF([Occurrence44]=0,0,SUM($HN$2:HN72))</f>
        <v>0</v>
      </c>
      <c r="HP72" s="160">
        <f>IF([chambre3]*1='CHAMBRES GARCONS RDC'!$A$77,1,0)</f>
        <v>0</v>
      </c>
      <c r="HQ72" s="160">
        <f>IF([Occurrence45]=0,0,SUM($HP$2:HP72))</f>
        <v>0</v>
      </c>
      <c r="HR72" s="160">
        <f>IF([chambre3]*1='CHAMBRES GARCONS RDC'!$A$83,1,0)</f>
        <v>0</v>
      </c>
      <c r="HS72" s="160">
        <f>IF([Occurrence46]=0,0,SUM($HR$2:HR72))</f>
        <v>0</v>
      </c>
      <c r="HT72" s="160">
        <f>IF([chambre3]*1='CHAMBRES GARCONS RDC'!$A$89,1,0)</f>
        <v>0</v>
      </c>
      <c r="HU72" s="160">
        <f>IF([Occurrence47]=0,0,SUM($HT$2:HT72))</f>
        <v>0</v>
      </c>
      <c r="HV72" s="160">
        <f>IF([chambre3]*1='CHAMBRES GARCONS RDC'!$A$95,1,0)</f>
        <v>0</v>
      </c>
      <c r="HW72" s="160">
        <f>IF([Occurrence48]=0,0,SUM($HV$2:HV72))</f>
        <v>0</v>
      </c>
      <c r="HX72" s="160"/>
      <c r="HY72" s="160"/>
      <c r="HZ72" s="160">
        <f>IF([Classe]='Liste élève par classes'!$B$5,1,0)</f>
        <v>1</v>
      </c>
      <c r="IA72" s="160">
        <f>IF([Occurrence]=0,0,SUM($HZ$2:HZ72))</f>
        <v>7</v>
      </c>
      <c r="IB7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72" s="208"/>
    </row>
    <row r="73" spans="1:237" ht="15.75">
      <c r="A73" t="s">
        <v>374</v>
      </c>
      <c r="B73" t="s">
        <v>375</v>
      </c>
      <c r="C73" s="158">
        <v>37223</v>
      </c>
      <c r="D73" s="62">
        <f t="shared" ca="1" si="1"/>
        <v>15</v>
      </c>
      <c r="E73" t="s">
        <v>14</v>
      </c>
      <c r="F73" s="159" t="s">
        <v>46</v>
      </c>
      <c r="G73" t="s">
        <v>45</v>
      </c>
      <c r="H73" s="160"/>
      <c r="I73" s="62"/>
      <c r="J73" s="167"/>
      <c r="K73" s="168"/>
      <c r="L73" s="61"/>
      <c r="M73">
        <v>174</v>
      </c>
      <c r="N73" s="62" t="s">
        <v>244</v>
      </c>
      <c r="O73" s="62" t="s">
        <v>244</v>
      </c>
      <c r="P73" s="62" t="s">
        <v>244</v>
      </c>
      <c r="Q73" s="62" t="s">
        <v>244</v>
      </c>
      <c r="R73" s="62" t="s">
        <v>244</v>
      </c>
      <c r="S73" s="62"/>
      <c r="T73" s="62" t="s">
        <v>244</v>
      </c>
      <c r="U73" s="61"/>
      <c r="V73" s="62" t="s">
        <v>244</v>
      </c>
      <c r="W73" s="62" t="s">
        <v>244</v>
      </c>
      <c r="X73" s="62" t="s">
        <v>244</v>
      </c>
      <c r="Y73" s="62" t="s">
        <v>244</v>
      </c>
      <c r="Z73" s="62" t="s">
        <v>244</v>
      </c>
      <c r="AA73" s="62" t="s">
        <v>244</v>
      </c>
      <c r="AB73" s="62" t="s">
        <v>244</v>
      </c>
      <c r="AC73" s="62" t="s">
        <v>244</v>
      </c>
      <c r="AD73" s="62" t="s">
        <v>244</v>
      </c>
      <c r="AE73" s="62" t="s">
        <v>244</v>
      </c>
      <c r="AF73" s="163" t="s">
        <v>244</v>
      </c>
      <c r="AG73" s="163" t="s">
        <v>244</v>
      </c>
      <c r="AH73" s="163" t="s">
        <v>244</v>
      </c>
      <c r="AI73" s="163"/>
      <c r="AJ73" s="163"/>
      <c r="AK73" s="163"/>
      <c r="AL73" s="163"/>
      <c r="AM73" s="163"/>
      <c r="AN73" s="163"/>
      <c r="AO73" s="163"/>
      <c r="AP73" s="163"/>
      <c r="AQ73" s="163"/>
      <c r="AR73" s="163"/>
      <c r="AS73" s="163"/>
      <c r="AT73" s="163"/>
      <c r="AU73" s="163"/>
      <c r="AV73" s="163"/>
      <c r="AW73" s="163"/>
      <c r="AX73" s="163"/>
      <c r="AY73" s="163"/>
      <c r="AZ73" s="163"/>
      <c r="BA73" s="163"/>
      <c r="BB73" s="163"/>
      <c r="BC73" s="163"/>
      <c r="BD73" s="163"/>
      <c r="BE73" s="163"/>
      <c r="BF73" s="163"/>
      <c r="BG73" s="163"/>
      <c r="BH73" s="163"/>
      <c r="BI73" s="163"/>
      <c r="BJ73" s="163"/>
      <c r="BK73" s="163"/>
      <c r="BL73" s="163"/>
      <c r="BM73" s="163"/>
      <c r="BN73" s="163"/>
      <c r="BO73" s="163"/>
      <c r="BP73" s="163"/>
      <c r="BQ73" s="163"/>
      <c r="BR73" s="163"/>
      <c r="BS73" s="163"/>
      <c r="BT73" s="163"/>
      <c r="BU73" s="163"/>
      <c r="BV73" s="163"/>
      <c r="BW73" s="163"/>
      <c r="BX73" s="163"/>
      <c r="BY73" s="163"/>
      <c r="BZ73" s="163"/>
      <c r="CA73" s="163"/>
      <c r="CB73" s="163"/>
      <c r="CC73" s="163"/>
      <c r="CD73" s="163"/>
      <c r="CE73" s="163"/>
      <c r="CF73" s="163"/>
      <c r="CG73" s="163"/>
      <c r="CH73" s="163"/>
      <c r="CI73" s="163"/>
      <c r="CJ73" s="163"/>
      <c r="CK73" s="163"/>
      <c r="CL73" s="163"/>
      <c r="CM73" s="163"/>
      <c r="CN73" s="163"/>
      <c r="CO73" s="163"/>
      <c r="CP73" s="163"/>
      <c r="CQ73" s="163"/>
      <c r="CR73" s="163"/>
      <c r="CS73" s="163"/>
      <c r="CT73" s="163"/>
      <c r="CU73" s="163"/>
      <c r="CV73" s="163"/>
      <c r="CW73" s="163"/>
      <c r="CX73" s="163"/>
      <c r="CY73" s="163"/>
      <c r="CZ73" s="163"/>
      <c r="DA73" s="163"/>
      <c r="DB73" s="163"/>
      <c r="DC73" s="163"/>
      <c r="DD73" s="163"/>
      <c r="DE73" s="163"/>
      <c r="DF73" s="163"/>
      <c r="DG73" s="163"/>
      <c r="DH73" s="163"/>
      <c r="DI73" s="163"/>
      <c r="DJ73" s="163"/>
      <c r="DK73" s="163"/>
      <c r="DL73" s="163"/>
      <c r="DM73" s="163"/>
      <c r="DN73" s="163"/>
      <c r="DO73" s="163"/>
      <c r="DP73" s="163"/>
      <c r="DQ73" s="163"/>
      <c r="DR73" s="163"/>
      <c r="DS73" s="163"/>
      <c r="DT73" s="163"/>
      <c r="DU73" s="163"/>
      <c r="DV73" s="163"/>
      <c r="DW73" s="163"/>
      <c r="DX73" s="163"/>
      <c r="DY73" s="163"/>
      <c r="DZ73" s="163"/>
      <c r="EA73" s="163"/>
      <c r="EB73" s="163"/>
      <c r="EC73" s="163"/>
      <c r="ED73" s="163"/>
      <c r="EE73" s="163"/>
      <c r="EF73" s="163"/>
      <c r="EG73" s="163"/>
      <c r="EH73" s="160">
        <f>IF([Chambre]*1='CHAMBRES FILLES 2e ETAGE'!$A$5,1,0)</f>
        <v>0</v>
      </c>
      <c r="EI73" s="161">
        <f>IF([Occurrence2]=0,0,SUM($EH$2:EH73))</f>
        <v>0</v>
      </c>
      <c r="EJ73" s="160">
        <f>IF([Chambre]*1='CHAMBRES FILLES 2e ETAGE'!$A$11,1,0)</f>
        <v>0</v>
      </c>
      <c r="EK73" s="160">
        <f>IF([Occurrence3]=0,0,SUM($EJ$2:EJ73))</f>
        <v>0</v>
      </c>
      <c r="EL73" s="160">
        <f>IF([Chambre]*1='CHAMBRES FILLES 2e ETAGE'!$A$17,1,0)</f>
        <v>0</v>
      </c>
      <c r="EM73" s="160">
        <f>IF([Occurrence4]=0,0,SUM($EL$2:EL73))</f>
        <v>0</v>
      </c>
      <c r="EN73" s="160">
        <f>IF([Chambre]*1='CHAMBRES FILLES 2e ETAGE'!$A$23,1,0)</f>
        <v>0</v>
      </c>
      <c r="EO73" s="160">
        <f>IF([Occurrence5]=0,0,SUM($EN$2:EN73))</f>
        <v>0</v>
      </c>
      <c r="EP73" s="160">
        <f>IF([Chambre]*1='CHAMBRES FILLES 2e ETAGE'!$A$29,1,0)</f>
        <v>0</v>
      </c>
      <c r="EQ73" s="160">
        <f>IF([Occurrence6]=0,0,SUM($EP$2:EP73))</f>
        <v>0</v>
      </c>
      <c r="ER73" s="160">
        <f>IF([Chambre]*1='CHAMBRES FILLES 2e ETAGE'!$A$35,1,0)</f>
        <v>0</v>
      </c>
      <c r="ES73" s="160">
        <f>IF([Occurrence7]=0,0,SUM($ER$2:ER73))</f>
        <v>0</v>
      </c>
      <c r="ET73" s="160">
        <f>IF([Chambre]*1='CHAMBRES FILLES 2e ETAGE'!$A$41,1,0)</f>
        <v>0</v>
      </c>
      <c r="EU73" s="160">
        <f>IF([Occurrence8]=0,0,SUM($ET$2:ET73))</f>
        <v>0</v>
      </c>
      <c r="EV73" s="160">
        <f>IF([Chambre]*1='CHAMBRES FILLES 2e ETAGE'!$A$47,1,0)</f>
        <v>0</v>
      </c>
      <c r="EW73" s="160">
        <f>IF([Occurrence9]=0,0,SUM($EV$2:EV73))</f>
        <v>0</v>
      </c>
      <c r="EX73" s="160">
        <f>IF([Chambre]*1='CHAMBRES FILLES 2e ETAGE'!$A$53,1,0)</f>
        <v>0</v>
      </c>
      <c r="EY73" s="160">
        <f>IF([Occurrence10]=0,0,SUM($EX$2:EX73))</f>
        <v>0</v>
      </c>
      <c r="EZ73" s="160">
        <f>IF([Chambre]*1='CHAMBRES FILLES 2e ETAGE'!$A$59,1,0)</f>
        <v>0</v>
      </c>
      <c r="FA73" s="160">
        <f>IF([Occurrence11]=0,0,SUM($EZ$2:EZ73))</f>
        <v>0</v>
      </c>
      <c r="FB73" s="160">
        <f>IF([Chambre]*1='CHAMBRES FILLES 2e ETAGE'!$A$65,1,0)</f>
        <v>0</v>
      </c>
      <c r="FC73" s="160">
        <f>IF([Occurrence12]=0,0,SUM($FB$2:FB73))</f>
        <v>0</v>
      </c>
      <c r="FD73" s="160">
        <f>IF([Chambre]*1='CHAMBRES FILLES 2e ETAGE'!$A$71,1,0)</f>
        <v>0</v>
      </c>
      <c r="FE73" s="160">
        <f>IF([Occurrence13]=0,0,SUM($FD$2:FD73))</f>
        <v>0</v>
      </c>
      <c r="FF73" s="160">
        <f>IF([Chambre]*1='CHAMBRES FILLES 2e ETAGE'!$A$77,1,0)</f>
        <v>0</v>
      </c>
      <c r="FG73" s="160">
        <f>IF([Occurrence14]=0,0,SUM($FF$2:FF73))</f>
        <v>0</v>
      </c>
      <c r="FH73" s="160">
        <f>IF([Chambre]*1='CHAMBRES FILLES 2e ETAGE'!$A$83,1,0)</f>
        <v>0</v>
      </c>
      <c r="FI73" s="160">
        <f>IF([Occurrence15]=0,0,SUM($FH$2:FH73))</f>
        <v>0</v>
      </c>
      <c r="FJ73" s="160">
        <f>IF([Chambre]*1='CHAMBRES FILLES 2e ETAGE'!$A$89,1,0)</f>
        <v>0</v>
      </c>
      <c r="FK73" s="160">
        <f>IF([Occurrence16]=0,0,SUM($FJ$2:FJ73))</f>
        <v>0</v>
      </c>
      <c r="FL73" s="160">
        <f>IF([Chambre]*1='CHAMBRES FILLES 2e ETAGE'!$A$95,1,0)</f>
        <v>0</v>
      </c>
      <c r="FM73" s="160">
        <f>IF([Occurrence17]=0,0,SUM($FL$2:FL73))</f>
        <v>0</v>
      </c>
      <c r="FN73" s="160">
        <f>IF([Chambre2]*1='CHAMBRES FILLES 1e ETAGE'!$A$5,1,0)</f>
        <v>0</v>
      </c>
      <c r="FO73" s="160">
        <f>IF([Occurrence18]=0,0,SUM($FN$2:FN73))</f>
        <v>0</v>
      </c>
      <c r="FP73" s="160">
        <f>IF([Chambre2]*1='CHAMBRES FILLES 1e ETAGE'!$A$11,1,0)</f>
        <v>0</v>
      </c>
      <c r="FQ73" s="160">
        <f>IF([Occurrence19]=0,0,SUM($FP$2:FP73))</f>
        <v>0</v>
      </c>
      <c r="FR73" s="160">
        <f>IF([Chambre2]*1='CHAMBRES FILLES 1e ETAGE'!$A$17,1,0)</f>
        <v>0</v>
      </c>
      <c r="FS73" s="160">
        <f>IF([Occurrence20]=0,0,SUM($FR$2:FR73))</f>
        <v>0</v>
      </c>
      <c r="FT73" s="160">
        <f>IF([Chambre2]*1='CHAMBRES FILLES 1e ETAGE'!$A$23,1,0)</f>
        <v>0</v>
      </c>
      <c r="FU73" s="160">
        <f>IF([Occurrence21]=0,0,SUM($FT$2:FT73))</f>
        <v>0</v>
      </c>
      <c r="FV73" s="160">
        <f>IF([Chambre2]*1='CHAMBRES FILLES 1e ETAGE'!$A$29,1,0)</f>
        <v>0</v>
      </c>
      <c r="FW73" s="160">
        <f>IF([Occurrence22]=0,0,SUM($FV$2:FV73))</f>
        <v>0</v>
      </c>
      <c r="FX73" s="160">
        <f>IF([Chambre2]*1='CHAMBRES FILLES 1e ETAGE'!$A$35,1,0)</f>
        <v>0</v>
      </c>
      <c r="FY73" s="160">
        <f>IF([Occurrence23]=0,0,SUM($FX$2:FX73))</f>
        <v>0</v>
      </c>
      <c r="FZ73" s="160">
        <f>IF([Chambre2]*1='CHAMBRES FILLES 1e ETAGE'!$A$41,1,0)</f>
        <v>0</v>
      </c>
      <c r="GA73" s="160">
        <f>IF([Occurrence24]=0,0,SUM($FZ$2:FZ73))</f>
        <v>0</v>
      </c>
      <c r="GB73" s="160">
        <f>IF([Chambre2]*1='CHAMBRES FILLES 1e ETAGE'!$A$47,1,0)</f>
        <v>0</v>
      </c>
      <c r="GC73" s="160">
        <f>IF([Occurrence25]=0,0,SUM($GB$2:GB73))</f>
        <v>0</v>
      </c>
      <c r="GD73" s="160">
        <f>IF([Chambre2]*1='CHAMBRES FILLES 1e ETAGE'!$A$53,1,0)</f>
        <v>0</v>
      </c>
      <c r="GE73" s="160">
        <f>IF([Occurrence26]=0,0,SUM($GD$2:GD73))</f>
        <v>0</v>
      </c>
      <c r="GF73" s="160">
        <f>IF([chambre4]*1='CHAMBRES GARCONS 1e ETAGE'!$A$5,1,0)</f>
        <v>0</v>
      </c>
      <c r="GG73" s="160">
        <f>IF([Occurrence27]=0,0,SUM($GF$2:GF73))</f>
        <v>0</v>
      </c>
      <c r="GH73" s="160">
        <f>IF([chambre4]*1='CHAMBRES GARCONS 1e ETAGE'!$A$11,1,0)</f>
        <v>0</v>
      </c>
      <c r="GI73" s="160">
        <f>IF([Occurrence28]=0,0,SUM($GH$2:GH73))</f>
        <v>0</v>
      </c>
      <c r="GJ73" s="160">
        <f>IF([chambre4]*1='CHAMBRES GARCONS 1e ETAGE'!$A$17,1,0)</f>
        <v>0</v>
      </c>
      <c r="GK73" s="160">
        <f>IF([Occurrence29]=0,0,SUM($GJ$2:GJ73))</f>
        <v>0</v>
      </c>
      <c r="GL73" s="160">
        <f>IF([chambre4]*1='CHAMBRES GARCONS 1e ETAGE'!$A$23,1,0)</f>
        <v>0</v>
      </c>
      <c r="GM73" s="160">
        <f>IF([Occurrence30]=0,0,SUM($GL$2:GL73))</f>
        <v>0</v>
      </c>
      <c r="GN73" s="160">
        <f>IF([chambre4]*1='CHAMBRES GARCONS 1e ETAGE'!$A$29,1,0)</f>
        <v>0</v>
      </c>
      <c r="GO73" s="160">
        <f>IF([Occurrence31]=0,0,SUM($GN$2:GN73))</f>
        <v>0</v>
      </c>
      <c r="GP73" s="160">
        <f>IF([chambre4]*1='CHAMBRES GARCONS 1e ETAGE'!$A$35,1,0)</f>
        <v>0</v>
      </c>
      <c r="GQ73" s="160">
        <f>IF([Occurrence32]=0,0,SUM($GP$2:GP73))</f>
        <v>0</v>
      </c>
      <c r="GR73" s="160">
        <f>IF([chambre3]*1='CHAMBRES GARCONS RDC'!$A$5,1,0)</f>
        <v>0</v>
      </c>
      <c r="GS73" s="160">
        <f>IF([Occurrence33]=0,0,SUM($GR$2:GR73))</f>
        <v>0</v>
      </c>
      <c r="GT73" s="160">
        <f>IF([chambre3]*1='CHAMBRES GARCONS RDC'!$A$11,1,0)</f>
        <v>0</v>
      </c>
      <c r="GU73" s="160">
        <f>IF([Occurrence34]=0,0,SUM($GT$2:GT73))</f>
        <v>0</v>
      </c>
      <c r="GV73" s="160">
        <f>IF([chambre3]*1='CHAMBRES GARCONS RDC'!$A$17,1,0)</f>
        <v>0</v>
      </c>
      <c r="GW73" s="160">
        <f>IF([Occurrence35]=0,0,SUM($GV$2:GV73))</f>
        <v>0</v>
      </c>
      <c r="GX73" s="160">
        <f>IF([chambre3]*1='CHAMBRES GARCONS RDC'!$A$23,1,0)</f>
        <v>0</v>
      </c>
      <c r="GY73" s="160">
        <f>IF([Occurrence36]=0,0,SUM($GX$2:GX73))</f>
        <v>0</v>
      </c>
      <c r="GZ73" s="160">
        <f>IF([chambre3]*1='CHAMBRES GARCONS RDC'!$A$29,1,0)</f>
        <v>0</v>
      </c>
      <c r="HA73" s="160">
        <f>IF([Occurrence37]=0,0,SUM($GZ$2:GZ73))</f>
        <v>0</v>
      </c>
      <c r="HB73" s="160">
        <f>IF([chambre3]*1='CHAMBRES GARCONS RDC'!$A$35,1,0)</f>
        <v>0</v>
      </c>
      <c r="HC73" s="160">
        <f>IF([Occurrence38]=0,0,SUM($HB$2:HB73))</f>
        <v>0</v>
      </c>
      <c r="HD73" s="160">
        <f>IF([chambre3]*1='CHAMBRES GARCONS RDC'!$A$41,1,0)</f>
        <v>0</v>
      </c>
      <c r="HE73" s="160">
        <f>IF([Occurrence39]=0,0,SUM($HD$2:HD73))</f>
        <v>0</v>
      </c>
      <c r="HF73" s="160">
        <f>IF([chambre3]*1='CHAMBRES GARCONS RDC'!$A$47,1,0)</f>
        <v>0</v>
      </c>
      <c r="HG73" s="160">
        <f>IF([Occurrence40]=0,0,SUM($HF$2:HF73))</f>
        <v>0</v>
      </c>
      <c r="HH73" s="160">
        <f>IF([chambre3]*1='CHAMBRES GARCONS RDC'!$A$53,1,0)</f>
        <v>0</v>
      </c>
      <c r="HI73" s="160">
        <f>IF([Occurrence41]=0,0,SUM($HH$2:HH73))</f>
        <v>0</v>
      </c>
      <c r="HJ73" s="160">
        <f>IF([chambre3]*1='CHAMBRES GARCONS RDC'!$A$59,1,0)</f>
        <v>0</v>
      </c>
      <c r="HK73" s="160">
        <f>IF([Occurrence42]=0,0,SUM($HJ$2:HJ73))</f>
        <v>0</v>
      </c>
      <c r="HL73" s="160">
        <f>IF([chambre3]*1='CHAMBRES GARCONS RDC'!$A$65,1,0)</f>
        <v>0</v>
      </c>
      <c r="HM73" s="160">
        <f>IF([Occurrence43]=0,0,SUM($HL$2:HL73))</f>
        <v>0</v>
      </c>
      <c r="HN73" s="160">
        <f>IF([chambre3]*1='CHAMBRES GARCONS RDC'!$A$71,1,0)</f>
        <v>0</v>
      </c>
      <c r="HO73" s="160">
        <f>IF([Occurrence44]=0,0,SUM($HN$2:HN73))</f>
        <v>0</v>
      </c>
      <c r="HP73" s="160">
        <f>IF([chambre3]*1='CHAMBRES GARCONS RDC'!$A$77,1,0)</f>
        <v>0</v>
      </c>
      <c r="HQ73" s="160">
        <f>IF([Occurrence45]=0,0,SUM($HP$2:HP73))</f>
        <v>0</v>
      </c>
      <c r="HR73" s="160">
        <f>IF([chambre3]*1='CHAMBRES GARCONS RDC'!$A$83,1,0)</f>
        <v>0</v>
      </c>
      <c r="HS73" s="160">
        <f>IF([Occurrence46]=0,0,SUM($HR$2:HR73))</f>
        <v>0</v>
      </c>
      <c r="HT73" s="160">
        <f>IF([chambre3]*1='CHAMBRES GARCONS RDC'!$A$89,1,0)</f>
        <v>0</v>
      </c>
      <c r="HU73" s="160">
        <f>IF([Occurrence47]=0,0,SUM($HT$2:HT73))</f>
        <v>0</v>
      </c>
      <c r="HV73" s="160">
        <f>IF([chambre3]*1='CHAMBRES GARCONS RDC'!$A$95,1,0)</f>
        <v>0</v>
      </c>
      <c r="HW73" s="160">
        <f>IF([Occurrence48]=0,0,SUM($HV$2:HV73))</f>
        <v>0</v>
      </c>
      <c r="HX73" s="160"/>
      <c r="HY73" s="160"/>
      <c r="HZ73" s="160">
        <f>IF([Classe]='Liste élève par classes'!$B$5,1,0)</f>
        <v>0</v>
      </c>
      <c r="IA73" s="160">
        <f>IF([Occurrence]=0,0,SUM($HZ$2:HZ73))</f>
        <v>0</v>
      </c>
      <c r="IB7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73" s="208"/>
    </row>
    <row r="74" spans="1:237" ht="15.75">
      <c r="A74" t="s">
        <v>376</v>
      </c>
      <c r="B74" t="s">
        <v>371</v>
      </c>
      <c r="C74" s="158">
        <v>37217</v>
      </c>
      <c r="D74" s="62">
        <f t="shared" ca="1" si="1"/>
        <v>15</v>
      </c>
      <c r="E74" t="s">
        <v>14</v>
      </c>
      <c r="F74" s="159" t="s">
        <v>50</v>
      </c>
      <c r="G74" t="s">
        <v>40</v>
      </c>
      <c r="H74" s="160"/>
      <c r="I74" s="62"/>
      <c r="J74" s="167"/>
      <c r="K74" s="168"/>
      <c r="L74" s="61"/>
      <c r="M74">
        <v>175</v>
      </c>
      <c r="N74" s="62" t="s">
        <v>244</v>
      </c>
      <c r="O74" s="62" t="s">
        <v>244</v>
      </c>
      <c r="P74" s="62" t="s">
        <v>244</v>
      </c>
      <c r="Q74" s="62" t="s">
        <v>244</v>
      </c>
      <c r="R74" s="62" t="s">
        <v>244</v>
      </c>
      <c r="S74" s="191"/>
      <c r="T74" s="62" t="s">
        <v>244</v>
      </c>
      <c r="U74" s="61"/>
      <c r="V74" s="62" t="s">
        <v>244</v>
      </c>
      <c r="W74" s="62" t="s">
        <v>244</v>
      </c>
      <c r="X74" s="62" t="s">
        <v>244</v>
      </c>
      <c r="Y74" s="62" t="s">
        <v>244</v>
      </c>
      <c r="Z74" s="62" t="s">
        <v>244</v>
      </c>
      <c r="AA74" s="62" t="s">
        <v>244</v>
      </c>
      <c r="AB74" s="62" t="s">
        <v>244</v>
      </c>
      <c r="AC74" s="62" t="s">
        <v>244</v>
      </c>
      <c r="AD74" s="62" t="s">
        <v>244</v>
      </c>
      <c r="AE74" s="62" t="s">
        <v>244</v>
      </c>
      <c r="AF74" s="163" t="s">
        <v>244</v>
      </c>
      <c r="AG74" s="163" t="s">
        <v>244</v>
      </c>
      <c r="AH74" s="163" t="s">
        <v>244</v>
      </c>
      <c r="AI74" s="163"/>
      <c r="AJ74" s="163"/>
      <c r="AK74" s="163"/>
      <c r="AL74" s="163"/>
      <c r="AM74" s="163"/>
      <c r="AN74" s="163"/>
      <c r="AO74" s="163"/>
      <c r="AP74" s="163"/>
      <c r="AQ74" s="163"/>
      <c r="AR74" s="163"/>
      <c r="AS74" s="163"/>
      <c r="AT74" s="163"/>
      <c r="AU74" s="163"/>
      <c r="AV74" s="163"/>
      <c r="AW74" s="163"/>
      <c r="AX74" s="163"/>
      <c r="AY74" s="163"/>
      <c r="AZ74" s="163"/>
      <c r="BA74" s="163"/>
      <c r="BB74" s="163"/>
      <c r="BC74" s="163" t="b">
        <v>0</v>
      </c>
      <c r="BD74" s="163" t="b">
        <v>1</v>
      </c>
      <c r="BE74" s="163" t="b">
        <v>1</v>
      </c>
      <c r="BF74" s="163" t="b">
        <v>0</v>
      </c>
      <c r="BG74" s="163" t="b">
        <v>1</v>
      </c>
      <c r="BH74" s="163" t="b">
        <v>0</v>
      </c>
      <c r="BI74" s="163"/>
      <c r="BJ74" s="163"/>
      <c r="BK74" s="163"/>
      <c r="BL74" s="163"/>
      <c r="BM74" s="163"/>
      <c r="BN74" s="163"/>
      <c r="BO74" s="163"/>
      <c r="BP74" s="163"/>
      <c r="BQ74" s="163" t="b">
        <v>0</v>
      </c>
      <c r="BR74" s="163"/>
      <c r="BS74" s="163"/>
      <c r="BT74" s="163"/>
      <c r="BU74" s="163"/>
      <c r="BV74" s="163"/>
      <c r="BW74" s="163"/>
      <c r="BX74" s="163"/>
      <c r="BY74" s="163"/>
      <c r="BZ74" s="163"/>
      <c r="CA74" s="163"/>
      <c r="CB74" s="163"/>
      <c r="CC74" s="163"/>
      <c r="CD74" s="163"/>
      <c r="CE74" s="163"/>
      <c r="CF74" s="163"/>
      <c r="CG74" s="163"/>
      <c r="CH74" s="163"/>
      <c r="CI74" s="163"/>
      <c r="CJ74" s="163"/>
      <c r="CK74" s="163"/>
      <c r="CL74" s="163"/>
      <c r="CM74" s="163"/>
      <c r="CN74" s="163"/>
      <c r="CO74" s="163"/>
      <c r="CP74" s="163"/>
      <c r="CQ74" s="163"/>
      <c r="CR74" s="163"/>
      <c r="CS74" s="163"/>
      <c r="CT74" s="163"/>
      <c r="CU74" s="163"/>
      <c r="CV74" s="163"/>
      <c r="CW74" s="163"/>
      <c r="CX74" s="163"/>
      <c r="CY74" s="163"/>
      <c r="CZ74" s="163"/>
      <c r="DA74" s="163">
        <v>110</v>
      </c>
      <c r="DB74" s="163"/>
      <c r="DC74" s="163"/>
      <c r="DD74" s="163"/>
      <c r="DE74" s="163"/>
      <c r="DF74" s="163"/>
      <c r="DG74" s="208"/>
      <c r="DH74" s="163"/>
      <c r="DI74" s="163"/>
      <c r="DJ74" s="163"/>
      <c r="DK74" s="163"/>
      <c r="DL74" s="163"/>
      <c r="DM74" s="163"/>
      <c r="DN74" s="163"/>
      <c r="DO74" s="163"/>
      <c r="DP74" s="163"/>
      <c r="DQ74" s="163"/>
      <c r="DR74" s="163"/>
      <c r="DS74" s="163"/>
      <c r="DT74" s="163"/>
      <c r="DU74" s="163"/>
      <c r="DV74" s="163"/>
      <c r="DW74" s="163"/>
      <c r="DX74" s="163"/>
      <c r="DY74" s="163"/>
      <c r="DZ74" s="163"/>
      <c r="EA74" s="163"/>
      <c r="EB74" s="163"/>
      <c r="EC74" s="163"/>
      <c r="ED74" s="163"/>
      <c r="EE74" s="163"/>
      <c r="EF74" s="163"/>
      <c r="EG74" s="163"/>
      <c r="EH74" s="160">
        <f>IF([Chambre]*1='CHAMBRES FILLES 2e ETAGE'!$A$5,1,0)</f>
        <v>0</v>
      </c>
      <c r="EI74" s="161">
        <f>IF([Occurrence2]=0,0,SUM($EH$2:EH74))</f>
        <v>0</v>
      </c>
      <c r="EJ74" s="160">
        <f>IF([Chambre]*1='CHAMBRES FILLES 2e ETAGE'!$A$11,1,0)</f>
        <v>0</v>
      </c>
      <c r="EK74" s="160">
        <f>IF([Occurrence3]=0,0,SUM($EJ$2:EJ74))</f>
        <v>0</v>
      </c>
      <c r="EL74" s="160">
        <f>IF([Chambre]*1='CHAMBRES FILLES 2e ETAGE'!$A$17,1,0)</f>
        <v>0</v>
      </c>
      <c r="EM74" s="160">
        <f>IF([Occurrence4]=0,0,SUM($EL$2:EL74))</f>
        <v>0</v>
      </c>
      <c r="EN74" s="160">
        <f>IF([Chambre]*1='CHAMBRES FILLES 2e ETAGE'!$A$23,1,0)</f>
        <v>0</v>
      </c>
      <c r="EO74" s="160">
        <f>IF([Occurrence5]=0,0,SUM($EN$2:EN74))</f>
        <v>0</v>
      </c>
      <c r="EP74" s="160">
        <f>IF([Chambre]*1='CHAMBRES FILLES 2e ETAGE'!$A$29,1,0)</f>
        <v>0</v>
      </c>
      <c r="EQ74" s="160">
        <f>IF([Occurrence6]=0,0,SUM($EP$2:EP74))</f>
        <v>0</v>
      </c>
      <c r="ER74" s="160">
        <f>IF([Chambre]*1='CHAMBRES FILLES 2e ETAGE'!$A$35,1,0)</f>
        <v>0</v>
      </c>
      <c r="ES74" s="160">
        <f>IF([Occurrence7]=0,0,SUM($ER$2:ER74))</f>
        <v>0</v>
      </c>
      <c r="ET74" s="160">
        <f>IF([Chambre]*1='CHAMBRES FILLES 2e ETAGE'!$A$41,1,0)</f>
        <v>0</v>
      </c>
      <c r="EU74" s="160">
        <f>IF([Occurrence8]=0,0,SUM($ET$2:ET74))</f>
        <v>0</v>
      </c>
      <c r="EV74" s="160">
        <f>IF([Chambre]*1='CHAMBRES FILLES 2e ETAGE'!$A$47,1,0)</f>
        <v>0</v>
      </c>
      <c r="EW74" s="160">
        <f>IF([Occurrence9]=0,0,SUM($EV$2:EV74))</f>
        <v>0</v>
      </c>
      <c r="EX74" s="160">
        <f>IF([Chambre]*1='CHAMBRES FILLES 2e ETAGE'!$A$53,1,0)</f>
        <v>0</v>
      </c>
      <c r="EY74" s="160">
        <f>IF([Occurrence10]=0,0,SUM($EX$2:EX74))</f>
        <v>0</v>
      </c>
      <c r="EZ74" s="160">
        <f>IF([Chambre]*1='CHAMBRES FILLES 2e ETAGE'!$A$59,1,0)</f>
        <v>0</v>
      </c>
      <c r="FA74" s="160">
        <f>IF([Occurrence11]=0,0,SUM($EZ$2:EZ74))</f>
        <v>0</v>
      </c>
      <c r="FB74" s="160">
        <f>IF([Chambre]*1='CHAMBRES FILLES 2e ETAGE'!$A$65,1,0)</f>
        <v>0</v>
      </c>
      <c r="FC74" s="160">
        <f>IF([Occurrence12]=0,0,SUM($FB$2:FB74))</f>
        <v>0</v>
      </c>
      <c r="FD74" s="160">
        <f>IF([Chambre]*1='CHAMBRES FILLES 2e ETAGE'!$A$71,1,0)</f>
        <v>0</v>
      </c>
      <c r="FE74" s="160">
        <f>IF([Occurrence13]=0,0,SUM($FD$2:FD74))</f>
        <v>0</v>
      </c>
      <c r="FF74" s="160">
        <f>IF([Chambre]*1='CHAMBRES FILLES 2e ETAGE'!$A$77,1,0)</f>
        <v>0</v>
      </c>
      <c r="FG74" s="160">
        <f>IF([Occurrence14]=0,0,SUM($FF$2:FF74))</f>
        <v>0</v>
      </c>
      <c r="FH74" s="160">
        <f>IF([Chambre]*1='CHAMBRES FILLES 2e ETAGE'!$A$83,1,0)</f>
        <v>0</v>
      </c>
      <c r="FI74" s="160">
        <f>IF([Occurrence15]=0,0,SUM($FH$2:FH74))</f>
        <v>0</v>
      </c>
      <c r="FJ74" s="160">
        <f>IF([Chambre]*1='CHAMBRES FILLES 2e ETAGE'!$A$89,1,0)</f>
        <v>0</v>
      </c>
      <c r="FK74" s="160">
        <f>IF([Occurrence16]=0,0,SUM($FJ$2:FJ74))</f>
        <v>0</v>
      </c>
      <c r="FL74" s="160">
        <f>IF([Chambre]*1='CHAMBRES FILLES 2e ETAGE'!$A$95,1,0)</f>
        <v>0</v>
      </c>
      <c r="FM74" s="160">
        <f>IF([Occurrence17]=0,0,SUM($FL$2:FL74))</f>
        <v>0</v>
      </c>
      <c r="FN74" s="160">
        <f>IF([Chambre2]*1='CHAMBRES FILLES 1e ETAGE'!$A$5,1,0)</f>
        <v>0</v>
      </c>
      <c r="FO74" s="160">
        <f>IF([Occurrence18]=0,0,SUM($FN$2:FN74))</f>
        <v>0</v>
      </c>
      <c r="FP74" s="160">
        <f>IF([Chambre2]*1='CHAMBRES FILLES 1e ETAGE'!$A$11,1,0)</f>
        <v>0</v>
      </c>
      <c r="FQ74" s="160">
        <f>IF([Occurrence19]=0,0,SUM($FP$2:FP74))</f>
        <v>0</v>
      </c>
      <c r="FR74" s="160">
        <f>IF([Chambre2]*1='CHAMBRES FILLES 1e ETAGE'!$A$17,1,0)</f>
        <v>0</v>
      </c>
      <c r="FS74" s="160">
        <f>IF([Occurrence20]=0,0,SUM($FR$2:FR74))</f>
        <v>0</v>
      </c>
      <c r="FT74" s="160">
        <f>IF([Chambre2]*1='CHAMBRES FILLES 1e ETAGE'!$A$23,1,0)</f>
        <v>0</v>
      </c>
      <c r="FU74" s="160">
        <f>IF([Occurrence21]=0,0,SUM($FT$2:FT74))</f>
        <v>0</v>
      </c>
      <c r="FV74" s="160">
        <f>IF([Chambre2]*1='CHAMBRES FILLES 1e ETAGE'!$A$29,1,0)</f>
        <v>0</v>
      </c>
      <c r="FW74" s="160">
        <f>IF([Occurrence22]=0,0,SUM($FV$2:FV74))</f>
        <v>0</v>
      </c>
      <c r="FX74" s="160">
        <f>IF([Chambre2]*1='CHAMBRES FILLES 1e ETAGE'!$A$35,1,0)</f>
        <v>0</v>
      </c>
      <c r="FY74" s="160">
        <f>IF([Occurrence23]=0,0,SUM($FX$2:FX74))</f>
        <v>0</v>
      </c>
      <c r="FZ74" s="160">
        <f>IF([Chambre2]*1='CHAMBRES FILLES 1e ETAGE'!$A$41,1,0)</f>
        <v>0</v>
      </c>
      <c r="GA74" s="160">
        <f>IF([Occurrence24]=0,0,SUM($FZ$2:FZ74))</f>
        <v>0</v>
      </c>
      <c r="GB74" s="160">
        <f>IF([Chambre2]*1='CHAMBRES FILLES 1e ETAGE'!$A$47,1,0)</f>
        <v>0</v>
      </c>
      <c r="GC74" s="160">
        <f>IF([Occurrence25]=0,0,SUM($GB$2:GB74))</f>
        <v>0</v>
      </c>
      <c r="GD74" s="160">
        <f>IF([Chambre2]*1='CHAMBRES FILLES 1e ETAGE'!$A$53,1,0)</f>
        <v>0</v>
      </c>
      <c r="GE74" s="160">
        <f>IF([Occurrence26]=0,0,SUM($GD$2:GD74))</f>
        <v>0</v>
      </c>
      <c r="GF74" s="160">
        <f>IF([chambre4]*1='CHAMBRES GARCONS 1e ETAGE'!$A$5,1,0)</f>
        <v>0</v>
      </c>
      <c r="GG74" s="160">
        <f>IF([Occurrence27]=0,0,SUM($GF$2:GF74))</f>
        <v>0</v>
      </c>
      <c r="GH74" s="160">
        <f>IF([chambre4]*1='CHAMBRES GARCONS 1e ETAGE'!$A$11,1,0)</f>
        <v>0</v>
      </c>
      <c r="GI74" s="160">
        <f>IF([Occurrence28]=0,0,SUM($GH$2:GH74))</f>
        <v>0</v>
      </c>
      <c r="GJ74" s="160">
        <f>IF([chambre4]*1='CHAMBRES GARCONS 1e ETAGE'!$A$17,1,0)</f>
        <v>0</v>
      </c>
      <c r="GK74" s="160">
        <f>IF([Occurrence29]=0,0,SUM($GJ$2:GJ74))</f>
        <v>0</v>
      </c>
      <c r="GL74" s="160">
        <f>IF([chambre4]*1='CHAMBRES GARCONS 1e ETAGE'!$A$23,1,0)</f>
        <v>0</v>
      </c>
      <c r="GM74" s="160">
        <f>IF([Occurrence30]=0,0,SUM($GL$2:GL74))</f>
        <v>0</v>
      </c>
      <c r="GN74" s="160">
        <f>IF([chambre4]*1='CHAMBRES GARCONS 1e ETAGE'!$A$29,1,0)</f>
        <v>0</v>
      </c>
      <c r="GO74" s="160">
        <f>IF([Occurrence31]=0,0,SUM($GN$2:GN74))</f>
        <v>0</v>
      </c>
      <c r="GP74" s="160">
        <f>IF([chambre4]*1='CHAMBRES GARCONS 1e ETAGE'!$A$35,1,0)</f>
        <v>0</v>
      </c>
      <c r="GQ74" s="160">
        <f>IF([Occurrence32]=0,0,SUM($GP$2:GP74))</f>
        <v>0</v>
      </c>
      <c r="GR74" s="160">
        <f>IF([chambre3]*1='CHAMBRES GARCONS RDC'!$A$5,1,0)</f>
        <v>0</v>
      </c>
      <c r="GS74" s="160">
        <f>IF([Occurrence33]=0,0,SUM($GR$2:GR74))</f>
        <v>0</v>
      </c>
      <c r="GT74" s="160">
        <f>IF([chambre3]*1='CHAMBRES GARCONS RDC'!$A$11,1,0)</f>
        <v>0</v>
      </c>
      <c r="GU74" s="160">
        <f>IF([Occurrence34]=0,0,SUM($GT$2:GT74))</f>
        <v>0</v>
      </c>
      <c r="GV74" s="160">
        <f>IF([chambre3]*1='CHAMBRES GARCONS RDC'!$A$17,1,0)</f>
        <v>0</v>
      </c>
      <c r="GW74" s="160">
        <f>IF([Occurrence35]=0,0,SUM($GV$2:GV74))</f>
        <v>0</v>
      </c>
      <c r="GX74" s="160">
        <f>IF([chambre3]*1='CHAMBRES GARCONS RDC'!$A$23,1,0)</f>
        <v>0</v>
      </c>
      <c r="GY74" s="160">
        <f>IF([Occurrence36]=0,0,SUM($GX$2:GX74))</f>
        <v>0</v>
      </c>
      <c r="GZ74" s="160">
        <f>IF([chambre3]*1='CHAMBRES GARCONS RDC'!$A$29,1,0)</f>
        <v>0</v>
      </c>
      <c r="HA74" s="160">
        <f>IF([Occurrence37]=0,0,SUM($GZ$2:GZ74))</f>
        <v>0</v>
      </c>
      <c r="HB74" s="160">
        <f>IF([chambre3]*1='CHAMBRES GARCONS RDC'!$A$35,1,0)</f>
        <v>0</v>
      </c>
      <c r="HC74" s="160">
        <f>IF([Occurrence38]=0,0,SUM($HB$2:HB74))</f>
        <v>0</v>
      </c>
      <c r="HD74" s="160">
        <f>IF([chambre3]*1='CHAMBRES GARCONS RDC'!$A$41,1,0)</f>
        <v>0</v>
      </c>
      <c r="HE74" s="160">
        <f>IF([Occurrence39]=0,0,SUM($HD$2:HD74))</f>
        <v>0</v>
      </c>
      <c r="HF74" s="160">
        <f>IF([chambre3]*1='CHAMBRES GARCONS RDC'!$A$47,1,0)</f>
        <v>0</v>
      </c>
      <c r="HG74" s="160">
        <f>IF([Occurrence40]=0,0,SUM($HF$2:HF74))</f>
        <v>0</v>
      </c>
      <c r="HH74" s="160">
        <f>IF([chambre3]*1='CHAMBRES GARCONS RDC'!$A$53,1,0)</f>
        <v>0</v>
      </c>
      <c r="HI74" s="160">
        <f>IF([Occurrence41]=0,0,SUM($HH$2:HH74))</f>
        <v>0</v>
      </c>
      <c r="HJ74" s="160">
        <f>IF([chambre3]*1='CHAMBRES GARCONS RDC'!$A$59,1,0)</f>
        <v>0</v>
      </c>
      <c r="HK74" s="160">
        <f>IF([Occurrence42]=0,0,SUM($HJ$2:HJ74))</f>
        <v>0</v>
      </c>
      <c r="HL74" s="160">
        <f>IF([chambre3]*1='CHAMBRES GARCONS RDC'!$A$65,1,0)</f>
        <v>0</v>
      </c>
      <c r="HM74" s="160">
        <f>IF([Occurrence43]=0,0,SUM($HL$2:HL74))</f>
        <v>0</v>
      </c>
      <c r="HN74" s="160">
        <f>IF([chambre3]*1='CHAMBRES GARCONS RDC'!$A$71,1,0)</f>
        <v>1</v>
      </c>
      <c r="HO74" s="160">
        <f>IF([Occurrence44]=0,0,SUM($HN$2:HN74))</f>
        <v>3</v>
      </c>
      <c r="HP74" s="160">
        <f>IF([chambre3]*1='CHAMBRES GARCONS RDC'!$A$77,1,0)</f>
        <v>0</v>
      </c>
      <c r="HQ74" s="160">
        <f>IF([Occurrence45]=0,0,SUM($HP$2:HP74))</f>
        <v>0</v>
      </c>
      <c r="HR74" s="160">
        <f>IF([chambre3]*1='CHAMBRES GARCONS RDC'!$A$83,1,0)</f>
        <v>0</v>
      </c>
      <c r="HS74" s="160">
        <f>IF([Occurrence46]=0,0,SUM($HR$2:HR74))</f>
        <v>0</v>
      </c>
      <c r="HT74" s="160">
        <f>IF([chambre3]*1='CHAMBRES GARCONS RDC'!$A$89,1,0)</f>
        <v>0</v>
      </c>
      <c r="HU74" s="160">
        <f>IF([Occurrence47]=0,0,SUM($HT$2:HT74))</f>
        <v>0</v>
      </c>
      <c r="HV74" s="160">
        <f>IF([chambre3]*1='CHAMBRES GARCONS RDC'!$A$95,1,0)</f>
        <v>0</v>
      </c>
      <c r="HW74" s="160">
        <f>IF([Occurrence48]=0,0,SUM($HV$2:HV74))</f>
        <v>0</v>
      </c>
      <c r="HX74" s="160"/>
      <c r="HY74" s="160"/>
      <c r="HZ74" s="160">
        <f>IF([Classe]='Liste élève par classes'!$B$5,1,0)</f>
        <v>0</v>
      </c>
      <c r="IA74" s="160">
        <f>IF([Occurrence]=0,0,SUM($HZ$2:HZ74))</f>
        <v>0</v>
      </c>
      <c r="IB7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110</v>
      </c>
      <c r="IC74" s="208"/>
    </row>
    <row r="75" spans="1:237">
      <c r="A75" t="s">
        <v>377</v>
      </c>
      <c r="B75" t="s">
        <v>378</v>
      </c>
      <c r="C75" s="158">
        <v>36290</v>
      </c>
      <c r="D75" s="62">
        <f t="shared" ca="1" si="1"/>
        <v>18</v>
      </c>
      <c r="E75" t="s">
        <v>9</v>
      </c>
      <c r="F75" s="159" t="s">
        <v>50</v>
      </c>
      <c r="G75" t="s">
        <v>40</v>
      </c>
      <c r="H75" s="160"/>
      <c r="I75" s="161"/>
      <c r="J75" s="161"/>
      <c r="K75" s="161"/>
      <c r="L75" s="160"/>
      <c r="M75">
        <v>33</v>
      </c>
      <c r="N75" s="161"/>
      <c r="O75" s="161"/>
      <c r="P75" s="161"/>
      <c r="Q75" s="161"/>
      <c r="R75" s="161"/>
      <c r="S75" s="190"/>
      <c r="T75" s="161"/>
      <c r="U75" s="160"/>
      <c r="V75" s="161"/>
      <c r="W75" s="161"/>
      <c r="X75" s="161"/>
      <c r="Y75" s="161"/>
      <c r="Z75" s="161"/>
      <c r="AA75" s="161"/>
      <c r="AB75" s="161"/>
      <c r="AC75" s="161"/>
      <c r="AD75" s="161"/>
      <c r="AE75" s="161"/>
      <c r="AF75" s="163"/>
      <c r="AG75" s="163"/>
      <c r="AH75" s="163"/>
      <c r="AI75" s="163"/>
      <c r="AJ75" s="163"/>
      <c r="AK75" s="163"/>
      <c r="AL75" s="163"/>
      <c r="AM75" s="163"/>
      <c r="AN75" s="163"/>
      <c r="AO75" s="163"/>
      <c r="AP75" s="163"/>
      <c r="AQ75" s="163"/>
      <c r="AR75" s="163"/>
      <c r="AS75" s="163"/>
      <c r="AT75" s="163"/>
      <c r="AU75" s="163"/>
      <c r="AV75" s="163"/>
      <c r="AW75" s="163"/>
      <c r="AX75" s="163"/>
      <c r="AY75" s="163"/>
      <c r="AZ75" s="163"/>
      <c r="BA75" s="163"/>
      <c r="BB75" s="163"/>
      <c r="BC75" s="163" t="b">
        <v>0</v>
      </c>
      <c r="BD75" s="163" t="b">
        <v>1</v>
      </c>
      <c r="BE75" s="163" t="b">
        <v>1</v>
      </c>
      <c r="BF75" s="163" t="b">
        <v>0</v>
      </c>
      <c r="BG75" s="163" t="b">
        <v>1</v>
      </c>
      <c r="BH75" s="163" t="b">
        <v>0</v>
      </c>
      <c r="BI75" s="163"/>
      <c r="BJ75" s="163"/>
      <c r="BK75" s="163"/>
      <c r="BL75" s="163"/>
      <c r="BM75" s="163"/>
      <c r="BN75" s="163"/>
      <c r="BO75" s="163"/>
      <c r="BP75" s="163"/>
      <c r="BQ75" s="163" t="b">
        <v>0</v>
      </c>
      <c r="BR75" s="163"/>
      <c r="BS75" s="163"/>
      <c r="BT75" s="163"/>
      <c r="BU75" s="163"/>
      <c r="BV75" s="163"/>
      <c r="BW75" s="163"/>
      <c r="BX75" s="163"/>
      <c r="BY75" s="163"/>
      <c r="BZ75" s="163"/>
      <c r="CA75" s="163"/>
      <c r="CB75" s="163"/>
      <c r="CC75" s="163"/>
      <c r="CD75" s="163"/>
      <c r="CE75" s="163"/>
      <c r="CF75" s="163"/>
      <c r="CG75" s="163"/>
      <c r="CH75" s="163"/>
      <c r="CI75" s="163"/>
      <c r="CJ75" s="163"/>
      <c r="CK75" s="163"/>
      <c r="CL75" s="163"/>
      <c r="CM75" s="163"/>
      <c r="CN75" s="163"/>
      <c r="CO75" s="163"/>
      <c r="CP75" s="163"/>
      <c r="CQ75" s="163"/>
      <c r="CR75" s="163"/>
      <c r="CS75" s="163"/>
      <c r="CT75" s="163"/>
      <c r="CU75" s="163"/>
      <c r="CV75" s="163"/>
      <c r="CW75" s="163"/>
      <c r="CX75" s="163"/>
      <c r="CY75" s="163"/>
      <c r="CZ75" s="163"/>
      <c r="DA75" s="163"/>
      <c r="DB75" s="163"/>
      <c r="DC75" s="163"/>
      <c r="DD75" s="163"/>
      <c r="DE75" s="163"/>
      <c r="DF75" s="163"/>
      <c r="DG75" s="208">
        <v>154</v>
      </c>
      <c r="DH75" s="163"/>
      <c r="DI75" s="163"/>
      <c r="DJ75" s="163"/>
      <c r="DK75" s="163"/>
      <c r="DL75" s="163"/>
      <c r="DM75" s="163"/>
      <c r="DN75" s="163"/>
      <c r="DO75" s="163"/>
      <c r="DP75" s="163"/>
      <c r="DQ75" s="163"/>
      <c r="DR75" s="163"/>
      <c r="DS75" s="163"/>
      <c r="DT75" s="163"/>
      <c r="DU75" s="163"/>
      <c r="DV75" s="163"/>
      <c r="DW75" s="163"/>
      <c r="DX75" s="163"/>
      <c r="DY75" s="163"/>
      <c r="DZ75" s="163"/>
      <c r="EA75" s="163"/>
      <c r="EB75" s="163"/>
      <c r="EC75" s="163"/>
      <c r="ED75" s="163"/>
      <c r="EE75" s="163"/>
      <c r="EF75" s="163"/>
      <c r="EG75" s="163"/>
      <c r="EH75" s="160">
        <f>IF([Chambre]*1='CHAMBRES FILLES 2e ETAGE'!$A$5,1,0)</f>
        <v>0</v>
      </c>
      <c r="EI75" s="161">
        <f>IF([Occurrence2]=0,0,SUM($EH$2:EH75))</f>
        <v>0</v>
      </c>
      <c r="EJ75" s="160">
        <f>IF([Chambre]*1='CHAMBRES FILLES 2e ETAGE'!$A$11,1,0)</f>
        <v>0</v>
      </c>
      <c r="EK75" s="160">
        <f>IF([Occurrence3]=0,0,SUM($EJ$2:EJ75))</f>
        <v>0</v>
      </c>
      <c r="EL75" s="160">
        <f>IF([Chambre]*1='CHAMBRES FILLES 2e ETAGE'!$A$17,1,0)</f>
        <v>0</v>
      </c>
      <c r="EM75" s="160">
        <f>IF([Occurrence4]=0,0,SUM($EL$2:EL75))</f>
        <v>0</v>
      </c>
      <c r="EN75" s="160">
        <f>IF([Chambre]*1='CHAMBRES FILLES 2e ETAGE'!$A$23,1,0)</f>
        <v>0</v>
      </c>
      <c r="EO75" s="160">
        <f>IF([Occurrence5]=0,0,SUM($EN$2:EN75))</f>
        <v>0</v>
      </c>
      <c r="EP75" s="160">
        <f>IF([Chambre]*1='CHAMBRES FILLES 2e ETAGE'!$A$29,1,0)</f>
        <v>0</v>
      </c>
      <c r="EQ75" s="160">
        <f>IF([Occurrence6]=0,0,SUM($EP$2:EP75))</f>
        <v>0</v>
      </c>
      <c r="ER75" s="160">
        <f>IF([Chambre]*1='CHAMBRES FILLES 2e ETAGE'!$A$35,1,0)</f>
        <v>0</v>
      </c>
      <c r="ES75" s="160">
        <f>IF([Occurrence7]=0,0,SUM($ER$2:ER75))</f>
        <v>0</v>
      </c>
      <c r="ET75" s="160">
        <f>IF([Chambre]*1='CHAMBRES FILLES 2e ETAGE'!$A$41,1,0)</f>
        <v>0</v>
      </c>
      <c r="EU75" s="160">
        <f>IF([Occurrence8]=0,0,SUM($ET$2:ET75))</f>
        <v>0</v>
      </c>
      <c r="EV75" s="160">
        <f>IF([Chambre]*1='CHAMBRES FILLES 2e ETAGE'!$A$47,1,0)</f>
        <v>0</v>
      </c>
      <c r="EW75" s="160">
        <f>IF([Occurrence9]=0,0,SUM($EV$2:EV75))</f>
        <v>0</v>
      </c>
      <c r="EX75" s="160">
        <f>IF([Chambre]*1='CHAMBRES FILLES 2e ETAGE'!$A$53,1,0)</f>
        <v>0</v>
      </c>
      <c r="EY75" s="160">
        <f>IF([Occurrence10]=0,0,SUM($EX$2:EX75))</f>
        <v>0</v>
      </c>
      <c r="EZ75" s="160">
        <f>IF([Chambre]*1='CHAMBRES FILLES 2e ETAGE'!$A$59,1,0)</f>
        <v>0</v>
      </c>
      <c r="FA75" s="160">
        <f>IF([Occurrence11]=0,0,SUM($EZ$2:EZ75))</f>
        <v>0</v>
      </c>
      <c r="FB75" s="160">
        <f>IF([Chambre]*1='CHAMBRES FILLES 2e ETAGE'!$A$65,1,0)</f>
        <v>0</v>
      </c>
      <c r="FC75" s="160">
        <f>IF([Occurrence12]=0,0,SUM($FB$2:FB75))</f>
        <v>0</v>
      </c>
      <c r="FD75" s="160">
        <f>IF([Chambre]*1='CHAMBRES FILLES 2e ETAGE'!$A$71,1,0)</f>
        <v>0</v>
      </c>
      <c r="FE75" s="160">
        <f>IF([Occurrence13]=0,0,SUM($FD$2:FD75))</f>
        <v>0</v>
      </c>
      <c r="FF75" s="160">
        <f>IF([Chambre]*1='CHAMBRES FILLES 2e ETAGE'!$A$77,1,0)</f>
        <v>0</v>
      </c>
      <c r="FG75" s="160">
        <f>IF([Occurrence14]=0,0,SUM($FF$2:FF75))</f>
        <v>0</v>
      </c>
      <c r="FH75" s="160">
        <f>IF([Chambre]*1='CHAMBRES FILLES 2e ETAGE'!$A$83,1,0)</f>
        <v>0</v>
      </c>
      <c r="FI75" s="160">
        <f>IF([Occurrence15]=0,0,SUM($FH$2:FH75))</f>
        <v>0</v>
      </c>
      <c r="FJ75" s="160">
        <f>IF([Chambre]*1='CHAMBRES FILLES 2e ETAGE'!$A$89,1,0)</f>
        <v>0</v>
      </c>
      <c r="FK75" s="160">
        <f>IF([Occurrence16]=0,0,SUM($FJ$2:FJ75))</f>
        <v>0</v>
      </c>
      <c r="FL75" s="160">
        <f>IF([Chambre]*1='CHAMBRES FILLES 2e ETAGE'!$A$95,1,0)</f>
        <v>0</v>
      </c>
      <c r="FM75" s="160">
        <f>IF([Occurrence17]=0,0,SUM($FL$2:FL75))</f>
        <v>0</v>
      </c>
      <c r="FN75" s="160">
        <f>IF([Chambre2]*1='CHAMBRES FILLES 1e ETAGE'!$A$5,1,0)</f>
        <v>0</v>
      </c>
      <c r="FO75" s="160">
        <f>IF([Occurrence18]=0,0,SUM($FN$2:FN75))</f>
        <v>0</v>
      </c>
      <c r="FP75" s="160">
        <f>IF([Chambre2]*1='CHAMBRES FILLES 1e ETAGE'!$A$11,1,0)</f>
        <v>0</v>
      </c>
      <c r="FQ75" s="160">
        <f>IF([Occurrence19]=0,0,SUM($FP$2:FP75))</f>
        <v>0</v>
      </c>
      <c r="FR75" s="160">
        <f>IF([Chambre2]*1='CHAMBRES FILLES 1e ETAGE'!$A$17,1,0)</f>
        <v>0</v>
      </c>
      <c r="FS75" s="160">
        <f>IF([Occurrence20]=0,0,SUM($FR$2:FR75))</f>
        <v>0</v>
      </c>
      <c r="FT75" s="160">
        <f>IF([Chambre2]*1='CHAMBRES FILLES 1e ETAGE'!$A$23,1,0)</f>
        <v>0</v>
      </c>
      <c r="FU75" s="160">
        <f>IF([Occurrence21]=0,0,SUM($FT$2:FT75))</f>
        <v>0</v>
      </c>
      <c r="FV75" s="160">
        <f>IF([Chambre2]*1='CHAMBRES FILLES 1e ETAGE'!$A$29,1,0)</f>
        <v>0</v>
      </c>
      <c r="FW75" s="160">
        <f>IF([Occurrence22]=0,0,SUM($FV$2:FV75))</f>
        <v>0</v>
      </c>
      <c r="FX75" s="160">
        <f>IF([Chambre2]*1='CHAMBRES FILLES 1e ETAGE'!$A$35,1,0)</f>
        <v>0</v>
      </c>
      <c r="FY75" s="160">
        <f>IF([Occurrence23]=0,0,SUM($FX$2:FX75))</f>
        <v>0</v>
      </c>
      <c r="FZ75" s="160">
        <f>IF([Chambre2]*1='CHAMBRES FILLES 1e ETAGE'!$A$41,1,0)</f>
        <v>0</v>
      </c>
      <c r="GA75" s="160">
        <f>IF([Occurrence24]=0,0,SUM($FZ$2:FZ75))</f>
        <v>0</v>
      </c>
      <c r="GB75" s="160">
        <f>IF([Chambre2]*1='CHAMBRES FILLES 1e ETAGE'!$A$47,1,0)</f>
        <v>0</v>
      </c>
      <c r="GC75" s="160">
        <f>IF([Occurrence25]=0,0,SUM($GB$2:GB75))</f>
        <v>0</v>
      </c>
      <c r="GD75" s="160">
        <f>IF([Chambre2]*1='CHAMBRES FILLES 1e ETAGE'!$A$53,1,0)</f>
        <v>0</v>
      </c>
      <c r="GE75" s="160">
        <f>IF([Occurrence26]=0,0,SUM($GD$2:GD75))</f>
        <v>0</v>
      </c>
      <c r="GF75" s="160">
        <f>IF([chambre4]*1='CHAMBRES GARCONS 1e ETAGE'!$A$5,1,0)</f>
        <v>0</v>
      </c>
      <c r="GG75" s="160">
        <f>IF([Occurrence27]=0,0,SUM($GF$2:GF75))</f>
        <v>0</v>
      </c>
      <c r="GH75" s="160">
        <f>IF([chambre4]*1='CHAMBRES GARCONS 1e ETAGE'!$A$11,1,0)</f>
        <v>0</v>
      </c>
      <c r="GI75" s="160">
        <f>IF([Occurrence28]=0,0,SUM($GH$2:GH75))</f>
        <v>0</v>
      </c>
      <c r="GJ75" s="160">
        <f>IF([chambre4]*1='CHAMBRES GARCONS 1e ETAGE'!$A$17,1,0)</f>
        <v>0</v>
      </c>
      <c r="GK75" s="160">
        <f>IF([Occurrence29]=0,0,SUM($GJ$2:GJ75))</f>
        <v>0</v>
      </c>
      <c r="GL75" s="160">
        <f>IF([chambre4]*1='CHAMBRES GARCONS 1e ETAGE'!$A$23,1,0)</f>
        <v>0</v>
      </c>
      <c r="GM75" s="160">
        <f>IF([Occurrence30]=0,0,SUM($GL$2:GL75))</f>
        <v>0</v>
      </c>
      <c r="GN75" s="160">
        <f>IF([chambre4]*1='CHAMBRES GARCONS 1e ETAGE'!$A$29,1,0)</f>
        <v>0</v>
      </c>
      <c r="GO75" s="160">
        <f>IF([Occurrence31]=0,0,SUM($GN$2:GN75))</f>
        <v>0</v>
      </c>
      <c r="GP75" s="160">
        <f>IF([chambre4]*1='CHAMBRES GARCONS 1e ETAGE'!$A$35,1,0)</f>
        <v>1</v>
      </c>
      <c r="GQ75" s="160">
        <f>IF([Occurrence32]=0,0,SUM($GP$2:GP75))</f>
        <v>2</v>
      </c>
      <c r="GR75" s="160">
        <f>IF([chambre3]*1='CHAMBRES GARCONS RDC'!$A$5,1,0)</f>
        <v>0</v>
      </c>
      <c r="GS75" s="160">
        <f>IF([Occurrence33]=0,0,SUM($GR$2:GR75))</f>
        <v>0</v>
      </c>
      <c r="GT75" s="160">
        <f>IF([chambre3]*1='CHAMBRES GARCONS RDC'!$A$11,1,0)</f>
        <v>0</v>
      </c>
      <c r="GU75" s="160">
        <f>IF([Occurrence34]=0,0,SUM($GT$2:GT75))</f>
        <v>0</v>
      </c>
      <c r="GV75" s="160">
        <f>IF([chambre3]*1='CHAMBRES GARCONS RDC'!$A$17,1,0)</f>
        <v>0</v>
      </c>
      <c r="GW75" s="160">
        <f>IF([Occurrence35]=0,0,SUM($GV$2:GV75))</f>
        <v>0</v>
      </c>
      <c r="GX75" s="160">
        <f>IF([chambre3]*1='CHAMBRES GARCONS RDC'!$A$23,1,0)</f>
        <v>0</v>
      </c>
      <c r="GY75" s="160">
        <f>IF([Occurrence36]=0,0,SUM($GX$2:GX75))</f>
        <v>0</v>
      </c>
      <c r="GZ75" s="160">
        <f>IF([chambre3]*1='CHAMBRES GARCONS RDC'!$A$29,1,0)</f>
        <v>0</v>
      </c>
      <c r="HA75" s="160">
        <f>IF([Occurrence37]=0,0,SUM($GZ$2:GZ75))</f>
        <v>0</v>
      </c>
      <c r="HB75" s="160">
        <f>IF([chambre3]*1='CHAMBRES GARCONS RDC'!$A$35,1,0)</f>
        <v>0</v>
      </c>
      <c r="HC75" s="160">
        <f>IF([Occurrence38]=0,0,SUM($HB$2:HB75))</f>
        <v>0</v>
      </c>
      <c r="HD75" s="160">
        <f>IF([chambre3]*1='CHAMBRES GARCONS RDC'!$A$41,1,0)</f>
        <v>0</v>
      </c>
      <c r="HE75" s="160">
        <f>IF([Occurrence39]=0,0,SUM($HD$2:HD75))</f>
        <v>0</v>
      </c>
      <c r="HF75" s="160">
        <f>IF([chambre3]*1='CHAMBRES GARCONS RDC'!$A$47,1,0)</f>
        <v>0</v>
      </c>
      <c r="HG75" s="160">
        <f>IF([Occurrence40]=0,0,SUM($HF$2:HF75))</f>
        <v>0</v>
      </c>
      <c r="HH75" s="160">
        <f>IF([chambre3]*1='CHAMBRES GARCONS RDC'!$A$53,1,0)</f>
        <v>0</v>
      </c>
      <c r="HI75" s="160">
        <f>IF([Occurrence41]=0,0,SUM($HH$2:HH75))</f>
        <v>0</v>
      </c>
      <c r="HJ75" s="160">
        <f>IF([chambre3]*1='CHAMBRES GARCONS RDC'!$A$59,1,0)</f>
        <v>0</v>
      </c>
      <c r="HK75" s="160">
        <f>IF([Occurrence42]=0,0,SUM($HJ$2:HJ75))</f>
        <v>0</v>
      </c>
      <c r="HL75" s="160">
        <f>IF([chambre3]*1='CHAMBRES GARCONS RDC'!$A$65,1,0)</f>
        <v>0</v>
      </c>
      <c r="HM75" s="160">
        <f>IF([Occurrence43]=0,0,SUM($HL$2:HL75))</f>
        <v>0</v>
      </c>
      <c r="HN75" s="160">
        <f>IF([chambre3]*1='CHAMBRES GARCONS RDC'!$A$71,1,0)</f>
        <v>0</v>
      </c>
      <c r="HO75" s="160">
        <f>IF([Occurrence44]=0,0,SUM($HN$2:HN75))</f>
        <v>0</v>
      </c>
      <c r="HP75" s="160">
        <f>IF([chambre3]*1='CHAMBRES GARCONS RDC'!$A$77,1,0)</f>
        <v>0</v>
      </c>
      <c r="HQ75" s="160">
        <f>IF([Occurrence45]=0,0,SUM($HP$2:HP75))</f>
        <v>0</v>
      </c>
      <c r="HR75" s="160">
        <f>IF([chambre3]*1='CHAMBRES GARCONS RDC'!$A$83,1,0)</f>
        <v>0</v>
      </c>
      <c r="HS75" s="160">
        <f>IF([Occurrence46]=0,0,SUM($HR$2:HR75))</f>
        <v>0</v>
      </c>
      <c r="HT75" s="160">
        <f>IF([chambre3]*1='CHAMBRES GARCONS RDC'!$A$89,1,0)</f>
        <v>0</v>
      </c>
      <c r="HU75" s="160">
        <f>IF([Occurrence47]=0,0,SUM($HT$2:HT75))</f>
        <v>0</v>
      </c>
      <c r="HV75" s="160">
        <f>IF([chambre3]*1='CHAMBRES GARCONS RDC'!$A$95,1,0)</f>
        <v>0</v>
      </c>
      <c r="HW75" s="160">
        <f>IF([Occurrence48]=0,0,SUM($HV$2:HV75))</f>
        <v>0</v>
      </c>
      <c r="HX75" s="160"/>
      <c r="HY75" s="160"/>
      <c r="HZ75" s="160">
        <f>IF([Classe]='Liste élève par classes'!$B$5,1,0)</f>
        <v>0</v>
      </c>
      <c r="IA75" s="160">
        <f>IF([Occurrence]=0,0,SUM($HZ$2:HZ75))</f>
        <v>0</v>
      </c>
      <c r="IB7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154</v>
      </c>
      <c r="IC75" s="208"/>
    </row>
    <row r="76" spans="1:237">
      <c r="A76" t="s">
        <v>379</v>
      </c>
      <c r="B76" t="s">
        <v>335</v>
      </c>
      <c r="C76" s="158">
        <v>37413</v>
      </c>
      <c r="D76" s="62">
        <f t="shared" ca="1" si="1"/>
        <v>15</v>
      </c>
      <c r="E76" t="s">
        <v>2</v>
      </c>
      <c r="F76" s="159" t="s">
        <v>50</v>
      </c>
      <c r="G76" t="s">
        <v>45</v>
      </c>
      <c r="H76" s="160"/>
      <c r="I76" s="62"/>
      <c r="J76" s="161" t="s">
        <v>244</v>
      </c>
      <c r="K76" s="161"/>
      <c r="L76" s="160">
        <v>158</v>
      </c>
      <c r="M76">
        <v>144</v>
      </c>
      <c r="N76" s="161" t="s">
        <v>244</v>
      </c>
      <c r="O76" s="161" t="s">
        <v>244</v>
      </c>
      <c r="P76" s="161" t="s">
        <v>244</v>
      </c>
      <c r="Q76" s="161" t="s">
        <v>244</v>
      </c>
      <c r="R76" s="161" t="s">
        <v>244</v>
      </c>
      <c r="S76" s="190"/>
      <c r="T76" s="161" t="s">
        <v>244</v>
      </c>
      <c r="U76" s="160"/>
      <c r="V76" s="161" t="s">
        <v>244</v>
      </c>
      <c r="W76" s="161" t="s">
        <v>244</v>
      </c>
      <c r="X76" s="161" t="s">
        <v>244</v>
      </c>
      <c r="Y76" s="161" t="s">
        <v>244</v>
      </c>
      <c r="Z76" s="161" t="s">
        <v>244</v>
      </c>
      <c r="AA76" s="161" t="s">
        <v>244</v>
      </c>
      <c r="AB76" s="161" t="s">
        <v>244</v>
      </c>
      <c r="AC76" s="161" t="s">
        <v>244</v>
      </c>
      <c r="AD76" s="161" t="s">
        <v>244</v>
      </c>
      <c r="AE76" s="161" t="s">
        <v>244</v>
      </c>
      <c r="AF76" s="163" t="s">
        <v>244</v>
      </c>
      <c r="AG76" s="163" t="s">
        <v>244</v>
      </c>
      <c r="AH76" s="163" t="s">
        <v>244</v>
      </c>
      <c r="AI76" s="163"/>
      <c r="AJ76" s="163"/>
      <c r="AK76" s="163"/>
      <c r="AL76" s="163"/>
      <c r="AM76" s="163"/>
      <c r="AN76" s="163"/>
      <c r="AO76" s="163"/>
      <c r="AP76" s="163"/>
      <c r="AQ76" s="163"/>
      <c r="AR76" s="163"/>
      <c r="AS76" s="163"/>
      <c r="AT76" s="163"/>
      <c r="AU76" s="163"/>
      <c r="AV76" s="163"/>
      <c r="AW76" s="163"/>
      <c r="AX76" s="163"/>
      <c r="AY76" s="163"/>
      <c r="AZ76" s="163"/>
      <c r="BA76" s="163"/>
      <c r="BB76" s="163"/>
      <c r="BC76" s="163" t="b">
        <v>0</v>
      </c>
      <c r="BD76" s="163" t="b">
        <v>1</v>
      </c>
      <c r="BE76" s="163" t="b">
        <v>1</v>
      </c>
      <c r="BF76" s="163" t="b">
        <v>0</v>
      </c>
      <c r="BG76" s="164" t="b">
        <v>0</v>
      </c>
      <c r="BH76" s="163" t="b">
        <v>1</v>
      </c>
      <c r="BI76" s="163"/>
      <c r="BJ76" s="163"/>
      <c r="BK76" s="163"/>
      <c r="BL76" s="163"/>
      <c r="BM76" s="163"/>
      <c r="BN76" s="163"/>
      <c r="BO76" s="163"/>
      <c r="BP76" s="163"/>
      <c r="BQ76" s="163" t="b">
        <v>1</v>
      </c>
      <c r="BR76" s="163"/>
      <c r="BS76" s="163"/>
      <c r="BT76" s="163"/>
      <c r="BU76" s="163"/>
      <c r="BV76" s="163"/>
      <c r="BW76" s="163"/>
      <c r="BX76" s="163"/>
      <c r="BY76" s="163"/>
      <c r="BZ76" s="163"/>
      <c r="CA76" s="163"/>
      <c r="CB76" s="163"/>
      <c r="CC76" s="163"/>
      <c r="CD76" s="163"/>
      <c r="CE76" s="163"/>
      <c r="CF76" s="163"/>
      <c r="CG76" s="163"/>
      <c r="CH76" s="163"/>
      <c r="CI76" s="163"/>
      <c r="CJ76" s="163"/>
      <c r="CK76" s="163"/>
      <c r="CL76" s="163"/>
      <c r="CM76" s="163"/>
      <c r="CN76" s="163"/>
      <c r="CO76" s="163"/>
      <c r="CP76" s="163"/>
      <c r="CQ76" s="163"/>
      <c r="CR76" s="163"/>
      <c r="CS76" s="163"/>
      <c r="CT76" s="163"/>
      <c r="CU76" s="163"/>
      <c r="CV76" s="163"/>
      <c r="CW76" s="163"/>
      <c r="CX76" s="163"/>
      <c r="CY76" s="163"/>
      <c r="CZ76" s="163"/>
      <c r="DA76" s="163"/>
      <c r="DB76" s="163"/>
      <c r="DC76" s="163"/>
      <c r="DD76" s="163"/>
      <c r="DE76" s="163"/>
      <c r="DF76" s="163"/>
      <c r="DG76" s="208"/>
      <c r="DH76" s="163"/>
      <c r="DI76" s="163"/>
      <c r="DJ76" s="163"/>
      <c r="DK76" s="163"/>
      <c r="DL76" s="163"/>
      <c r="DM76" s="163"/>
      <c r="DN76" s="163"/>
      <c r="DO76" s="163"/>
      <c r="DP76" s="163"/>
      <c r="DQ76" s="163"/>
      <c r="DR76" s="163"/>
      <c r="DS76" s="163"/>
      <c r="DT76" s="163"/>
      <c r="DU76" s="163"/>
      <c r="DV76" s="163"/>
      <c r="DW76" s="163"/>
      <c r="DX76" s="163"/>
      <c r="DY76" s="163"/>
      <c r="DZ76" s="163"/>
      <c r="EA76" s="163"/>
      <c r="EB76" s="163"/>
      <c r="EC76" s="163"/>
      <c r="ED76" s="163"/>
      <c r="EE76" s="163"/>
      <c r="EF76" s="163"/>
      <c r="EG76" s="163"/>
      <c r="EH76" s="160">
        <f>IF([Chambre]*1='CHAMBRES FILLES 2e ETAGE'!$A$5,1,0)</f>
        <v>1</v>
      </c>
      <c r="EI76" s="161">
        <f>IF([Occurrence2]=0,0,SUM($EH$2:EH76))</f>
        <v>2</v>
      </c>
      <c r="EJ76" s="160">
        <f>IF([Chambre]*1='CHAMBRES FILLES 2e ETAGE'!$A$11,1,0)</f>
        <v>0</v>
      </c>
      <c r="EK76" s="160">
        <f>IF([Occurrence3]=0,0,SUM($EJ$2:EJ76))</f>
        <v>0</v>
      </c>
      <c r="EL76" s="160">
        <f>IF([Chambre]*1='CHAMBRES FILLES 2e ETAGE'!$A$17,1,0)</f>
        <v>0</v>
      </c>
      <c r="EM76" s="160">
        <f>IF([Occurrence4]=0,0,SUM($EL$2:EL76))</f>
        <v>0</v>
      </c>
      <c r="EN76" s="160">
        <f>IF([Chambre]*1='CHAMBRES FILLES 2e ETAGE'!$A$23,1,0)</f>
        <v>0</v>
      </c>
      <c r="EO76" s="160">
        <f>IF([Occurrence5]=0,0,SUM($EN$2:EN76))</f>
        <v>0</v>
      </c>
      <c r="EP76" s="160">
        <f>IF([Chambre]*1='CHAMBRES FILLES 2e ETAGE'!$A$29,1,0)</f>
        <v>0</v>
      </c>
      <c r="EQ76" s="160">
        <f>IF([Occurrence6]=0,0,SUM($EP$2:EP76))</f>
        <v>0</v>
      </c>
      <c r="ER76" s="160">
        <f>IF([Chambre]*1='CHAMBRES FILLES 2e ETAGE'!$A$35,1,0)</f>
        <v>0</v>
      </c>
      <c r="ES76" s="160">
        <f>IF([Occurrence7]=0,0,SUM($ER$2:ER76))</f>
        <v>0</v>
      </c>
      <c r="ET76" s="160">
        <f>IF([Chambre]*1='CHAMBRES FILLES 2e ETAGE'!$A$41,1,0)</f>
        <v>0</v>
      </c>
      <c r="EU76" s="160">
        <f>IF([Occurrence8]=0,0,SUM($ET$2:ET76))</f>
        <v>0</v>
      </c>
      <c r="EV76" s="160">
        <f>IF([Chambre]*1='CHAMBRES FILLES 2e ETAGE'!$A$47,1,0)</f>
        <v>0</v>
      </c>
      <c r="EW76" s="160">
        <f>IF([Occurrence9]=0,0,SUM($EV$2:EV76))</f>
        <v>0</v>
      </c>
      <c r="EX76" s="160">
        <f>IF([Chambre]*1='CHAMBRES FILLES 2e ETAGE'!$A$53,1,0)</f>
        <v>0</v>
      </c>
      <c r="EY76" s="160">
        <f>IF([Occurrence10]=0,0,SUM($EX$2:EX76))</f>
        <v>0</v>
      </c>
      <c r="EZ76" s="160">
        <f>IF([Chambre]*1='CHAMBRES FILLES 2e ETAGE'!$A$59,1,0)</f>
        <v>0</v>
      </c>
      <c r="FA76" s="160">
        <f>IF([Occurrence11]=0,0,SUM($EZ$2:EZ76))</f>
        <v>0</v>
      </c>
      <c r="FB76" s="160">
        <f>IF([Chambre]*1='CHAMBRES FILLES 2e ETAGE'!$A$65,1,0)</f>
        <v>0</v>
      </c>
      <c r="FC76" s="160">
        <f>IF([Occurrence12]=0,0,SUM($FB$2:FB76))</f>
        <v>0</v>
      </c>
      <c r="FD76" s="160">
        <f>IF([Chambre]*1='CHAMBRES FILLES 2e ETAGE'!$A$71,1,0)</f>
        <v>0</v>
      </c>
      <c r="FE76" s="160">
        <f>IF([Occurrence13]=0,0,SUM($FD$2:FD76))</f>
        <v>0</v>
      </c>
      <c r="FF76" s="160">
        <f>IF([Chambre]*1='CHAMBRES FILLES 2e ETAGE'!$A$77,1,0)</f>
        <v>0</v>
      </c>
      <c r="FG76" s="160">
        <f>IF([Occurrence14]=0,0,SUM($FF$2:FF76))</f>
        <v>0</v>
      </c>
      <c r="FH76" s="160">
        <f>IF([Chambre]*1='CHAMBRES FILLES 2e ETAGE'!$A$83,1,0)</f>
        <v>0</v>
      </c>
      <c r="FI76" s="160">
        <f>IF([Occurrence15]=0,0,SUM($FH$2:FH76))</f>
        <v>0</v>
      </c>
      <c r="FJ76" s="160">
        <f>IF([Chambre]*1='CHAMBRES FILLES 2e ETAGE'!$A$89,1,0)</f>
        <v>0</v>
      </c>
      <c r="FK76" s="160">
        <f>IF([Occurrence16]=0,0,SUM($FJ$2:FJ76))</f>
        <v>0</v>
      </c>
      <c r="FL76" s="160">
        <f>IF([Chambre]*1='CHAMBRES FILLES 2e ETAGE'!$A$95,1,0)</f>
        <v>0</v>
      </c>
      <c r="FM76" s="160">
        <f>IF([Occurrence17]=0,0,SUM($FL$2:FL76))</f>
        <v>0</v>
      </c>
      <c r="FN76" s="160">
        <f>IF([Chambre2]*1='CHAMBRES FILLES 1e ETAGE'!$A$5,1,0)</f>
        <v>0</v>
      </c>
      <c r="FO76" s="160">
        <f>IF([Occurrence18]=0,0,SUM($FN$2:FN76))</f>
        <v>0</v>
      </c>
      <c r="FP76" s="160">
        <f>IF([Chambre2]*1='CHAMBRES FILLES 1e ETAGE'!$A$11,1,0)</f>
        <v>0</v>
      </c>
      <c r="FQ76" s="160">
        <f>IF([Occurrence19]=0,0,SUM($FP$2:FP76))</f>
        <v>0</v>
      </c>
      <c r="FR76" s="160">
        <f>IF([Chambre2]*1='CHAMBRES FILLES 1e ETAGE'!$A$17,1,0)</f>
        <v>0</v>
      </c>
      <c r="FS76" s="160">
        <f>IF([Occurrence20]=0,0,SUM($FR$2:FR76))</f>
        <v>0</v>
      </c>
      <c r="FT76" s="160">
        <f>IF([Chambre2]*1='CHAMBRES FILLES 1e ETAGE'!$A$23,1,0)</f>
        <v>0</v>
      </c>
      <c r="FU76" s="160">
        <f>IF([Occurrence21]=0,0,SUM($FT$2:FT76))</f>
        <v>0</v>
      </c>
      <c r="FV76" s="160">
        <f>IF([Chambre2]*1='CHAMBRES FILLES 1e ETAGE'!$A$29,1,0)</f>
        <v>0</v>
      </c>
      <c r="FW76" s="160">
        <f>IF([Occurrence22]=0,0,SUM($FV$2:FV76))</f>
        <v>0</v>
      </c>
      <c r="FX76" s="160">
        <f>IF([Chambre2]*1='CHAMBRES FILLES 1e ETAGE'!$A$35,1,0)</f>
        <v>0</v>
      </c>
      <c r="FY76" s="160">
        <f>IF([Occurrence23]=0,0,SUM($FX$2:FX76))</f>
        <v>0</v>
      </c>
      <c r="FZ76" s="160">
        <f>IF([Chambre2]*1='CHAMBRES FILLES 1e ETAGE'!$A$41,1,0)</f>
        <v>0</v>
      </c>
      <c r="GA76" s="160">
        <f>IF([Occurrence24]=0,0,SUM($FZ$2:FZ76))</f>
        <v>0</v>
      </c>
      <c r="GB76" s="160">
        <f>IF([Chambre2]*1='CHAMBRES FILLES 1e ETAGE'!$A$47,1,0)</f>
        <v>0</v>
      </c>
      <c r="GC76" s="160">
        <f>IF([Occurrence25]=0,0,SUM($GB$2:GB76))</f>
        <v>0</v>
      </c>
      <c r="GD76" s="160">
        <f>IF([Chambre2]*1='CHAMBRES FILLES 1e ETAGE'!$A$53,1,0)</f>
        <v>0</v>
      </c>
      <c r="GE76" s="160">
        <f>IF([Occurrence26]=0,0,SUM($GD$2:GD76))</f>
        <v>0</v>
      </c>
      <c r="GF76" s="160">
        <f>IF([chambre4]*1='CHAMBRES GARCONS 1e ETAGE'!$A$5,1,0)</f>
        <v>0</v>
      </c>
      <c r="GG76" s="160">
        <f>IF([Occurrence27]=0,0,SUM($GF$2:GF76))</f>
        <v>0</v>
      </c>
      <c r="GH76" s="160">
        <f>IF([chambre4]*1='CHAMBRES GARCONS 1e ETAGE'!$A$11,1,0)</f>
        <v>0</v>
      </c>
      <c r="GI76" s="160">
        <f>IF([Occurrence28]=0,0,SUM($GH$2:GH76))</f>
        <v>0</v>
      </c>
      <c r="GJ76" s="160">
        <f>IF([chambre4]*1='CHAMBRES GARCONS 1e ETAGE'!$A$17,1,0)</f>
        <v>0</v>
      </c>
      <c r="GK76" s="160">
        <f>IF([Occurrence29]=0,0,SUM($GJ$2:GJ76))</f>
        <v>0</v>
      </c>
      <c r="GL76" s="160">
        <f>IF([chambre4]*1='CHAMBRES GARCONS 1e ETAGE'!$A$23,1,0)</f>
        <v>0</v>
      </c>
      <c r="GM76" s="160">
        <f>IF([Occurrence30]=0,0,SUM($GL$2:GL76))</f>
        <v>0</v>
      </c>
      <c r="GN76" s="160">
        <f>IF([chambre4]*1='CHAMBRES GARCONS 1e ETAGE'!$A$29,1,0)</f>
        <v>0</v>
      </c>
      <c r="GO76" s="160">
        <f>IF([Occurrence31]=0,0,SUM($GN$2:GN76))</f>
        <v>0</v>
      </c>
      <c r="GP76" s="160">
        <f>IF([chambre4]*1='CHAMBRES GARCONS 1e ETAGE'!$A$35,1,0)</f>
        <v>0</v>
      </c>
      <c r="GQ76" s="160">
        <f>IF([Occurrence32]=0,0,SUM($GP$2:GP76))</f>
        <v>0</v>
      </c>
      <c r="GR76" s="160">
        <f>IF([chambre3]*1='CHAMBRES GARCONS RDC'!$A$5,1,0)</f>
        <v>0</v>
      </c>
      <c r="GS76" s="160">
        <f>IF([Occurrence33]=0,0,SUM($GR$2:GR76))</f>
        <v>0</v>
      </c>
      <c r="GT76" s="160">
        <f>IF([chambre3]*1='CHAMBRES GARCONS RDC'!$A$11,1,0)</f>
        <v>0</v>
      </c>
      <c r="GU76" s="160">
        <f>IF([Occurrence34]=0,0,SUM($GT$2:GT76))</f>
        <v>0</v>
      </c>
      <c r="GV76" s="160">
        <f>IF([chambre3]*1='CHAMBRES GARCONS RDC'!$A$17,1,0)</f>
        <v>0</v>
      </c>
      <c r="GW76" s="160">
        <f>IF([Occurrence35]=0,0,SUM($GV$2:GV76))</f>
        <v>0</v>
      </c>
      <c r="GX76" s="160">
        <f>IF([chambre3]*1='CHAMBRES GARCONS RDC'!$A$23,1,0)</f>
        <v>0</v>
      </c>
      <c r="GY76" s="160">
        <f>IF([Occurrence36]=0,0,SUM($GX$2:GX76))</f>
        <v>0</v>
      </c>
      <c r="GZ76" s="160">
        <f>IF([chambre3]*1='CHAMBRES GARCONS RDC'!$A$29,1,0)</f>
        <v>0</v>
      </c>
      <c r="HA76" s="160">
        <f>IF([Occurrence37]=0,0,SUM($GZ$2:GZ76))</f>
        <v>0</v>
      </c>
      <c r="HB76" s="160">
        <f>IF([chambre3]*1='CHAMBRES GARCONS RDC'!$A$35,1,0)</f>
        <v>0</v>
      </c>
      <c r="HC76" s="160">
        <f>IF([Occurrence38]=0,0,SUM($HB$2:HB76))</f>
        <v>0</v>
      </c>
      <c r="HD76" s="160">
        <f>IF([chambre3]*1='CHAMBRES GARCONS RDC'!$A$41,1,0)</f>
        <v>0</v>
      </c>
      <c r="HE76" s="160">
        <f>IF([Occurrence39]=0,0,SUM($HD$2:HD76))</f>
        <v>0</v>
      </c>
      <c r="HF76" s="160">
        <f>IF([chambre3]*1='CHAMBRES GARCONS RDC'!$A$47,1,0)</f>
        <v>0</v>
      </c>
      <c r="HG76" s="160">
        <f>IF([Occurrence40]=0,0,SUM($HF$2:HF76))</f>
        <v>0</v>
      </c>
      <c r="HH76" s="160">
        <f>IF([chambre3]*1='CHAMBRES GARCONS RDC'!$A$53,1,0)</f>
        <v>0</v>
      </c>
      <c r="HI76" s="160">
        <f>IF([Occurrence41]=0,0,SUM($HH$2:HH76))</f>
        <v>0</v>
      </c>
      <c r="HJ76" s="160">
        <f>IF([chambre3]*1='CHAMBRES GARCONS RDC'!$A$59,1,0)</f>
        <v>0</v>
      </c>
      <c r="HK76" s="160">
        <f>IF([Occurrence42]=0,0,SUM($HJ$2:HJ76))</f>
        <v>0</v>
      </c>
      <c r="HL76" s="160">
        <f>IF([chambre3]*1='CHAMBRES GARCONS RDC'!$A$65,1,0)</f>
        <v>0</v>
      </c>
      <c r="HM76" s="160">
        <f>IF([Occurrence43]=0,0,SUM($HL$2:HL76))</f>
        <v>0</v>
      </c>
      <c r="HN76" s="160">
        <f>IF([chambre3]*1='CHAMBRES GARCONS RDC'!$A$71,1,0)</f>
        <v>0</v>
      </c>
      <c r="HO76" s="160">
        <f>IF([Occurrence44]=0,0,SUM($HN$2:HN76))</f>
        <v>0</v>
      </c>
      <c r="HP76" s="160">
        <f>IF([chambre3]*1='CHAMBRES GARCONS RDC'!$A$77,1,0)</f>
        <v>0</v>
      </c>
      <c r="HQ76" s="160">
        <f>IF([Occurrence45]=0,0,SUM($HP$2:HP76))</f>
        <v>0</v>
      </c>
      <c r="HR76" s="160">
        <f>IF([chambre3]*1='CHAMBRES GARCONS RDC'!$A$83,1,0)</f>
        <v>0</v>
      </c>
      <c r="HS76" s="160">
        <f>IF([Occurrence46]=0,0,SUM($HR$2:HR76))</f>
        <v>0</v>
      </c>
      <c r="HT76" s="160">
        <f>IF([chambre3]*1='CHAMBRES GARCONS RDC'!$A$89,1,0)</f>
        <v>0</v>
      </c>
      <c r="HU76" s="160">
        <f>IF([Occurrence47]=0,0,SUM($HT$2:HT76))</f>
        <v>0</v>
      </c>
      <c r="HV76" s="160">
        <f>IF([chambre3]*1='CHAMBRES GARCONS RDC'!$A$95,1,0)</f>
        <v>0</v>
      </c>
      <c r="HW76" s="160">
        <f>IF([Occurrence48]=0,0,SUM($HV$2:HV76))</f>
        <v>0</v>
      </c>
      <c r="HX76" s="160"/>
      <c r="HY76" s="160"/>
      <c r="HZ76" s="160">
        <f>IF([Classe]='Liste élève par classes'!$B$5,1,0)</f>
        <v>0</v>
      </c>
      <c r="IA76" s="160">
        <f>IF([Occurrence]=0,0,SUM($HZ$2:HZ76))</f>
        <v>0</v>
      </c>
      <c r="IB7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158</v>
      </c>
      <c r="IC76" s="208"/>
    </row>
    <row r="77" spans="1:237">
      <c r="A77" t="s">
        <v>380</v>
      </c>
      <c r="B77" t="s">
        <v>381</v>
      </c>
      <c r="C77" s="158">
        <v>36613</v>
      </c>
      <c r="D77" s="62">
        <f t="shared" ca="1" si="1"/>
        <v>17</v>
      </c>
      <c r="E77" t="s">
        <v>0</v>
      </c>
      <c r="F77" s="159" t="s">
        <v>50</v>
      </c>
      <c r="G77" t="s">
        <v>45</v>
      </c>
      <c r="H77" s="160"/>
      <c r="I77" s="161"/>
      <c r="J77" s="161"/>
      <c r="K77" s="161"/>
      <c r="L77" s="160">
        <v>177</v>
      </c>
      <c r="M77">
        <v>211</v>
      </c>
      <c r="N77" s="161"/>
      <c r="O77" s="161"/>
      <c r="P77" s="161"/>
      <c r="Q77" s="161"/>
      <c r="R77" s="161"/>
      <c r="S77" s="190"/>
      <c r="T77" s="161"/>
      <c r="U77" s="160"/>
      <c r="V77" s="161"/>
      <c r="W77" s="161"/>
      <c r="X77" s="161"/>
      <c r="Y77" s="161"/>
      <c r="Z77" s="161"/>
      <c r="AA77" s="161"/>
      <c r="AB77" s="161"/>
      <c r="AC77" s="161"/>
      <c r="AD77" s="161"/>
      <c r="AE77" s="161"/>
      <c r="AF77" s="163"/>
      <c r="AG77" s="163"/>
      <c r="AH77" s="163"/>
      <c r="AI77" s="163"/>
      <c r="AJ77" s="163"/>
      <c r="AK77" s="163"/>
      <c r="AL77" s="163"/>
      <c r="AM77" s="163"/>
      <c r="AN77" s="163"/>
      <c r="AO77" s="163"/>
      <c r="AP77" s="163"/>
      <c r="AQ77" s="163"/>
      <c r="AR77" s="163"/>
      <c r="AS77" s="163"/>
      <c r="AT77" s="163"/>
      <c r="AU77" s="163"/>
      <c r="AV77" s="163"/>
      <c r="AW77" s="163"/>
      <c r="AX77" s="163"/>
      <c r="AY77" s="163"/>
      <c r="AZ77" s="163"/>
      <c r="BA77" s="163"/>
      <c r="BB77" s="163"/>
      <c r="BC77" s="163" t="b">
        <v>0</v>
      </c>
      <c r="BD77" s="163" t="b">
        <v>1</v>
      </c>
      <c r="BE77" s="163" t="b">
        <v>1</v>
      </c>
      <c r="BF77" s="163" t="b">
        <v>0</v>
      </c>
      <c r="BG77" s="164" t="b">
        <v>0</v>
      </c>
      <c r="BH77" s="163" t="b">
        <v>1</v>
      </c>
      <c r="BI77" s="163"/>
      <c r="BJ77" s="163"/>
      <c r="BK77" s="163"/>
      <c r="BL77" s="163"/>
      <c r="BM77" s="163"/>
      <c r="BN77" s="163"/>
      <c r="BO77" s="163"/>
      <c r="BP77" s="163"/>
      <c r="BQ77" s="163" t="b">
        <v>1</v>
      </c>
      <c r="BR77" s="163"/>
      <c r="BS77" s="163"/>
      <c r="BT77" s="163"/>
      <c r="BU77" s="163"/>
      <c r="BV77" s="163"/>
      <c r="BW77" s="163"/>
      <c r="BX77" s="163"/>
      <c r="BY77" s="163"/>
      <c r="BZ77" s="163"/>
      <c r="CA77" s="163"/>
      <c r="CB77" s="163"/>
      <c r="CC77" s="163"/>
      <c r="CD77" s="163"/>
      <c r="CE77" s="163"/>
      <c r="CF77" s="163"/>
      <c r="CG77" s="163"/>
      <c r="CH77" s="163"/>
      <c r="CI77" s="163"/>
      <c r="CJ77" s="163"/>
      <c r="CK77" s="163"/>
      <c r="CL77" s="163"/>
      <c r="CM77" s="163"/>
      <c r="CN77" s="163"/>
      <c r="CO77" s="163"/>
      <c r="CP77" s="163"/>
      <c r="CQ77" s="163"/>
      <c r="CR77" s="163"/>
      <c r="CS77" s="163"/>
      <c r="CT77" s="163"/>
      <c r="CU77" s="163"/>
      <c r="CV77" s="163"/>
      <c r="CW77" s="163"/>
      <c r="CX77" s="163"/>
      <c r="CY77" s="163"/>
      <c r="CZ77" s="163"/>
      <c r="DA77" s="163"/>
      <c r="DB77" s="163"/>
      <c r="DC77" s="163"/>
      <c r="DD77" s="163"/>
      <c r="DE77" s="163"/>
      <c r="DF77" s="163"/>
      <c r="DG77" s="208"/>
      <c r="DH77" s="163"/>
      <c r="DI77" s="163"/>
      <c r="DJ77" s="163"/>
      <c r="DK77" s="163"/>
      <c r="DL77" s="163"/>
      <c r="DM77" s="163"/>
      <c r="DN77" s="163"/>
      <c r="DO77" s="163"/>
      <c r="DP77" s="163"/>
      <c r="DQ77" s="163"/>
      <c r="DR77" s="163"/>
      <c r="DS77" s="163"/>
      <c r="DT77" s="163"/>
      <c r="DU77" s="163"/>
      <c r="DV77" s="163"/>
      <c r="DW77" s="163"/>
      <c r="DX77" s="163"/>
      <c r="DY77" s="163"/>
      <c r="DZ77" s="163"/>
      <c r="EA77" s="163"/>
      <c r="EB77" s="163"/>
      <c r="EC77" s="163"/>
      <c r="ED77" s="163"/>
      <c r="EE77" s="163"/>
      <c r="EF77" s="163"/>
      <c r="EG77" s="163"/>
      <c r="EH77" s="160">
        <f>IF([Chambre]*1='CHAMBRES FILLES 2e ETAGE'!$A$5,1,0)</f>
        <v>0</v>
      </c>
      <c r="EI77" s="161">
        <f>IF([Occurrence2]=0,0,SUM($EH$2:EH77))</f>
        <v>0</v>
      </c>
      <c r="EJ77" s="160">
        <f>IF([Chambre]*1='CHAMBRES FILLES 2e ETAGE'!$A$11,1,0)</f>
        <v>0</v>
      </c>
      <c r="EK77" s="160">
        <f>IF([Occurrence3]=0,0,SUM($EJ$2:EJ77))</f>
        <v>0</v>
      </c>
      <c r="EL77" s="160">
        <f>IF([Chambre]*1='CHAMBRES FILLES 2e ETAGE'!$A$17,1,0)</f>
        <v>0</v>
      </c>
      <c r="EM77" s="160">
        <f>IF([Occurrence4]=0,0,SUM($EL$2:EL77))</f>
        <v>0</v>
      </c>
      <c r="EN77" s="160">
        <f>IF([Chambre]*1='CHAMBRES FILLES 2e ETAGE'!$A$23,1,0)</f>
        <v>0</v>
      </c>
      <c r="EO77" s="160">
        <f>IF([Occurrence5]=0,0,SUM($EN$2:EN77))</f>
        <v>0</v>
      </c>
      <c r="EP77" s="160">
        <f>IF([Chambre]*1='CHAMBRES FILLES 2e ETAGE'!$A$29,1,0)</f>
        <v>0</v>
      </c>
      <c r="EQ77" s="160">
        <f>IF([Occurrence6]=0,0,SUM($EP$2:EP77))</f>
        <v>0</v>
      </c>
      <c r="ER77" s="160">
        <f>IF([Chambre]*1='CHAMBRES FILLES 2e ETAGE'!$A$35,1,0)</f>
        <v>0</v>
      </c>
      <c r="ES77" s="160">
        <f>IF([Occurrence7]=0,0,SUM($ER$2:ER77))</f>
        <v>0</v>
      </c>
      <c r="ET77" s="160">
        <f>IF([Chambre]*1='CHAMBRES FILLES 2e ETAGE'!$A$41,1,0)</f>
        <v>0</v>
      </c>
      <c r="EU77" s="160">
        <f>IF([Occurrence8]=0,0,SUM($ET$2:ET77))</f>
        <v>0</v>
      </c>
      <c r="EV77" s="160">
        <f>IF([Chambre]*1='CHAMBRES FILLES 2e ETAGE'!$A$47,1,0)</f>
        <v>0</v>
      </c>
      <c r="EW77" s="160">
        <f>IF([Occurrence9]=0,0,SUM($EV$2:EV77))</f>
        <v>0</v>
      </c>
      <c r="EX77" s="160">
        <f>IF([Chambre]*1='CHAMBRES FILLES 2e ETAGE'!$A$53,1,0)</f>
        <v>0</v>
      </c>
      <c r="EY77" s="160">
        <f>IF([Occurrence10]=0,0,SUM($EX$2:EX77))</f>
        <v>0</v>
      </c>
      <c r="EZ77" s="160">
        <f>IF([Chambre]*1='CHAMBRES FILLES 2e ETAGE'!$A$59,1,0)</f>
        <v>0</v>
      </c>
      <c r="FA77" s="160">
        <f>IF([Occurrence11]=0,0,SUM($EZ$2:EZ77))</f>
        <v>0</v>
      </c>
      <c r="FB77" s="160">
        <f>IF([Chambre]*1='CHAMBRES FILLES 2e ETAGE'!$A$65,1,0)</f>
        <v>0</v>
      </c>
      <c r="FC77" s="160">
        <f>IF([Occurrence12]=0,0,SUM($FB$2:FB77))</f>
        <v>0</v>
      </c>
      <c r="FD77" s="160">
        <f>IF([Chambre]*1='CHAMBRES FILLES 2e ETAGE'!$A$71,1,0)</f>
        <v>0</v>
      </c>
      <c r="FE77" s="160">
        <f>IF([Occurrence13]=0,0,SUM($FD$2:FD77))</f>
        <v>0</v>
      </c>
      <c r="FF77" s="160">
        <f>IF([Chambre]*1='CHAMBRES FILLES 2e ETAGE'!$A$77,1,0)</f>
        <v>0</v>
      </c>
      <c r="FG77" s="160">
        <f>IF([Occurrence14]=0,0,SUM($FF$2:FF77))</f>
        <v>0</v>
      </c>
      <c r="FH77" s="160">
        <f>IF([Chambre]*1='CHAMBRES FILLES 2e ETAGE'!$A$83,1,0)</f>
        <v>1</v>
      </c>
      <c r="FI77" s="160">
        <f>IF([Occurrence15]=0,0,SUM($FH$2:FH77))</f>
        <v>2</v>
      </c>
      <c r="FJ77" s="160">
        <f>IF([Chambre]*1='CHAMBRES FILLES 2e ETAGE'!$A$89,1,0)</f>
        <v>0</v>
      </c>
      <c r="FK77" s="160">
        <f>IF([Occurrence16]=0,0,SUM($FJ$2:FJ77))</f>
        <v>0</v>
      </c>
      <c r="FL77" s="160">
        <f>IF([Chambre]*1='CHAMBRES FILLES 2e ETAGE'!$A$95,1,0)</f>
        <v>0</v>
      </c>
      <c r="FM77" s="160">
        <f>IF([Occurrence17]=0,0,SUM($FL$2:FL77))</f>
        <v>0</v>
      </c>
      <c r="FN77" s="160">
        <f>IF([Chambre2]*1='CHAMBRES FILLES 1e ETAGE'!$A$5,1,0)</f>
        <v>0</v>
      </c>
      <c r="FO77" s="160">
        <f>IF([Occurrence18]=0,0,SUM($FN$2:FN77))</f>
        <v>0</v>
      </c>
      <c r="FP77" s="160">
        <f>IF([Chambre2]*1='CHAMBRES FILLES 1e ETAGE'!$A$11,1,0)</f>
        <v>0</v>
      </c>
      <c r="FQ77" s="160">
        <f>IF([Occurrence19]=0,0,SUM($FP$2:FP77))</f>
        <v>0</v>
      </c>
      <c r="FR77" s="160">
        <f>IF([Chambre2]*1='CHAMBRES FILLES 1e ETAGE'!$A$17,1,0)</f>
        <v>0</v>
      </c>
      <c r="FS77" s="160">
        <f>IF([Occurrence20]=0,0,SUM($FR$2:FR77))</f>
        <v>0</v>
      </c>
      <c r="FT77" s="160">
        <f>IF([Chambre2]*1='CHAMBRES FILLES 1e ETAGE'!$A$23,1,0)</f>
        <v>0</v>
      </c>
      <c r="FU77" s="160">
        <f>IF([Occurrence21]=0,0,SUM($FT$2:FT77))</f>
        <v>0</v>
      </c>
      <c r="FV77" s="160">
        <f>IF([Chambre2]*1='CHAMBRES FILLES 1e ETAGE'!$A$29,1,0)</f>
        <v>0</v>
      </c>
      <c r="FW77" s="160">
        <f>IF([Occurrence22]=0,0,SUM($FV$2:FV77))</f>
        <v>0</v>
      </c>
      <c r="FX77" s="160">
        <f>IF([Chambre2]*1='CHAMBRES FILLES 1e ETAGE'!$A$35,1,0)</f>
        <v>0</v>
      </c>
      <c r="FY77" s="160">
        <f>IF([Occurrence23]=0,0,SUM($FX$2:FX77))</f>
        <v>0</v>
      </c>
      <c r="FZ77" s="160">
        <f>IF([Chambre2]*1='CHAMBRES FILLES 1e ETAGE'!$A$41,1,0)</f>
        <v>0</v>
      </c>
      <c r="GA77" s="160">
        <f>IF([Occurrence24]=0,0,SUM($FZ$2:FZ77))</f>
        <v>0</v>
      </c>
      <c r="GB77" s="160">
        <f>IF([Chambre2]*1='CHAMBRES FILLES 1e ETAGE'!$A$47,1,0)</f>
        <v>0</v>
      </c>
      <c r="GC77" s="160">
        <f>IF([Occurrence25]=0,0,SUM($GB$2:GB77))</f>
        <v>0</v>
      </c>
      <c r="GD77" s="160">
        <f>IF([Chambre2]*1='CHAMBRES FILLES 1e ETAGE'!$A$53,1,0)</f>
        <v>0</v>
      </c>
      <c r="GE77" s="160">
        <f>IF([Occurrence26]=0,0,SUM($GD$2:GD77))</f>
        <v>0</v>
      </c>
      <c r="GF77" s="160">
        <f>IF([chambre4]*1='CHAMBRES GARCONS 1e ETAGE'!$A$5,1,0)</f>
        <v>0</v>
      </c>
      <c r="GG77" s="160">
        <f>IF([Occurrence27]=0,0,SUM($GF$2:GF77))</f>
        <v>0</v>
      </c>
      <c r="GH77" s="160">
        <f>IF([chambre4]*1='CHAMBRES GARCONS 1e ETAGE'!$A$11,1,0)</f>
        <v>0</v>
      </c>
      <c r="GI77" s="160">
        <f>IF([Occurrence28]=0,0,SUM($GH$2:GH77))</f>
        <v>0</v>
      </c>
      <c r="GJ77" s="160">
        <f>IF([chambre4]*1='CHAMBRES GARCONS 1e ETAGE'!$A$17,1,0)</f>
        <v>0</v>
      </c>
      <c r="GK77" s="160">
        <f>IF([Occurrence29]=0,0,SUM($GJ$2:GJ77))</f>
        <v>0</v>
      </c>
      <c r="GL77" s="160">
        <f>IF([chambre4]*1='CHAMBRES GARCONS 1e ETAGE'!$A$23,1,0)</f>
        <v>0</v>
      </c>
      <c r="GM77" s="160">
        <f>IF([Occurrence30]=0,0,SUM($GL$2:GL77))</f>
        <v>0</v>
      </c>
      <c r="GN77" s="160">
        <f>IF([chambre4]*1='CHAMBRES GARCONS 1e ETAGE'!$A$29,1,0)</f>
        <v>0</v>
      </c>
      <c r="GO77" s="160">
        <f>IF([Occurrence31]=0,0,SUM($GN$2:GN77))</f>
        <v>0</v>
      </c>
      <c r="GP77" s="160">
        <f>IF([chambre4]*1='CHAMBRES GARCONS 1e ETAGE'!$A$35,1,0)</f>
        <v>0</v>
      </c>
      <c r="GQ77" s="160">
        <f>IF([Occurrence32]=0,0,SUM($GP$2:GP77))</f>
        <v>0</v>
      </c>
      <c r="GR77" s="160">
        <f>IF([chambre3]*1='CHAMBRES GARCONS RDC'!$A$5,1,0)</f>
        <v>0</v>
      </c>
      <c r="GS77" s="160">
        <f>IF([Occurrence33]=0,0,SUM($GR$2:GR77))</f>
        <v>0</v>
      </c>
      <c r="GT77" s="160">
        <f>IF([chambre3]*1='CHAMBRES GARCONS RDC'!$A$11,1,0)</f>
        <v>0</v>
      </c>
      <c r="GU77" s="160">
        <f>IF([Occurrence34]=0,0,SUM($GT$2:GT77))</f>
        <v>0</v>
      </c>
      <c r="GV77" s="160">
        <f>IF([chambre3]*1='CHAMBRES GARCONS RDC'!$A$17,1,0)</f>
        <v>0</v>
      </c>
      <c r="GW77" s="160">
        <f>IF([Occurrence35]=0,0,SUM($GV$2:GV77))</f>
        <v>0</v>
      </c>
      <c r="GX77" s="160">
        <f>IF([chambre3]*1='CHAMBRES GARCONS RDC'!$A$23,1,0)</f>
        <v>0</v>
      </c>
      <c r="GY77" s="160">
        <f>IF([Occurrence36]=0,0,SUM($GX$2:GX77))</f>
        <v>0</v>
      </c>
      <c r="GZ77" s="160">
        <f>IF([chambre3]*1='CHAMBRES GARCONS RDC'!$A$29,1,0)</f>
        <v>0</v>
      </c>
      <c r="HA77" s="160">
        <f>IF([Occurrence37]=0,0,SUM($GZ$2:GZ77))</f>
        <v>0</v>
      </c>
      <c r="HB77" s="160">
        <f>IF([chambre3]*1='CHAMBRES GARCONS RDC'!$A$35,1,0)</f>
        <v>0</v>
      </c>
      <c r="HC77" s="160">
        <f>IF([Occurrence38]=0,0,SUM($HB$2:HB77))</f>
        <v>0</v>
      </c>
      <c r="HD77" s="160">
        <f>IF([chambre3]*1='CHAMBRES GARCONS RDC'!$A$41,1,0)</f>
        <v>0</v>
      </c>
      <c r="HE77" s="160">
        <f>IF([Occurrence39]=0,0,SUM($HD$2:HD77))</f>
        <v>0</v>
      </c>
      <c r="HF77" s="160">
        <f>IF([chambre3]*1='CHAMBRES GARCONS RDC'!$A$47,1,0)</f>
        <v>0</v>
      </c>
      <c r="HG77" s="160">
        <f>IF([Occurrence40]=0,0,SUM($HF$2:HF77))</f>
        <v>0</v>
      </c>
      <c r="HH77" s="160">
        <f>IF([chambre3]*1='CHAMBRES GARCONS RDC'!$A$53,1,0)</f>
        <v>0</v>
      </c>
      <c r="HI77" s="160">
        <f>IF([Occurrence41]=0,0,SUM($HH$2:HH77))</f>
        <v>0</v>
      </c>
      <c r="HJ77" s="160">
        <f>IF([chambre3]*1='CHAMBRES GARCONS RDC'!$A$59,1,0)</f>
        <v>0</v>
      </c>
      <c r="HK77" s="160">
        <f>IF([Occurrence42]=0,0,SUM($HJ$2:HJ77))</f>
        <v>0</v>
      </c>
      <c r="HL77" s="160">
        <f>IF([chambre3]*1='CHAMBRES GARCONS RDC'!$A$65,1,0)</f>
        <v>0</v>
      </c>
      <c r="HM77" s="160">
        <f>IF([Occurrence43]=0,0,SUM($HL$2:HL77))</f>
        <v>0</v>
      </c>
      <c r="HN77" s="160">
        <f>IF([chambre3]*1='CHAMBRES GARCONS RDC'!$A$71,1,0)</f>
        <v>0</v>
      </c>
      <c r="HO77" s="160">
        <f>IF([Occurrence44]=0,0,SUM($HN$2:HN77))</f>
        <v>0</v>
      </c>
      <c r="HP77" s="160">
        <f>IF([chambre3]*1='CHAMBRES GARCONS RDC'!$A$77,1,0)</f>
        <v>0</v>
      </c>
      <c r="HQ77" s="160">
        <f>IF([Occurrence45]=0,0,SUM($HP$2:HP77))</f>
        <v>0</v>
      </c>
      <c r="HR77" s="160">
        <f>IF([chambre3]*1='CHAMBRES GARCONS RDC'!$A$83,1,0)</f>
        <v>0</v>
      </c>
      <c r="HS77" s="160">
        <f>IF([Occurrence46]=0,0,SUM($HR$2:HR77))</f>
        <v>0</v>
      </c>
      <c r="HT77" s="160">
        <f>IF([chambre3]*1='CHAMBRES GARCONS RDC'!$A$89,1,0)</f>
        <v>0</v>
      </c>
      <c r="HU77" s="160">
        <f>IF([Occurrence47]=0,0,SUM($HT$2:HT77))</f>
        <v>0</v>
      </c>
      <c r="HV77" s="160">
        <f>IF([chambre3]*1='CHAMBRES GARCONS RDC'!$A$95,1,0)</f>
        <v>0</v>
      </c>
      <c r="HW77" s="160">
        <f>IF([Occurrence48]=0,0,SUM($HV$2:HV77))</f>
        <v>0</v>
      </c>
      <c r="HX77" s="160"/>
      <c r="HY77" s="160"/>
      <c r="HZ77" s="160">
        <f>IF([Classe]='Liste élève par classes'!$B$5,1,0)</f>
        <v>0</v>
      </c>
      <c r="IA77" s="160">
        <f>IF([Occurrence]=0,0,SUM($HZ$2:HZ77))</f>
        <v>0</v>
      </c>
      <c r="IB7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177</v>
      </c>
      <c r="IC77" s="208"/>
    </row>
    <row r="78" spans="1:237">
      <c r="A78" t="s">
        <v>382</v>
      </c>
      <c r="B78" t="s">
        <v>383</v>
      </c>
      <c r="C78" s="158">
        <v>36447</v>
      </c>
      <c r="D78" s="62">
        <f t="shared" ca="1" si="1"/>
        <v>18</v>
      </c>
      <c r="E78" t="s">
        <v>3</v>
      </c>
      <c r="F78" s="165" t="s">
        <v>46</v>
      </c>
      <c r="G78" t="s">
        <v>45</v>
      </c>
      <c r="H78" s="160"/>
      <c r="I78" s="62"/>
      <c r="J78" s="62"/>
      <c r="K78" s="62"/>
      <c r="L78" s="61"/>
      <c r="M78" s="62"/>
      <c r="N78" s="62"/>
      <c r="O78" s="62"/>
      <c r="P78" s="62"/>
      <c r="Q78" s="62"/>
      <c r="R78" s="62"/>
      <c r="S78" s="62"/>
      <c r="T78" s="62"/>
      <c r="U78" s="61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163"/>
      <c r="AG78" s="163"/>
      <c r="AH78" s="163"/>
      <c r="AI78" s="163"/>
      <c r="AJ78" s="163"/>
      <c r="AK78" s="163"/>
      <c r="AL78" s="163"/>
      <c r="AM78" s="163"/>
      <c r="AN78" s="163"/>
      <c r="AO78" s="163"/>
      <c r="AP78" s="163"/>
      <c r="AQ78" s="163"/>
      <c r="AR78" s="163"/>
      <c r="AS78" s="163"/>
      <c r="AT78" s="163"/>
      <c r="AU78" s="163"/>
      <c r="AV78" s="163"/>
      <c r="AW78" s="163"/>
      <c r="AX78" s="163"/>
      <c r="AY78" s="163"/>
      <c r="AZ78" s="163"/>
      <c r="BA78" s="163"/>
      <c r="BB78" s="163"/>
      <c r="BC78" s="163" t="b">
        <v>0</v>
      </c>
      <c r="BD78" s="163" t="b">
        <v>0</v>
      </c>
      <c r="BE78" s="163" t="b">
        <v>0</v>
      </c>
      <c r="BF78" s="163" t="b">
        <v>0</v>
      </c>
      <c r="BG78" s="163" t="b">
        <v>0</v>
      </c>
      <c r="BH78" s="163" t="b">
        <v>0</v>
      </c>
      <c r="BI78" s="163" t="b">
        <v>1</v>
      </c>
      <c r="BJ78" s="163" t="b">
        <v>0</v>
      </c>
      <c r="BK78" s="163" t="b">
        <v>0</v>
      </c>
      <c r="BL78" s="163" t="b">
        <v>0</v>
      </c>
      <c r="BM78" s="163"/>
      <c r="BN78" s="163"/>
      <c r="BO78" s="163"/>
      <c r="BP78" s="163"/>
      <c r="BQ78" s="163"/>
      <c r="BR78" s="163"/>
      <c r="BS78" s="163"/>
      <c r="BT78" s="163"/>
      <c r="BU78" s="163"/>
      <c r="BV78" s="163"/>
      <c r="BW78" s="163"/>
      <c r="BX78" s="163"/>
      <c r="BY78" s="163"/>
      <c r="BZ78" s="163"/>
      <c r="CA78" s="163"/>
      <c r="CB78" s="163"/>
      <c r="CC78" s="163"/>
      <c r="CD78" s="163"/>
      <c r="CE78" s="163"/>
      <c r="CF78" s="163"/>
      <c r="CG78" s="163"/>
      <c r="CH78" s="163"/>
      <c r="CI78" s="163"/>
      <c r="CJ78" s="163"/>
      <c r="CK78" s="163"/>
      <c r="CL78" s="163"/>
      <c r="CM78" s="163"/>
      <c r="CN78" s="163"/>
      <c r="CO78" s="163"/>
      <c r="CP78" s="163"/>
      <c r="CQ78" s="163"/>
      <c r="CR78" s="163"/>
      <c r="CS78" s="163"/>
      <c r="CT78" s="163"/>
      <c r="CU78" s="163"/>
      <c r="CV78" s="163"/>
      <c r="CW78" s="163"/>
      <c r="CX78" s="163"/>
      <c r="CY78" s="163"/>
      <c r="CZ78" s="163"/>
      <c r="DA78" s="163"/>
      <c r="DB78" s="163"/>
      <c r="DC78" s="163"/>
      <c r="DD78" s="163"/>
      <c r="DE78" s="163"/>
      <c r="DF78" s="163"/>
      <c r="DG78" s="163"/>
      <c r="DH78" s="163"/>
      <c r="DI78" s="163"/>
      <c r="DJ78" s="163"/>
      <c r="DK78" s="163"/>
      <c r="DL78" s="163"/>
      <c r="DM78" s="163"/>
      <c r="DN78" s="163"/>
      <c r="DO78" s="163"/>
      <c r="DP78" s="163"/>
      <c r="DQ78" s="163"/>
      <c r="DR78" s="163"/>
      <c r="DS78" s="163"/>
      <c r="DT78" s="163"/>
      <c r="DU78" s="163"/>
      <c r="DV78" s="163"/>
      <c r="DW78" s="163"/>
      <c r="DX78" s="163"/>
      <c r="DY78" s="163"/>
      <c r="DZ78" s="163"/>
      <c r="EA78" s="163"/>
      <c r="EB78" s="163"/>
      <c r="EC78" s="163"/>
      <c r="ED78" s="163"/>
      <c r="EE78" s="163"/>
      <c r="EF78" s="163"/>
      <c r="EG78" s="163"/>
      <c r="EH78" s="160">
        <f>IF([Chambre]*1='CHAMBRES FILLES 2e ETAGE'!$A$5,1,0)</f>
        <v>0</v>
      </c>
      <c r="EI78" s="161">
        <f>IF([Occurrence2]=0,0,SUM($EH$2:EH78))</f>
        <v>0</v>
      </c>
      <c r="EJ78" s="160">
        <f>IF([Chambre]*1='CHAMBRES FILLES 2e ETAGE'!$A$11,1,0)</f>
        <v>0</v>
      </c>
      <c r="EK78" s="160">
        <f>IF([Occurrence3]=0,0,SUM($EJ$2:EJ78))</f>
        <v>0</v>
      </c>
      <c r="EL78" s="160">
        <f>IF([Chambre]*1='CHAMBRES FILLES 2e ETAGE'!$A$17,1,0)</f>
        <v>0</v>
      </c>
      <c r="EM78" s="160">
        <f>IF([Occurrence4]=0,0,SUM($EL$2:EL78))</f>
        <v>0</v>
      </c>
      <c r="EN78" s="160">
        <f>IF([Chambre]*1='CHAMBRES FILLES 2e ETAGE'!$A$23,1,0)</f>
        <v>0</v>
      </c>
      <c r="EO78" s="160">
        <f>IF([Occurrence5]=0,0,SUM($EN$2:EN78))</f>
        <v>0</v>
      </c>
      <c r="EP78" s="160">
        <f>IF([Chambre]*1='CHAMBRES FILLES 2e ETAGE'!$A$29,1,0)</f>
        <v>0</v>
      </c>
      <c r="EQ78" s="160">
        <f>IF([Occurrence6]=0,0,SUM($EP$2:EP78))</f>
        <v>0</v>
      </c>
      <c r="ER78" s="160">
        <f>IF([Chambre]*1='CHAMBRES FILLES 2e ETAGE'!$A$35,1,0)</f>
        <v>0</v>
      </c>
      <c r="ES78" s="160">
        <f>IF([Occurrence7]=0,0,SUM($ER$2:ER78))</f>
        <v>0</v>
      </c>
      <c r="ET78" s="160">
        <f>IF([Chambre]*1='CHAMBRES FILLES 2e ETAGE'!$A$41,1,0)</f>
        <v>0</v>
      </c>
      <c r="EU78" s="160">
        <f>IF([Occurrence8]=0,0,SUM($ET$2:ET78))</f>
        <v>0</v>
      </c>
      <c r="EV78" s="160">
        <f>IF([Chambre]*1='CHAMBRES FILLES 2e ETAGE'!$A$47,1,0)</f>
        <v>0</v>
      </c>
      <c r="EW78" s="160">
        <f>IF([Occurrence9]=0,0,SUM($EV$2:EV78))</f>
        <v>0</v>
      </c>
      <c r="EX78" s="160">
        <f>IF([Chambre]*1='CHAMBRES FILLES 2e ETAGE'!$A$53,1,0)</f>
        <v>0</v>
      </c>
      <c r="EY78" s="160">
        <f>IF([Occurrence10]=0,0,SUM($EX$2:EX78))</f>
        <v>0</v>
      </c>
      <c r="EZ78" s="160">
        <f>IF([Chambre]*1='CHAMBRES FILLES 2e ETAGE'!$A$59,1,0)</f>
        <v>0</v>
      </c>
      <c r="FA78" s="160">
        <f>IF([Occurrence11]=0,0,SUM($EZ$2:EZ78))</f>
        <v>0</v>
      </c>
      <c r="FB78" s="160">
        <f>IF([Chambre]*1='CHAMBRES FILLES 2e ETAGE'!$A$65,1,0)</f>
        <v>0</v>
      </c>
      <c r="FC78" s="160">
        <f>IF([Occurrence12]=0,0,SUM($FB$2:FB78))</f>
        <v>0</v>
      </c>
      <c r="FD78" s="160">
        <f>IF([Chambre]*1='CHAMBRES FILLES 2e ETAGE'!$A$71,1,0)</f>
        <v>0</v>
      </c>
      <c r="FE78" s="160">
        <f>IF([Occurrence13]=0,0,SUM($FD$2:FD78))</f>
        <v>0</v>
      </c>
      <c r="FF78" s="160">
        <f>IF([Chambre]*1='CHAMBRES FILLES 2e ETAGE'!$A$77,1,0)</f>
        <v>0</v>
      </c>
      <c r="FG78" s="160">
        <f>IF([Occurrence14]=0,0,SUM($FF$2:FF78))</f>
        <v>0</v>
      </c>
      <c r="FH78" s="160">
        <f>IF([Chambre]*1='CHAMBRES FILLES 2e ETAGE'!$A$83,1,0)</f>
        <v>0</v>
      </c>
      <c r="FI78" s="160">
        <f>IF([Occurrence15]=0,0,SUM($FH$2:FH78))</f>
        <v>0</v>
      </c>
      <c r="FJ78" s="160">
        <f>IF([Chambre]*1='CHAMBRES FILLES 2e ETAGE'!$A$89,1,0)</f>
        <v>0</v>
      </c>
      <c r="FK78" s="160">
        <f>IF([Occurrence16]=0,0,SUM($FJ$2:FJ78))</f>
        <v>0</v>
      </c>
      <c r="FL78" s="160">
        <f>IF([Chambre]*1='CHAMBRES FILLES 2e ETAGE'!$A$95,1,0)</f>
        <v>0</v>
      </c>
      <c r="FM78" s="160">
        <f>IF([Occurrence17]=0,0,SUM($FL$2:FL78))</f>
        <v>0</v>
      </c>
      <c r="FN78" s="160">
        <f>IF([Chambre2]*1='CHAMBRES FILLES 1e ETAGE'!$A$5,1,0)</f>
        <v>0</v>
      </c>
      <c r="FO78" s="160">
        <f>IF([Occurrence18]=0,0,SUM($FN$2:FN78))</f>
        <v>0</v>
      </c>
      <c r="FP78" s="160">
        <f>IF([Chambre2]*1='CHAMBRES FILLES 1e ETAGE'!$A$11,1,0)</f>
        <v>0</v>
      </c>
      <c r="FQ78" s="160">
        <f>IF([Occurrence19]=0,0,SUM($FP$2:FP78))</f>
        <v>0</v>
      </c>
      <c r="FR78" s="160">
        <f>IF([Chambre2]*1='CHAMBRES FILLES 1e ETAGE'!$A$17,1,0)</f>
        <v>0</v>
      </c>
      <c r="FS78" s="160">
        <f>IF([Occurrence20]=0,0,SUM($FR$2:FR78))</f>
        <v>0</v>
      </c>
      <c r="FT78" s="160">
        <f>IF([Chambre2]*1='CHAMBRES FILLES 1e ETAGE'!$A$23,1,0)</f>
        <v>0</v>
      </c>
      <c r="FU78" s="160">
        <f>IF([Occurrence21]=0,0,SUM($FT$2:FT78))</f>
        <v>0</v>
      </c>
      <c r="FV78" s="160">
        <f>IF([Chambre2]*1='CHAMBRES FILLES 1e ETAGE'!$A$29,1,0)</f>
        <v>0</v>
      </c>
      <c r="FW78" s="160">
        <f>IF([Occurrence22]=0,0,SUM($FV$2:FV78))</f>
        <v>0</v>
      </c>
      <c r="FX78" s="160">
        <f>IF([Chambre2]*1='CHAMBRES FILLES 1e ETAGE'!$A$35,1,0)</f>
        <v>0</v>
      </c>
      <c r="FY78" s="160">
        <f>IF([Occurrence23]=0,0,SUM($FX$2:FX78))</f>
        <v>0</v>
      </c>
      <c r="FZ78" s="160">
        <f>IF([Chambre2]*1='CHAMBRES FILLES 1e ETAGE'!$A$41,1,0)</f>
        <v>0</v>
      </c>
      <c r="GA78" s="160">
        <f>IF([Occurrence24]=0,0,SUM($FZ$2:FZ78))</f>
        <v>0</v>
      </c>
      <c r="GB78" s="160">
        <f>IF([Chambre2]*1='CHAMBRES FILLES 1e ETAGE'!$A$47,1,0)</f>
        <v>0</v>
      </c>
      <c r="GC78" s="160">
        <f>IF([Occurrence25]=0,0,SUM($GB$2:GB78))</f>
        <v>0</v>
      </c>
      <c r="GD78" s="160">
        <f>IF([Chambre2]*1='CHAMBRES FILLES 1e ETAGE'!$A$53,1,0)</f>
        <v>0</v>
      </c>
      <c r="GE78" s="160">
        <f>IF([Occurrence26]=0,0,SUM($GD$2:GD78))</f>
        <v>0</v>
      </c>
      <c r="GF78" s="160">
        <f>IF([chambre4]*1='CHAMBRES GARCONS 1e ETAGE'!$A$5,1,0)</f>
        <v>0</v>
      </c>
      <c r="GG78" s="160">
        <f>IF([Occurrence27]=0,0,SUM($GF$2:GF78))</f>
        <v>0</v>
      </c>
      <c r="GH78" s="160">
        <f>IF([chambre4]*1='CHAMBRES GARCONS 1e ETAGE'!$A$11,1,0)</f>
        <v>0</v>
      </c>
      <c r="GI78" s="160">
        <f>IF([Occurrence28]=0,0,SUM($GH$2:GH78))</f>
        <v>0</v>
      </c>
      <c r="GJ78" s="160">
        <f>IF([chambre4]*1='CHAMBRES GARCONS 1e ETAGE'!$A$17,1,0)</f>
        <v>0</v>
      </c>
      <c r="GK78" s="160">
        <f>IF([Occurrence29]=0,0,SUM($GJ$2:GJ78))</f>
        <v>0</v>
      </c>
      <c r="GL78" s="160">
        <f>IF([chambre4]*1='CHAMBRES GARCONS 1e ETAGE'!$A$23,1,0)</f>
        <v>0</v>
      </c>
      <c r="GM78" s="160">
        <f>IF([Occurrence30]=0,0,SUM($GL$2:GL78))</f>
        <v>0</v>
      </c>
      <c r="GN78" s="160">
        <f>IF([chambre4]*1='CHAMBRES GARCONS 1e ETAGE'!$A$29,1,0)</f>
        <v>0</v>
      </c>
      <c r="GO78" s="160">
        <f>IF([Occurrence31]=0,0,SUM($GN$2:GN78))</f>
        <v>0</v>
      </c>
      <c r="GP78" s="160">
        <f>IF([chambre4]*1='CHAMBRES GARCONS 1e ETAGE'!$A$35,1,0)</f>
        <v>0</v>
      </c>
      <c r="GQ78" s="160">
        <f>IF([Occurrence32]=0,0,SUM($GP$2:GP78))</f>
        <v>0</v>
      </c>
      <c r="GR78" s="160">
        <f>IF([chambre3]*1='CHAMBRES GARCONS RDC'!$A$5,1,0)</f>
        <v>0</v>
      </c>
      <c r="GS78" s="160">
        <f>IF([Occurrence33]=0,0,SUM($GR$2:GR78))</f>
        <v>0</v>
      </c>
      <c r="GT78" s="160">
        <f>IF([chambre3]*1='CHAMBRES GARCONS RDC'!$A$11,1,0)</f>
        <v>0</v>
      </c>
      <c r="GU78" s="160">
        <f>IF([Occurrence34]=0,0,SUM($GT$2:GT78))</f>
        <v>0</v>
      </c>
      <c r="GV78" s="160">
        <f>IF([chambre3]*1='CHAMBRES GARCONS RDC'!$A$17,1,0)</f>
        <v>0</v>
      </c>
      <c r="GW78" s="160">
        <f>IF([Occurrence35]=0,0,SUM($GV$2:GV78))</f>
        <v>0</v>
      </c>
      <c r="GX78" s="160">
        <f>IF([chambre3]*1='CHAMBRES GARCONS RDC'!$A$23,1,0)</f>
        <v>0</v>
      </c>
      <c r="GY78" s="160">
        <f>IF([Occurrence36]=0,0,SUM($GX$2:GX78))</f>
        <v>0</v>
      </c>
      <c r="GZ78" s="160">
        <f>IF([chambre3]*1='CHAMBRES GARCONS RDC'!$A$29,1,0)</f>
        <v>0</v>
      </c>
      <c r="HA78" s="160">
        <f>IF([Occurrence37]=0,0,SUM($GZ$2:GZ78))</f>
        <v>0</v>
      </c>
      <c r="HB78" s="160">
        <f>IF([chambre3]*1='CHAMBRES GARCONS RDC'!$A$35,1,0)</f>
        <v>0</v>
      </c>
      <c r="HC78" s="160">
        <f>IF([Occurrence38]=0,0,SUM($HB$2:HB78))</f>
        <v>0</v>
      </c>
      <c r="HD78" s="160">
        <f>IF([chambre3]*1='CHAMBRES GARCONS RDC'!$A$41,1,0)</f>
        <v>0</v>
      </c>
      <c r="HE78" s="160">
        <f>IF([Occurrence39]=0,0,SUM($HD$2:HD78))</f>
        <v>0</v>
      </c>
      <c r="HF78" s="160">
        <f>IF([chambre3]*1='CHAMBRES GARCONS RDC'!$A$47,1,0)</f>
        <v>0</v>
      </c>
      <c r="HG78" s="160">
        <f>IF([Occurrence40]=0,0,SUM($HF$2:HF78))</f>
        <v>0</v>
      </c>
      <c r="HH78" s="160">
        <f>IF([chambre3]*1='CHAMBRES GARCONS RDC'!$A$53,1,0)</f>
        <v>0</v>
      </c>
      <c r="HI78" s="160">
        <f>IF([Occurrence41]=0,0,SUM($HH$2:HH78))</f>
        <v>0</v>
      </c>
      <c r="HJ78" s="160">
        <f>IF([chambre3]*1='CHAMBRES GARCONS RDC'!$A$59,1,0)</f>
        <v>0</v>
      </c>
      <c r="HK78" s="160">
        <f>IF([Occurrence42]=0,0,SUM($HJ$2:HJ78))</f>
        <v>0</v>
      </c>
      <c r="HL78" s="160">
        <f>IF([chambre3]*1='CHAMBRES GARCONS RDC'!$A$65,1,0)</f>
        <v>0</v>
      </c>
      <c r="HM78" s="160">
        <f>IF([Occurrence43]=0,0,SUM($HL$2:HL78))</f>
        <v>0</v>
      </c>
      <c r="HN78" s="160">
        <f>IF([chambre3]*1='CHAMBRES GARCONS RDC'!$A$71,1,0)</f>
        <v>0</v>
      </c>
      <c r="HO78" s="160">
        <f>IF([Occurrence44]=0,0,SUM($HN$2:HN78))</f>
        <v>0</v>
      </c>
      <c r="HP78" s="160">
        <f>IF([chambre3]*1='CHAMBRES GARCONS RDC'!$A$77,1,0)</f>
        <v>0</v>
      </c>
      <c r="HQ78" s="160">
        <f>IF([Occurrence45]=0,0,SUM($HP$2:HP78))</f>
        <v>0</v>
      </c>
      <c r="HR78" s="160">
        <f>IF([chambre3]*1='CHAMBRES GARCONS RDC'!$A$83,1,0)</f>
        <v>0</v>
      </c>
      <c r="HS78" s="160">
        <f>IF([Occurrence46]=0,0,SUM($HR$2:HR78))</f>
        <v>0</v>
      </c>
      <c r="HT78" s="160">
        <f>IF([chambre3]*1='CHAMBRES GARCONS RDC'!$A$89,1,0)</f>
        <v>0</v>
      </c>
      <c r="HU78" s="160">
        <f>IF([Occurrence47]=0,0,SUM($HT$2:HT78))</f>
        <v>0</v>
      </c>
      <c r="HV78" s="160">
        <f>IF([chambre3]*1='CHAMBRES GARCONS RDC'!$A$95,1,0)</f>
        <v>0</v>
      </c>
      <c r="HW78" s="160">
        <f>IF([Occurrence48]=0,0,SUM($HV$2:HV78))</f>
        <v>0</v>
      </c>
      <c r="HX78" s="160"/>
      <c r="HY78" s="160"/>
      <c r="HZ78" s="160">
        <f>IF([Classe]='Liste élève par classes'!$B$5,1,0)</f>
        <v>0</v>
      </c>
      <c r="IA78" s="160">
        <f>IF([Occurrence]=0,0,SUM($HZ$2:HZ78))</f>
        <v>0</v>
      </c>
      <c r="IB7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78" s="208"/>
    </row>
    <row r="79" spans="1:237">
      <c r="A79" t="s">
        <v>384</v>
      </c>
      <c r="B79" t="s">
        <v>275</v>
      </c>
      <c r="C79" s="158">
        <v>36990</v>
      </c>
      <c r="D79" s="62">
        <f t="shared" ca="1" si="1"/>
        <v>16</v>
      </c>
      <c r="E79" t="s">
        <v>7</v>
      </c>
      <c r="F79" s="159" t="s">
        <v>50</v>
      </c>
      <c r="G79" t="s">
        <v>40</v>
      </c>
      <c r="H79" s="160"/>
      <c r="I79" s="62"/>
      <c r="J79" s="62" t="s">
        <v>244</v>
      </c>
      <c r="K79" s="62"/>
      <c r="L79" s="61"/>
      <c r="M79">
        <v>8</v>
      </c>
      <c r="N79" s="62" t="s">
        <v>244</v>
      </c>
      <c r="O79" s="62" t="s">
        <v>244</v>
      </c>
      <c r="P79" s="62" t="s">
        <v>244</v>
      </c>
      <c r="Q79" s="62" t="s">
        <v>244</v>
      </c>
      <c r="R79" s="62" t="s">
        <v>244</v>
      </c>
      <c r="S79" s="191"/>
      <c r="T79" s="62" t="s">
        <v>244</v>
      </c>
      <c r="U79" s="61"/>
      <c r="V79" s="62" t="s">
        <v>244</v>
      </c>
      <c r="W79" s="62" t="s">
        <v>244</v>
      </c>
      <c r="X79" s="62" t="s">
        <v>244</v>
      </c>
      <c r="Y79" s="62" t="s">
        <v>244</v>
      </c>
      <c r="Z79" s="62" t="s">
        <v>244</v>
      </c>
      <c r="AA79" s="62" t="s">
        <v>244</v>
      </c>
      <c r="AB79" s="62" t="s">
        <v>244</v>
      </c>
      <c r="AC79" s="62" t="s">
        <v>244</v>
      </c>
      <c r="AD79" s="62" t="s">
        <v>244</v>
      </c>
      <c r="AE79" s="62" t="s">
        <v>244</v>
      </c>
      <c r="AF79" s="163" t="s">
        <v>244</v>
      </c>
      <c r="AG79" s="163" t="s">
        <v>244</v>
      </c>
      <c r="AH79" s="163" t="s">
        <v>244</v>
      </c>
      <c r="AI79" s="163"/>
      <c r="AJ79" s="163"/>
      <c r="AK79" s="163"/>
      <c r="AL79" s="163"/>
      <c r="AM79" s="163"/>
      <c r="AN79" s="163"/>
      <c r="AO79" s="163"/>
      <c r="AP79" s="163"/>
      <c r="AQ79" s="163"/>
      <c r="AR79" s="163"/>
      <c r="AS79" s="163"/>
      <c r="AT79" s="163"/>
      <c r="AU79" s="163"/>
      <c r="AV79" s="163"/>
      <c r="AW79" s="163"/>
      <c r="AX79" s="163"/>
      <c r="AY79" s="163"/>
      <c r="AZ79" s="163"/>
      <c r="BA79" s="163"/>
      <c r="BB79" s="163"/>
      <c r="BC79" s="163" t="b">
        <v>0</v>
      </c>
      <c r="BD79" s="163" t="b">
        <v>1</v>
      </c>
      <c r="BE79" s="163" t="b">
        <v>1</v>
      </c>
      <c r="BF79" s="163" t="b">
        <v>0</v>
      </c>
      <c r="BG79" s="164" t="b">
        <v>0</v>
      </c>
      <c r="BH79" s="163" t="b">
        <v>1</v>
      </c>
      <c r="BI79" s="163"/>
      <c r="BJ79" s="163"/>
      <c r="BK79" s="163"/>
      <c r="BL79" s="163"/>
      <c r="BM79" s="163"/>
      <c r="BN79" s="163"/>
      <c r="BO79" s="163"/>
      <c r="BP79" s="163"/>
      <c r="BQ79" s="163" t="b">
        <v>1</v>
      </c>
      <c r="BR79" s="163"/>
      <c r="BS79" s="163"/>
      <c r="BT79" s="163"/>
      <c r="BU79" s="163"/>
      <c r="BV79" s="163"/>
      <c r="BW79" s="163"/>
      <c r="BX79" s="163"/>
      <c r="BY79" s="163"/>
      <c r="BZ79" s="163"/>
      <c r="CA79" s="163"/>
      <c r="CB79" s="163"/>
      <c r="CC79" s="163"/>
      <c r="CD79" s="163"/>
      <c r="CE79" s="163"/>
      <c r="CF79" s="163"/>
      <c r="CG79" s="163"/>
      <c r="CH79" s="163"/>
      <c r="CI79" s="163"/>
      <c r="CJ79" s="163"/>
      <c r="CK79" s="163"/>
      <c r="CL79" s="163"/>
      <c r="CM79" s="163"/>
      <c r="CN79" s="163"/>
      <c r="CO79" s="163"/>
      <c r="CP79" s="163"/>
      <c r="CQ79" s="163"/>
      <c r="CR79" s="163"/>
      <c r="CS79" s="163"/>
      <c r="CT79" s="163"/>
      <c r="CU79" s="163"/>
      <c r="CV79" s="163"/>
      <c r="CW79" s="163"/>
      <c r="CX79" s="163"/>
      <c r="CY79" s="163"/>
      <c r="CZ79" s="163"/>
      <c r="DA79" s="163">
        <v>112</v>
      </c>
      <c r="DB79" s="163"/>
      <c r="DC79" s="163"/>
      <c r="DD79" s="163"/>
      <c r="DE79" s="163"/>
      <c r="DF79" s="163"/>
      <c r="DG79" s="208"/>
      <c r="DH79" s="163"/>
      <c r="DI79" s="163"/>
      <c r="DJ79" s="163"/>
      <c r="DK79" s="163"/>
      <c r="DL79" s="163"/>
      <c r="DM79" s="163"/>
      <c r="DN79" s="163"/>
      <c r="DO79" s="163"/>
      <c r="DP79" s="163"/>
      <c r="DQ79" s="163"/>
      <c r="DR79" s="163"/>
      <c r="DS79" s="163"/>
      <c r="DT79" s="163"/>
      <c r="DU79" s="163"/>
      <c r="DV79" s="163"/>
      <c r="DW79" s="163"/>
      <c r="DX79" s="163"/>
      <c r="DY79" s="163"/>
      <c r="DZ79" s="163"/>
      <c r="EA79" s="163"/>
      <c r="EB79" s="163"/>
      <c r="EC79" s="163"/>
      <c r="ED79" s="163"/>
      <c r="EE79" s="163"/>
      <c r="EF79" s="163"/>
      <c r="EG79" s="163"/>
      <c r="EH79" s="160">
        <f>IF([Chambre]*1='CHAMBRES FILLES 2e ETAGE'!$A$5,1,0)</f>
        <v>0</v>
      </c>
      <c r="EI79" s="161">
        <f>IF([Occurrence2]=0,0,SUM($EH$2:EH79))</f>
        <v>0</v>
      </c>
      <c r="EJ79" s="160">
        <f>IF([Chambre]*1='CHAMBRES FILLES 2e ETAGE'!$A$11,1,0)</f>
        <v>0</v>
      </c>
      <c r="EK79" s="160">
        <f>IF([Occurrence3]=0,0,SUM($EJ$2:EJ79))</f>
        <v>0</v>
      </c>
      <c r="EL79" s="160">
        <f>IF([Chambre]*1='CHAMBRES FILLES 2e ETAGE'!$A$17,1,0)</f>
        <v>0</v>
      </c>
      <c r="EM79" s="160">
        <f>IF([Occurrence4]=0,0,SUM($EL$2:EL79))</f>
        <v>0</v>
      </c>
      <c r="EN79" s="160">
        <f>IF([Chambre]*1='CHAMBRES FILLES 2e ETAGE'!$A$23,1,0)</f>
        <v>0</v>
      </c>
      <c r="EO79" s="160">
        <f>IF([Occurrence5]=0,0,SUM($EN$2:EN79))</f>
        <v>0</v>
      </c>
      <c r="EP79" s="160">
        <f>IF([Chambre]*1='CHAMBRES FILLES 2e ETAGE'!$A$29,1,0)</f>
        <v>0</v>
      </c>
      <c r="EQ79" s="160">
        <f>IF([Occurrence6]=0,0,SUM($EP$2:EP79))</f>
        <v>0</v>
      </c>
      <c r="ER79" s="160">
        <f>IF([Chambre]*1='CHAMBRES FILLES 2e ETAGE'!$A$35,1,0)</f>
        <v>0</v>
      </c>
      <c r="ES79" s="160">
        <f>IF([Occurrence7]=0,0,SUM($ER$2:ER79))</f>
        <v>0</v>
      </c>
      <c r="ET79" s="160">
        <f>IF([Chambre]*1='CHAMBRES FILLES 2e ETAGE'!$A$41,1,0)</f>
        <v>0</v>
      </c>
      <c r="EU79" s="160">
        <f>IF([Occurrence8]=0,0,SUM($ET$2:ET79))</f>
        <v>0</v>
      </c>
      <c r="EV79" s="160">
        <f>IF([Chambre]*1='CHAMBRES FILLES 2e ETAGE'!$A$47,1,0)</f>
        <v>0</v>
      </c>
      <c r="EW79" s="160">
        <f>IF([Occurrence9]=0,0,SUM($EV$2:EV79))</f>
        <v>0</v>
      </c>
      <c r="EX79" s="160">
        <f>IF([Chambre]*1='CHAMBRES FILLES 2e ETAGE'!$A$53,1,0)</f>
        <v>0</v>
      </c>
      <c r="EY79" s="160">
        <f>IF([Occurrence10]=0,0,SUM($EX$2:EX79))</f>
        <v>0</v>
      </c>
      <c r="EZ79" s="160">
        <f>IF([Chambre]*1='CHAMBRES FILLES 2e ETAGE'!$A$59,1,0)</f>
        <v>0</v>
      </c>
      <c r="FA79" s="160">
        <f>IF([Occurrence11]=0,0,SUM($EZ$2:EZ79))</f>
        <v>0</v>
      </c>
      <c r="FB79" s="160">
        <f>IF([Chambre]*1='CHAMBRES FILLES 2e ETAGE'!$A$65,1,0)</f>
        <v>0</v>
      </c>
      <c r="FC79" s="160">
        <f>IF([Occurrence12]=0,0,SUM($FB$2:FB79))</f>
        <v>0</v>
      </c>
      <c r="FD79" s="160">
        <f>IF([Chambre]*1='CHAMBRES FILLES 2e ETAGE'!$A$71,1,0)</f>
        <v>0</v>
      </c>
      <c r="FE79" s="160">
        <f>IF([Occurrence13]=0,0,SUM($FD$2:FD79))</f>
        <v>0</v>
      </c>
      <c r="FF79" s="160">
        <f>IF([Chambre]*1='CHAMBRES FILLES 2e ETAGE'!$A$77,1,0)</f>
        <v>0</v>
      </c>
      <c r="FG79" s="160">
        <f>IF([Occurrence14]=0,0,SUM($FF$2:FF79))</f>
        <v>0</v>
      </c>
      <c r="FH79" s="160">
        <f>IF([Chambre]*1='CHAMBRES FILLES 2e ETAGE'!$A$83,1,0)</f>
        <v>0</v>
      </c>
      <c r="FI79" s="160">
        <f>IF([Occurrence15]=0,0,SUM($FH$2:FH79))</f>
        <v>0</v>
      </c>
      <c r="FJ79" s="160">
        <f>IF([Chambre]*1='CHAMBRES FILLES 2e ETAGE'!$A$89,1,0)</f>
        <v>0</v>
      </c>
      <c r="FK79" s="160">
        <f>IF([Occurrence16]=0,0,SUM($FJ$2:FJ79))</f>
        <v>0</v>
      </c>
      <c r="FL79" s="160">
        <f>IF([Chambre]*1='CHAMBRES FILLES 2e ETAGE'!$A$95,1,0)</f>
        <v>0</v>
      </c>
      <c r="FM79" s="160">
        <f>IF([Occurrence17]=0,0,SUM($FL$2:FL79))</f>
        <v>0</v>
      </c>
      <c r="FN79" s="160">
        <f>IF([Chambre2]*1='CHAMBRES FILLES 1e ETAGE'!$A$5,1,0)</f>
        <v>0</v>
      </c>
      <c r="FO79" s="160">
        <f>IF([Occurrence18]=0,0,SUM($FN$2:FN79))</f>
        <v>0</v>
      </c>
      <c r="FP79" s="160">
        <f>IF([Chambre2]*1='CHAMBRES FILLES 1e ETAGE'!$A$11,1,0)</f>
        <v>0</v>
      </c>
      <c r="FQ79" s="160">
        <f>IF([Occurrence19]=0,0,SUM($FP$2:FP79))</f>
        <v>0</v>
      </c>
      <c r="FR79" s="160">
        <f>IF([Chambre2]*1='CHAMBRES FILLES 1e ETAGE'!$A$17,1,0)</f>
        <v>0</v>
      </c>
      <c r="FS79" s="160">
        <f>IF([Occurrence20]=0,0,SUM($FR$2:FR79))</f>
        <v>0</v>
      </c>
      <c r="FT79" s="160">
        <f>IF([Chambre2]*1='CHAMBRES FILLES 1e ETAGE'!$A$23,1,0)</f>
        <v>0</v>
      </c>
      <c r="FU79" s="160">
        <f>IF([Occurrence21]=0,0,SUM($FT$2:FT79))</f>
        <v>0</v>
      </c>
      <c r="FV79" s="160">
        <f>IF([Chambre2]*1='CHAMBRES FILLES 1e ETAGE'!$A$29,1,0)</f>
        <v>0</v>
      </c>
      <c r="FW79" s="160">
        <f>IF([Occurrence22]=0,0,SUM($FV$2:FV79))</f>
        <v>0</v>
      </c>
      <c r="FX79" s="160">
        <f>IF([Chambre2]*1='CHAMBRES FILLES 1e ETAGE'!$A$35,1,0)</f>
        <v>0</v>
      </c>
      <c r="FY79" s="160">
        <f>IF([Occurrence23]=0,0,SUM($FX$2:FX79))</f>
        <v>0</v>
      </c>
      <c r="FZ79" s="160">
        <f>IF([Chambre2]*1='CHAMBRES FILLES 1e ETAGE'!$A$41,1,0)</f>
        <v>0</v>
      </c>
      <c r="GA79" s="160">
        <f>IF([Occurrence24]=0,0,SUM($FZ$2:FZ79))</f>
        <v>0</v>
      </c>
      <c r="GB79" s="160">
        <f>IF([Chambre2]*1='CHAMBRES FILLES 1e ETAGE'!$A$47,1,0)</f>
        <v>0</v>
      </c>
      <c r="GC79" s="160">
        <f>IF([Occurrence25]=0,0,SUM($GB$2:GB79))</f>
        <v>0</v>
      </c>
      <c r="GD79" s="160">
        <f>IF([Chambre2]*1='CHAMBRES FILLES 1e ETAGE'!$A$53,1,0)</f>
        <v>0</v>
      </c>
      <c r="GE79" s="160">
        <f>IF([Occurrence26]=0,0,SUM($GD$2:GD79))</f>
        <v>0</v>
      </c>
      <c r="GF79" s="160">
        <f>IF([chambre4]*1='CHAMBRES GARCONS 1e ETAGE'!$A$5,1,0)</f>
        <v>0</v>
      </c>
      <c r="GG79" s="160">
        <f>IF([Occurrence27]=0,0,SUM($GF$2:GF79))</f>
        <v>0</v>
      </c>
      <c r="GH79" s="160">
        <f>IF([chambre4]*1='CHAMBRES GARCONS 1e ETAGE'!$A$11,1,0)</f>
        <v>0</v>
      </c>
      <c r="GI79" s="160">
        <f>IF([Occurrence28]=0,0,SUM($GH$2:GH79))</f>
        <v>0</v>
      </c>
      <c r="GJ79" s="160">
        <f>IF([chambre4]*1='CHAMBRES GARCONS 1e ETAGE'!$A$17,1,0)</f>
        <v>0</v>
      </c>
      <c r="GK79" s="160">
        <f>IF([Occurrence29]=0,0,SUM($GJ$2:GJ79))</f>
        <v>0</v>
      </c>
      <c r="GL79" s="160">
        <f>IF([chambre4]*1='CHAMBRES GARCONS 1e ETAGE'!$A$23,1,0)</f>
        <v>0</v>
      </c>
      <c r="GM79" s="160">
        <f>IF([Occurrence30]=0,0,SUM($GL$2:GL79))</f>
        <v>0</v>
      </c>
      <c r="GN79" s="160">
        <f>IF([chambre4]*1='CHAMBRES GARCONS 1e ETAGE'!$A$29,1,0)</f>
        <v>0</v>
      </c>
      <c r="GO79" s="160">
        <f>IF([Occurrence31]=0,0,SUM($GN$2:GN79))</f>
        <v>0</v>
      </c>
      <c r="GP79" s="160">
        <f>IF([chambre4]*1='CHAMBRES GARCONS 1e ETAGE'!$A$35,1,0)</f>
        <v>0</v>
      </c>
      <c r="GQ79" s="160">
        <f>IF([Occurrence32]=0,0,SUM($GP$2:GP79))</f>
        <v>0</v>
      </c>
      <c r="GR79" s="160">
        <f>IF([chambre3]*1='CHAMBRES GARCONS RDC'!$A$5,1,0)</f>
        <v>0</v>
      </c>
      <c r="GS79" s="160">
        <f>IF([Occurrence33]=0,0,SUM($GR$2:GR79))</f>
        <v>0</v>
      </c>
      <c r="GT79" s="160">
        <f>IF([chambre3]*1='CHAMBRES GARCONS RDC'!$A$11,1,0)</f>
        <v>0</v>
      </c>
      <c r="GU79" s="160">
        <f>IF([Occurrence34]=0,0,SUM($GT$2:GT79))</f>
        <v>0</v>
      </c>
      <c r="GV79" s="160">
        <f>IF([chambre3]*1='CHAMBRES GARCONS RDC'!$A$17,1,0)</f>
        <v>0</v>
      </c>
      <c r="GW79" s="160">
        <f>IF([Occurrence35]=0,0,SUM($GV$2:GV79))</f>
        <v>0</v>
      </c>
      <c r="GX79" s="160">
        <f>IF([chambre3]*1='CHAMBRES GARCONS RDC'!$A$23,1,0)</f>
        <v>0</v>
      </c>
      <c r="GY79" s="160">
        <f>IF([Occurrence36]=0,0,SUM($GX$2:GX79))</f>
        <v>0</v>
      </c>
      <c r="GZ79" s="160">
        <f>IF([chambre3]*1='CHAMBRES GARCONS RDC'!$A$29,1,0)</f>
        <v>0</v>
      </c>
      <c r="HA79" s="160">
        <f>IF([Occurrence37]=0,0,SUM($GZ$2:GZ79))</f>
        <v>0</v>
      </c>
      <c r="HB79" s="160">
        <f>IF([chambre3]*1='CHAMBRES GARCONS RDC'!$A$35,1,0)</f>
        <v>0</v>
      </c>
      <c r="HC79" s="160">
        <f>IF([Occurrence38]=0,0,SUM($HB$2:HB79))</f>
        <v>0</v>
      </c>
      <c r="HD79" s="160">
        <f>IF([chambre3]*1='CHAMBRES GARCONS RDC'!$A$41,1,0)</f>
        <v>0</v>
      </c>
      <c r="HE79" s="160">
        <f>IF([Occurrence39]=0,0,SUM($HD$2:HD79))</f>
        <v>0</v>
      </c>
      <c r="HF79" s="160">
        <f>IF([chambre3]*1='CHAMBRES GARCONS RDC'!$A$47,1,0)</f>
        <v>1</v>
      </c>
      <c r="HG79" s="160">
        <f>IF([Occurrence40]=0,0,SUM($HF$2:HF79))</f>
        <v>1</v>
      </c>
      <c r="HH79" s="160">
        <f>IF([chambre3]*1='CHAMBRES GARCONS RDC'!$A$53,1,0)</f>
        <v>0</v>
      </c>
      <c r="HI79" s="160">
        <f>IF([Occurrence41]=0,0,SUM($HH$2:HH79))</f>
        <v>0</v>
      </c>
      <c r="HJ79" s="160">
        <f>IF([chambre3]*1='CHAMBRES GARCONS RDC'!$A$59,1,0)</f>
        <v>0</v>
      </c>
      <c r="HK79" s="160">
        <f>IF([Occurrence42]=0,0,SUM($HJ$2:HJ79))</f>
        <v>0</v>
      </c>
      <c r="HL79" s="160">
        <f>IF([chambre3]*1='CHAMBRES GARCONS RDC'!$A$65,1,0)</f>
        <v>0</v>
      </c>
      <c r="HM79" s="160">
        <f>IF([Occurrence43]=0,0,SUM($HL$2:HL79))</f>
        <v>0</v>
      </c>
      <c r="HN79" s="160">
        <f>IF([chambre3]*1='CHAMBRES GARCONS RDC'!$A$71,1,0)</f>
        <v>0</v>
      </c>
      <c r="HO79" s="160">
        <f>IF([Occurrence44]=0,0,SUM($HN$2:HN79))</f>
        <v>0</v>
      </c>
      <c r="HP79" s="160">
        <f>IF([chambre3]*1='CHAMBRES GARCONS RDC'!$A$77,1,0)</f>
        <v>0</v>
      </c>
      <c r="HQ79" s="160">
        <f>IF([Occurrence45]=0,0,SUM($HP$2:HP79))</f>
        <v>0</v>
      </c>
      <c r="HR79" s="160">
        <f>IF([chambre3]*1='CHAMBRES GARCONS RDC'!$A$83,1,0)</f>
        <v>0</v>
      </c>
      <c r="HS79" s="160">
        <f>IF([Occurrence46]=0,0,SUM($HR$2:HR79))</f>
        <v>0</v>
      </c>
      <c r="HT79" s="160">
        <f>IF([chambre3]*1='CHAMBRES GARCONS RDC'!$A$89,1,0)</f>
        <v>0</v>
      </c>
      <c r="HU79" s="160">
        <f>IF([Occurrence47]=0,0,SUM($HT$2:HT79))</f>
        <v>0</v>
      </c>
      <c r="HV79" s="160">
        <f>IF([chambre3]*1='CHAMBRES GARCONS RDC'!$A$95,1,0)</f>
        <v>0</v>
      </c>
      <c r="HW79" s="160">
        <f>IF([Occurrence48]=0,0,SUM($HV$2:HV79))</f>
        <v>0</v>
      </c>
      <c r="HX79" s="160"/>
      <c r="HY79" s="160"/>
      <c r="HZ79" s="160">
        <f>IF([Classe]='Liste élève par classes'!$B$5,1,0)</f>
        <v>0</v>
      </c>
      <c r="IA79" s="160">
        <f>IF([Occurrence]=0,0,SUM($HZ$2:HZ79))</f>
        <v>0</v>
      </c>
      <c r="IB7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112</v>
      </c>
      <c r="IC79" s="208"/>
    </row>
    <row r="80" spans="1:237" ht="15.75">
      <c r="A80" t="s">
        <v>385</v>
      </c>
      <c r="B80" t="s">
        <v>386</v>
      </c>
      <c r="C80" s="158">
        <v>37151</v>
      </c>
      <c r="D80" s="62">
        <f t="shared" ca="1" si="1"/>
        <v>16</v>
      </c>
      <c r="E80" t="s">
        <v>14</v>
      </c>
      <c r="F80" s="159" t="s">
        <v>50</v>
      </c>
      <c r="G80" t="s">
        <v>45</v>
      </c>
      <c r="H80" s="160"/>
      <c r="I80" s="62"/>
      <c r="J80" s="167"/>
      <c r="K80" s="168"/>
      <c r="L80" s="61">
        <v>170</v>
      </c>
      <c r="M80">
        <v>176</v>
      </c>
      <c r="N80" s="62" t="s">
        <v>244</v>
      </c>
      <c r="O80" s="62" t="s">
        <v>244</v>
      </c>
      <c r="P80" s="62" t="s">
        <v>244</v>
      </c>
      <c r="Q80" s="62" t="s">
        <v>244</v>
      </c>
      <c r="R80" s="62" t="s">
        <v>244</v>
      </c>
      <c r="S80" s="191"/>
      <c r="T80" s="62" t="s">
        <v>244</v>
      </c>
      <c r="U80" s="61"/>
      <c r="V80" s="62" t="s">
        <v>244</v>
      </c>
      <c r="W80" s="62" t="s">
        <v>244</v>
      </c>
      <c r="X80" s="62" t="s">
        <v>244</v>
      </c>
      <c r="Y80" s="62" t="s">
        <v>244</v>
      </c>
      <c r="Z80" s="62" t="s">
        <v>244</v>
      </c>
      <c r="AA80" s="62" t="s">
        <v>244</v>
      </c>
      <c r="AB80" s="62" t="s">
        <v>244</v>
      </c>
      <c r="AC80" s="62" t="s">
        <v>244</v>
      </c>
      <c r="AD80" s="62" t="s">
        <v>244</v>
      </c>
      <c r="AE80" s="62" t="s">
        <v>244</v>
      </c>
      <c r="AF80" s="163" t="s">
        <v>244</v>
      </c>
      <c r="AG80" s="163" t="s">
        <v>244</v>
      </c>
      <c r="AH80" s="163" t="s">
        <v>244</v>
      </c>
      <c r="AI80" s="163"/>
      <c r="AJ80" s="163"/>
      <c r="AK80" s="163"/>
      <c r="AL80" s="163"/>
      <c r="AM80" s="163"/>
      <c r="AN80" s="163"/>
      <c r="AO80" s="163"/>
      <c r="AP80" s="163"/>
      <c r="AQ80" s="163"/>
      <c r="AR80" s="163"/>
      <c r="AS80" s="163"/>
      <c r="AT80" s="163"/>
      <c r="AU80" s="163"/>
      <c r="AV80" s="163"/>
      <c r="AW80" s="163"/>
      <c r="AX80" s="163"/>
      <c r="AY80" s="163"/>
      <c r="AZ80" s="163"/>
      <c r="BA80" s="163"/>
      <c r="BB80" s="163"/>
      <c r="BC80" s="163" t="b">
        <v>0</v>
      </c>
      <c r="BD80" s="163" t="b">
        <v>1</v>
      </c>
      <c r="BE80" s="163" t="b">
        <v>1</v>
      </c>
      <c r="BF80" s="163" t="b">
        <v>0</v>
      </c>
      <c r="BG80" s="164" t="b">
        <v>0</v>
      </c>
      <c r="BH80" s="163" t="b">
        <v>1</v>
      </c>
      <c r="BI80" s="163"/>
      <c r="BJ80" s="163"/>
      <c r="BK80" s="163"/>
      <c r="BL80" s="163"/>
      <c r="BM80" s="163"/>
      <c r="BN80" s="163"/>
      <c r="BO80" s="163"/>
      <c r="BP80" s="163"/>
      <c r="BQ80" s="163" t="b">
        <v>0</v>
      </c>
      <c r="BR80" s="163"/>
      <c r="BS80" s="163"/>
      <c r="BT80" s="163"/>
      <c r="BU80" s="163"/>
      <c r="BV80" s="163"/>
      <c r="BW80" s="163"/>
      <c r="BX80" s="163"/>
      <c r="BY80" s="163"/>
      <c r="BZ80" s="163"/>
      <c r="CA80" s="163"/>
      <c r="CB80" s="163"/>
      <c r="CC80" s="163"/>
      <c r="CD80" s="163"/>
      <c r="CE80" s="163"/>
      <c r="CF80" s="163"/>
      <c r="CG80" s="163"/>
      <c r="CH80" s="163"/>
      <c r="CI80" s="163"/>
      <c r="CJ80" s="163"/>
      <c r="CK80" s="163"/>
      <c r="CL80" s="163"/>
      <c r="CM80" s="163"/>
      <c r="CN80" s="163"/>
      <c r="CO80" s="163"/>
      <c r="CP80" s="163"/>
      <c r="CQ80" s="163"/>
      <c r="CR80" s="163"/>
      <c r="CS80" s="163"/>
      <c r="CT80" s="163"/>
      <c r="CU80" s="163"/>
      <c r="CV80" s="163"/>
      <c r="CW80" s="163"/>
      <c r="CX80" s="163"/>
      <c r="CY80" s="163"/>
      <c r="CZ80" s="163"/>
      <c r="DA80" s="163"/>
      <c r="DB80" s="163"/>
      <c r="DC80" s="163"/>
      <c r="DD80" s="163"/>
      <c r="DE80" s="163"/>
      <c r="DF80" s="163"/>
      <c r="DG80" s="208"/>
      <c r="DH80" s="163"/>
      <c r="DI80" s="163"/>
      <c r="DJ80" s="163"/>
      <c r="DK80" s="163"/>
      <c r="DL80" s="163"/>
      <c r="DM80" s="163"/>
      <c r="DN80" s="163"/>
      <c r="DO80" s="163"/>
      <c r="DP80" s="163"/>
      <c r="DQ80" s="163"/>
      <c r="DR80" s="163"/>
      <c r="DS80" s="163"/>
      <c r="DT80" s="163"/>
      <c r="DU80" s="163"/>
      <c r="DV80" s="163"/>
      <c r="DW80" s="163"/>
      <c r="DX80" s="163"/>
      <c r="DY80" s="163"/>
      <c r="DZ80" s="163"/>
      <c r="EA80" s="163"/>
      <c r="EB80" s="163"/>
      <c r="EC80" s="163"/>
      <c r="ED80" s="163"/>
      <c r="EE80" s="163"/>
      <c r="EF80" s="163"/>
      <c r="EG80" s="163"/>
      <c r="EH80" s="160">
        <f>IF([Chambre]*1='CHAMBRES FILLES 2e ETAGE'!$A$5,1,0)</f>
        <v>0</v>
      </c>
      <c r="EI80" s="161">
        <f>IF([Occurrence2]=0,0,SUM($EH$2:EH80))</f>
        <v>0</v>
      </c>
      <c r="EJ80" s="160">
        <f>IF([Chambre]*1='CHAMBRES FILLES 2e ETAGE'!$A$11,1,0)</f>
        <v>0</v>
      </c>
      <c r="EK80" s="160">
        <f>IF([Occurrence3]=0,0,SUM($EJ$2:EJ80))</f>
        <v>0</v>
      </c>
      <c r="EL80" s="160">
        <f>IF([Chambre]*1='CHAMBRES FILLES 2e ETAGE'!$A$17,1,0)</f>
        <v>0</v>
      </c>
      <c r="EM80" s="160">
        <f>IF([Occurrence4]=0,0,SUM($EL$2:EL80))</f>
        <v>0</v>
      </c>
      <c r="EN80" s="160">
        <f>IF([Chambre]*1='CHAMBRES FILLES 2e ETAGE'!$A$23,1,0)</f>
        <v>0</v>
      </c>
      <c r="EO80" s="160">
        <f>IF([Occurrence5]=0,0,SUM($EN$2:EN80))</f>
        <v>0</v>
      </c>
      <c r="EP80" s="160">
        <f>IF([Chambre]*1='CHAMBRES FILLES 2e ETAGE'!$A$29,1,0)</f>
        <v>0</v>
      </c>
      <c r="EQ80" s="160">
        <f>IF([Occurrence6]=0,0,SUM($EP$2:EP80))</f>
        <v>0</v>
      </c>
      <c r="ER80" s="160">
        <f>IF([Chambre]*1='CHAMBRES FILLES 2e ETAGE'!$A$35,1,0)</f>
        <v>0</v>
      </c>
      <c r="ES80" s="160">
        <f>IF([Occurrence7]=0,0,SUM($ER$2:ER80))</f>
        <v>0</v>
      </c>
      <c r="ET80" s="160">
        <f>IF([Chambre]*1='CHAMBRES FILLES 2e ETAGE'!$A$41,1,0)</f>
        <v>0</v>
      </c>
      <c r="EU80" s="160">
        <f>IF([Occurrence8]=0,0,SUM($ET$2:ET80))</f>
        <v>0</v>
      </c>
      <c r="EV80" s="160">
        <f>IF([Chambre]*1='CHAMBRES FILLES 2e ETAGE'!$A$47,1,0)</f>
        <v>0</v>
      </c>
      <c r="EW80" s="160">
        <f>IF([Occurrence9]=0,0,SUM($EV$2:EV80))</f>
        <v>0</v>
      </c>
      <c r="EX80" s="160">
        <f>IF([Chambre]*1='CHAMBRES FILLES 2e ETAGE'!$A$53,1,0)</f>
        <v>1</v>
      </c>
      <c r="EY80" s="160">
        <f>IF([Occurrence10]=0,0,SUM($EX$2:EX80))</f>
        <v>2</v>
      </c>
      <c r="EZ80" s="160">
        <f>IF([Chambre]*1='CHAMBRES FILLES 2e ETAGE'!$A$59,1,0)</f>
        <v>0</v>
      </c>
      <c r="FA80" s="160">
        <f>IF([Occurrence11]=0,0,SUM($EZ$2:EZ80))</f>
        <v>0</v>
      </c>
      <c r="FB80" s="160">
        <f>IF([Chambre]*1='CHAMBRES FILLES 2e ETAGE'!$A$65,1,0)</f>
        <v>0</v>
      </c>
      <c r="FC80" s="160">
        <f>IF([Occurrence12]=0,0,SUM($FB$2:FB80))</f>
        <v>0</v>
      </c>
      <c r="FD80" s="160">
        <f>IF([Chambre]*1='CHAMBRES FILLES 2e ETAGE'!$A$71,1,0)</f>
        <v>0</v>
      </c>
      <c r="FE80" s="160">
        <f>IF([Occurrence13]=0,0,SUM($FD$2:FD80))</f>
        <v>0</v>
      </c>
      <c r="FF80" s="160">
        <f>IF([Chambre]*1='CHAMBRES FILLES 2e ETAGE'!$A$77,1,0)</f>
        <v>0</v>
      </c>
      <c r="FG80" s="160">
        <f>IF([Occurrence14]=0,0,SUM($FF$2:FF80))</f>
        <v>0</v>
      </c>
      <c r="FH80" s="160">
        <f>IF([Chambre]*1='CHAMBRES FILLES 2e ETAGE'!$A$83,1,0)</f>
        <v>0</v>
      </c>
      <c r="FI80" s="160">
        <f>IF([Occurrence15]=0,0,SUM($FH$2:FH80))</f>
        <v>0</v>
      </c>
      <c r="FJ80" s="160">
        <f>IF([Chambre]*1='CHAMBRES FILLES 2e ETAGE'!$A$89,1,0)</f>
        <v>0</v>
      </c>
      <c r="FK80" s="160">
        <f>IF([Occurrence16]=0,0,SUM($FJ$2:FJ80))</f>
        <v>0</v>
      </c>
      <c r="FL80" s="160">
        <f>IF([Chambre]*1='CHAMBRES FILLES 2e ETAGE'!$A$95,1,0)</f>
        <v>0</v>
      </c>
      <c r="FM80" s="160">
        <f>IF([Occurrence17]=0,0,SUM($FL$2:FL80))</f>
        <v>0</v>
      </c>
      <c r="FN80" s="160">
        <f>IF([Chambre2]*1='CHAMBRES FILLES 1e ETAGE'!$A$5,1,0)</f>
        <v>0</v>
      </c>
      <c r="FO80" s="160">
        <f>IF([Occurrence18]=0,0,SUM($FN$2:FN80))</f>
        <v>0</v>
      </c>
      <c r="FP80" s="160">
        <f>IF([Chambre2]*1='CHAMBRES FILLES 1e ETAGE'!$A$11,1,0)</f>
        <v>0</v>
      </c>
      <c r="FQ80" s="160">
        <f>IF([Occurrence19]=0,0,SUM($FP$2:FP80))</f>
        <v>0</v>
      </c>
      <c r="FR80" s="160">
        <f>IF([Chambre2]*1='CHAMBRES FILLES 1e ETAGE'!$A$17,1,0)</f>
        <v>0</v>
      </c>
      <c r="FS80" s="160">
        <f>IF([Occurrence20]=0,0,SUM($FR$2:FR80))</f>
        <v>0</v>
      </c>
      <c r="FT80" s="160">
        <f>IF([Chambre2]*1='CHAMBRES FILLES 1e ETAGE'!$A$23,1,0)</f>
        <v>0</v>
      </c>
      <c r="FU80" s="160">
        <f>IF([Occurrence21]=0,0,SUM($FT$2:FT80))</f>
        <v>0</v>
      </c>
      <c r="FV80" s="160">
        <f>IF([Chambre2]*1='CHAMBRES FILLES 1e ETAGE'!$A$29,1,0)</f>
        <v>0</v>
      </c>
      <c r="FW80" s="160">
        <f>IF([Occurrence22]=0,0,SUM($FV$2:FV80))</f>
        <v>0</v>
      </c>
      <c r="FX80" s="160">
        <f>IF([Chambre2]*1='CHAMBRES FILLES 1e ETAGE'!$A$35,1,0)</f>
        <v>0</v>
      </c>
      <c r="FY80" s="160">
        <f>IF([Occurrence23]=0,0,SUM($FX$2:FX80))</f>
        <v>0</v>
      </c>
      <c r="FZ80" s="160">
        <f>IF([Chambre2]*1='CHAMBRES FILLES 1e ETAGE'!$A$41,1,0)</f>
        <v>0</v>
      </c>
      <c r="GA80" s="160">
        <f>IF([Occurrence24]=0,0,SUM($FZ$2:FZ80))</f>
        <v>0</v>
      </c>
      <c r="GB80" s="160">
        <f>IF([Chambre2]*1='CHAMBRES FILLES 1e ETAGE'!$A$47,1,0)</f>
        <v>0</v>
      </c>
      <c r="GC80" s="160">
        <f>IF([Occurrence25]=0,0,SUM($GB$2:GB80))</f>
        <v>0</v>
      </c>
      <c r="GD80" s="160">
        <f>IF([Chambre2]*1='CHAMBRES FILLES 1e ETAGE'!$A$53,1,0)</f>
        <v>0</v>
      </c>
      <c r="GE80" s="160">
        <f>IF([Occurrence26]=0,0,SUM($GD$2:GD80))</f>
        <v>0</v>
      </c>
      <c r="GF80" s="160">
        <f>IF([chambre4]*1='CHAMBRES GARCONS 1e ETAGE'!$A$5,1,0)</f>
        <v>0</v>
      </c>
      <c r="GG80" s="160">
        <f>IF([Occurrence27]=0,0,SUM($GF$2:GF80))</f>
        <v>0</v>
      </c>
      <c r="GH80" s="160">
        <f>IF([chambre4]*1='CHAMBRES GARCONS 1e ETAGE'!$A$11,1,0)</f>
        <v>0</v>
      </c>
      <c r="GI80" s="160">
        <f>IF([Occurrence28]=0,0,SUM($GH$2:GH80))</f>
        <v>0</v>
      </c>
      <c r="GJ80" s="160">
        <f>IF([chambre4]*1='CHAMBRES GARCONS 1e ETAGE'!$A$17,1,0)</f>
        <v>0</v>
      </c>
      <c r="GK80" s="160">
        <f>IF([Occurrence29]=0,0,SUM($GJ$2:GJ80))</f>
        <v>0</v>
      </c>
      <c r="GL80" s="160">
        <f>IF([chambre4]*1='CHAMBRES GARCONS 1e ETAGE'!$A$23,1,0)</f>
        <v>0</v>
      </c>
      <c r="GM80" s="160">
        <f>IF([Occurrence30]=0,0,SUM($GL$2:GL80))</f>
        <v>0</v>
      </c>
      <c r="GN80" s="160">
        <f>IF([chambre4]*1='CHAMBRES GARCONS 1e ETAGE'!$A$29,1,0)</f>
        <v>0</v>
      </c>
      <c r="GO80" s="160">
        <f>IF([Occurrence31]=0,0,SUM($GN$2:GN80))</f>
        <v>0</v>
      </c>
      <c r="GP80" s="160">
        <f>IF([chambre4]*1='CHAMBRES GARCONS 1e ETAGE'!$A$35,1,0)</f>
        <v>0</v>
      </c>
      <c r="GQ80" s="160">
        <f>IF([Occurrence32]=0,0,SUM($GP$2:GP80))</f>
        <v>0</v>
      </c>
      <c r="GR80" s="160">
        <f>IF([chambre3]*1='CHAMBRES GARCONS RDC'!$A$5,1,0)</f>
        <v>0</v>
      </c>
      <c r="GS80" s="160">
        <f>IF([Occurrence33]=0,0,SUM($GR$2:GR80))</f>
        <v>0</v>
      </c>
      <c r="GT80" s="160">
        <f>IF([chambre3]*1='CHAMBRES GARCONS RDC'!$A$11,1,0)</f>
        <v>0</v>
      </c>
      <c r="GU80" s="160">
        <f>IF([Occurrence34]=0,0,SUM($GT$2:GT80))</f>
        <v>0</v>
      </c>
      <c r="GV80" s="160">
        <f>IF([chambre3]*1='CHAMBRES GARCONS RDC'!$A$17,1,0)</f>
        <v>0</v>
      </c>
      <c r="GW80" s="160">
        <f>IF([Occurrence35]=0,0,SUM($GV$2:GV80))</f>
        <v>0</v>
      </c>
      <c r="GX80" s="160">
        <f>IF([chambre3]*1='CHAMBRES GARCONS RDC'!$A$23,1,0)</f>
        <v>0</v>
      </c>
      <c r="GY80" s="160">
        <f>IF([Occurrence36]=0,0,SUM($GX$2:GX80))</f>
        <v>0</v>
      </c>
      <c r="GZ80" s="160">
        <f>IF([chambre3]*1='CHAMBRES GARCONS RDC'!$A$29,1,0)</f>
        <v>0</v>
      </c>
      <c r="HA80" s="160">
        <f>IF([Occurrence37]=0,0,SUM($GZ$2:GZ80))</f>
        <v>0</v>
      </c>
      <c r="HB80" s="160">
        <f>IF([chambre3]*1='CHAMBRES GARCONS RDC'!$A$35,1,0)</f>
        <v>0</v>
      </c>
      <c r="HC80" s="160">
        <f>IF([Occurrence38]=0,0,SUM($HB$2:HB80))</f>
        <v>0</v>
      </c>
      <c r="HD80" s="160">
        <f>IF([chambre3]*1='CHAMBRES GARCONS RDC'!$A$41,1,0)</f>
        <v>0</v>
      </c>
      <c r="HE80" s="160">
        <f>IF([Occurrence39]=0,0,SUM($HD$2:HD80))</f>
        <v>0</v>
      </c>
      <c r="HF80" s="160">
        <f>IF([chambre3]*1='CHAMBRES GARCONS RDC'!$A$47,1,0)</f>
        <v>0</v>
      </c>
      <c r="HG80" s="160">
        <f>IF([Occurrence40]=0,0,SUM($HF$2:HF80))</f>
        <v>0</v>
      </c>
      <c r="HH80" s="160">
        <f>IF([chambre3]*1='CHAMBRES GARCONS RDC'!$A$53,1,0)</f>
        <v>0</v>
      </c>
      <c r="HI80" s="160">
        <f>IF([Occurrence41]=0,0,SUM($HH$2:HH80))</f>
        <v>0</v>
      </c>
      <c r="HJ80" s="160">
        <f>IF([chambre3]*1='CHAMBRES GARCONS RDC'!$A$59,1,0)</f>
        <v>0</v>
      </c>
      <c r="HK80" s="160">
        <f>IF([Occurrence42]=0,0,SUM($HJ$2:HJ80))</f>
        <v>0</v>
      </c>
      <c r="HL80" s="160">
        <f>IF([chambre3]*1='CHAMBRES GARCONS RDC'!$A$65,1,0)</f>
        <v>0</v>
      </c>
      <c r="HM80" s="160">
        <f>IF([Occurrence43]=0,0,SUM($HL$2:HL80))</f>
        <v>0</v>
      </c>
      <c r="HN80" s="160">
        <f>IF([chambre3]*1='CHAMBRES GARCONS RDC'!$A$71,1,0)</f>
        <v>0</v>
      </c>
      <c r="HO80" s="160">
        <f>IF([Occurrence44]=0,0,SUM($HN$2:HN80))</f>
        <v>0</v>
      </c>
      <c r="HP80" s="160">
        <f>IF([chambre3]*1='CHAMBRES GARCONS RDC'!$A$77,1,0)</f>
        <v>0</v>
      </c>
      <c r="HQ80" s="160">
        <f>IF([Occurrence45]=0,0,SUM($HP$2:HP80))</f>
        <v>0</v>
      </c>
      <c r="HR80" s="160">
        <f>IF([chambre3]*1='CHAMBRES GARCONS RDC'!$A$83,1,0)</f>
        <v>0</v>
      </c>
      <c r="HS80" s="160">
        <f>IF([Occurrence46]=0,0,SUM($HR$2:HR80))</f>
        <v>0</v>
      </c>
      <c r="HT80" s="160">
        <f>IF([chambre3]*1='CHAMBRES GARCONS RDC'!$A$89,1,0)</f>
        <v>0</v>
      </c>
      <c r="HU80" s="160">
        <f>IF([Occurrence47]=0,0,SUM($HT$2:HT80))</f>
        <v>0</v>
      </c>
      <c r="HV80" s="160">
        <f>IF([chambre3]*1='CHAMBRES GARCONS RDC'!$A$95,1,0)</f>
        <v>0</v>
      </c>
      <c r="HW80" s="160">
        <f>IF([Occurrence48]=0,0,SUM($HV$2:HV80))</f>
        <v>0</v>
      </c>
      <c r="HX80" s="160"/>
      <c r="HY80" s="160"/>
      <c r="HZ80" s="160">
        <f>IF([Classe]='Liste élève par classes'!$B$5,1,0)</f>
        <v>0</v>
      </c>
      <c r="IA80" s="160">
        <f>IF([Occurrence]=0,0,SUM($HZ$2:HZ80))</f>
        <v>0</v>
      </c>
      <c r="IB8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170</v>
      </c>
      <c r="IC80" s="208"/>
    </row>
    <row r="81" spans="1:237">
      <c r="A81" t="s">
        <v>387</v>
      </c>
      <c r="B81" t="s">
        <v>388</v>
      </c>
      <c r="C81" s="158">
        <v>37121</v>
      </c>
      <c r="D81" s="62">
        <f t="shared" ca="1" si="1"/>
        <v>16</v>
      </c>
      <c r="E81" t="s">
        <v>6</v>
      </c>
      <c r="F81" s="159" t="s">
        <v>50</v>
      </c>
      <c r="G81" t="s">
        <v>45</v>
      </c>
      <c r="H81" s="160"/>
      <c r="I81" s="62"/>
      <c r="J81" s="62" t="s">
        <v>244</v>
      </c>
      <c r="K81" s="62"/>
      <c r="L81" s="61"/>
      <c r="M81">
        <v>59</v>
      </c>
      <c r="N81" s="62" t="s">
        <v>244</v>
      </c>
      <c r="O81" s="62" t="s">
        <v>244</v>
      </c>
      <c r="P81" s="62" t="s">
        <v>244</v>
      </c>
      <c r="Q81" s="62" t="s">
        <v>244</v>
      </c>
      <c r="R81" s="62" t="s">
        <v>244</v>
      </c>
      <c r="S81" s="191"/>
      <c r="T81" s="62" t="s">
        <v>244</v>
      </c>
      <c r="U81" s="61">
        <v>142</v>
      </c>
      <c r="V81" s="62" t="s">
        <v>244</v>
      </c>
      <c r="W81" s="62" t="s">
        <v>244</v>
      </c>
      <c r="X81" s="62" t="s">
        <v>244</v>
      </c>
      <c r="Y81" s="62" t="s">
        <v>244</v>
      </c>
      <c r="Z81" s="62" t="s">
        <v>244</v>
      </c>
      <c r="AA81" s="62" t="s">
        <v>244</v>
      </c>
      <c r="AB81" s="62" t="s">
        <v>244</v>
      </c>
      <c r="AC81" s="62" t="s">
        <v>244</v>
      </c>
      <c r="AD81" s="62" t="s">
        <v>244</v>
      </c>
      <c r="AE81" s="62" t="s">
        <v>244</v>
      </c>
      <c r="AF81" s="163" t="s">
        <v>244</v>
      </c>
      <c r="AG81" s="163" t="s">
        <v>244</v>
      </c>
      <c r="AH81" s="163" t="s">
        <v>244</v>
      </c>
      <c r="AI81" s="163"/>
      <c r="AJ81" s="163"/>
      <c r="AK81" s="163"/>
      <c r="AL81" s="163"/>
      <c r="AM81" s="163"/>
      <c r="AN81" s="163"/>
      <c r="AO81" s="163"/>
      <c r="AP81" s="163"/>
      <c r="AQ81" s="163"/>
      <c r="AR81" s="163"/>
      <c r="AS81" s="163"/>
      <c r="AT81" s="163"/>
      <c r="AU81" s="163"/>
      <c r="AV81" s="163"/>
      <c r="AW81" s="163"/>
      <c r="AX81" s="163"/>
      <c r="AY81" s="163"/>
      <c r="AZ81" s="163"/>
      <c r="BA81" s="163"/>
      <c r="BB81" s="163"/>
      <c r="BC81" s="163" t="b">
        <v>0</v>
      </c>
      <c r="BD81" s="163" t="b">
        <v>1</v>
      </c>
      <c r="BE81" s="163" t="b">
        <v>1</v>
      </c>
      <c r="BF81" s="163" t="b">
        <v>0</v>
      </c>
      <c r="BG81" s="164" t="b">
        <v>0</v>
      </c>
      <c r="BH81" s="163" t="b">
        <v>1</v>
      </c>
      <c r="BI81" s="163"/>
      <c r="BJ81" s="163"/>
      <c r="BK81" s="163"/>
      <c r="BL81" s="163"/>
      <c r="BM81" s="163"/>
      <c r="BN81" s="163"/>
      <c r="BO81" s="163"/>
      <c r="BP81" s="163"/>
      <c r="BQ81" s="163" t="b">
        <v>0</v>
      </c>
      <c r="BR81" s="163"/>
      <c r="BS81" s="163"/>
      <c r="BT81" s="163"/>
      <c r="BU81" s="163"/>
      <c r="BV81" s="163"/>
      <c r="BW81" s="163"/>
      <c r="BX81" s="163"/>
      <c r="BY81" s="163"/>
      <c r="BZ81" s="163"/>
      <c r="CA81" s="163"/>
      <c r="CB81" s="163"/>
      <c r="CC81" s="163"/>
      <c r="CD81" s="163"/>
      <c r="CE81" s="163"/>
      <c r="CF81" s="163"/>
      <c r="CG81" s="163"/>
      <c r="CH81" s="163"/>
      <c r="CI81" s="163"/>
      <c r="CJ81" s="163"/>
      <c r="CK81" s="163"/>
      <c r="CL81" s="163"/>
      <c r="CM81" s="163"/>
      <c r="CN81" s="163"/>
      <c r="CO81" s="163"/>
      <c r="CP81" s="163"/>
      <c r="CQ81" s="163"/>
      <c r="CR81" s="163"/>
      <c r="CS81" s="163"/>
      <c r="CT81" s="163"/>
      <c r="CU81" s="163"/>
      <c r="CV81" s="163"/>
      <c r="CW81" s="163"/>
      <c r="CX81" s="163"/>
      <c r="CY81" s="163"/>
      <c r="CZ81" s="163"/>
      <c r="DA81" s="163"/>
      <c r="DB81" s="163"/>
      <c r="DC81" s="163"/>
      <c r="DD81" s="163"/>
      <c r="DE81" s="163"/>
      <c r="DF81" s="163"/>
      <c r="DG81" s="208"/>
      <c r="DH81" s="163"/>
      <c r="DI81" s="163"/>
      <c r="DJ81" s="163"/>
      <c r="DK81" s="163"/>
      <c r="DL81" s="163"/>
      <c r="DM81" s="163"/>
      <c r="DN81" s="163"/>
      <c r="DO81" s="163"/>
      <c r="DP81" s="163"/>
      <c r="DQ81" s="163"/>
      <c r="DR81" s="163"/>
      <c r="DS81" s="163"/>
      <c r="DT81" s="163"/>
      <c r="DU81" s="163"/>
      <c r="DV81" s="163"/>
      <c r="DW81" s="163"/>
      <c r="DX81" s="163"/>
      <c r="DY81" s="163"/>
      <c r="DZ81" s="163"/>
      <c r="EA81" s="163"/>
      <c r="EB81" s="163"/>
      <c r="EC81" s="163"/>
      <c r="ED81" s="163"/>
      <c r="EE81" s="163"/>
      <c r="EF81" s="163"/>
      <c r="EG81" s="163"/>
      <c r="EH81" s="160">
        <f>IF([Chambre]*1='CHAMBRES FILLES 2e ETAGE'!$A$5,1,0)</f>
        <v>0</v>
      </c>
      <c r="EI81" s="161">
        <f>IF([Occurrence2]=0,0,SUM($EH$2:EH81))</f>
        <v>0</v>
      </c>
      <c r="EJ81" s="160">
        <f>IF([Chambre]*1='CHAMBRES FILLES 2e ETAGE'!$A$11,1,0)</f>
        <v>0</v>
      </c>
      <c r="EK81" s="160">
        <f>IF([Occurrence3]=0,0,SUM($EJ$2:EJ81))</f>
        <v>0</v>
      </c>
      <c r="EL81" s="160">
        <f>IF([Chambre]*1='CHAMBRES FILLES 2e ETAGE'!$A$17,1,0)</f>
        <v>0</v>
      </c>
      <c r="EM81" s="160">
        <f>IF([Occurrence4]=0,0,SUM($EL$2:EL81))</f>
        <v>0</v>
      </c>
      <c r="EN81" s="160">
        <f>IF([Chambre]*1='CHAMBRES FILLES 2e ETAGE'!$A$23,1,0)</f>
        <v>0</v>
      </c>
      <c r="EO81" s="160">
        <f>IF([Occurrence5]=0,0,SUM($EN$2:EN81))</f>
        <v>0</v>
      </c>
      <c r="EP81" s="160">
        <f>IF([Chambre]*1='CHAMBRES FILLES 2e ETAGE'!$A$29,1,0)</f>
        <v>0</v>
      </c>
      <c r="EQ81" s="160">
        <f>IF([Occurrence6]=0,0,SUM($EP$2:EP81))</f>
        <v>0</v>
      </c>
      <c r="ER81" s="160">
        <f>IF([Chambre]*1='CHAMBRES FILLES 2e ETAGE'!$A$35,1,0)</f>
        <v>0</v>
      </c>
      <c r="ES81" s="160">
        <f>IF([Occurrence7]=0,0,SUM($ER$2:ER81))</f>
        <v>0</v>
      </c>
      <c r="ET81" s="160">
        <f>IF([Chambre]*1='CHAMBRES FILLES 2e ETAGE'!$A$41,1,0)</f>
        <v>0</v>
      </c>
      <c r="EU81" s="160">
        <f>IF([Occurrence8]=0,0,SUM($ET$2:ET81))</f>
        <v>0</v>
      </c>
      <c r="EV81" s="160">
        <f>IF([Chambre]*1='CHAMBRES FILLES 2e ETAGE'!$A$47,1,0)</f>
        <v>0</v>
      </c>
      <c r="EW81" s="160">
        <f>IF([Occurrence9]=0,0,SUM($EV$2:EV81))</f>
        <v>0</v>
      </c>
      <c r="EX81" s="160">
        <f>IF([Chambre]*1='CHAMBRES FILLES 2e ETAGE'!$A$53,1,0)</f>
        <v>0</v>
      </c>
      <c r="EY81" s="160">
        <f>IF([Occurrence10]=0,0,SUM($EX$2:EX81))</f>
        <v>0</v>
      </c>
      <c r="EZ81" s="160">
        <f>IF([Chambre]*1='CHAMBRES FILLES 2e ETAGE'!$A$59,1,0)</f>
        <v>0</v>
      </c>
      <c r="FA81" s="160">
        <f>IF([Occurrence11]=0,0,SUM($EZ$2:EZ81))</f>
        <v>0</v>
      </c>
      <c r="FB81" s="160">
        <f>IF([Chambre]*1='CHAMBRES FILLES 2e ETAGE'!$A$65,1,0)</f>
        <v>0</v>
      </c>
      <c r="FC81" s="160">
        <f>IF([Occurrence12]=0,0,SUM($FB$2:FB81))</f>
        <v>0</v>
      </c>
      <c r="FD81" s="160">
        <f>IF([Chambre]*1='CHAMBRES FILLES 2e ETAGE'!$A$71,1,0)</f>
        <v>0</v>
      </c>
      <c r="FE81" s="160">
        <f>IF([Occurrence13]=0,0,SUM($FD$2:FD81))</f>
        <v>0</v>
      </c>
      <c r="FF81" s="160">
        <f>IF([Chambre]*1='CHAMBRES FILLES 2e ETAGE'!$A$77,1,0)</f>
        <v>0</v>
      </c>
      <c r="FG81" s="160">
        <f>IF([Occurrence14]=0,0,SUM($FF$2:FF81))</f>
        <v>0</v>
      </c>
      <c r="FH81" s="160">
        <f>IF([Chambre]*1='CHAMBRES FILLES 2e ETAGE'!$A$83,1,0)</f>
        <v>0</v>
      </c>
      <c r="FI81" s="160">
        <f>IF([Occurrence15]=0,0,SUM($FH$2:FH81))</f>
        <v>0</v>
      </c>
      <c r="FJ81" s="160">
        <f>IF([Chambre]*1='CHAMBRES FILLES 2e ETAGE'!$A$89,1,0)</f>
        <v>0</v>
      </c>
      <c r="FK81" s="160">
        <f>IF([Occurrence16]=0,0,SUM($FJ$2:FJ81))</f>
        <v>0</v>
      </c>
      <c r="FL81" s="160">
        <f>IF([Chambre]*1='CHAMBRES FILLES 2e ETAGE'!$A$95,1,0)</f>
        <v>0</v>
      </c>
      <c r="FM81" s="160">
        <f>IF([Occurrence17]=0,0,SUM($FL$2:FL81))</f>
        <v>0</v>
      </c>
      <c r="FN81" s="160">
        <f>IF([Chambre2]*1='CHAMBRES FILLES 1e ETAGE'!$A$5,1,0)</f>
        <v>0</v>
      </c>
      <c r="FO81" s="160">
        <f>IF([Occurrence18]=0,0,SUM($FN$2:FN81))</f>
        <v>0</v>
      </c>
      <c r="FP81" s="160">
        <f>IF([Chambre2]*1='CHAMBRES FILLES 1e ETAGE'!$A$11,1,0)</f>
        <v>0</v>
      </c>
      <c r="FQ81" s="160">
        <f>IF([Occurrence19]=0,0,SUM($FP$2:FP81))</f>
        <v>0</v>
      </c>
      <c r="FR81" s="160">
        <f>IF([Chambre2]*1='CHAMBRES FILLES 1e ETAGE'!$A$17,1,0)</f>
        <v>0</v>
      </c>
      <c r="FS81" s="160">
        <f>IF([Occurrence20]=0,0,SUM($FR$2:FR81))</f>
        <v>0</v>
      </c>
      <c r="FT81" s="160">
        <f>IF([Chambre2]*1='CHAMBRES FILLES 1e ETAGE'!$A$23,1,0)</f>
        <v>0</v>
      </c>
      <c r="FU81" s="160">
        <f>IF([Occurrence21]=0,0,SUM($FT$2:FT81))</f>
        <v>0</v>
      </c>
      <c r="FV81" s="160">
        <f>IF([Chambre2]*1='CHAMBRES FILLES 1e ETAGE'!$A$29,1,0)</f>
        <v>0</v>
      </c>
      <c r="FW81" s="160">
        <f>IF([Occurrence22]=0,0,SUM($FV$2:FV81))</f>
        <v>0</v>
      </c>
      <c r="FX81" s="160">
        <f>IF([Chambre2]*1='CHAMBRES FILLES 1e ETAGE'!$A$35,1,0)</f>
        <v>1</v>
      </c>
      <c r="FY81" s="160">
        <f>IF([Occurrence23]=0,0,SUM($FX$2:FX81))</f>
        <v>2</v>
      </c>
      <c r="FZ81" s="160">
        <f>IF([Chambre2]*1='CHAMBRES FILLES 1e ETAGE'!$A$41,1,0)</f>
        <v>0</v>
      </c>
      <c r="GA81" s="160">
        <f>IF([Occurrence24]=0,0,SUM($FZ$2:FZ81))</f>
        <v>0</v>
      </c>
      <c r="GB81" s="160">
        <f>IF([Chambre2]*1='CHAMBRES FILLES 1e ETAGE'!$A$47,1,0)</f>
        <v>0</v>
      </c>
      <c r="GC81" s="160">
        <f>IF([Occurrence25]=0,0,SUM($GB$2:GB81))</f>
        <v>0</v>
      </c>
      <c r="GD81" s="160">
        <f>IF([Chambre2]*1='CHAMBRES FILLES 1e ETAGE'!$A$53,1,0)</f>
        <v>0</v>
      </c>
      <c r="GE81" s="160">
        <f>IF([Occurrence26]=0,0,SUM($GD$2:GD81))</f>
        <v>0</v>
      </c>
      <c r="GF81" s="160">
        <f>IF([chambre4]*1='CHAMBRES GARCONS 1e ETAGE'!$A$5,1,0)</f>
        <v>0</v>
      </c>
      <c r="GG81" s="160">
        <f>IF([Occurrence27]=0,0,SUM($GF$2:GF81))</f>
        <v>0</v>
      </c>
      <c r="GH81" s="160">
        <f>IF([chambre4]*1='CHAMBRES GARCONS 1e ETAGE'!$A$11,1,0)</f>
        <v>0</v>
      </c>
      <c r="GI81" s="160">
        <f>IF([Occurrence28]=0,0,SUM($GH$2:GH81))</f>
        <v>0</v>
      </c>
      <c r="GJ81" s="160">
        <f>IF([chambre4]*1='CHAMBRES GARCONS 1e ETAGE'!$A$17,1,0)</f>
        <v>0</v>
      </c>
      <c r="GK81" s="160">
        <f>IF([Occurrence29]=0,0,SUM($GJ$2:GJ81))</f>
        <v>0</v>
      </c>
      <c r="GL81" s="160">
        <f>IF([chambre4]*1='CHAMBRES GARCONS 1e ETAGE'!$A$23,1,0)</f>
        <v>0</v>
      </c>
      <c r="GM81" s="160">
        <f>IF([Occurrence30]=0,0,SUM($GL$2:GL81))</f>
        <v>0</v>
      </c>
      <c r="GN81" s="160">
        <f>IF([chambre4]*1='CHAMBRES GARCONS 1e ETAGE'!$A$29,1,0)</f>
        <v>0</v>
      </c>
      <c r="GO81" s="160">
        <f>IF([Occurrence31]=0,0,SUM($GN$2:GN81))</f>
        <v>0</v>
      </c>
      <c r="GP81" s="160">
        <f>IF([chambre4]*1='CHAMBRES GARCONS 1e ETAGE'!$A$35,1,0)</f>
        <v>0</v>
      </c>
      <c r="GQ81" s="160">
        <f>IF([Occurrence32]=0,0,SUM($GP$2:GP81))</f>
        <v>0</v>
      </c>
      <c r="GR81" s="160">
        <f>IF([chambre3]*1='CHAMBRES GARCONS RDC'!$A$5,1,0)</f>
        <v>0</v>
      </c>
      <c r="GS81" s="160">
        <f>IF([Occurrence33]=0,0,SUM($GR$2:GR81))</f>
        <v>0</v>
      </c>
      <c r="GT81" s="160">
        <f>IF([chambre3]*1='CHAMBRES GARCONS RDC'!$A$11,1,0)</f>
        <v>0</v>
      </c>
      <c r="GU81" s="160">
        <f>IF([Occurrence34]=0,0,SUM($GT$2:GT81))</f>
        <v>0</v>
      </c>
      <c r="GV81" s="160">
        <f>IF([chambre3]*1='CHAMBRES GARCONS RDC'!$A$17,1,0)</f>
        <v>0</v>
      </c>
      <c r="GW81" s="160">
        <f>IF([Occurrence35]=0,0,SUM($GV$2:GV81))</f>
        <v>0</v>
      </c>
      <c r="GX81" s="160">
        <f>IF([chambre3]*1='CHAMBRES GARCONS RDC'!$A$23,1,0)</f>
        <v>0</v>
      </c>
      <c r="GY81" s="160">
        <f>IF([Occurrence36]=0,0,SUM($GX$2:GX81))</f>
        <v>0</v>
      </c>
      <c r="GZ81" s="160">
        <f>IF([chambre3]*1='CHAMBRES GARCONS RDC'!$A$29,1,0)</f>
        <v>0</v>
      </c>
      <c r="HA81" s="160">
        <f>IF([Occurrence37]=0,0,SUM($GZ$2:GZ81))</f>
        <v>0</v>
      </c>
      <c r="HB81" s="160">
        <f>IF([chambre3]*1='CHAMBRES GARCONS RDC'!$A$35,1,0)</f>
        <v>0</v>
      </c>
      <c r="HC81" s="160">
        <f>IF([Occurrence38]=0,0,SUM($HB$2:HB81))</f>
        <v>0</v>
      </c>
      <c r="HD81" s="160">
        <f>IF([chambre3]*1='CHAMBRES GARCONS RDC'!$A$41,1,0)</f>
        <v>0</v>
      </c>
      <c r="HE81" s="160">
        <f>IF([Occurrence39]=0,0,SUM($HD$2:HD81))</f>
        <v>0</v>
      </c>
      <c r="HF81" s="160">
        <f>IF([chambre3]*1='CHAMBRES GARCONS RDC'!$A$47,1,0)</f>
        <v>0</v>
      </c>
      <c r="HG81" s="160">
        <f>IF([Occurrence40]=0,0,SUM($HF$2:HF81))</f>
        <v>0</v>
      </c>
      <c r="HH81" s="160">
        <f>IF([chambre3]*1='CHAMBRES GARCONS RDC'!$A$53,1,0)</f>
        <v>0</v>
      </c>
      <c r="HI81" s="160">
        <f>IF([Occurrence41]=0,0,SUM($HH$2:HH81))</f>
        <v>0</v>
      </c>
      <c r="HJ81" s="160">
        <f>IF([chambre3]*1='CHAMBRES GARCONS RDC'!$A$59,1,0)</f>
        <v>0</v>
      </c>
      <c r="HK81" s="160">
        <f>IF([Occurrence42]=0,0,SUM($HJ$2:HJ81))</f>
        <v>0</v>
      </c>
      <c r="HL81" s="160">
        <f>IF([chambre3]*1='CHAMBRES GARCONS RDC'!$A$65,1,0)</f>
        <v>0</v>
      </c>
      <c r="HM81" s="160">
        <f>IF([Occurrence43]=0,0,SUM($HL$2:HL81))</f>
        <v>0</v>
      </c>
      <c r="HN81" s="160">
        <f>IF([chambre3]*1='CHAMBRES GARCONS RDC'!$A$71,1,0)</f>
        <v>0</v>
      </c>
      <c r="HO81" s="160">
        <f>IF([Occurrence44]=0,0,SUM($HN$2:HN81))</f>
        <v>0</v>
      </c>
      <c r="HP81" s="160">
        <f>IF([chambre3]*1='CHAMBRES GARCONS RDC'!$A$77,1,0)</f>
        <v>0</v>
      </c>
      <c r="HQ81" s="160">
        <f>IF([Occurrence45]=0,0,SUM($HP$2:HP81))</f>
        <v>0</v>
      </c>
      <c r="HR81" s="160">
        <f>IF([chambre3]*1='CHAMBRES GARCONS RDC'!$A$83,1,0)</f>
        <v>0</v>
      </c>
      <c r="HS81" s="160">
        <f>IF([Occurrence46]=0,0,SUM($HR$2:HR81))</f>
        <v>0</v>
      </c>
      <c r="HT81" s="160">
        <f>IF([chambre3]*1='CHAMBRES GARCONS RDC'!$A$89,1,0)</f>
        <v>0</v>
      </c>
      <c r="HU81" s="160">
        <f>IF([Occurrence47]=0,0,SUM($HT$2:HT81))</f>
        <v>0</v>
      </c>
      <c r="HV81" s="160">
        <f>IF([chambre3]*1='CHAMBRES GARCONS RDC'!$A$95,1,0)</f>
        <v>0</v>
      </c>
      <c r="HW81" s="160">
        <f>IF([Occurrence48]=0,0,SUM($HV$2:HV81))</f>
        <v>0</v>
      </c>
      <c r="HX81" s="160"/>
      <c r="HY81" s="160"/>
      <c r="HZ81" s="160">
        <f>IF([Classe]='Liste élève par classes'!$B$5,1,0)</f>
        <v>0</v>
      </c>
      <c r="IA81" s="160">
        <f>IF([Occurrence]=0,0,SUM($HZ$2:HZ81))</f>
        <v>0</v>
      </c>
      <c r="IB8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142</v>
      </c>
      <c r="IC81" s="208"/>
    </row>
    <row r="82" spans="1:237">
      <c r="A82" t="s">
        <v>389</v>
      </c>
      <c r="B82" t="s">
        <v>390</v>
      </c>
      <c r="C82" s="158">
        <v>35598</v>
      </c>
      <c r="D82" s="62">
        <f t="shared" ca="1" si="1"/>
        <v>20</v>
      </c>
      <c r="E82" t="s">
        <v>4</v>
      </c>
      <c r="F82" s="159" t="s">
        <v>41</v>
      </c>
      <c r="G82" t="s">
        <v>45</v>
      </c>
      <c r="H82" s="160"/>
      <c r="I82" s="62"/>
      <c r="J82" s="62" t="s">
        <v>244</v>
      </c>
      <c r="K82" s="62"/>
      <c r="L82" s="61"/>
      <c r="M82" s="62"/>
      <c r="N82" s="62"/>
      <c r="O82" s="62"/>
      <c r="P82" s="62"/>
      <c r="Q82" s="62"/>
      <c r="R82" s="62"/>
      <c r="S82" s="62"/>
      <c r="T82" s="62" t="s">
        <v>244</v>
      </c>
      <c r="U82" s="61"/>
      <c r="V82" s="62"/>
      <c r="W82" s="62"/>
      <c r="X82" s="62"/>
      <c r="Y82" s="62"/>
      <c r="Z82" s="62"/>
      <c r="AA82" s="62"/>
      <c r="AB82" s="62"/>
      <c r="AC82" s="62"/>
      <c r="AD82" s="62" t="s">
        <v>244</v>
      </c>
      <c r="AE82" s="62"/>
      <c r="AF82" s="166" t="s">
        <v>244</v>
      </c>
      <c r="AG82" s="166" t="s">
        <v>244</v>
      </c>
      <c r="AH82" s="166" t="s">
        <v>244</v>
      </c>
      <c r="AI82" s="166"/>
      <c r="AJ82" s="166"/>
      <c r="AK82" s="166"/>
      <c r="AL82" s="166"/>
      <c r="AM82" s="166"/>
      <c r="AN82" s="166"/>
      <c r="AO82" s="166"/>
      <c r="AP82" s="166"/>
      <c r="AQ82" s="166"/>
      <c r="AR82" s="166"/>
      <c r="AS82" s="166"/>
      <c r="AT82" s="166"/>
      <c r="AU82" s="166"/>
      <c r="AV82" s="166"/>
      <c r="AW82" s="166"/>
      <c r="AX82" s="166"/>
      <c r="AY82" s="166"/>
      <c r="AZ82" s="166"/>
      <c r="BA82" s="166"/>
      <c r="BB82" s="166"/>
      <c r="BC82" s="163" t="b">
        <v>0</v>
      </c>
      <c r="BD82" s="163" t="b">
        <v>0</v>
      </c>
      <c r="BE82" s="163" t="b">
        <v>0</v>
      </c>
      <c r="BF82" s="163" t="b">
        <v>0</v>
      </c>
      <c r="BG82" s="163" t="b">
        <v>0</v>
      </c>
      <c r="BH82" s="163" t="b">
        <v>0</v>
      </c>
      <c r="BI82" s="163" t="b">
        <v>1</v>
      </c>
      <c r="BJ82" s="163" t="b">
        <v>0</v>
      </c>
      <c r="BK82" s="163" t="b">
        <v>0</v>
      </c>
      <c r="BL82" s="163" t="b">
        <v>0</v>
      </c>
      <c r="BM82" s="166"/>
      <c r="BN82" s="166"/>
      <c r="BO82" s="166"/>
      <c r="BP82" s="166"/>
      <c r="BQ82" s="166"/>
      <c r="BR82" s="166"/>
      <c r="BS82" s="166"/>
      <c r="BT82" s="166"/>
      <c r="BU82" s="166"/>
      <c r="BV82" s="166"/>
      <c r="BW82" s="166"/>
      <c r="BX82" s="166"/>
      <c r="BY82" s="166"/>
      <c r="BZ82" s="166"/>
      <c r="CA82" s="166"/>
      <c r="CB82" s="166"/>
      <c r="CC82" s="166"/>
      <c r="CD82" s="166"/>
      <c r="CE82" s="166"/>
      <c r="CF82" s="166"/>
      <c r="CG82" s="166"/>
      <c r="CH82" s="166"/>
      <c r="CI82" s="166"/>
      <c r="CJ82" s="166"/>
      <c r="CK82" s="166"/>
      <c r="CL82" s="166"/>
      <c r="CM82" s="166"/>
      <c r="CN82" s="166"/>
      <c r="CO82" s="166"/>
      <c r="CP82" s="166"/>
      <c r="CQ82" s="166"/>
      <c r="CR82" s="166"/>
      <c r="CS82" s="166"/>
      <c r="CT82" s="166"/>
      <c r="CU82" s="166"/>
      <c r="CV82" s="166"/>
      <c r="CW82" s="166"/>
      <c r="CX82" s="166"/>
      <c r="CY82" s="166"/>
      <c r="CZ82" s="166"/>
      <c r="DA82" s="166"/>
      <c r="DB82" s="166"/>
      <c r="DC82" s="166"/>
      <c r="DD82" s="166"/>
      <c r="DE82" s="166"/>
      <c r="DF82" s="166"/>
      <c r="DG82" s="166"/>
      <c r="DH82" s="166"/>
      <c r="DI82" s="166"/>
      <c r="DJ82" s="166"/>
      <c r="DK82" s="166"/>
      <c r="DL82" s="166"/>
      <c r="DM82" s="166"/>
      <c r="DN82" s="166"/>
      <c r="DO82" s="166"/>
      <c r="DP82" s="166"/>
      <c r="DQ82" s="166"/>
      <c r="DR82" s="166"/>
      <c r="DS82" s="166"/>
      <c r="DT82" s="166"/>
      <c r="DU82" s="166"/>
      <c r="DV82" s="166"/>
      <c r="DW82" s="166"/>
      <c r="DX82" s="166"/>
      <c r="DY82" s="166"/>
      <c r="DZ82" s="166"/>
      <c r="EA82" s="166"/>
      <c r="EB82" s="166"/>
      <c r="EC82" s="166"/>
      <c r="ED82" s="166"/>
      <c r="EE82" s="166"/>
      <c r="EF82" s="166"/>
      <c r="EG82" s="166"/>
      <c r="EH82" s="160">
        <f>IF([Chambre]*1='CHAMBRES FILLES 2e ETAGE'!$A$5,1,0)</f>
        <v>0</v>
      </c>
      <c r="EI82" s="161">
        <f>IF([Occurrence2]=0,0,SUM($EH$2:EH82))</f>
        <v>0</v>
      </c>
      <c r="EJ82" s="160">
        <f>IF([Chambre]*1='CHAMBRES FILLES 2e ETAGE'!$A$11,1,0)</f>
        <v>0</v>
      </c>
      <c r="EK82" s="160">
        <f>IF([Occurrence3]=0,0,SUM($EJ$2:EJ82))</f>
        <v>0</v>
      </c>
      <c r="EL82" s="160">
        <f>IF([Chambre]*1='CHAMBRES FILLES 2e ETAGE'!$A$17,1,0)</f>
        <v>0</v>
      </c>
      <c r="EM82" s="160">
        <f>IF([Occurrence4]=0,0,SUM($EL$2:EL82))</f>
        <v>0</v>
      </c>
      <c r="EN82" s="160">
        <f>IF([Chambre]*1='CHAMBRES FILLES 2e ETAGE'!$A$23,1,0)</f>
        <v>0</v>
      </c>
      <c r="EO82" s="160">
        <f>IF([Occurrence5]=0,0,SUM($EN$2:EN82))</f>
        <v>0</v>
      </c>
      <c r="EP82" s="160">
        <f>IF([Chambre]*1='CHAMBRES FILLES 2e ETAGE'!$A$29,1,0)</f>
        <v>0</v>
      </c>
      <c r="EQ82" s="160">
        <f>IF([Occurrence6]=0,0,SUM($EP$2:EP82))</f>
        <v>0</v>
      </c>
      <c r="ER82" s="160">
        <f>IF([Chambre]*1='CHAMBRES FILLES 2e ETAGE'!$A$35,1,0)</f>
        <v>0</v>
      </c>
      <c r="ES82" s="160">
        <f>IF([Occurrence7]=0,0,SUM($ER$2:ER82))</f>
        <v>0</v>
      </c>
      <c r="ET82" s="160">
        <f>IF([Chambre]*1='CHAMBRES FILLES 2e ETAGE'!$A$41,1,0)</f>
        <v>0</v>
      </c>
      <c r="EU82" s="160">
        <f>IF([Occurrence8]=0,0,SUM($ET$2:ET82))</f>
        <v>0</v>
      </c>
      <c r="EV82" s="160">
        <f>IF([Chambre]*1='CHAMBRES FILLES 2e ETAGE'!$A$47,1,0)</f>
        <v>0</v>
      </c>
      <c r="EW82" s="160">
        <f>IF([Occurrence9]=0,0,SUM($EV$2:EV82))</f>
        <v>0</v>
      </c>
      <c r="EX82" s="160">
        <f>IF([Chambre]*1='CHAMBRES FILLES 2e ETAGE'!$A$53,1,0)</f>
        <v>0</v>
      </c>
      <c r="EY82" s="160">
        <f>IF([Occurrence10]=0,0,SUM($EX$2:EX82))</f>
        <v>0</v>
      </c>
      <c r="EZ82" s="160">
        <f>IF([Chambre]*1='CHAMBRES FILLES 2e ETAGE'!$A$59,1,0)</f>
        <v>0</v>
      </c>
      <c r="FA82" s="160">
        <f>IF([Occurrence11]=0,0,SUM($EZ$2:EZ82))</f>
        <v>0</v>
      </c>
      <c r="FB82" s="160">
        <f>IF([Chambre]*1='CHAMBRES FILLES 2e ETAGE'!$A$65,1,0)</f>
        <v>0</v>
      </c>
      <c r="FC82" s="160">
        <f>IF([Occurrence12]=0,0,SUM($FB$2:FB82))</f>
        <v>0</v>
      </c>
      <c r="FD82" s="160">
        <f>IF([Chambre]*1='CHAMBRES FILLES 2e ETAGE'!$A$71,1,0)</f>
        <v>0</v>
      </c>
      <c r="FE82" s="160">
        <f>IF([Occurrence13]=0,0,SUM($FD$2:FD82))</f>
        <v>0</v>
      </c>
      <c r="FF82" s="160">
        <f>IF([Chambre]*1='CHAMBRES FILLES 2e ETAGE'!$A$77,1,0)</f>
        <v>0</v>
      </c>
      <c r="FG82" s="160">
        <f>IF([Occurrence14]=0,0,SUM($FF$2:FF82))</f>
        <v>0</v>
      </c>
      <c r="FH82" s="160">
        <f>IF([Chambre]*1='CHAMBRES FILLES 2e ETAGE'!$A$83,1,0)</f>
        <v>0</v>
      </c>
      <c r="FI82" s="160">
        <f>IF([Occurrence15]=0,0,SUM($FH$2:FH82))</f>
        <v>0</v>
      </c>
      <c r="FJ82" s="160">
        <f>IF([Chambre]*1='CHAMBRES FILLES 2e ETAGE'!$A$89,1,0)</f>
        <v>0</v>
      </c>
      <c r="FK82" s="160">
        <f>IF([Occurrence16]=0,0,SUM($FJ$2:FJ82))</f>
        <v>0</v>
      </c>
      <c r="FL82" s="160">
        <f>IF([Chambre]*1='CHAMBRES FILLES 2e ETAGE'!$A$95,1,0)</f>
        <v>0</v>
      </c>
      <c r="FM82" s="160">
        <f>IF([Occurrence17]=0,0,SUM($FL$2:FL82))</f>
        <v>0</v>
      </c>
      <c r="FN82" s="160">
        <f>IF([Chambre2]*1='CHAMBRES FILLES 1e ETAGE'!$A$5,1,0)</f>
        <v>0</v>
      </c>
      <c r="FO82" s="160">
        <f>IF([Occurrence18]=0,0,SUM($FN$2:FN82))</f>
        <v>0</v>
      </c>
      <c r="FP82" s="160">
        <f>IF([Chambre2]*1='CHAMBRES FILLES 1e ETAGE'!$A$11,1,0)</f>
        <v>0</v>
      </c>
      <c r="FQ82" s="160">
        <f>IF([Occurrence19]=0,0,SUM($FP$2:FP82))</f>
        <v>0</v>
      </c>
      <c r="FR82" s="160">
        <f>IF([Chambre2]*1='CHAMBRES FILLES 1e ETAGE'!$A$17,1,0)</f>
        <v>0</v>
      </c>
      <c r="FS82" s="160">
        <f>IF([Occurrence20]=0,0,SUM($FR$2:FR82))</f>
        <v>0</v>
      </c>
      <c r="FT82" s="160">
        <f>IF([Chambre2]*1='CHAMBRES FILLES 1e ETAGE'!$A$23,1,0)</f>
        <v>0</v>
      </c>
      <c r="FU82" s="160">
        <f>IF([Occurrence21]=0,0,SUM($FT$2:FT82))</f>
        <v>0</v>
      </c>
      <c r="FV82" s="160">
        <f>IF([Chambre2]*1='CHAMBRES FILLES 1e ETAGE'!$A$29,1,0)</f>
        <v>0</v>
      </c>
      <c r="FW82" s="160">
        <f>IF([Occurrence22]=0,0,SUM($FV$2:FV82))</f>
        <v>0</v>
      </c>
      <c r="FX82" s="160">
        <f>IF([Chambre2]*1='CHAMBRES FILLES 1e ETAGE'!$A$35,1,0)</f>
        <v>0</v>
      </c>
      <c r="FY82" s="160">
        <f>IF([Occurrence23]=0,0,SUM($FX$2:FX82))</f>
        <v>0</v>
      </c>
      <c r="FZ82" s="160">
        <f>IF([Chambre2]*1='CHAMBRES FILLES 1e ETAGE'!$A$41,1,0)</f>
        <v>0</v>
      </c>
      <c r="GA82" s="160">
        <f>IF([Occurrence24]=0,0,SUM($FZ$2:FZ82))</f>
        <v>0</v>
      </c>
      <c r="GB82" s="160">
        <f>IF([Chambre2]*1='CHAMBRES FILLES 1e ETAGE'!$A$47,1,0)</f>
        <v>0</v>
      </c>
      <c r="GC82" s="160">
        <f>IF([Occurrence25]=0,0,SUM($GB$2:GB82))</f>
        <v>0</v>
      </c>
      <c r="GD82" s="160">
        <f>IF([Chambre2]*1='CHAMBRES FILLES 1e ETAGE'!$A$53,1,0)</f>
        <v>0</v>
      </c>
      <c r="GE82" s="160">
        <f>IF([Occurrence26]=0,0,SUM($GD$2:GD82))</f>
        <v>0</v>
      </c>
      <c r="GF82" s="160">
        <f>IF([chambre4]*1='CHAMBRES GARCONS 1e ETAGE'!$A$5,1,0)</f>
        <v>0</v>
      </c>
      <c r="GG82" s="160">
        <f>IF([Occurrence27]=0,0,SUM($GF$2:GF82))</f>
        <v>0</v>
      </c>
      <c r="GH82" s="160">
        <f>IF([chambre4]*1='CHAMBRES GARCONS 1e ETAGE'!$A$11,1,0)</f>
        <v>0</v>
      </c>
      <c r="GI82" s="160">
        <f>IF([Occurrence28]=0,0,SUM($GH$2:GH82))</f>
        <v>0</v>
      </c>
      <c r="GJ82" s="160">
        <f>IF([chambre4]*1='CHAMBRES GARCONS 1e ETAGE'!$A$17,1,0)</f>
        <v>0</v>
      </c>
      <c r="GK82" s="160">
        <f>IF([Occurrence29]=0,0,SUM($GJ$2:GJ82))</f>
        <v>0</v>
      </c>
      <c r="GL82" s="160">
        <f>IF([chambre4]*1='CHAMBRES GARCONS 1e ETAGE'!$A$23,1,0)</f>
        <v>0</v>
      </c>
      <c r="GM82" s="160">
        <f>IF([Occurrence30]=0,0,SUM($GL$2:GL82))</f>
        <v>0</v>
      </c>
      <c r="GN82" s="160">
        <f>IF([chambre4]*1='CHAMBRES GARCONS 1e ETAGE'!$A$29,1,0)</f>
        <v>0</v>
      </c>
      <c r="GO82" s="160">
        <f>IF([Occurrence31]=0,0,SUM($GN$2:GN82))</f>
        <v>0</v>
      </c>
      <c r="GP82" s="160">
        <f>IF([chambre4]*1='CHAMBRES GARCONS 1e ETAGE'!$A$35,1,0)</f>
        <v>0</v>
      </c>
      <c r="GQ82" s="160">
        <f>IF([Occurrence32]=0,0,SUM($GP$2:GP82))</f>
        <v>0</v>
      </c>
      <c r="GR82" s="160">
        <f>IF([chambre3]*1='CHAMBRES GARCONS RDC'!$A$5,1,0)</f>
        <v>0</v>
      </c>
      <c r="GS82" s="160">
        <f>IF([Occurrence33]=0,0,SUM($GR$2:GR82))</f>
        <v>0</v>
      </c>
      <c r="GT82" s="160">
        <f>IF([chambre3]*1='CHAMBRES GARCONS RDC'!$A$11,1,0)</f>
        <v>0</v>
      </c>
      <c r="GU82" s="160">
        <f>IF([Occurrence34]=0,0,SUM($GT$2:GT82))</f>
        <v>0</v>
      </c>
      <c r="GV82" s="160">
        <f>IF([chambre3]*1='CHAMBRES GARCONS RDC'!$A$17,1,0)</f>
        <v>0</v>
      </c>
      <c r="GW82" s="160">
        <f>IF([Occurrence35]=0,0,SUM($GV$2:GV82))</f>
        <v>0</v>
      </c>
      <c r="GX82" s="160">
        <f>IF([chambre3]*1='CHAMBRES GARCONS RDC'!$A$23,1,0)</f>
        <v>0</v>
      </c>
      <c r="GY82" s="160">
        <f>IF([Occurrence36]=0,0,SUM($GX$2:GX82))</f>
        <v>0</v>
      </c>
      <c r="GZ82" s="160">
        <f>IF([chambre3]*1='CHAMBRES GARCONS RDC'!$A$29,1,0)</f>
        <v>0</v>
      </c>
      <c r="HA82" s="160">
        <f>IF([Occurrence37]=0,0,SUM($GZ$2:GZ82))</f>
        <v>0</v>
      </c>
      <c r="HB82" s="160">
        <f>IF([chambre3]*1='CHAMBRES GARCONS RDC'!$A$35,1,0)</f>
        <v>0</v>
      </c>
      <c r="HC82" s="160">
        <f>IF([Occurrence38]=0,0,SUM($HB$2:HB82))</f>
        <v>0</v>
      </c>
      <c r="HD82" s="160">
        <f>IF([chambre3]*1='CHAMBRES GARCONS RDC'!$A$41,1,0)</f>
        <v>0</v>
      </c>
      <c r="HE82" s="160">
        <f>IF([Occurrence39]=0,0,SUM($HD$2:HD82))</f>
        <v>0</v>
      </c>
      <c r="HF82" s="160">
        <f>IF([chambre3]*1='CHAMBRES GARCONS RDC'!$A$47,1,0)</f>
        <v>0</v>
      </c>
      <c r="HG82" s="160">
        <f>IF([Occurrence40]=0,0,SUM($HF$2:HF82))</f>
        <v>0</v>
      </c>
      <c r="HH82" s="160">
        <f>IF([chambre3]*1='CHAMBRES GARCONS RDC'!$A$53,1,0)</f>
        <v>0</v>
      </c>
      <c r="HI82" s="160">
        <f>IF([Occurrence41]=0,0,SUM($HH$2:HH82))</f>
        <v>0</v>
      </c>
      <c r="HJ82" s="160">
        <f>IF([chambre3]*1='CHAMBRES GARCONS RDC'!$A$59,1,0)</f>
        <v>0</v>
      </c>
      <c r="HK82" s="160">
        <f>IF([Occurrence42]=0,0,SUM($HJ$2:HJ82))</f>
        <v>0</v>
      </c>
      <c r="HL82" s="160">
        <f>IF([chambre3]*1='CHAMBRES GARCONS RDC'!$A$65,1,0)</f>
        <v>0</v>
      </c>
      <c r="HM82" s="160">
        <f>IF([Occurrence43]=0,0,SUM($HL$2:HL82))</f>
        <v>0</v>
      </c>
      <c r="HN82" s="160">
        <f>IF([chambre3]*1='CHAMBRES GARCONS RDC'!$A$71,1,0)</f>
        <v>0</v>
      </c>
      <c r="HO82" s="160">
        <f>IF([Occurrence44]=0,0,SUM($HN$2:HN82))</f>
        <v>0</v>
      </c>
      <c r="HP82" s="160">
        <f>IF([chambre3]*1='CHAMBRES GARCONS RDC'!$A$77,1,0)</f>
        <v>0</v>
      </c>
      <c r="HQ82" s="160">
        <f>IF([Occurrence45]=0,0,SUM($HP$2:HP82))</f>
        <v>0</v>
      </c>
      <c r="HR82" s="160">
        <f>IF([chambre3]*1='CHAMBRES GARCONS RDC'!$A$83,1,0)</f>
        <v>0</v>
      </c>
      <c r="HS82" s="160">
        <f>IF([Occurrence46]=0,0,SUM($HR$2:HR82))</f>
        <v>0</v>
      </c>
      <c r="HT82" s="160">
        <f>IF([chambre3]*1='CHAMBRES GARCONS RDC'!$A$89,1,0)</f>
        <v>0</v>
      </c>
      <c r="HU82" s="160">
        <f>IF([Occurrence47]=0,0,SUM($HT$2:HT82))</f>
        <v>0</v>
      </c>
      <c r="HV82" s="160">
        <f>IF([chambre3]*1='CHAMBRES GARCONS RDC'!$A$95,1,0)</f>
        <v>0</v>
      </c>
      <c r="HW82" s="160">
        <f>IF([Occurrence48]=0,0,SUM($HV$2:HV82))</f>
        <v>0</v>
      </c>
      <c r="HX82" s="160"/>
      <c r="HY82" s="160"/>
      <c r="HZ82" s="160">
        <f>IF([Classe]='Liste élève par classes'!$B$5,1,0)</f>
        <v>0</v>
      </c>
      <c r="IA82" s="160">
        <f>IF([Occurrence]=0,0,SUM($HZ$2:HZ82))</f>
        <v>0</v>
      </c>
      <c r="IB8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82" s="208"/>
    </row>
    <row r="83" spans="1:237">
      <c r="A83" t="s">
        <v>391</v>
      </c>
      <c r="B83" t="s">
        <v>286</v>
      </c>
      <c r="C83" s="158">
        <v>37217</v>
      </c>
      <c r="D83" s="62">
        <f t="shared" ca="1" si="1"/>
        <v>15</v>
      </c>
      <c r="E83" t="s">
        <v>6</v>
      </c>
      <c r="F83" s="159" t="s">
        <v>50</v>
      </c>
      <c r="G83" t="s">
        <v>40</v>
      </c>
      <c r="H83" s="160"/>
      <c r="I83" s="62"/>
      <c r="J83" s="62"/>
      <c r="K83" s="62"/>
      <c r="L83" s="61"/>
      <c r="M83">
        <v>60</v>
      </c>
      <c r="N83" s="62"/>
      <c r="O83" s="62"/>
      <c r="P83" s="62"/>
      <c r="Q83" s="62"/>
      <c r="R83" s="62"/>
      <c r="S83" s="191"/>
      <c r="T83" s="62"/>
      <c r="U83" s="61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163"/>
      <c r="AG83" s="163"/>
      <c r="AH83" s="163"/>
      <c r="AI83" s="163"/>
      <c r="AJ83" s="163"/>
      <c r="AK83" s="163"/>
      <c r="AL83" s="163"/>
      <c r="AM83" s="163"/>
      <c r="AN83" s="163"/>
      <c r="AO83" s="163"/>
      <c r="AP83" s="163"/>
      <c r="AQ83" s="163"/>
      <c r="AR83" s="163"/>
      <c r="AS83" s="163"/>
      <c r="AT83" s="163"/>
      <c r="AU83" s="163"/>
      <c r="AV83" s="163"/>
      <c r="AW83" s="163"/>
      <c r="AX83" s="163"/>
      <c r="AY83" s="163"/>
      <c r="AZ83" s="163"/>
      <c r="BA83" s="163"/>
      <c r="BB83" s="163"/>
      <c r="BC83" s="163" t="b">
        <v>0</v>
      </c>
      <c r="BD83" s="163" t="b">
        <v>1</v>
      </c>
      <c r="BE83" s="163" t="b">
        <v>1</v>
      </c>
      <c r="BF83" s="163" t="b">
        <v>0</v>
      </c>
      <c r="BG83" s="164" t="b">
        <v>0</v>
      </c>
      <c r="BH83" s="163" t="b">
        <v>1</v>
      </c>
      <c r="BI83" s="163"/>
      <c r="BJ83" s="163"/>
      <c r="BK83" s="163"/>
      <c r="BL83" s="163"/>
      <c r="BM83" s="163"/>
      <c r="BN83" s="163"/>
      <c r="BO83" s="163"/>
      <c r="BP83" s="163"/>
      <c r="BQ83" s="163" t="b">
        <v>0</v>
      </c>
      <c r="BR83" s="163"/>
      <c r="BS83" s="163"/>
      <c r="BT83" s="163"/>
      <c r="BU83" s="163"/>
      <c r="BV83" s="163"/>
      <c r="BW83" s="163"/>
      <c r="BX83" s="163"/>
      <c r="BY83" s="163"/>
      <c r="BZ83" s="163"/>
      <c r="CA83" s="163"/>
      <c r="CB83" s="163"/>
      <c r="CC83" s="163"/>
      <c r="CD83" s="163"/>
      <c r="CE83" s="163"/>
      <c r="CF83" s="163"/>
      <c r="CG83" s="163"/>
      <c r="CH83" s="163"/>
      <c r="CI83" s="163"/>
      <c r="CJ83" s="163"/>
      <c r="CK83" s="163"/>
      <c r="CL83" s="163"/>
      <c r="CM83" s="163"/>
      <c r="CN83" s="163"/>
      <c r="CO83" s="163"/>
      <c r="CP83" s="163"/>
      <c r="CQ83" s="163"/>
      <c r="CR83" s="163"/>
      <c r="CS83" s="163"/>
      <c r="CT83" s="163"/>
      <c r="CU83" s="163"/>
      <c r="CV83" s="163"/>
      <c r="CW83" s="163"/>
      <c r="CX83" s="163"/>
      <c r="CY83" s="163"/>
      <c r="CZ83" s="163"/>
      <c r="DA83" s="163"/>
      <c r="DB83" s="163"/>
      <c r="DC83" s="163"/>
      <c r="DD83" s="163"/>
      <c r="DE83" s="163"/>
      <c r="DF83" s="163"/>
      <c r="DG83" s="208">
        <v>146</v>
      </c>
      <c r="DH83" s="163"/>
      <c r="DI83" s="163"/>
      <c r="DJ83" s="163"/>
      <c r="DK83" s="163"/>
      <c r="DL83" s="163"/>
      <c r="DM83" s="163"/>
      <c r="DN83" s="163"/>
      <c r="DO83" s="163"/>
      <c r="DP83" s="163"/>
      <c r="DQ83" s="163"/>
      <c r="DR83" s="163"/>
      <c r="DS83" s="163"/>
      <c r="DT83" s="163"/>
      <c r="DU83" s="163"/>
      <c r="DV83" s="163"/>
      <c r="DW83" s="163"/>
      <c r="DX83" s="163"/>
      <c r="DY83" s="163"/>
      <c r="DZ83" s="163"/>
      <c r="EA83" s="163"/>
      <c r="EB83" s="163"/>
      <c r="EC83" s="163"/>
      <c r="ED83" s="163"/>
      <c r="EE83" s="163"/>
      <c r="EF83" s="163"/>
      <c r="EG83" s="163"/>
      <c r="EH83" s="160">
        <f>IF([Chambre]*1='CHAMBRES FILLES 2e ETAGE'!$A$5,1,0)</f>
        <v>0</v>
      </c>
      <c r="EI83" s="161">
        <f>IF([Occurrence2]=0,0,SUM($EH$2:EH83))</f>
        <v>0</v>
      </c>
      <c r="EJ83" s="160">
        <f>IF([Chambre]*1='CHAMBRES FILLES 2e ETAGE'!$A$11,1,0)</f>
        <v>0</v>
      </c>
      <c r="EK83" s="160">
        <f>IF([Occurrence3]=0,0,SUM($EJ$2:EJ83))</f>
        <v>0</v>
      </c>
      <c r="EL83" s="160">
        <f>IF([Chambre]*1='CHAMBRES FILLES 2e ETAGE'!$A$17,1,0)</f>
        <v>0</v>
      </c>
      <c r="EM83" s="160">
        <f>IF([Occurrence4]=0,0,SUM($EL$2:EL83))</f>
        <v>0</v>
      </c>
      <c r="EN83" s="160">
        <f>IF([Chambre]*1='CHAMBRES FILLES 2e ETAGE'!$A$23,1,0)</f>
        <v>0</v>
      </c>
      <c r="EO83" s="160">
        <f>IF([Occurrence5]=0,0,SUM($EN$2:EN83))</f>
        <v>0</v>
      </c>
      <c r="EP83" s="160">
        <f>IF([Chambre]*1='CHAMBRES FILLES 2e ETAGE'!$A$29,1,0)</f>
        <v>0</v>
      </c>
      <c r="EQ83" s="160">
        <f>IF([Occurrence6]=0,0,SUM($EP$2:EP83))</f>
        <v>0</v>
      </c>
      <c r="ER83" s="160">
        <f>IF([Chambre]*1='CHAMBRES FILLES 2e ETAGE'!$A$35,1,0)</f>
        <v>0</v>
      </c>
      <c r="ES83" s="160">
        <f>IF([Occurrence7]=0,0,SUM($ER$2:ER83))</f>
        <v>0</v>
      </c>
      <c r="ET83" s="160">
        <f>IF([Chambre]*1='CHAMBRES FILLES 2e ETAGE'!$A$41,1,0)</f>
        <v>0</v>
      </c>
      <c r="EU83" s="160">
        <f>IF([Occurrence8]=0,0,SUM($ET$2:ET83))</f>
        <v>0</v>
      </c>
      <c r="EV83" s="160">
        <f>IF([Chambre]*1='CHAMBRES FILLES 2e ETAGE'!$A$47,1,0)</f>
        <v>0</v>
      </c>
      <c r="EW83" s="160">
        <f>IF([Occurrence9]=0,0,SUM($EV$2:EV83))</f>
        <v>0</v>
      </c>
      <c r="EX83" s="160">
        <f>IF([Chambre]*1='CHAMBRES FILLES 2e ETAGE'!$A$53,1,0)</f>
        <v>0</v>
      </c>
      <c r="EY83" s="160">
        <f>IF([Occurrence10]=0,0,SUM($EX$2:EX83))</f>
        <v>0</v>
      </c>
      <c r="EZ83" s="160">
        <f>IF([Chambre]*1='CHAMBRES FILLES 2e ETAGE'!$A$59,1,0)</f>
        <v>0</v>
      </c>
      <c r="FA83" s="160">
        <f>IF([Occurrence11]=0,0,SUM($EZ$2:EZ83))</f>
        <v>0</v>
      </c>
      <c r="FB83" s="160">
        <f>IF([Chambre]*1='CHAMBRES FILLES 2e ETAGE'!$A$65,1,0)</f>
        <v>0</v>
      </c>
      <c r="FC83" s="160">
        <f>IF([Occurrence12]=0,0,SUM($FB$2:FB83))</f>
        <v>0</v>
      </c>
      <c r="FD83" s="160">
        <f>IF([Chambre]*1='CHAMBRES FILLES 2e ETAGE'!$A$71,1,0)</f>
        <v>0</v>
      </c>
      <c r="FE83" s="160">
        <f>IF([Occurrence13]=0,0,SUM($FD$2:FD83))</f>
        <v>0</v>
      </c>
      <c r="FF83" s="160">
        <f>IF([Chambre]*1='CHAMBRES FILLES 2e ETAGE'!$A$77,1,0)</f>
        <v>0</v>
      </c>
      <c r="FG83" s="160">
        <f>IF([Occurrence14]=0,0,SUM($FF$2:FF83))</f>
        <v>0</v>
      </c>
      <c r="FH83" s="160">
        <f>IF([Chambre]*1='CHAMBRES FILLES 2e ETAGE'!$A$83,1,0)</f>
        <v>0</v>
      </c>
      <c r="FI83" s="160">
        <f>IF([Occurrence15]=0,0,SUM($FH$2:FH83))</f>
        <v>0</v>
      </c>
      <c r="FJ83" s="160">
        <f>IF([Chambre]*1='CHAMBRES FILLES 2e ETAGE'!$A$89,1,0)</f>
        <v>0</v>
      </c>
      <c r="FK83" s="160">
        <f>IF([Occurrence16]=0,0,SUM($FJ$2:FJ83))</f>
        <v>0</v>
      </c>
      <c r="FL83" s="160">
        <f>IF([Chambre]*1='CHAMBRES FILLES 2e ETAGE'!$A$95,1,0)</f>
        <v>0</v>
      </c>
      <c r="FM83" s="160">
        <f>IF([Occurrence17]=0,0,SUM($FL$2:FL83))</f>
        <v>0</v>
      </c>
      <c r="FN83" s="160">
        <f>IF([Chambre2]*1='CHAMBRES FILLES 1e ETAGE'!$A$5,1,0)</f>
        <v>0</v>
      </c>
      <c r="FO83" s="160">
        <f>IF([Occurrence18]=0,0,SUM($FN$2:FN83))</f>
        <v>0</v>
      </c>
      <c r="FP83" s="160">
        <f>IF([Chambre2]*1='CHAMBRES FILLES 1e ETAGE'!$A$11,1,0)</f>
        <v>0</v>
      </c>
      <c r="FQ83" s="160">
        <f>IF([Occurrence19]=0,0,SUM($FP$2:FP83))</f>
        <v>0</v>
      </c>
      <c r="FR83" s="160">
        <f>IF([Chambre2]*1='CHAMBRES FILLES 1e ETAGE'!$A$17,1,0)</f>
        <v>0</v>
      </c>
      <c r="FS83" s="160">
        <f>IF([Occurrence20]=0,0,SUM($FR$2:FR83))</f>
        <v>0</v>
      </c>
      <c r="FT83" s="160">
        <f>IF([Chambre2]*1='CHAMBRES FILLES 1e ETAGE'!$A$23,1,0)</f>
        <v>0</v>
      </c>
      <c r="FU83" s="160">
        <f>IF([Occurrence21]=0,0,SUM($FT$2:FT83))</f>
        <v>0</v>
      </c>
      <c r="FV83" s="160">
        <f>IF([Chambre2]*1='CHAMBRES FILLES 1e ETAGE'!$A$29,1,0)</f>
        <v>0</v>
      </c>
      <c r="FW83" s="160">
        <f>IF([Occurrence22]=0,0,SUM($FV$2:FV83))</f>
        <v>0</v>
      </c>
      <c r="FX83" s="160">
        <f>IF([Chambre2]*1='CHAMBRES FILLES 1e ETAGE'!$A$35,1,0)</f>
        <v>0</v>
      </c>
      <c r="FY83" s="160">
        <f>IF([Occurrence23]=0,0,SUM($FX$2:FX83))</f>
        <v>0</v>
      </c>
      <c r="FZ83" s="160">
        <f>IF([Chambre2]*1='CHAMBRES FILLES 1e ETAGE'!$A$41,1,0)</f>
        <v>0</v>
      </c>
      <c r="GA83" s="160">
        <f>IF([Occurrence24]=0,0,SUM($FZ$2:FZ83))</f>
        <v>0</v>
      </c>
      <c r="GB83" s="160">
        <f>IF([Chambre2]*1='CHAMBRES FILLES 1e ETAGE'!$A$47,1,0)</f>
        <v>0</v>
      </c>
      <c r="GC83" s="160">
        <f>IF([Occurrence25]=0,0,SUM($GB$2:GB83))</f>
        <v>0</v>
      </c>
      <c r="GD83" s="160">
        <f>IF([Chambre2]*1='CHAMBRES FILLES 1e ETAGE'!$A$53,1,0)</f>
        <v>0</v>
      </c>
      <c r="GE83" s="160">
        <f>IF([Occurrence26]=0,0,SUM($GD$2:GD83))</f>
        <v>0</v>
      </c>
      <c r="GF83" s="160">
        <f>IF([chambre4]*1='CHAMBRES GARCONS 1e ETAGE'!$A$5,1,0)</f>
        <v>0</v>
      </c>
      <c r="GG83" s="160">
        <f>IF([Occurrence27]=0,0,SUM($GF$2:GF83))</f>
        <v>0</v>
      </c>
      <c r="GH83" s="160">
        <f>IF([chambre4]*1='CHAMBRES GARCONS 1e ETAGE'!$A$11,1,0)</f>
        <v>0</v>
      </c>
      <c r="GI83" s="160">
        <f>IF([Occurrence28]=0,0,SUM($GH$2:GH83))</f>
        <v>0</v>
      </c>
      <c r="GJ83" s="160">
        <f>IF([chambre4]*1='CHAMBRES GARCONS 1e ETAGE'!$A$17,1,0)</f>
        <v>1</v>
      </c>
      <c r="GK83" s="160">
        <f>IF([Occurrence29]=0,0,SUM($GJ$2:GJ83))</f>
        <v>2</v>
      </c>
      <c r="GL83" s="160">
        <f>IF([chambre4]*1='CHAMBRES GARCONS 1e ETAGE'!$A$23,1,0)</f>
        <v>0</v>
      </c>
      <c r="GM83" s="160">
        <f>IF([Occurrence30]=0,0,SUM($GL$2:GL83))</f>
        <v>0</v>
      </c>
      <c r="GN83" s="160">
        <f>IF([chambre4]*1='CHAMBRES GARCONS 1e ETAGE'!$A$29,1,0)</f>
        <v>0</v>
      </c>
      <c r="GO83" s="160">
        <f>IF([Occurrence31]=0,0,SUM($GN$2:GN83))</f>
        <v>0</v>
      </c>
      <c r="GP83" s="160">
        <f>IF([chambre4]*1='CHAMBRES GARCONS 1e ETAGE'!$A$35,1,0)</f>
        <v>0</v>
      </c>
      <c r="GQ83" s="160">
        <f>IF([Occurrence32]=0,0,SUM($GP$2:GP83))</f>
        <v>0</v>
      </c>
      <c r="GR83" s="160">
        <f>IF([chambre3]*1='CHAMBRES GARCONS RDC'!$A$5,1,0)</f>
        <v>0</v>
      </c>
      <c r="GS83" s="160">
        <f>IF([Occurrence33]=0,0,SUM($GR$2:GR83))</f>
        <v>0</v>
      </c>
      <c r="GT83" s="160">
        <f>IF([chambre3]*1='CHAMBRES GARCONS RDC'!$A$11,1,0)</f>
        <v>0</v>
      </c>
      <c r="GU83" s="160">
        <f>IF([Occurrence34]=0,0,SUM($GT$2:GT83))</f>
        <v>0</v>
      </c>
      <c r="GV83" s="160">
        <f>IF([chambre3]*1='CHAMBRES GARCONS RDC'!$A$17,1,0)</f>
        <v>0</v>
      </c>
      <c r="GW83" s="160">
        <f>IF([Occurrence35]=0,0,SUM($GV$2:GV83))</f>
        <v>0</v>
      </c>
      <c r="GX83" s="160">
        <f>IF([chambre3]*1='CHAMBRES GARCONS RDC'!$A$23,1,0)</f>
        <v>0</v>
      </c>
      <c r="GY83" s="160">
        <f>IF([Occurrence36]=0,0,SUM($GX$2:GX83))</f>
        <v>0</v>
      </c>
      <c r="GZ83" s="160">
        <f>IF([chambre3]*1='CHAMBRES GARCONS RDC'!$A$29,1,0)</f>
        <v>0</v>
      </c>
      <c r="HA83" s="160">
        <f>IF([Occurrence37]=0,0,SUM($GZ$2:GZ83))</f>
        <v>0</v>
      </c>
      <c r="HB83" s="160">
        <f>IF([chambre3]*1='CHAMBRES GARCONS RDC'!$A$35,1,0)</f>
        <v>0</v>
      </c>
      <c r="HC83" s="160">
        <f>IF([Occurrence38]=0,0,SUM($HB$2:HB83))</f>
        <v>0</v>
      </c>
      <c r="HD83" s="160">
        <f>IF([chambre3]*1='CHAMBRES GARCONS RDC'!$A$41,1,0)</f>
        <v>0</v>
      </c>
      <c r="HE83" s="160">
        <f>IF([Occurrence39]=0,0,SUM($HD$2:HD83))</f>
        <v>0</v>
      </c>
      <c r="HF83" s="160">
        <f>IF([chambre3]*1='CHAMBRES GARCONS RDC'!$A$47,1,0)</f>
        <v>0</v>
      </c>
      <c r="HG83" s="160">
        <f>IF([Occurrence40]=0,0,SUM($HF$2:HF83))</f>
        <v>0</v>
      </c>
      <c r="HH83" s="160">
        <f>IF([chambre3]*1='CHAMBRES GARCONS RDC'!$A$53,1,0)</f>
        <v>0</v>
      </c>
      <c r="HI83" s="160">
        <f>IF([Occurrence41]=0,0,SUM($HH$2:HH83))</f>
        <v>0</v>
      </c>
      <c r="HJ83" s="160">
        <f>IF([chambre3]*1='CHAMBRES GARCONS RDC'!$A$59,1,0)</f>
        <v>0</v>
      </c>
      <c r="HK83" s="160">
        <f>IF([Occurrence42]=0,0,SUM($HJ$2:HJ83))</f>
        <v>0</v>
      </c>
      <c r="HL83" s="160">
        <f>IF([chambre3]*1='CHAMBRES GARCONS RDC'!$A$65,1,0)</f>
        <v>0</v>
      </c>
      <c r="HM83" s="160">
        <f>IF([Occurrence43]=0,0,SUM($HL$2:HL83))</f>
        <v>0</v>
      </c>
      <c r="HN83" s="160">
        <f>IF([chambre3]*1='CHAMBRES GARCONS RDC'!$A$71,1,0)</f>
        <v>0</v>
      </c>
      <c r="HO83" s="160">
        <f>IF([Occurrence44]=0,0,SUM($HN$2:HN83))</f>
        <v>0</v>
      </c>
      <c r="HP83" s="160">
        <f>IF([chambre3]*1='CHAMBRES GARCONS RDC'!$A$77,1,0)</f>
        <v>0</v>
      </c>
      <c r="HQ83" s="160">
        <f>IF([Occurrence45]=0,0,SUM($HP$2:HP83))</f>
        <v>0</v>
      </c>
      <c r="HR83" s="160">
        <f>IF([chambre3]*1='CHAMBRES GARCONS RDC'!$A$83,1,0)</f>
        <v>0</v>
      </c>
      <c r="HS83" s="160">
        <f>IF([Occurrence46]=0,0,SUM($HR$2:HR83))</f>
        <v>0</v>
      </c>
      <c r="HT83" s="160">
        <f>IF([chambre3]*1='CHAMBRES GARCONS RDC'!$A$89,1,0)</f>
        <v>0</v>
      </c>
      <c r="HU83" s="160">
        <f>IF([Occurrence47]=0,0,SUM($HT$2:HT83))</f>
        <v>0</v>
      </c>
      <c r="HV83" s="160">
        <f>IF([chambre3]*1='CHAMBRES GARCONS RDC'!$A$95,1,0)</f>
        <v>0</v>
      </c>
      <c r="HW83" s="160">
        <f>IF([Occurrence48]=0,0,SUM($HV$2:HV83))</f>
        <v>0</v>
      </c>
      <c r="HX83" s="160"/>
      <c r="HY83" s="160"/>
      <c r="HZ83" s="160">
        <f>IF([Classe]='Liste élève par classes'!$B$5,1,0)</f>
        <v>0</v>
      </c>
      <c r="IA83" s="160">
        <f>IF([Occurrence]=0,0,SUM($HZ$2:HZ83))</f>
        <v>0</v>
      </c>
      <c r="IB8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146</v>
      </c>
      <c r="IC83" s="208"/>
    </row>
    <row r="84" spans="1:237">
      <c r="A84" t="s">
        <v>392</v>
      </c>
      <c r="B84" t="s">
        <v>393</v>
      </c>
      <c r="C84" s="158">
        <v>36553</v>
      </c>
      <c r="D84" s="62">
        <f t="shared" ca="1" si="1"/>
        <v>17</v>
      </c>
      <c r="E84" t="s">
        <v>13</v>
      </c>
      <c r="F84" s="159" t="s">
        <v>50</v>
      </c>
      <c r="G84" t="s">
        <v>40</v>
      </c>
      <c r="H84" s="160"/>
      <c r="I84" s="161"/>
      <c r="J84" s="161"/>
      <c r="K84" s="161"/>
      <c r="L84" s="160"/>
      <c r="M84">
        <v>118</v>
      </c>
      <c r="N84" s="161"/>
      <c r="O84" s="161"/>
      <c r="P84" s="161"/>
      <c r="Q84" s="161"/>
      <c r="R84" s="161"/>
      <c r="S84" s="190"/>
      <c r="T84" s="161"/>
      <c r="U84" s="160"/>
      <c r="V84" s="161"/>
      <c r="W84" s="161"/>
      <c r="X84" s="161"/>
      <c r="Y84" s="161"/>
      <c r="Z84" s="161"/>
      <c r="AA84" s="161"/>
      <c r="AB84" s="161"/>
      <c r="AC84" s="161"/>
      <c r="AD84" s="161"/>
      <c r="AE84" s="161"/>
      <c r="AF84" s="163"/>
      <c r="AG84" s="163"/>
      <c r="AH84" s="163"/>
      <c r="AI84" s="163"/>
      <c r="AJ84" s="163"/>
      <c r="AK84" s="163"/>
      <c r="AL84" s="163"/>
      <c r="AM84" s="163"/>
      <c r="AN84" s="163"/>
      <c r="AO84" s="163"/>
      <c r="AP84" s="163"/>
      <c r="AQ84" s="163"/>
      <c r="AR84" s="163"/>
      <c r="AS84" s="163"/>
      <c r="AT84" s="163"/>
      <c r="AU84" s="163"/>
      <c r="AV84" s="163"/>
      <c r="AW84" s="163"/>
      <c r="AX84" s="163"/>
      <c r="AY84" s="163"/>
      <c r="AZ84" s="163"/>
      <c r="BA84" s="163"/>
      <c r="BB84" s="163"/>
      <c r="BC84" s="163" t="b">
        <v>0</v>
      </c>
      <c r="BD84" s="163" t="b">
        <v>1</v>
      </c>
      <c r="BE84" s="163" t="b">
        <v>1</v>
      </c>
      <c r="BF84" s="163" t="b">
        <v>0</v>
      </c>
      <c r="BG84" s="164" t="b">
        <v>0</v>
      </c>
      <c r="BH84" s="163" t="b">
        <v>1</v>
      </c>
      <c r="BI84" s="163"/>
      <c r="BJ84" s="163"/>
      <c r="BK84" s="163"/>
      <c r="BL84" s="163"/>
      <c r="BM84" s="163"/>
      <c r="BN84" s="163"/>
      <c r="BO84" s="163"/>
      <c r="BP84" s="163"/>
      <c r="BQ84" s="163" t="b">
        <v>0</v>
      </c>
      <c r="BR84" s="163"/>
      <c r="BS84" s="163"/>
      <c r="BT84" s="163"/>
      <c r="BU84" s="163"/>
      <c r="BV84" s="163"/>
      <c r="BW84" s="163"/>
      <c r="BX84" s="163"/>
      <c r="BY84" s="163"/>
      <c r="BZ84" s="163"/>
      <c r="CA84" s="163"/>
      <c r="CB84" s="163"/>
      <c r="CC84" s="163"/>
      <c r="CD84" s="163"/>
      <c r="CE84" s="163"/>
      <c r="CF84" s="163"/>
      <c r="CG84" s="163"/>
      <c r="CH84" s="163"/>
      <c r="CI84" s="163"/>
      <c r="CJ84" s="163"/>
      <c r="CK84" s="163"/>
      <c r="CL84" s="163"/>
      <c r="CM84" s="163"/>
      <c r="CN84" s="163"/>
      <c r="CO84" s="163"/>
      <c r="CP84" s="163"/>
      <c r="CQ84" s="163"/>
      <c r="CR84" s="163"/>
      <c r="CS84" s="163"/>
      <c r="CT84" s="163"/>
      <c r="CU84" s="163"/>
      <c r="CV84" s="163"/>
      <c r="CW84" s="163"/>
      <c r="CX84" s="163"/>
      <c r="CY84" s="163"/>
      <c r="CZ84" s="163"/>
      <c r="DA84" s="163">
        <v>124</v>
      </c>
      <c r="DB84" s="163"/>
      <c r="DC84" s="163"/>
      <c r="DD84" s="163"/>
      <c r="DE84" s="163"/>
      <c r="DF84" s="163"/>
      <c r="DG84" s="208"/>
      <c r="DH84" s="163"/>
      <c r="DI84" s="163"/>
      <c r="DJ84" s="163"/>
      <c r="DK84" s="163"/>
      <c r="DL84" s="163"/>
      <c r="DM84" s="163"/>
      <c r="DN84" s="163"/>
      <c r="DO84" s="163"/>
      <c r="DP84" s="163"/>
      <c r="DQ84" s="163"/>
      <c r="DR84" s="163"/>
      <c r="DS84" s="163"/>
      <c r="DT84" s="163"/>
      <c r="DU84" s="163"/>
      <c r="DV84" s="163"/>
      <c r="DW84" s="163"/>
      <c r="DX84" s="163"/>
      <c r="DY84" s="163"/>
      <c r="DZ84" s="163"/>
      <c r="EA84" s="163"/>
      <c r="EB84" s="163"/>
      <c r="EC84" s="163"/>
      <c r="ED84" s="163"/>
      <c r="EE84" s="163"/>
      <c r="EF84" s="163"/>
      <c r="EG84" s="163"/>
      <c r="EH84" s="160">
        <f>IF([Chambre]*1='CHAMBRES FILLES 2e ETAGE'!$A$5,1,0)</f>
        <v>0</v>
      </c>
      <c r="EI84" s="161">
        <f>IF([Occurrence2]=0,0,SUM($EH$2:EH84))</f>
        <v>0</v>
      </c>
      <c r="EJ84" s="160">
        <f>IF([Chambre]*1='CHAMBRES FILLES 2e ETAGE'!$A$11,1,0)</f>
        <v>0</v>
      </c>
      <c r="EK84" s="160">
        <f>IF([Occurrence3]=0,0,SUM($EJ$2:EJ84))</f>
        <v>0</v>
      </c>
      <c r="EL84" s="160">
        <f>IF([Chambre]*1='CHAMBRES FILLES 2e ETAGE'!$A$17,1,0)</f>
        <v>0</v>
      </c>
      <c r="EM84" s="160">
        <f>IF([Occurrence4]=0,0,SUM($EL$2:EL84))</f>
        <v>0</v>
      </c>
      <c r="EN84" s="160">
        <f>IF([Chambre]*1='CHAMBRES FILLES 2e ETAGE'!$A$23,1,0)</f>
        <v>0</v>
      </c>
      <c r="EO84" s="160">
        <f>IF([Occurrence5]=0,0,SUM($EN$2:EN84))</f>
        <v>0</v>
      </c>
      <c r="EP84" s="160">
        <f>IF([Chambre]*1='CHAMBRES FILLES 2e ETAGE'!$A$29,1,0)</f>
        <v>0</v>
      </c>
      <c r="EQ84" s="160">
        <f>IF([Occurrence6]=0,0,SUM($EP$2:EP84))</f>
        <v>0</v>
      </c>
      <c r="ER84" s="160">
        <f>IF([Chambre]*1='CHAMBRES FILLES 2e ETAGE'!$A$35,1,0)</f>
        <v>0</v>
      </c>
      <c r="ES84" s="160">
        <f>IF([Occurrence7]=0,0,SUM($ER$2:ER84))</f>
        <v>0</v>
      </c>
      <c r="ET84" s="160">
        <f>IF([Chambre]*1='CHAMBRES FILLES 2e ETAGE'!$A$41,1,0)</f>
        <v>0</v>
      </c>
      <c r="EU84" s="160">
        <f>IF([Occurrence8]=0,0,SUM($ET$2:ET84))</f>
        <v>0</v>
      </c>
      <c r="EV84" s="160">
        <f>IF([Chambre]*1='CHAMBRES FILLES 2e ETAGE'!$A$47,1,0)</f>
        <v>0</v>
      </c>
      <c r="EW84" s="160">
        <f>IF([Occurrence9]=0,0,SUM($EV$2:EV84))</f>
        <v>0</v>
      </c>
      <c r="EX84" s="160">
        <f>IF([Chambre]*1='CHAMBRES FILLES 2e ETAGE'!$A$53,1,0)</f>
        <v>0</v>
      </c>
      <c r="EY84" s="160">
        <f>IF([Occurrence10]=0,0,SUM($EX$2:EX84))</f>
        <v>0</v>
      </c>
      <c r="EZ84" s="160">
        <f>IF([Chambre]*1='CHAMBRES FILLES 2e ETAGE'!$A$59,1,0)</f>
        <v>0</v>
      </c>
      <c r="FA84" s="160">
        <f>IF([Occurrence11]=0,0,SUM($EZ$2:EZ84))</f>
        <v>0</v>
      </c>
      <c r="FB84" s="160">
        <f>IF([Chambre]*1='CHAMBRES FILLES 2e ETAGE'!$A$65,1,0)</f>
        <v>0</v>
      </c>
      <c r="FC84" s="160">
        <f>IF([Occurrence12]=0,0,SUM($FB$2:FB84))</f>
        <v>0</v>
      </c>
      <c r="FD84" s="160">
        <f>IF([Chambre]*1='CHAMBRES FILLES 2e ETAGE'!$A$71,1,0)</f>
        <v>0</v>
      </c>
      <c r="FE84" s="160">
        <f>IF([Occurrence13]=0,0,SUM($FD$2:FD84))</f>
        <v>0</v>
      </c>
      <c r="FF84" s="160">
        <f>IF([Chambre]*1='CHAMBRES FILLES 2e ETAGE'!$A$77,1,0)</f>
        <v>0</v>
      </c>
      <c r="FG84" s="160">
        <f>IF([Occurrence14]=0,0,SUM($FF$2:FF84))</f>
        <v>0</v>
      </c>
      <c r="FH84" s="160">
        <f>IF([Chambre]*1='CHAMBRES FILLES 2e ETAGE'!$A$83,1,0)</f>
        <v>0</v>
      </c>
      <c r="FI84" s="160">
        <f>IF([Occurrence15]=0,0,SUM($FH$2:FH84))</f>
        <v>0</v>
      </c>
      <c r="FJ84" s="160">
        <f>IF([Chambre]*1='CHAMBRES FILLES 2e ETAGE'!$A$89,1,0)</f>
        <v>0</v>
      </c>
      <c r="FK84" s="160">
        <f>IF([Occurrence16]=0,0,SUM($FJ$2:FJ84))</f>
        <v>0</v>
      </c>
      <c r="FL84" s="160">
        <f>IF([Chambre]*1='CHAMBRES FILLES 2e ETAGE'!$A$95,1,0)</f>
        <v>0</v>
      </c>
      <c r="FM84" s="160">
        <f>IF([Occurrence17]=0,0,SUM($FL$2:FL84))</f>
        <v>0</v>
      </c>
      <c r="FN84" s="160">
        <f>IF([Chambre2]*1='CHAMBRES FILLES 1e ETAGE'!$A$5,1,0)</f>
        <v>0</v>
      </c>
      <c r="FO84" s="160">
        <f>IF([Occurrence18]=0,0,SUM($FN$2:FN84))</f>
        <v>0</v>
      </c>
      <c r="FP84" s="160">
        <f>IF([Chambre2]*1='CHAMBRES FILLES 1e ETAGE'!$A$11,1,0)</f>
        <v>0</v>
      </c>
      <c r="FQ84" s="160">
        <f>IF([Occurrence19]=0,0,SUM($FP$2:FP84))</f>
        <v>0</v>
      </c>
      <c r="FR84" s="160">
        <f>IF([Chambre2]*1='CHAMBRES FILLES 1e ETAGE'!$A$17,1,0)</f>
        <v>0</v>
      </c>
      <c r="FS84" s="160">
        <f>IF([Occurrence20]=0,0,SUM($FR$2:FR84))</f>
        <v>0</v>
      </c>
      <c r="FT84" s="160">
        <f>IF([Chambre2]*1='CHAMBRES FILLES 1e ETAGE'!$A$23,1,0)</f>
        <v>0</v>
      </c>
      <c r="FU84" s="160">
        <f>IF([Occurrence21]=0,0,SUM($FT$2:FT84))</f>
        <v>0</v>
      </c>
      <c r="FV84" s="160">
        <f>IF([Chambre2]*1='CHAMBRES FILLES 1e ETAGE'!$A$29,1,0)</f>
        <v>0</v>
      </c>
      <c r="FW84" s="160">
        <f>IF([Occurrence22]=0,0,SUM($FV$2:FV84))</f>
        <v>0</v>
      </c>
      <c r="FX84" s="160">
        <f>IF([Chambre2]*1='CHAMBRES FILLES 1e ETAGE'!$A$35,1,0)</f>
        <v>0</v>
      </c>
      <c r="FY84" s="160">
        <f>IF([Occurrence23]=0,0,SUM($FX$2:FX84))</f>
        <v>0</v>
      </c>
      <c r="FZ84" s="160">
        <f>IF([Chambre2]*1='CHAMBRES FILLES 1e ETAGE'!$A$41,1,0)</f>
        <v>0</v>
      </c>
      <c r="GA84" s="160">
        <f>IF([Occurrence24]=0,0,SUM($FZ$2:FZ84))</f>
        <v>0</v>
      </c>
      <c r="GB84" s="160">
        <f>IF([Chambre2]*1='CHAMBRES FILLES 1e ETAGE'!$A$47,1,0)</f>
        <v>0</v>
      </c>
      <c r="GC84" s="160">
        <f>IF([Occurrence25]=0,0,SUM($GB$2:GB84))</f>
        <v>0</v>
      </c>
      <c r="GD84" s="160">
        <f>IF([Chambre2]*1='CHAMBRES FILLES 1e ETAGE'!$A$53,1,0)</f>
        <v>0</v>
      </c>
      <c r="GE84" s="160">
        <f>IF([Occurrence26]=0,0,SUM($GD$2:GD84))</f>
        <v>0</v>
      </c>
      <c r="GF84" s="160">
        <f>IF([chambre4]*1='CHAMBRES GARCONS 1e ETAGE'!$A$5,1,0)</f>
        <v>0</v>
      </c>
      <c r="GG84" s="160">
        <f>IF([Occurrence27]=0,0,SUM($GF$2:GF84))</f>
        <v>0</v>
      </c>
      <c r="GH84" s="160">
        <f>IF([chambre4]*1='CHAMBRES GARCONS 1e ETAGE'!$A$11,1,0)</f>
        <v>0</v>
      </c>
      <c r="GI84" s="160">
        <f>IF([Occurrence28]=0,0,SUM($GH$2:GH84))</f>
        <v>0</v>
      </c>
      <c r="GJ84" s="160">
        <f>IF([chambre4]*1='CHAMBRES GARCONS 1e ETAGE'!$A$17,1,0)</f>
        <v>0</v>
      </c>
      <c r="GK84" s="160">
        <f>IF([Occurrence29]=0,0,SUM($GJ$2:GJ84))</f>
        <v>0</v>
      </c>
      <c r="GL84" s="160">
        <f>IF([chambre4]*1='CHAMBRES GARCONS 1e ETAGE'!$A$23,1,0)</f>
        <v>0</v>
      </c>
      <c r="GM84" s="160">
        <f>IF([Occurrence30]=0,0,SUM($GL$2:GL84))</f>
        <v>0</v>
      </c>
      <c r="GN84" s="160">
        <f>IF([chambre4]*1='CHAMBRES GARCONS 1e ETAGE'!$A$29,1,0)</f>
        <v>0</v>
      </c>
      <c r="GO84" s="160">
        <f>IF([Occurrence31]=0,0,SUM($GN$2:GN84))</f>
        <v>0</v>
      </c>
      <c r="GP84" s="160">
        <f>IF([chambre4]*1='CHAMBRES GARCONS 1e ETAGE'!$A$35,1,0)</f>
        <v>0</v>
      </c>
      <c r="GQ84" s="160">
        <f>IF([Occurrence32]=0,0,SUM($GP$2:GP84))</f>
        <v>0</v>
      </c>
      <c r="GR84" s="160">
        <f>IF([chambre3]*1='CHAMBRES GARCONS RDC'!$A$5,1,0)</f>
        <v>0</v>
      </c>
      <c r="GS84" s="160">
        <f>IF([Occurrence33]=0,0,SUM($GR$2:GR84))</f>
        <v>0</v>
      </c>
      <c r="GT84" s="160">
        <f>IF([chambre3]*1='CHAMBRES GARCONS RDC'!$A$11,1,0)</f>
        <v>0</v>
      </c>
      <c r="GU84" s="160">
        <f>IF([Occurrence34]=0,0,SUM($GT$2:GT84))</f>
        <v>0</v>
      </c>
      <c r="GV84" s="160">
        <f>IF([chambre3]*1='CHAMBRES GARCONS RDC'!$A$17,1,0)</f>
        <v>0</v>
      </c>
      <c r="GW84" s="160">
        <f>IF([Occurrence35]=0,0,SUM($GV$2:GV84))</f>
        <v>0</v>
      </c>
      <c r="GX84" s="160">
        <f>IF([chambre3]*1='CHAMBRES GARCONS RDC'!$A$23,1,0)</f>
        <v>0</v>
      </c>
      <c r="GY84" s="160">
        <f>IF([Occurrence36]=0,0,SUM($GX$2:GX84))</f>
        <v>0</v>
      </c>
      <c r="GZ84" s="160">
        <f>IF([chambre3]*1='CHAMBRES GARCONS RDC'!$A$29,1,0)</f>
        <v>0</v>
      </c>
      <c r="HA84" s="160">
        <f>IF([Occurrence37]=0,0,SUM($GZ$2:GZ84))</f>
        <v>0</v>
      </c>
      <c r="HB84" s="160">
        <f>IF([chambre3]*1='CHAMBRES GARCONS RDC'!$A$35,1,0)</f>
        <v>0</v>
      </c>
      <c r="HC84" s="160">
        <f>IF([Occurrence38]=0,0,SUM($HB$2:HB84))</f>
        <v>0</v>
      </c>
      <c r="HD84" s="160">
        <f>IF([chambre3]*1='CHAMBRES GARCONS RDC'!$A$41,1,0)</f>
        <v>0</v>
      </c>
      <c r="HE84" s="160">
        <f>IF([Occurrence39]=0,0,SUM($HD$2:HD84))</f>
        <v>0</v>
      </c>
      <c r="HF84" s="160">
        <f>IF([chambre3]*1='CHAMBRES GARCONS RDC'!$A$47,1,0)</f>
        <v>0</v>
      </c>
      <c r="HG84" s="160">
        <f>IF([Occurrence40]=0,0,SUM($HF$2:HF84))</f>
        <v>0</v>
      </c>
      <c r="HH84" s="160">
        <f>IF([chambre3]*1='CHAMBRES GARCONS RDC'!$A$53,1,0)</f>
        <v>0</v>
      </c>
      <c r="HI84" s="160">
        <f>IF([Occurrence41]=0,0,SUM($HH$2:HH84))</f>
        <v>0</v>
      </c>
      <c r="HJ84" s="160">
        <f>IF([chambre3]*1='CHAMBRES GARCONS RDC'!$A$59,1,0)</f>
        <v>0</v>
      </c>
      <c r="HK84" s="160">
        <f>IF([Occurrence42]=0,0,SUM($HJ$2:HJ84))</f>
        <v>0</v>
      </c>
      <c r="HL84" s="160">
        <f>IF([chambre3]*1='CHAMBRES GARCONS RDC'!$A$65,1,0)</f>
        <v>0</v>
      </c>
      <c r="HM84" s="160">
        <f>IF([Occurrence43]=0,0,SUM($HL$2:HL84))</f>
        <v>0</v>
      </c>
      <c r="HN84" s="160">
        <f>IF([chambre3]*1='CHAMBRES GARCONS RDC'!$A$71,1,0)</f>
        <v>0</v>
      </c>
      <c r="HO84" s="160">
        <f>IF([Occurrence44]=0,0,SUM($HN$2:HN84))</f>
        <v>0</v>
      </c>
      <c r="HP84" s="160">
        <f>IF([chambre3]*1='CHAMBRES GARCONS RDC'!$A$77,1,0)</f>
        <v>0</v>
      </c>
      <c r="HQ84" s="160">
        <f>IF([Occurrence45]=0,0,SUM($HP$2:HP84))</f>
        <v>0</v>
      </c>
      <c r="HR84" s="160">
        <f>IF([chambre3]*1='CHAMBRES GARCONS RDC'!$A$83,1,0)</f>
        <v>0</v>
      </c>
      <c r="HS84" s="160">
        <f>IF([Occurrence46]=0,0,SUM($HR$2:HR84))</f>
        <v>0</v>
      </c>
      <c r="HT84" s="160">
        <f>IF([chambre3]*1='CHAMBRES GARCONS RDC'!$A$89,1,0)</f>
        <v>0</v>
      </c>
      <c r="HU84" s="160">
        <f>IF([Occurrence47]=0,0,SUM($HT$2:HT84))</f>
        <v>0</v>
      </c>
      <c r="HV84" s="160">
        <f>IF([chambre3]*1='CHAMBRES GARCONS RDC'!$A$95,1,0)</f>
        <v>1</v>
      </c>
      <c r="HW84" s="160">
        <f>IF([Occurrence48]=0,0,SUM($HV$2:HV84))</f>
        <v>1</v>
      </c>
      <c r="HX84" s="160"/>
      <c r="HY84" s="160"/>
      <c r="HZ84" s="160">
        <f>IF([Classe]='Liste élève par classes'!$B$5,1,0)</f>
        <v>0</v>
      </c>
      <c r="IA84" s="160">
        <f>IF([Occurrence]=0,0,SUM($HZ$2:HZ84))</f>
        <v>0</v>
      </c>
      <c r="IB8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124</v>
      </c>
      <c r="IC84" s="208"/>
    </row>
    <row r="85" spans="1:237">
      <c r="A85" t="s">
        <v>394</v>
      </c>
      <c r="B85" t="s">
        <v>265</v>
      </c>
      <c r="C85" s="158" t="s">
        <v>785</v>
      </c>
      <c r="D85" s="62" t="s">
        <v>703</v>
      </c>
      <c r="E85" t="s">
        <v>0</v>
      </c>
      <c r="F85" s="159" t="s">
        <v>50</v>
      </c>
      <c r="G85" t="s">
        <v>40</v>
      </c>
      <c r="H85" s="160"/>
      <c r="I85" s="161"/>
      <c r="J85" s="161"/>
      <c r="K85" s="161"/>
      <c r="L85" s="160"/>
      <c r="M85" t="s">
        <v>786</v>
      </c>
      <c r="N85" s="161"/>
      <c r="O85" s="161"/>
      <c r="P85" s="161"/>
      <c r="Q85" s="161"/>
      <c r="R85" s="161"/>
      <c r="S85" s="190"/>
      <c r="T85" s="161"/>
      <c r="U85" s="160"/>
      <c r="V85" s="161"/>
      <c r="W85" s="161"/>
      <c r="X85" s="161"/>
      <c r="Y85" s="161"/>
      <c r="Z85" s="161"/>
      <c r="AA85" s="161"/>
      <c r="AB85" s="161"/>
      <c r="AC85" s="161"/>
      <c r="AD85" s="161"/>
      <c r="AE85" s="161"/>
      <c r="AF85" s="163"/>
      <c r="AG85" s="163"/>
      <c r="AH85" s="163"/>
      <c r="AI85" s="163" t="b">
        <v>0</v>
      </c>
      <c r="AJ85" s="163" t="b">
        <v>0</v>
      </c>
      <c r="AK85" s="163" t="b">
        <v>0</v>
      </c>
      <c r="AL85" s="163" t="b">
        <v>0</v>
      </c>
      <c r="AM85" s="163" t="b">
        <v>0</v>
      </c>
      <c r="AN85" s="163" t="b">
        <v>0</v>
      </c>
      <c r="AO85" s="163" t="b">
        <v>0</v>
      </c>
      <c r="AP85" s="163" t="b">
        <v>0</v>
      </c>
      <c r="AQ85" s="163" t="b">
        <v>0</v>
      </c>
      <c r="AR85" s="163" t="b">
        <v>0</v>
      </c>
      <c r="AS85" s="163" t="b">
        <v>0</v>
      </c>
      <c r="AT85" s="163" t="b">
        <v>0</v>
      </c>
      <c r="AU85" s="163" t="b">
        <v>0</v>
      </c>
      <c r="AV85" s="163" t="b">
        <v>0</v>
      </c>
      <c r="AW85" s="163" t="b">
        <v>0</v>
      </c>
      <c r="AX85" s="163" t="b">
        <v>0</v>
      </c>
      <c r="AY85" s="163" t="b">
        <v>0</v>
      </c>
      <c r="AZ85" s="163" t="b">
        <v>0</v>
      </c>
      <c r="BA85" s="163" t="b">
        <v>0</v>
      </c>
      <c r="BB85" s="163" t="b">
        <v>0</v>
      </c>
      <c r="BC85" s="163" t="b">
        <v>0</v>
      </c>
      <c r="BD85" s="163" t="b">
        <v>1</v>
      </c>
      <c r="BE85" s="163" t="b">
        <v>1</v>
      </c>
      <c r="BF85" s="163" t="b">
        <v>0</v>
      </c>
      <c r="BG85" s="164" t="b">
        <v>0</v>
      </c>
      <c r="BH85" s="163" t="b">
        <v>1</v>
      </c>
      <c r="BI85" s="163" t="b">
        <v>0</v>
      </c>
      <c r="BJ85" s="163" t="b">
        <v>0</v>
      </c>
      <c r="BK85" s="163" t="b">
        <v>0</v>
      </c>
      <c r="BL85" s="163" t="b">
        <v>0</v>
      </c>
      <c r="BM85" s="163"/>
      <c r="BN85" s="163" t="b">
        <v>0</v>
      </c>
      <c r="BO85" s="163" t="b">
        <v>0</v>
      </c>
      <c r="BP85" s="163"/>
      <c r="BQ85" s="163" t="b">
        <v>1</v>
      </c>
      <c r="BR85" s="163" t="b">
        <v>0</v>
      </c>
      <c r="BS85" s="163"/>
      <c r="BT85" s="163" t="b">
        <v>0</v>
      </c>
      <c r="BU85" s="163" t="b">
        <v>0</v>
      </c>
      <c r="BV85" s="163"/>
      <c r="BW85" s="163" t="b">
        <v>0</v>
      </c>
      <c r="BX85" s="163" t="b">
        <v>0</v>
      </c>
      <c r="BY85" s="163"/>
      <c r="BZ85" s="163" t="b">
        <v>0</v>
      </c>
      <c r="CA85" s="163" t="b">
        <v>0</v>
      </c>
      <c r="CB85" s="163"/>
      <c r="CC85" s="163" t="b">
        <v>0</v>
      </c>
      <c r="CD85" s="163" t="b">
        <v>0</v>
      </c>
      <c r="CE85" s="163"/>
      <c r="CF85" s="163" t="b">
        <v>0</v>
      </c>
      <c r="CG85" s="163" t="b">
        <v>0</v>
      </c>
      <c r="CH85" s="163"/>
      <c r="CI85" s="163" t="b">
        <v>0</v>
      </c>
      <c r="CJ85" s="163" t="b">
        <v>0</v>
      </c>
      <c r="CK85" s="163"/>
      <c r="CL85" s="163" t="b">
        <v>0</v>
      </c>
      <c r="CM85" s="163" t="b">
        <v>0</v>
      </c>
      <c r="CN85" s="163"/>
      <c r="CO85" s="163" t="b">
        <v>0</v>
      </c>
      <c r="CP85" s="163" t="b">
        <v>0</v>
      </c>
      <c r="CQ85" s="163"/>
      <c r="CR85" s="163" t="b">
        <v>0</v>
      </c>
      <c r="CS85" s="163" t="b">
        <v>0</v>
      </c>
      <c r="CT85" s="163" t="b">
        <v>0</v>
      </c>
      <c r="CU85" s="163" t="b">
        <v>0</v>
      </c>
      <c r="CV85" s="163"/>
      <c r="CW85" s="163" t="b">
        <v>0</v>
      </c>
      <c r="CX85" s="163" t="b">
        <v>0</v>
      </c>
      <c r="CY85" s="163" t="b">
        <v>0</v>
      </c>
      <c r="CZ85" s="163" t="b">
        <v>0</v>
      </c>
      <c r="DA85" s="163" t="s">
        <v>787</v>
      </c>
      <c r="DB85" s="163"/>
      <c r="DC85" s="163"/>
      <c r="DD85" s="163"/>
      <c r="DE85" s="163"/>
      <c r="DF85" s="163"/>
      <c r="DG85" s="208"/>
      <c r="DH85" s="163"/>
      <c r="DI85" s="163"/>
      <c r="DJ85" s="163"/>
      <c r="DK85" s="163"/>
      <c r="DL85" s="163"/>
      <c r="DM85" s="163" t="b">
        <v>0</v>
      </c>
      <c r="DN85" s="163" t="b">
        <v>0</v>
      </c>
      <c r="DO85" s="163" t="b">
        <v>0</v>
      </c>
      <c r="DP85" s="163" t="b">
        <v>0</v>
      </c>
      <c r="DQ85" s="163" t="b">
        <v>0</v>
      </c>
      <c r="DR85" s="163" t="b">
        <v>0</v>
      </c>
      <c r="DS85" s="163" t="b">
        <v>0</v>
      </c>
      <c r="DT85" s="163" t="b">
        <v>0</v>
      </c>
      <c r="DU85" s="163" t="b">
        <v>0</v>
      </c>
      <c r="DV85" s="163" t="b">
        <v>0</v>
      </c>
      <c r="DW85" s="163" t="b">
        <v>0</v>
      </c>
      <c r="DX85" s="163" t="b">
        <v>0</v>
      </c>
      <c r="DY85" s="163" t="b">
        <v>0</v>
      </c>
      <c r="DZ85" s="163" t="b">
        <v>0</v>
      </c>
      <c r="EA85" s="163" t="b">
        <v>0</v>
      </c>
      <c r="EB85" s="163" t="b">
        <v>0</v>
      </c>
      <c r="EC85" s="163" t="b">
        <v>0</v>
      </c>
      <c r="ED85" s="163" t="b">
        <v>0</v>
      </c>
      <c r="EE85" s="163" t="b">
        <v>0</v>
      </c>
      <c r="EF85" s="163" t="b">
        <v>0</v>
      </c>
      <c r="EG85" s="163"/>
      <c r="EH85" s="160">
        <f>IF([Chambre]*1='CHAMBRES FILLES 2e ETAGE'!$A$5,1,0)</f>
        <v>0</v>
      </c>
      <c r="EI85" s="161">
        <f>IF([Occurrence2]=0,0,SUM($EH$2:EH85))</f>
        <v>0</v>
      </c>
      <c r="EJ85" s="160">
        <f>IF([Chambre]*1='CHAMBRES FILLES 2e ETAGE'!$A$11,1,0)</f>
        <v>0</v>
      </c>
      <c r="EK85" s="160">
        <f>IF([Occurrence3]=0,0,SUM($EJ$2:EJ85))</f>
        <v>0</v>
      </c>
      <c r="EL85" s="160">
        <f>IF([Chambre]*1='CHAMBRES FILLES 2e ETAGE'!$A$17,1,0)</f>
        <v>0</v>
      </c>
      <c r="EM85" s="160">
        <f>IF([Occurrence4]=0,0,SUM($EL$2:EL85))</f>
        <v>0</v>
      </c>
      <c r="EN85" s="160">
        <f>IF([Chambre]*1='CHAMBRES FILLES 2e ETAGE'!$A$23,1,0)</f>
        <v>0</v>
      </c>
      <c r="EO85" s="160">
        <f>IF([Occurrence5]=0,0,SUM($EN$2:EN85))</f>
        <v>0</v>
      </c>
      <c r="EP85" s="160">
        <f>IF([Chambre]*1='CHAMBRES FILLES 2e ETAGE'!$A$29,1,0)</f>
        <v>0</v>
      </c>
      <c r="EQ85" s="160">
        <f>IF([Occurrence6]=0,0,SUM($EP$2:EP85))</f>
        <v>0</v>
      </c>
      <c r="ER85" s="160">
        <f>IF([Chambre]*1='CHAMBRES FILLES 2e ETAGE'!$A$35,1,0)</f>
        <v>0</v>
      </c>
      <c r="ES85" s="160">
        <f>IF([Occurrence7]=0,0,SUM($ER$2:ER85))</f>
        <v>0</v>
      </c>
      <c r="ET85" s="160">
        <f>IF([Chambre]*1='CHAMBRES FILLES 2e ETAGE'!$A$41,1,0)</f>
        <v>0</v>
      </c>
      <c r="EU85" s="160">
        <f>IF([Occurrence8]=0,0,SUM($ET$2:ET85))</f>
        <v>0</v>
      </c>
      <c r="EV85" s="160">
        <f>IF([Chambre]*1='CHAMBRES FILLES 2e ETAGE'!$A$47,1,0)</f>
        <v>0</v>
      </c>
      <c r="EW85" s="160">
        <f>IF([Occurrence9]=0,0,SUM($EV$2:EV85))</f>
        <v>0</v>
      </c>
      <c r="EX85" s="160">
        <f>IF([Chambre]*1='CHAMBRES FILLES 2e ETAGE'!$A$53,1,0)</f>
        <v>0</v>
      </c>
      <c r="EY85" s="160">
        <f>IF([Occurrence10]=0,0,SUM($EX$2:EX85))</f>
        <v>0</v>
      </c>
      <c r="EZ85" s="160">
        <f>IF([Chambre]*1='CHAMBRES FILLES 2e ETAGE'!$A$59,1,0)</f>
        <v>0</v>
      </c>
      <c r="FA85" s="160">
        <f>IF([Occurrence11]=0,0,SUM($EZ$2:EZ85))</f>
        <v>0</v>
      </c>
      <c r="FB85" s="160">
        <f>IF([Chambre]*1='CHAMBRES FILLES 2e ETAGE'!$A$65,1,0)</f>
        <v>0</v>
      </c>
      <c r="FC85" s="160">
        <f>IF([Occurrence12]=0,0,SUM($FB$2:FB85))</f>
        <v>0</v>
      </c>
      <c r="FD85" s="160">
        <f>IF([Chambre]*1='CHAMBRES FILLES 2e ETAGE'!$A$71,1,0)</f>
        <v>0</v>
      </c>
      <c r="FE85" s="160">
        <f>IF([Occurrence13]=0,0,SUM($FD$2:FD85))</f>
        <v>0</v>
      </c>
      <c r="FF85" s="160">
        <f>IF([Chambre]*1='CHAMBRES FILLES 2e ETAGE'!$A$77,1,0)</f>
        <v>0</v>
      </c>
      <c r="FG85" s="160">
        <f>IF([Occurrence14]=0,0,SUM($FF$2:FF85))</f>
        <v>0</v>
      </c>
      <c r="FH85" s="160">
        <f>IF([Chambre]*1='CHAMBRES FILLES 2e ETAGE'!$A$83,1,0)</f>
        <v>0</v>
      </c>
      <c r="FI85" s="160">
        <f>IF([Occurrence15]=0,0,SUM($FH$2:FH85))</f>
        <v>0</v>
      </c>
      <c r="FJ85" s="160">
        <f>IF([Chambre]*1='CHAMBRES FILLES 2e ETAGE'!$A$89,1,0)</f>
        <v>0</v>
      </c>
      <c r="FK85" s="160">
        <f>IF([Occurrence16]=0,0,SUM($FJ$2:FJ85))</f>
        <v>0</v>
      </c>
      <c r="FL85" s="160">
        <f>IF([Chambre]*1='CHAMBRES FILLES 2e ETAGE'!$A$95,1,0)</f>
        <v>0</v>
      </c>
      <c r="FM85" s="160">
        <f>IF([Occurrence17]=0,0,SUM($FL$2:FL85))</f>
        <v>0</v>
      </c>
      <c r="FN85" s="160">
        <f>IF([Chambre2]*1='CHAMBRES FILLES 1e ETAGE'!$A$5,1,0)</f>
        <v>0</v>
      </c>
      <c r="FO85" s="160">
        <f>IF([Occurrence18]=0,0,SUM($FN$2:FN85))</f>
        <v>0</v>
      </c>
      <c r="FP85" s="160">
        <f>IF([Chambre2]*1='CHAMBRES FILLES 1e ETAGE'!$A$11,1,0)</f>
        <v>0</v>
      </c>
      <c r="FQ85" s="160">
        <f>IF([Occurrence19]=0,0,SUM($FP$2:FP85))</f>
        <v>0</v>
      </c>
      <c r="FR85" s="160">
        <f>IF([Chambre2]*1='CHAMBRES FILLES 1e ETAGE'!$A$17,1,0)</f>
        <v>0</v>
      </c>
      <c r="FS85" s="160">
        <f>IF([Occurrence20]=0,0,SUM($FR$2:FR85))</f>
        <v>0</v>
      </c>
      <c r="FT85" s="160">
        <f>IF([Chambre2]*1='CHAMBRES FILLES 1e ETAGE'!$A$23,1,0)</f>
        <v>0</v>
      </c>
      <c r="FU85" s="160">
        <f>IF([Occurrence21]=0,0,SUM($FT$2:FT85))</f>
        <v>0</v>
      </c>
      <c r="FV85" s="160">
        <f>IF([Chambre2]*1='CHAMBRES FILLES 1e ETAGE'!$A$29,1,0)</f>
        <v>0</v>
      </c>
      <c r="FW85" s="160">
        <f>IF([Occurrence22]=0,0,SUM($FV$2:FV85))</f>
        <v>0</v>
      </c>
      <c r="FX85" s="160">
        <f>IF([Chambre2]*1='CHAMBRES FILLES 1e ETAGE'!$A$35,1,0)</f>
        <v>0</v>
      </c>
      <c r="FY85" s="160">
        <f>IF([Occurrence23]=0,0,SUM($FX$2:FX85))</f>
        <v>0</v>
      </c>
      <c r="FZ85" s="160">
        <f>IF([Chambre2]*1='CHAMBRES FILLES 1e ETAGE'!$A$41,1,0)</f>
        <v>0</v>
      </c>
      <c r="GA85" s="160">
        <f>IF([Occurrence24]=0,0,SUM($FZ$2:FZ85))</f>
        <v>0</v>
      </c>
      <c r="GB85" s="160">
        <f>IF([Chambre2]*1='CHAMBRES FILLES 1e ETAGE'!$A$47,1,0)</f>
        <v>0</v>
      </c>
      <c r="GC85" s="160">
        <f>IF([Occurrence25]=0,0,SUM($GB$2:GB85))</f>
        <v>0</v>
      </c>
      <c r="GD85" s="160">
        <f>IF([Chambre2]*1='CHAMBRES FILLES 1e ETAGE'!$A$53,1,0)</f>
        <v>0</v>
      </c>
      <c r="GE85" s="160">
        <f>IF([Occurrence26]=0,0,SUM($GD$2:GD85))</f>
        <v>0</v>
      </c>
      <c r="GF85" s="160">
        <f>IF([chambre4]*1='CHAMBRES GARCONS 1e ETAGE'!$A$5,1,0)</f>
        <v>0</v>
      </c>
      <c r="GG85" s="160">
        <f>IF([Occurrence27]=0,0,SUM($GF$2:GF85))</f>
        <v>0</v>
      </c>
      <c r="GH85" s="160">
        <f>IF([chambre4]*1='CHAMBRES GARCONS 1e ETAGE'!$A$11,1,0)</f>
        <v>0</v>
      </c>
      <c r="GI85" s="160">
        <f>IF([Occurrence28]=0,0,SUM($GH$2:GH85))</f>
        <v>0</v>
      </c>
      <c r="GJ85" s="160">
        <f>IF([chambre4]*1='CHAMBRES GARCONS 1e ETAGE'!$A$17,1,0)</f>
        <v>0</v>
      </c>
      <c r="GK85" s="160">
        <f>IF([Occurrence29]=0,0,SUM($GJ$2:GJ85))</f>
        <v>0</v>
      </c>
      <c r="GL85" s="160">
        <f>IF([chambre4]*1='CHAMBRES GARCONS 1e ETAGE'!$A$23,1,0)</f>
        <v>0</v>
      </c>
      <c r="GM85" s="160">
        <f>IF([Occurrence30]=0,0,SUM($GL$2:GL85))</f>
        <v>0</v>
      </c>
      <c r="GN85" s="160">
        <f>IF([chambre4]*1='CHAMBRES GARCONS 1e ETAGE'!$A$29,1,0)</f>
        <v>0</v>
      </c>
      <c r="GO85" s="160">
        <f>IF([Occurrence31]=0,0,SUM($GN$2:GN85))</f>
        <v>0</v>
      </c>
      <c r="GP85" s="160">
        <f>IF([chambre4]*1='CHAMBRES GARCONS 1e ETAGE'!$A$35,1,0)</f>
        <v>0</v>
      </c>
      <c r="GQ85" s="160">
        <f>IF([Occurrence32]=0,0,SUM($GP$2:GP85))</f>
        <v>0</v>
      </c>
      <c r="GR85" s="160">
        <f>IF([chambre3]*1='CHAMBRES GARCONS RDC'!$A$5,1,0)</f>
        <v>0</v>
      </c>
      <c r="GS85" s="160">
        <f>IF([Occurrence33]=0,0,SUM($GR$2:GR85))</f>
        <v>0</v>
      </c>
      <c r="GT85" s="160">
        <f>IF([chambre3]*1='CHAMBRES GARCONS RDC'!$A$11,1,0)</f>
        <v>0</v>
      </c>
      <c r="GU85" s="160">
        <f>IF([Occurrence34]=0,0,SUM($GT$2:GT85))</f>
        <v>0</v>
      </c>
      <c r="GV85" s="160">
        <f>IF([chambre3]*1='CHAMBRES GARCONS RDC'!$A$17,1,0)</f>
        <v>0</v>
      </c>
      <c r="GW85" s="160">
        <f>IF([Occurrence35]=0,0,SUM($GV$2:GV85))</f>
        <v>0</v>
      </c>
      <c r="GX85" s="160">
        <f>IF([chambre3]*1='CHAMBRES GARCONS RDC'!$A$23,1,0)</f>
        <v>0</v>
      </c>
      <c r="GY85" s="160">
        <f>IF([Occurrence36]=0,0,SUM($GX$2:GX85))</f>
        <v>0</v>
      </c>
      <c r="GZ85" s="160">
        <f>IF([chambre3]*1='CHAMBRES GARCONS RDC'!$A$29,1,0)</f>
        <v>0</v>
      </c>
      <c r="HA85" s="160">
        <f>IF([Occurrence37]=0,0,SUM($GZ$2:GZ85))</f>
        <v>0</v>
      </c>
      <c r="HB85" s="160">
        <f>IF([chambre3]*1='CHAMBRES GARCONS RDC'!$A$35,1,0)</f>
        <v>0</v>
      </c>
      <c r="HC85" s="160">
        <f>IF([Occurrence38]=0,0,SUM($HB$2:HB85))</f>
        <v>0</v>
      </c>
      <c r="HD85" s="160">
        <f>IF([chambre3]*1='CHAMBRES GARCONS RDC'!$A$41,1,0)</f>
        <v>0</v>
      </c>
      <c r="HE85" s="160">
        <f>IF([Occurrence39]=0,0,SUM($HD$2:HD85))</f>
        <v>0</v>
      </c>
      <c r="HF85" s="160">
        <f>IF([chambre3]*1='CHAMBRES GARCONS RDC'!$A$47,1,0)</f>
        <v>0</v>
      </c>
      <c r="HG85" s="160">
        <f>IF([Occurrence40]=0,0,SUM($HF$2:HF85))</f>
        <v>0</v>
      </c>
      <c r="HH85" s="160">
        <f>IF([chambre3]*1='CHAMBRES GARCONS RDC'!$A$53,1,0)</f>
        <v>0</v>
      </c>
      <c r="HI85" s="160">
        <f>IF([Occurrence41]=0,0,SUM($HH$2:HH85))</f>
        <v>0</v>
      </c>
      <c r="HJ85" s="160">
        <f>IF([chambre3]*1='CHAMBRES GARCONS RDC'!$A$59,1,0)</f>
        <v>0</v>
      </c>
      <c r="HK85" s="160">
        <f>IF([Occurrence42]=0,0,SUM($HJ$2:HJ85))</f>
        <v>0</v>
      </c>
      <c r="HL85" s="160">
        <f>IF([chambre3]*1='CHAMBRES GARCONS RDC'!$A$65,1,0)</f>
        <v>0</v>
      </c>
      <c r="HM85" s="160">
        <f>IF([Occurrence43]=0,0,SUM($HL$2:HL85))</f>
        <v>0</v>
      </c>
      <c r="HN85" s="160">
        <f>IF([chambre3]*1='CHAMBRES GARCONS RDC'!$A$71,1,0)</f>
        <v>0</v>
      </c>
      <c r="HO85" s="160">
        <f>IF([Occurrence44]=0,0,SUM($HN$2:HN85))</f>
        <v>0</v>
      </c>
      <c r="HP85" s="160">
        <f>IF([chambre3]*1='CHAMBRES GARCONS RDC'!$A$77,1,0)</f>
        <v>0</v>
      </c>
      <c r="HQ85" s="160">
        <f>IF([Occurrence45]=0,0,SUM($HP$2:HP85))</f>
        <v>0</v>
      </c>
      <c r="HR85" s="160">
        <f>IF([chambre3]*1='CHAMBRES GARCONS RDC'!$A$83,1,0)</f>
        <v>1</v>
      </c>
      <c r="HS85" s="160">
        <f>IF([Occurrence46]=0,0,SUM($HR$2:HR85))</f>
        <v>2</v>
      </c>
      <c r="HT85" s="160">
        <f>IF([chambre3]*1='CHAMBRES GARCONS RDC'!$A$89,1,0)</f>
        <v>0</v>
      </c>
      <c r="HU85" s="160">
        <f>IF([Occurrence47]=0,0,SUM($HT$2:HT85))</f>
        <v>0</v>
      </c>
      <c r="HV85" s="160">
        <f>IF([chambre3]*1='CHAMBRES GARCONS RDC'!$A$95,1,0)</f>
        <v>0</v>
      </c>
      <c r="HW85" s="160">
        <f>IF([Occurrence48]=0,0,SUM($HV$2:HV85))</f>
        <v>0</v>
      </c>
      <c r="HX85" s="160"/>
      <c r="HY85" s="160"/>
      <c r="HZ85" s="160">
        <f>IF([Classe]='Liste élève par classes'!$B$5,1,0)</f>
        <v>0</v>
      </c>
      <c r="IA85" s="160">
        <f>IF([Occurrence]=0,0,SUM($HZ$2:HZ85))</f>
        <v>0</v>
      </c>
      <c r="IB8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126</v>
      </c>
      <c r="IC85" s="208"/>
    </row>
    <row r="86" spans="1:237">
      <c r="A86" t="s">
        <v>394</v>
      </c>
      <c r="B86" t="s">
        <v>395</v>
      </c>
      <c r="C86" s="158">
        <v>36164</v>
      </c>
      <c r="D86" s="62">
        <f t="shared" ca="1" si="1"/>
        <v>18</v>
      </c>
      <c r="E86" t="s">
        <v>13</v>
      </c>
      <c r="F86" s="159" t="s">
        <v>50</v>
      </c>
      <c r="G86" t="s">
        <v>45</v>
      </c>
      <c r="H86" s="160"/>
      <c r="I86" s="161"/>
      <c r="J86" s="161"/>
      <c r="K86" s="161"/>
      <c r="L86" s="160"/>
      <c r="M86">
        <v>119</v>
      </c>
      <c r="N86" s="161"/>
      <c r="O86" s="161"/>
      <c r="P86" s="161"/>
      <c r="Q86" s="161"/>
      <c r="R86" s="161"/>
      <c r="S86" s="190"/>
      <c r="T86" s="161"/>
      <c r="U86" s="160">
        <v>134</v>
      </c>
      <c r="V86" s="161"/>
      <c r="W86" s="161"/>
      <c r="X86" s="161"/>
      <c r="Y86" s="161"/>
      <c r="Z86" s="161"/>
      <c r="AA86" s="161"/>
      <c r="AB86" s="161"/>
      <c r="AC86" s="161"/>
      <c r="AD86" s="161"/>
      <c r="AE86" s="161"/>
      <c r="AF86" s="163"/>
      <c r="AG86" s="163"/>
      <c r="AH86" s="163"/>
      <c r="AI86" s="163"/>
      <c r="AJ86" s="163"/>
      <c r="AK86" s="163"/>
      <c r="AL86" s="163"/>
      <c r="AM86" s="163"/>
      <c r="AN86" s="163"/>
      <c r="AO86" s="163"/>
      <c r="AP86" s="163"/>
      <c r="AQ86" s="163"/>
      <c r="AR86" s="163"/>
      <c r="AS86" s="163"/>
      <c r="AT86" s="163"/>
      <c r="AU86" s="163"/>
      <c r="AV86" s="163"/>
      <c r="AW86" s="163"/>
      <c r="AX86" s="163"/>
      <c r="AY86" s="163"/>
      <c r="AZ86" s="163"/>
      <c r="BA86" s="163"/>
      <c r="BB86" s="163"/>
      <c r="BC86" s="163" t="b">
        <v>0</v>
      </c>
      <c r="BD86" s="163" t="b">
        <v>1</v>
      </c>
      <c r="BE86" s="163" t="b">
        <v>1</v>
      </c>
      <c r="BF86" s="163" t="b">
        <v>0</v>
      </c>
      <c r="BG86" s="163" t="b">
        <v>1</v>
      </c>
      <c r="BH86" s="163" t="b">
        <v>0</v>
      </c>
      <c r="BI86" s="163"/>
      <c r="BJ86" s="163"/>
      <c r="BK86" s="163"/>
      <c r="BL86" s="163"/>
      <c r="BM86" s="163"/>
      <c r="BN86" s="163"/>
      <c r="BO86" s="163"/>
      <c r="BP86" s="163"/>
      <c r="BQ86" s="163" t="b">
        <v>0</v>
      </c>
      <c r="BR86" s="163"/>
      <c r="BS86" s="163"/>
      <c r="BT86" s="163"/>
      <c r="BU86" s="163"/>
      <c r="BV86" s="163"/>
      <c r="BW86" s="163"/>
      <c r="BX86" s="163"/>
      <c r="BY86" s="163"/>
      <c r="BZ86" s="163"/>
      <c r="CA86" s="163"/>
      <c r="CB86" s="163"/>
      <c r="CC86" s="163"/>
      <c r="CD86" s="163"/>
      <c r="CE86" s="163"/>
      <c r="CF86" s="163"/>
      <c r="CG86" s="163"/>
      <c r="CH86" s="163"/>
      <c r="CI86" s="163"/>
      <c r="CJ86" s="163"/>
      <c r="CK86" s="163"/>
      <c r="CL86" s="163"/>
      <c r="CM86" s="163"/>
      <c r="CN86" s="163"/>
      <c r="CO86" s="163"/>
      <c r="CP86" s="163"/>
      <c r="CQ86" s="163"/>
      <c r="CR86" s="163"/>
      <c r="CS86" s="163"/>
      <c r="CT86" s="163"/>
      <c r="CU86" s="163"/>
      <c r="CV86" s="163"/>
      <c r="CW86" s="163"/>
      <c r="CX86" s="163"/>
      <c r="CY86" s="163"/>
      <c r="CZ86" s="163"/>
      <c r="DA86" s="163"/>
      <c r="DB86" s="163"/>
      <c r="DC86" s="163"/>
      <c r="DD86" s="163"/>
      <c r="DE86" s="163"/>
      <c r="DF86" s="163"/>
      <c r="DG86" s="208"/>
      <c r="DH86" s="163"/>
      <c r="DI86" s="163"/>
      <c r="DJ86" s="163"/>
      <c r="DK86" s="163"/>
      <c r="DL86" s="163"/>
      <c r="DM86" s="163"/>
      <c r="DN86" s="163"/>
      <c r="DO86" s="163"/>
      <c r="DP86" s="163"/>
      <c r="DQ86" s="163"/>
      <c r="DR86" s="163"/>
      <c r="DS86" s="163"/>
      <c r="DT86" s="163"/>
      <c r="DU86" s="163"/>
      <c r="DV86" s="163"/>
      <c r="DW86" s="163"/>
      <c r="DX86" s="163"/>
      <c r="DY86" s="163"/>
      <c r="DZ86" s="163"/>
      <c r="EA86" s="163"/>
      <c r="EB86" s="163"/>
      <c r="EC86" s="163"/>
      <c r="ED86" s="163"/>
      <c r="EE86" s="163"/>
      <c r="EF86" s="163"/>
      <c r="EG86" s="163"/>
      <c r="EH86" s="160">
        <f>IF([Chambre]*1='CHAMBRES FILLES 2e ETAGE'!$A$5,1,0)</f>
        <v>0</v>
      </c>
      <c r="EI86" s="161">
        <f>IF([Occurrence2]=0,0,SUM($EH$2:EH86))</f>
        <v>0</v>
      </c>
      <c r="EJ86" s="160">
        <f>IF([Chambre]*1='CHAMBRES FILLES 2e ETAGE'!$A$11,1,0)</f>
        <v>0</v>
      </c>
      <c r="EK86" s="160">
        <f>IF([Occurrence3]=0,0,SUM($EJ$2:EJ86))</f>
        <v>0</v>
      </c>
      <c r="EL86" s="160">
        <f>IF([Chambre]*1='CHAMBRES FILLES 2e ETAGE'!$A$17,1,0)</f>
        <v>0</v>
      </c>
      <c r="EM86" s="160">
        <f>IF([Occurrence4]=0,0,SUM($EL$2:EL86))</f>
        <v>0</v>
      </c>
      <c r="EN86" s="160">
        <f>IF([Chambre]*1='CHAMBRES FILLES 2e ETAGE'!$A$23,1,0)</f>
        <v>0</v>
      </c>
      <c r="EO86" s="160">
        <f>IF([Occurrence5]=0,0,SUM($EN$2:EN86))</f>
        <v>0</v>
      </c>
      <c r="EP86" s="160">
        <f>IF([Chambre]*1='CHAMBRES FILLES 2e ETAGE'!$A$29,1,0)</f>
        <v>0</v>
      </c>
      <c r="EQ86" s="160">
        <f>IF([Occurrence6]=0,0,SUM($EP$2:EP86))</f>
        <v>0</v>
      </c>
      <c r="ER86" s="160">
        <f>IF([Chambre]*1='CHAMBRES FILLES 2e ETAGE'!$A$35,1,0)</f>
        <v>0</v>
      </c>
      <c r="ES86" s="160">
        <f>IF([Occurrence7]=0,0,SUM($ER$2:ER86))</f>
        <v>0</v>
      </c>
      <c r="ET86" s="160">
        <f>IF([Chambre]*1='CHAMBRES FILLES 2e ETAGE'!$A$41,1,0)</f>
        <v>0</v>
      </c>
      <c r="EU86" s="160">
        <f>IF([Occurrence8]=0,0,SUM($ET$2:ET86))</f>
        <v>0</v>
      </c>
      <c r="EV86" s="160">
        <f>IF([Chambre]*1='CHAMBRES FILLES 2e ETAGE'!$A$47,1,0)</f>
        <v>0</v>
      </c>
      <c r="EW86" s="160">
        <f>IF([Occurrence9]=0,0,SUM($EV$2:EV86))</f>
        <v>0</v>
      </c>
      <c r="EX86" s="160">
        <f>IF([Chambre]*1='CHAMBRES FILLES 2e ETAGE'!$A$53,1,0)</f>
        <v>0</v>
      </c>
      <c r="EY86" s="160">
        <f>IF([Occurrence10]=0,0,SUM($EX$2:EX86))</f>
        <v>0</v>
      </c>
      <c r="EZ86" s="160">
        <f>IF([Chambre]*1='CHAMBRES FILLES 2e ETAGE'!$A$59,1,0)</f>
        <v>0</v>
      </c>
      <c r="FA86" s="160">
        <f>IF([Occurrence11]=0,0,SUM($EZ$2:EZ86))</f>
        <v>0</v>
      </c>
      <c r="FB86" s="160">
        <f>IF([Chambre]*1='CHAMBRES FILLES 2e ETAGE'!$A$65,1,0)</f>
        <v>0</v>
      </c>
      <c r="FC86" s="160">
        <f>IF([Occurrence12]=0,0,SUM($FB$2:FB86))</f>
        <v>0</v>
      </c>
      <c r="FD86" s="160">
        <f>IF([Chambre]*1='CHAMBRES FILLES 2e ETAGE'!$A$71,1,0)</f>
        <v>0</v>
      </c>
      <c r="FE86" s="160">
        <f>IF([Occurrence13]=0,0,SUM($FD$2:FD86))</f>
        <v>0</v>
      </c>
      <c r="FF86" s="160">
        <f>IF([Chambre]*1='CHAMBRES FILLES 2e ETAGE'!$A$77,1,0)</f>
        <v>0</v>
      </c>
      <c r="FG86" s="160">
        <f>IF([Occurrence14]=0,0,SUM($FF$2:FF86))</f>
        <v>0</v>
      </c>
      <c r="FH86" s="160">
        <f>IF([Chambre]*1='CHAMBRES FILLES 2e ETAGE'!$A$83,1,0)</f>
        <v>0</v>
      </c>
      <c r="FI86" s="160">
        <f>IF([Occurrence15]=0,0,SUM($FH$2:FH86))</f>
        <v>0</v>
      </c>
      <c r="FJ86" s="160">
        <f>IF([Chambre]*1='CHAMBRES FILLES 2e ETAGE'!$A$89,1,0)</f>
        <v>0</v>
      </c>
      <c r="FK86" s="160">
        <f>IF([Occurrence16]=0,0,SUM($FJ$2:FJ86))</f>
        <v>0</v>
      </c>
      <c r="FL86" s="160">
        <f>IF([Chambre]*1='CHAMBRES FILLES 2e ETAGE'!$A$95,1,0)</f>
        <v>0</v>
      </c>
      <c r="FM86" s="160">
        <f>IF([Occurrence17]=0,0,SUM($FL$2:FL86))</f>
        <v>0</v>
      </c>
      <c r="FN86" s="160">
        <f>IF([Chambre2]*1='CHAMBRES FILLES 1e ETAGE'!$A$5,1,0)</f>
        <v>0</v>
      </c>
      <c r="FO86" s="160">
        <f>IF([Occurrence18]=0,0,SUM($FN$2:FN86))</f>
        <v>0</v>
      </c>
      <c r="FP86" s="160">
        <f>IF([Chambre2]*1='CHAMBRES FILLES 1e ETAGE'!$A$11,1,0)</f>
        <v>0</v>
      </c>
      <c r="FQ86" s="160">
        <f>IF([Occurrence19]=0,0,SUM($FP$2:FP86))</f>
        <v>0</v>
      </c>
      <c r="FR86" s="160">
        <f>IF([Chambre2]*1='CHAMBRES FILLES 1e ETAGE'!$A$17,1,0)</f>
        <v>1</v>
      </c>
      <c r="FS86" s="160">
        <f>IF([Occurrence20]=0,0,SUM($FR$2:FR86))</f>
        <v>2</v>
      </c>
      <c r="FT86" s="160">
        <f>IF([Chambre2]*1='CHAMBRES FILLES 1e ETAGE'!$A$23,1,0)</f>
        <v>0</v>
      </c>
      <c r="FU86" s="160">
        <f>IF([Occurrence21]=0,0,SUM($FT$2:FT86))</f>
        <v>0</v>
      </c>
      <c r="FV86" s="160">
        <f>IF([Chambre2]*1='CHAMBRES FILLES 1e ETAGE'!$A$29,1,0)</f>
        <v>0</v>
      </c>
      <c r="FW86" s="160">
        <f>IF([Occurrence22]=0,0,SUM($FV$2:FV86))</f>
        <v>0</v>
      </c>
      <c r="FX86" s="160">
        <f>IF([Chambre2]*1='CHAMBRES FILLES 1e ETAGE'!$A$35,1,0)</f>
        <v>0</v>
      </c>
      <c r="FY86" s="160">
        <f>IF([Occurrence23]=0,0,SUM($FX$2:FX86))</f>
        <v>0</v>
      </c>
      <c r="FZ86" s="160">
        <f>IF([Chambre2]*1='CHAMBRES FILLES 1e ETAGE'!$A$41,1,0)</f>
        <v>0</v>
      </c>
      <c r="GA86" s="160">
        <f>IF([Occurrence24]=0,0,SUM($FZ$2:FZ86))</f>
        <v>0</v>
      </c>
      <c r="GB86" s="160">
        <f>IF([Chambre2]*1='CHAMBRES FILLES 1e ETAGE'!$A$47,1,0)</f>
        <v>0</v>
      </c>
      <c r="GC86" s="160">
        <f>IF([Occurrence25]=0,0,SUM($GB$2:GB86))</f>
        <v>0</v>
      </c>
      <c r="GD86" s="160">
        <f>IF([Chambre2]*1='CHAMBRES FILLES 1e ETAGE'!$A$53,1,0)</f>
        <v>0</v>
      </c>
      <c r="GE86" s="160">
        <f>IF([Occurrence26]=0,0,SUM($GD$2:GD86))</f>
        <v>0</v>
      </c>
      <c r="GF86" s="160">
        <f>IF([chambre4]*1='CHAMBRES GARCONS 1e ETAGE'!$A$5,1,0)</f>
        <v>0</v>
      </c>
      <c r="GG86" s="160">
        <f>IF([Occurrence27]=0,0,SUM($GF$2:GF86))</f>
        <v>0</v>
      </c>
      <c r="GH86" s="160">
        <f>IF([chambre4]*1='CHAMBRES GARCONS 1e ETAGE'!$A$11,1,0)</f>
        <v>0</v>
      </c>
      <c r="GI86" s="160">
        <f>IF([Occurrence28]=0,0,SUM($GH$2:GH86))</f>
        <v>0</v>
      </c>
      <c r="GJ86" s="160">
        <f>IF([chambre4]*1='CHAMBRES GARCONS 1e ETAGE'!$A$17,1,0)</f>
        <v>0</v>
      </c>
      <c r="GK86" s="160">
        <f>IF([Occurrence29]=0,0,SUM($GJ$2:GJ86))</f>
        <v>0</v>
      </c>
      <c r="GL86" s="160">
        <f>IF([chambre4]*1='CHAMBRES GARCONS 1e ETAGE'!$A$23,1,0)</f>
        <v>0</v>
      </c>
      <c r="GM86" s="160">
        <f>IF([Occurrence30]=0,0,SUM($GL$2:GL86))</f>
        <v>0</v>
      </c>
      <c r="GN86" s="160">
        <f>IF([chambre4]*1='CHAMBRES GARCONS 1e ETAGE'!$A$29,1,0)</f>
        <v>0</v>
      </c>
      <c r="GO86" s="160">
        <f>IF([Occurrence31]=0,0,SUM($GN$2:GN86))</f>
        <v>0</v>
      </c>
      <c r="GP86" s="160">
        <f>IF([chambre4]*1='CHAMBRES GARCONS 1e ETAGE'!$A$35,1,0)</f>
        <v>0</v>
      </c>
      <c r="GQ86" s="160">
        <f>IF([Occurrence32]=0,0,SUM($GP$2:GP86))</f>
        <v>0</v>
      </c>
      <c r="GR86" s="160">
        <f>IF([chambre3]*1='CHAMBRES GARCONS RDC'!$A$5,1,0)</f>
        <v>0</v>
      </c>
      <c r="GS86" s="160">
        <f>IF([Occurrence33]=0,0,SUM($GR$2:GR86))</f>
        <v>0</v>
      </c>
      <c r="GT86" s="160">
        <f>IF([chambre3]*1='CHAMBRES GARCONS RDC'!$A$11,1,0)</f>
        <v>0</v>
      </c>
      <c r="GU86" s="160">
        <f>IF([Occurrence34]=0,0,SUM($GT$2:GT86))</f>
        <v>0</v>
      </c>
      <c r="GV86" s="160">
        <f>IF([chambre3]*1='CHAMBRES GARCONS RDC'!$A$17,1,0)</f>
        <v>0</v>
      </c>
      <c r="GW86" s="160">
        <f>IF([Occurrence35]=0,0,SUM($GV$2:GV86))</f>
        <v>0</v>
      </c>
      <c r="GX86" s="160">
        <f>IF([chambre3]*1='CHAMBRES GARCONS RDC'!$A$23,1,0)</f>
        <v>0</v>
      </c>
      <c r="GY86" s="160">
        <f>IF([Occurrence36]=0,0,SUM($GX$2:GX86))</f>
        <v>0</v>
      </c>
      <c r="GZ86" s="160">
        <f>IF([chambre3]*1='CHAMBRES GARCONS RDC'!$A$29,1,0)</f>
        <v>0</v>
      </c>
      <c r="HA86" s="160">
        <f>IF([Occurrence37]=0,0,SUM($GZ$2:GZ86))</f>
        <v>0</v>
      </c>
      <c r="HB86" s="160">
        <f>IF([chambre3]*1='CHAMBRES GARCONS RDC'!$A$35,1,0)</f>
        <v>0</v>
      </c>
      <c r="HC86" s="160">
        <f>IF([Occurrence38]=0,0,SUM($HB$2:HB86))</f>
        <v>0</v>
      </c>
      <c r="HD86" s="160">
        <f>IF([chambre3]*1='CHAMBRES GARCONS RDC'!$A$41,1,0)</f>
        <v>0</v>
      </c>
      <c r="HE86" s="160">
        <f>IF([Occurrence39]=0,0,SUM($HD$2:HD86))</f>
        <v>0</v>
      </c>
      <c r="HF86" s="160">
        <f>IF([chambre3]*1='CHAMBRES GARCONS RDC'!$A$47,1,0)</f>
        <v>0</v>
      </c>
      <c r="HG86" s="160">
        <f>IF([Occurrence40]=0,0,SUM($HF$2:HF86))</f>
        <v>0</v>
      </c>
      <c r="HH86" s="160">
        <f>IF([chambre3]*1='CHAMBRES GARCONS RDC'!$A$53,1,0)</f>
        <v>0</v>
      </c>
      <c r="HI86" s="160">
        <f>IF([Occurrence41]=0,0,SUM($HH$2:HH86))</f>
        <v>0</v>
      </c>
      <c r="HJ86" s="160">
        <f>IF([chambre3]*1='CHAMBRES GARCONS RDC'!$A$59,1,0)</f>
        <v>0</v>
      </c>
      <c r="HK86" s="160">
        <f>IF([Occurrence42]=0,0,SUM($HJ$2:HJ86))</f>
        <v>0</v>
      </c>
      <c r="HL86" s="160">
        <f>IF([chambre3]*1='CHAMBRES GARCONS RDC'!$A$65,1,0)</f>
        <v>0</v>
      </c>
      <c r="HM86" s="160">
        <f>IF([Occurrence43]=0,0,SUM($HL$2:HL86))</f>
        <v>0</v>
      </c>
      <c r="HN86" s="160">
        <f>IF([chambre3]*1='CHAMBRES GARCONS RDC'!$A$71,1,0)</f>
        <v>0</v>
      </c>
      <c r="HO86" s="160">
        <f>IF([Occurrence44]=0,0,SUM($HN$2:HN86))</f>
        <v>0</v>
      </c>
      <c r="HP86" s="160">
        <f>IF([chambre3]*1='CHAMBRES GARCONS RDC'!$A$77,1,0)</f>
        <v>0</v>
      </c>
      <c r="HQ86" s="160">
        <f>IF([Occurrence45]=0,0,SUM($HP$2:HP86))</f>
        <v>0</v>
      </c>
      <c r="HR86" s="160">
        <f>IF([chambre3]*1='CHAMBRES GARCONS RDC'!$A$83,1,0)</f>
        <v>0</v>
      </c>
      <c r="HS86" s="160">
        <f>IF([Occurrence46]=0,0,SUM($HR$2:HR86))</f>
        <v>0</v>
      </c>
      <c r="HT86" s="160">
        <f>IF([chambre3]*1='CHAMBRES GARCONS RDC'!$A$89,1,0)</f>
        <v>0</v>
      </c>
      <c r="HU86" s="160">
        <f>IF([Occurrence47]=0,0,SUM($HT$2:HT86))</f>
        <v>0</v>
      </c>
      <c r="HV86" s="160">
        <f>IF([chambre3]*1='CHAMBRES GARCONS RDC'!$A$95,1,0)</f>
        <v>0</v>
      </c>
      <c r="HW86" s="160">
        <f>IF([Occurrence48]=0,0,SUM($HV$2:HV86))</f>
        <v>0</v>
      </c>
      <c r="HX86" s="160"/>
      <c r="HY86" s="160"/>
      <c r="HZ86" s="160">
        <f>IF([Classe]='Liste élève par classes'!$B$5,1,0)</f>
        <v>0</v>
      </c>
      <c r="IA86" s="160">
        <f>IF([Occurrence]=0,0,SUM($HZ$2:HZ86))</f>
        <v>0</v>
      </c>
      <c r="IB8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134</v>
      </c>
      <c r="IC86" s="208"/>
    </row>
    <row r="87" spans="1:237">
      <c r="A87" t="s">
        <v>396</v>
      </c>
      <c r="B87" t="s">
        <v>397</v>
      </c>
      <c r="C87" s="158">
        <v>37363</v>
      </c>
      <c r="D87" s="62">
        <f t="shared" ca="1" si="1"/>
        <v>15</v>
      </c>
      <c r="E87" t="s">
        <v>7</v>
      </c>
      <c r="F87" s="159" t="s">
        <v>50</v>
      </c>
      <c r="G87" t="s">
        <v>40</v>
      </c>
      <c r="H87" s="160"/>
      <c r="I87" s="62"/>
      <c r="J87" s="62"/>
      <c r="K87" s="62"/>
      <c r="L87" s="61"/>
      <c r="M87">
        <v>9</v>
      </c>
      <c r="N87" s="62"/>
      <c r="O87" s="62"/>
      <c r="P87" s="62"/>
      <c r="Q87" s="62"/>
      <c r="R87" s="62"/>
      <c r="S87" s="191"/>
      <c r="T87" s="62"/>
      <c r="U87" s="61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163"/>
      <c r="AG87" s="163"/>
      <c r="AH87" s="163"/>
      <c r="AI87" s="163"/>
      <c r="AJ87" s="163"/>
      <c r="AK87" s="163"/>
      <c r="AL87" s="163"/>
      <c r="AM87" s="163"/>
      <c r="AN87" s="163"/>
      <c r="AO87" s="163"/>
      <c r="AP87" s="163"/>
      <c r="AQ87" s="163"/>
      <c r="AR87" s="163"/>
      <c r="AS87" s="163"/>
      <c r="AT87" s="163"/>
      <c r="AU87" s="163"/>
      <c r="AV87" s="163"/>
      <c r="AW87" s="163"/>
      <c r="AX87" s="163"/>
      <c r="AY87" s="163"/>
      <c r="AZ87" s="163"/>
      <c r="BA87" s="163"/>
      <c r="BB87" s="163"/>
      <c r="BC87" s="163" t="b">
        <v>0</v>
      </c>
      <c r="BD87" s="163" t="b">
        <v>1</v>
      </c>
      <c r="BE87" s="163" t="b">
        <v>1</v>
      </c>
      <c r="BF87" s="163" t="b">
        <v>0</v>
      </c>
      <c r="BG87" s="164" t="b">
        <v>0</v>
      </c>
      <c r="BH87" s="163" t="b">
        <v>1</v>
      </c>
      <c r="BI87" s="163"/>
      <c r="BJ87" s="163"/>
      <c r="BK87" s="163"/>
      <c r="BL87" s="163"/>
      <c r="BM87" s="163"/>
      <c r="BN87" s="163"/>
      <c r="BO87" s="163"/>
      <c r="BP87" s="163"/>
      <c r="BQ87" s="163" t="b">
        <v>0</v>
      </c>
      <c r="BR87" s="163"/>
      <c r="BS87" s="163"/>
      <c r="BT87" s="163"/>
      <c r="BU87" s="163"/>
      <c r="BV87" s="163"/>
      <c r="BW87" s="163"/>
      <c r="BX87" s="163"/>
      <c r="BY87" s="163"/>
      <c r="BZ87" s="163"/>
      <c r="CA87" s="163"/>
      <c r="CB87" s="163"/>
      <c r="CC87" s="163"/>
      <c r="CD87" s="163"/>
      <c r="CE87" s="163"/>
      <c r="CF87" s="163"/>
      <c r="CG87" s="163"/>
      <c r="CH87" s="163"/>
      <c r="CI87" s="163"/>
      <c r="CJ87" s="163"/>
      <c r="CK87" s="163"/>
      <c r="CL87" s="163"/>
      <c r="CM87" s="163"/>
      <c r="CN87" s="163"/>
      <c r="CO87" s="163"/>
      <c r="CP87" s="163"/>
      <c r="CQ87" s="163"/>
      <c r="CR87" s="163"/>
      <c r="CS87" s="163"/>
      <c r="CT87" s="163"/>
      <c r="CU87" s="163"/>
      <c r="CV87" s="163"/>
      <c r="CW87" s="163"/>
      <c r="CX87" s="163"/>
      <c r="CY87" s="163"/>
      <c r="CZ87" s="163"/>
      <c r="DA87" s="163"/>
      <c r="DB87" s="163"/>
      <c r="DC87" s="163"/>
      <c r="DD87" s="163"/>
      <c r="DE87" s="163"/>
      <c r="DF87" s="163"/>
      <c r="DG87" s="208">
        <v>147</v>
      </c>
      <c r="DH87" s="163"/>
      <c r="DI87" s="163"/>
      <c r="DJ87" s="163"/>
      <c r="DK87" s="163"/>
      <c r="DL87" s="163"/>
      <c r="DM87" s="163"/>
      <c r="DN87" s="163"/>
      <c r="DO87" s="163"/>
      <c r="DP87" s="163"/>
      <c r="DQ87" s="163"/>
      <c r="DR87" s="163"/>
      <c r="DS87" s="163"/>
      <c r="DT87" s="163"/>
      <c r="DU87" s="163"/>
      <c r="DV87" s="163"/>
      <c r="DW87" s="163"/>
      <c r="DX87" s="163"/>
      <c r="DY87" s="163"/>
      <c r="DZ87" s="163"/>
      <c r="EA87" s="163"/>
      <c r="EB87" s="163"/>
      <c r="EC87" s="163"/>
      <c r="ED87" s="163"/>
      <c r="EE87" s="163"/>
      <c r="EF87" s="163"/>
      <c r="EG87" s="163"/>
      <c r="EH87" s="160">
        <f>IF([Chambre]*1='CHAMBRES FILLES 2e ETAGE'!$A$5,1,0)</f>
        <v>0</v>
      </c>
      <c r="EI87" s="161">
        <f>IF([Occurrence2]=0,0,SUM($EH$2:EH87))</f>
        <v>0</v>
      </c>
      <c r="EJ87" s="160">
        <f>IF([Chambre]*1='CHAMBRES FILLES 2e ETAGE'!$A$11,1,0)</f>
        <v>0</v>
      </c>
      <c r="EK87" s="160">
        <f>IF([Occurrence3]=0,0,SUM($EJ$2:EJ87))</f>
        <v>0</v>
      </c>
      <c r="EL87" s="160">
        <f>IF([Chambre]*1='CHAMBRES FILLES 2e ETAGE'!$A$17,1,0)</f>
        <v>0</v>
      </c>
      <c r="EM87" s="160">
        <f>IF([Occurrence4]=0,0,SUM($EL$2:EL87))</f>
        <v>0</v>
      </c>
      <c r="EN87" s="160">
        <f>IF([Chambre]*1='CHAMBRES FILLES 2e ETAGE'!$A$23,1,0)</f>
        <v>0</v>
      </c>
      <c r="EO87" s="160">
        <f>IF([Occurrence5]=0,0,SUM($EN$2:EN87))</f>
        <v>0</v>
      </c>
      <c r="EP87" s="160">
        <f>IF([Chambre]*1='CHAMBRES FILLES 2e ETAGE'!$A$29,1,0)</f>
        <v>0</v>
      </c>
      <c r="EQ87" s="160">
        <f>IF([Occurrence6]=0,0,SUM($EP$2:EP87))</f>
        <v>0</v>
      </c>
      <c r="ER87" s="160">
        <f>IF([Chambre]*1='CHAMBRES FILLES 2e ETAGE'!$A$35,1,0)</f>
        <v>0</v>
      </c>
      <c r="ES87" s="160">
        <f>IF([Occurrence7]=0,0,SUM($ER$2:ER87))</f>
        <v>0</v>
      </c>
      <c r="ET87" s="160">
        <f>IF([Chambre]*1='CHAMBRES FILLES 2e ETAGE'!$A$41,1,0)</f>
        <v>0</v>
      </c>
      <c r="EU87" s="160">
        <f>IF([Occurrence8]=0,0,SUM($ET$2:ET87))</f>
        <v>0</v>
      </c>
      <c r="EV87" s="160">
        <f>IF([Chambre]*1='CHAMBRES FILLES 2e ETAGE'!$A$47,1,0)</f>
        <v>0</v>
      </c>
      <c r="EW87" s="160">
        <f>IF([Occurrence9]=0,0,SUM($EV$2:EV87))</f>
        <v>0</v>
      </c>
      <c r="EX87" s="160">
        <f>IF([Chambre]*1='CHAMBRES FILLES 2e ETAGE'!$A$53,1,0)</f>
        <v>0</v>
      </c>
      <c r="EY87" s="160">
        <f>IF([Occurrence10]=0,0,SUM($EX$2:EX87))</f>
        <v>0</v>
      </c>
      <c r="EZ87" s="160">
        <f>IF([Chambre]*1='CHAMBRES FILLES 2e ETAGE'!$A$59,1,0)</f>
        <v>0</v>
      </c>
      <c r="FA87" s="160">
        <f>IF([Occurrence11]=0,0,SUM($EZ$2:EZ87))</f>
        <v>0</v>
      </c>
      <c r="FB87" s="160">
        <f>IF([Chambre]*1='CHAMBRES FILLES 2e ETAGE'!$A$65,1,0)</f>
        <v>0</v>
      </c>
      <c r="FC87" s="160">
        <f>IF([Occurrence12]=0,0,SUM($FB$2:FB87))</f>
        <v>0</v>
      </c>
      <c r="FD87" s="160">
        <f>IF([Chambre]*1='CHAMBRES FILLES 2e ETAGE'!$A$71,1,0)</f>
        <v>0</v>
      </c>
      <c r="FE87" s="160">
        <f>IF([Occurrence13]=0,0,SUM($FD$2:FD87))</f>
        <v>0</v>
      </c>
      <c r="FF87" s="160">
        <f>IF([Chambre]*1='CHAMBRES FILLES 2e ETAGE'!$A$77,1,0)</f>
        <v>0</v>
      </c>
      <c r="FG87" s="160">
        <f>IF([Occurrence14]=0,0,SUM($FF$2:FF87))</f>
        <v>0</v>
      </c>
      <c r="FH87" s="160">
        <f>IF([Chambre]*1='CHAMBRES FILLES 2e ETAGE'!$A$83,1,0)</f>
        <v>0</v>
      </c>
      <c r="FI87" s="160">
        <f>IF([Occurrence15]=0,0,SUM($FH$2:FH87))</f>
        <v>0</v>
      </c>
      <c r="FJ87" s="160">
        <f>IF([Chambre]*1='CHAMBRES FILLES 2e ETAGE'!$A$89,1,0)</f>
        <v>0</v>
      </c>
      <c r="FK87" s="160">
        <f>IF([Occurrence16]=0,0,SUM($FJ$2:FJ87))</f>
        <v>0</v>
      </c>
      <c r="FL87" s="160">
        <f>IF([Chambre]*1='CHAMBRES FILLES 2e ETAGE'!$A$95,1,0)</f>
        <v>0</v>
      </c>
      <c r="FM87" s="160">
        <f>IF([Occurrence17]=0,0,SUM($FL$2:FL87))</f>
        <v>0</v>
      </c>
      <c r="FN87" s="160">
        <f>IF([Chambre2]*1='CHAMBRES FILLES 1e ETAGE'!$A$5,1,0)</f>
        <v>0</v>
      </c>
      <c r="FO87" s="160">
        <f>IF([Occurrence18]=0,0,SUM($FN$2:FN87))</f>
        <v>0</v>
      </c>
      <c r="FP87" s="160">
        <f>IF([Chambre2]*1='CHAMBRES FILLES 1e ETAGE'!$A$11,1,0)</f>
        <v>0</v>
      </c>
      <c r="FQ87" s="160">
        <f>IF([Occurrence19]=0,0,SUM($FP$2:FP87))</f>
        <v>0</v>
      </c>
      <c r="FR87" s="160">
        <f>IF([Chambre2]*1='CHAMBRES FILLES 1e ETAGE'!$A$17,1,0)</f>
        <v>0</v>
      </c>
      <c r="FS87" s="160">
        <f>IF([Occurrence20]=0,0,SUM($FR$2:FR87))</f>
        <v>0</v>
      </c>
      <c r="FT87" s="160">
        <f>IF([Chambre2]*1='CHAMBRES FILLES 1e ETAGE'!$A$23,1,0)</f>
        <v>0</v>
      </c>
      <c r="FU87" s="160">
        <f>IF([Occurrence21]=0,0,SUM($FT$2:FT87))</f>
        <v>0</v>
      </c>
      <c r="FV87" s="160">
        <f>IF([Chambre2]*1='CHAMBRES FILLES 1e ETAGE'!$A$29,1,0)</f>
        <v>0</v>
      </c>
      <c r="FW87" s="160">
        <f>IF([Occurrence22]=0,0,SUM($FV$2:FV87))</f>
        <v>0</v>
      </c>
      <c r="FX87" s="160">
        <f>IF([Chambre2]*1='CHAMBRES FILLES 1e ETAGE'!$A$35,1,0)</f>
        <v>0</v>
      </c>
      <c r="FY87" s="160">
        <f>IF([Occurrence23]=0,0,SUM($FX$2:FX87))</f>
        <v>0</v>
      </c>
      <c r="FZ87" s="160">
        <f>IF([Chambre2]*1='CHAMBRES FILLES 1e ETAGE'!$A$41,1,0)</f>
        <v>0</v>
      </c>
      <c r="GA87" s="160">
        <f>IF([Occurrence24]=0,0,SUM($FZ$2:FZ87))</f>
        <v>0</v>
      </c>
      <c r="GB87" s="160">
        <f>IF([Chambre2]*1='CHAMBRES FILLES 1e ETAGE'!$A$47,1,0)</f>
        <v>0</v>
      </c>
      <c r="GC87" s="160">
        <f>IF([Occurrence25]=0,0,SUM($GB$2:GB87))</f>
        <v>0</v>
      </c>
      <c r="GD87" s="160">
        <f>IF([Chambre2]*1='CHAMBRES FILLES 1e ETAGE'!$A$53,1,0)</f>
        <v>0</v>
      </c>
      <c r="GE87" s="160">
        <f>IF([Occurrence26]=0,0,SUM($GD$2:GD87))</f>
        <v>0</v>
      </c>
      <c r="GF87" s="160">
        <f>IF([chambre4]*1='CHAMBRES GARCONS 1e ETAGE'!$A$5,1,0)</f>
        <v>0</v>
      </c>
      <c r="GG87" s="160">
        <f>IF([Occurrence27]=0,0,SUM($GF$2:GF87))</f>
        <v>0</v>
      </c>
      <c r="GH87" s="160">
        <f>IF([chambre4]*1='CHAMBRES GARCONS 1e ETAGE'!$A$11,1,0)</f>
        <v>1</v>
      </c>
      <c r="GI87" s="160">
        <f>IF([Occurrence28]=0,0,SUM($GH$2:GH87))</f>
        <v>3</v>
      </c>
      <c r="GJ87" s="160">
        <f>IF([chambre4]*1='CHAMBRES GARCONS 1e ETAGE'!$A$17,1,0)</f>
        <v>0</v>
      </c>
      <c r="GK87" s="160">
        <f>IF([Occurrence29]=0,0,SUM($GJ$2:GJ87))</f>
        <v>0</v>
      </c>
      <c r="GL87" s="160">
        <f>IF([chambre4]*1='CHAMBRES GARCONS 1e ETAGE'!$A$23,1,0)</f>
        <v>0</v>
      </c>
      <c r="GM87" s="160">
        <f>IF([Occurrence30]=0,0,SUM($GL$2:GL87))</f>
        <v>0</v>
      </c>
      <c r="GN87" s="160">
        <f>IF([chambre4]*1='CHAMBRES GARCONS 1e ETAGE'!$A$29,1,0)</f>
        <v>0</v>
      </c>
      <c r="GO87" s="160">
        <f>IF([Occurrence31]=0,0,SUM($GN$2:GN87))</f>
        <v>0</v>
      </c>
      <c r="GP87" s="160">
        <f>IF([chambre4]*1='CHAMBRES GARCONS 1e ETAGE'!$A$35,1,0)</f>
        <v>0</v>
      </c>
      <c r="GQ87" s="160">
        <f>IF([Occurrence32]=0,0,SUM($GP$2:GP87))</f>
        <v>0</v>
      </c>
      <c r="GR87" s="160">
        <f>IF([chambre3]*1='CHAMBRES GARCONS RDC'!$A$5,1,0)</f>
        <v>0</v>
      </c>
      <c r="GS87" s="160">
        <f>IF([Occurrence33]=0,0,SUM($GR$2:GR87))</f>
        <v>0</v>
      </c>
      <c r="GT87" s="160">
        <f>IF([chambre3]*1='CHAMBRES GARCONS RDC'!$A$11,1,0)</f>
        <v>0</v>
      </c>
      <c r="GU87" s="160">
        <f>IF([Occurrence34]=0,0,SUM($GT$2:GT87))</f>
        <v>0</v>
      </c>
      <c r="GV87" s="160">
        <f>IF([chambre3]*1='CHAMBRES GARCONS RDC'!$A$17,1,0)</f>
        <v>0</v>
      </c>
      <c r="GW87" s="160">
        <f>IF([Occurrence35]=0,0,SUM($GV$2:GV87))</f>
        <v>0</v>
      </c>
      <c r="GX87" s="160">
        <f>IF([chambre3]*1='CHAMBRES GARCONS RDC'!$A$23,1,0)</f>
        <v>0</v>
      </c>
      <c r="GY87" s="160">
        <f>IF([Occurrence36]=0,0,SUM($GX$2:GX87))</f>
        <v>0</v>
      </c>
      <c r="GZ87" s="160">
        <f>IF([chambre3]*1='CHAMBRES GARCONS RDC'!$A$29,1,0)</f>
        <v>0</v>
      </c>
      <c r="HA87" s="160">
        <f>IF([Occurrence37]=0,0,SUM($GZ$2:GZ87))</f>
        <v>0</v>
      </c>
      <c r="HB87" s="160">
        <f>IF([chambre3]*1='CHAMBRES GARCONS RDC'!$A$35,1,0)</f>
        <v>0</v>
      </c>
      <c r="HC87" s="160">
        <f>IF([Occurrence38]=0,0,SUM($HB$2:HB87))</f>
        <v>0</v>
      </c>
      <c r="HD87" s="160">
        <f>IF([chambre3]*1='CHAMBRES GARCONS RDC'!$A$41,1,0)</f>
        <v>0</v>
      </c>
      <c r="HE87" s="160">
        <f>IF([Occurrence39]=0,0,SUM($HD$2:HD87))</f>
        <v>0</v>
      </c>
      <c r="HF87" s="160">
        <f>IF([chambre3]*1='CHAMBRES GARCONS RDC'!$A$47,1,0)</f>
        <v>0</v>
      </c>
      <c r="HG87" s="160">
        <f>IF([Occurrence40]=0,0,SUM($HF$2:HF87))</f>
        <v>0</v>
      </c>
      <c r="HH87" s="160">
        <f>IF([chambre3]*1='CHAMBRES GARCONS RDC'!$A$53,1,0)</f>
        <v>0</v>
      </c>
      <c r="HI87" s="160">
        <f>IF([Occurrence41]=0,0,SUM($HH$2:HH87))</f>
        <v>0</v>
      </c>
      <c r="HJ87" s="160">
        <f>IF([chambre3]*1='CHAMBRES GARCONS RDC'!$A$59,1,0)</f>
        <v>0</v>
      </c>
      <c r="HK87" s="160">
        <f>IF([Occurrence42]=0,0,SUM($HJ$2:HJ87))</f>
        <v>0</v>
      </c>
      <c r="HL87" s="160">
        <f>IF([chambre3]*1='CHAMBRES GARCONS RDC'!$A$65,1,0)</f>
        <v>0</v>
      </c>
      <c r="HM87" s="160">
        <f>IF([Occurrence43]=0,0,SUM($HL$2:HL87))</f>
        <v>0</v>
      </c>
      <c r="HN87" s="160">
        <f>IF([chambre3]*1='CHAMBRES GARCONS RDC'!$A$71,1,0)</f>
        <v>0</v>
      </c>
      <c r="HO87" s="160">
        <f>IF([Occurrence44]=0,0,SUM($HN$2:HN87))</f>
        <v>0</v>
      </c>
      <c r="HP87" s="160">
        <f>IF([chambre3]*1='CHAMBRES GARCONS RDC'!$A$77,1,0)</f>
        <v>0</v>
      </c>
      <c r="HQ87" s="160">
        <f>IF([Occurrence45]=0,0,SUM($HP$2:HP87))</f>
        <v>0</v>
      </c>
      <c r="HR87" s="160">
        <f>IF([chambre3]*1='CHAMBRES GARCONS RDC'!$A$83,1,0)</f>
        <v>0</v>
      </c>
      <c r="HS87" s="160">
        <f>IF([Occurrence46]=0,0,SUM($HR$2:HR87))</f>
        <v>0</v>
      </c>
      <c r="HT87" s="160">
        <f>IF([chambre3]*1='CHAMBRES GARCONS RDC'!$A$89,1,0)</f>
        <v>0</v>
      </c>
      <c r="HU87" s="160">
        <f>IF([Occurrence47]=0,0,SUM($HT$2:HT87))</f>
        <v>0</v>
      </c>
      <c r="HV87" s="160">
        <f>IF([chambre3]*1='CHAMBRES GARCONS RDC'!$A$95,1,0)</f>
        <v>0</v>
      </c>
      <c r="HW87" s="160">
        <f>IF([Occurrence48]=0,0,SUM($HV$2:HV87))</f>
        <v>0</v>
      </c>
      <c r="HX87" s="160"/>
      <c r="HY87" s="160"/>
      <c r="HZ87" s="160">
        <f>IF([Classe]='Liste élève par classes'!$B$5,1,0)</f>
        <v>0</v>
      </c>
      <c r="IA87" s="160">
        <f>IF([Occurrence]=0,0,SUM($HZ$2:HZ87))</f>
        <v>0</v>
      </c>
      <c r="IB8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147</v>
      </c>
      <c r="IC87" s="208"/>
    </row>
    <row r="88" spans="1:237">
      <c r="A88" t="s">
        <v>398</v>
      </c>
      <c r="B88" t="s">
        <v>399</v>
      </c>
      <c r="C88" s="158">
        <v>37329</v>
      </c>
      <c r="D88" s="62">
        <f t="shared" ca="1" si="1"/>
        <v>15</v>
      </c>
      <c r="E88" t="s">
        <v>7</v>
      </c>
      <c r="F88" s="159" t="s">
        <v>50</v>
      </c>
      <c r="G88" t="s">
        <v>45</v>
      </c>
      <c r="H88" s="160"/>
      <c r="I88" s="62"/>
      <c r="J88" s="62" t="s">
        <v>244</v>
      </c>
      <c r="K88" s="62"/>
      <c r="L88" s="61">
        <v>159</v>
      </c>
      <c r="M88">
        <v>10</v>
      </c>
      <c r="N88" s="62" t="s">
        <v>244</v>
      </c>
      <c r="O88" s="62" t="s">
        <v>244</v>
      </c>
      <c r="P88" s="62" t="s">
        <v>244</v>
      </c>
      <c r="Q88" s="62" t="s">
        <v>244</v>
      </c>
      <c r="R88" s="62" t="s">
        <v>244</v>
      </c>
      <c r="S88" s="191"/>
      <c r="T88" s="62" t="s">
        <v>244</v>
      </c>
      <c r="U88" s="61"/>
      <c r="V88" s="62" t="s">
        <v>244</v>
      </c>
      <c r="W88" s="62" t="s">
        <v>244</v>
      </c>
      <c r="X88" s="62" t="s">
        <v>244</v>
      </c>
      <c r="Y88" s="62" t="s">
        <v>244</v>
      </c>
      <c r="Z88" s="62" t="s">
        <v>244</v>
      </c>
      <c r="AA88" s="62" t="s">
        <v>244</v>
      </c>
      <c r="AB88" s="62" t="s">
        <v>244</v>
      </c>
      <c r="AC88" s="62" t="s">
        <v>244</v>
      </c>
      <c r="AD88" s="62" t="s">
        <v>244</v>
      </c>
      <c r="AE88" s="62" t="s">
        <v>244</v>
      </c>
      <c r="AF88" s="163" t="s">
        <v>244</v>
      </c>
      <c r="AG88" s="163" t="s">
        <v>244</v>
      </c>
      <c r="AH88" s="163" t="s">
        <v>244</v>
      </c>
      <c r="AI88" s="163"/>
      <c r="AJ88" s="163"/>
      <c r="AK88" s="163"/>
      <c r="AL88" s="163"/>
      <c r="AM88" s="163"/>
      <c r="AN88" s="163"/>
      <c r="AO88" s="163"/>
      <c r="AP88" s="163"/>
      <c r="AQ88" s="163"/>
      <c r="AR88" s="163"/>
      <c r="AS88" s="163"/>
      <c r="AT88" s="163"/>
      <c r="AU88" s="163"/>
      <c r="AV88" s="163"/>
      <c r="AW88" s="163"/>
      <c r="AX88" s="163"/>
      <c r="AY88" s="163"/>
      <c r="AZ88" s="163"/>
      <c r="BA88" s="163"/>
      <c r="BB88" s="163"/>
      <c r="BC88" s="163" t="b">
        <v>0</v>
      </c>
      <c r="BD88" s="163" t="b">
        <v>1</v>
      </c>
      <c r="BE88" s="163" t="b">
        <v>1</v>
      </c>
      <c r="BF88" s="163" t="b">
        <v>0</v>
      </c>
      <c r="BG88" s="164" t="b">
        <v>0</v>
      </c>
      <c r="BH88" s="163" t="b">
        <v>1</v>
      </c>
      <c r="BI88" s="163"/>
      <c r="BJ88" s="163"/>
      <c r="BK88" s="163"/>
      <c r="BL88" s="163"/>
      <c r="BM88" s="163"/>
      <c r="BN88" s="163"/>
      <c r="BO88" s="163"/>
      <c r="BP88" s="163"/>
      <c r="BQ88" s="163" t="b">
        <v>1</v>
      </c>
      <c r="BR88" s="163"/>
      <c r="BS88" s="163"/>
      <c r="BT88" s="163"/>
      <c r="BU88" s="163"/>
      <c r="BV88" s="163"/>
      <c r="BW88" s="163"/>
      <c r="BX88" s="163"/>
      <c r="BY88" s="163"/>
      <c r="BZ88" s="163"/>
      <c r="CA88" s="163"/>
      <c r="CB88" s="163"/>
      <c r="CC88" s="163"/>
      <c r="CD88" s="163"/>
      <c r="CE88" s="163"/>
      <c r="CF88" s="163"/>
      <c r="CG88" s="163"/>
      <c r="CH88" s="163"/>
      <c r="CI88" s="163"/>
      <c r="CJ88" s="163"/>
      <c r="CK88" s="163"/>
      <c r="CL88" s="163"/>
      <c r="CM88" s="163"/>
      <c r="CN88" s="163"/>
      <c r="CO88" s="163"/>
      <c r="CP88" s="163"/>
      <c r="CQ88" s="163"/>
      <c r="CR88" s="163"/>
      <c r="CS88" s="163"/>
      <c r="CT88" s="163"/>
      <c r="CU88" s="163"/>
      <c r="CV88" s="163"/>
      <c r="CW88" s="163"/>
      <c r="CX88" s="163"/>
      <c r="CY88" s="163"/>
      <c r="CZ88" s="163"/>
      <c r="DA88" s="163"/>
      <c r="DB88" s="163"/>
      <c r="DC88" s="163"/>
      <c r="DD88" s="163"/>
      <c r="DE88" s="163"/>
      <c r="DF88" s="163"/>
      <c r="DG88" s="208"/>
      <c r="DH88" s="163"/>
      <c r="DI88" s="163"/>
      <c r="DJ88" s="163"/>
      <c r="DK88" s="163"/>
      <c r="DL88" s="163"/>
      <c r="DM88" s="163"/>
      <c r="DN88" s="163"/>
      <c r="DO88" s="163"/>
      <c r="DP88" s="163"/>
      <c r="DQ88" s="163"/>
      <c r="DR88" s="163"/>
      <c r="DS88" s="163"/>
      <c r="DT88" s="163"/>
      <c r="DU88" s="163"/>
      <c r="DV88" s="163"/>
      <c r="DW88" s="163"/>
      <c r="DX88" s="163"/>
      <c r="DY88" s="163"/>
      <c r="DZ88" s="163"/>
      <c r="EA88" s="163"/>
      <c r="EB88" s="163"/>
      <c r="EC88" s="163"/>
      <c r="ED88" s="163"/>
      <c r="EE88" s="163"/>
      <c r="EF88" s="163"/>
      <c r="EG88" s="163"/>
      <c r="EH88" s="160">
        <f>IF([Chambre]*1='CHAMBRES FILLES 2e ETAGE'!$A$5,1,0)</f>
        <v>0</v>
      </c>
      <c r="EI88" s="161">
        <f>IF([Occurrence2]=0,0,SUM($EH$2:EH88))</f>
        <v>0</v>
      </c>
      <c r="EJ88" s="160">
        <f>IF([Chambre]*1='CHAMBRES FILLES 2e ETAGE'!$A$11,1,0)</f>
        <v>1</v>
      </c>
      <c r="EK88" s="160">
        <f>IF([Occurrence3]=0,0,SUM($EJ$2:EJ88))</f>
        <v>1</v>
      </c>
      <c r="EL88" s="160">
        <f>IF([Chambre]*1='CHAMBRES FILLES 2e ETAGE'!$A$17,1,0)</f>
        <v>0</v>
      </c>
      <c r="EM88" s="160">
        <f>IF([Occurrence4]=0,0,SUM($EL$2:EL88))</f>
        <v>0</v>
      </c>
      <c r="EN88" s="160">
        <f>IF([Chambre]*1='CHAMBRES FILLES 2e ETAGE'!$A$23,1,0)</f>
        <v>0</v>
      </c>
      <c r="EO88" s="160">
        <f>IF([Occurrence5]=0,0,SUM($EN$2:EN88))</f>
        <v>0</v>
      </c>
      <c r="EP88" s="160">
        <f>IF([Chambre]*1='CHAMBRES FILLES 2e ETAGE'!$A$29,1,0)</f>
        <v>0</v>
      </c>
      <c r="EQ88" s="160">
        <f>IF([Occurrence6]=0,0,SUM($EP$2:EP88))</f>
        <v>0</v>
      </c>
      <c r="ER88" s="160">
        <f>IF([Chambre]*1='CHAMBRES FILLES 2e ETAGE'!$A$35,1,0)</f>
        <v>0</v>
      </c>
      <c r="ES88" s="160">
        <f>IF([Occurrence7]=0,0,SUM($ER$2:ER88))</f>
        <v>0</v>
      </c>
      <c r="ET88" s="160">
        <f>IF([Chambre]*1='CHAMBRES FILLES 2e ETAGE'!$A$41,1,0)</f>
        <v>0</v>
      </c>
      <c r="EU88" s="160">
        <f>IF([Occurrence8]=0,0,SUM($ET$2:ET88))</f>
        <v>0</v>
      </c>
      <c r="EV88" s="160">
        <f>IF([Chambre]*1='CHAMBRES FILLES 2e ETAGE'!$A$47,1,0)</f>
        <v>0</v>
      </c>
      <c r="EW88" s="160">
        <f>IF([Occurrence9]=0,0,SUM($EV$2:EV88))</f>
        <v>0</v>
      </c>
      <c r="EX88" s="160">
        <f>IF([Chambre]*1='CHAMBRES FILLES 2e ETAGE'!$A$53,1,0)</f>
        <v>0</v>
      </c>
      <c r="EY88" s="160">
        <f>IF([Occurrence10]=0,0,SUM($EX$2:EX88))</f>
        <v>0</v>
      </c>
      <c r="EZ88" s="160">
        <f>IF([Chambre]*1='CHAMBRES FILLES 2e ETAGE'!$A$59,1,0)</f>
        <v>0</v>
      </c>
      <c r="FA88" s="160">
        <f>IF([Occurrence11]=0,0,SUM($EZ$2:EZ88))</f>
        <v>0</v>
      </c>
      <c r="FB88" s="160">
        <f>IF([Chambre]*1='CHAMBRES FILLES 2e ETAGE'!$A$65,1,0)</f>
        <v>0</v>
      </c>
      <c r="FC88" s="160">
        <f>IF([Occurrence12]=0,0,SUM($FB$2:FB88))</f>
        <v>0</v>
      </c>
      <c r="FD88" s="160">
        <f>IF([Chambre]*1='CHAMBRES FILLES 2e ETAGE'!$A$71,1,0)</f>
        <v>0</v>
      </c>
      <c r="FE88" s="160">
        <f>IF([Occurrence13]=0,0,SUM($FD$2:FD88))</f>
        <v>0</v>
      </c>
      <c r="FF88" s="160">
        <f>IF([Chambre]*1='CHAMBRES FILLES 2e ETAGE'!$A$77,1,0)</f>
        <v>0</v>
      </c>
      <c r="FG88" s="160">
        <f>IF([Occurrence14]=0,0,SUM($FF$2:FF88))</f>
        <v>0</v>
      </c>
      <c r="FH88" s="160">
        <f>IF([Chambre]*1='CHAMBRES FILLES 2e ETAGE'!$A$83,1,0)</f>
        <v>0</v>
      </c>
      <c r="FI88" s="160">
        <f>IF([Occurrence15]=0,0,SUM($FH$2:FH88))</f>
        <v>0</v>
      </c>
      <c r="FJ88" s="160">
        <f>IF([Chambre]*1='CHAMBRES FILLES 2e ETAGE'!$A$89,1,0)</f>
        <v>0</v>
      </c>
      <c r="FK88" s="160">
        <f>IF([Occurrence16]=0,0,SUM($FJ$2:FJ88))</f>
        <v>0</v>
      </c>
      <c r="FL88" s="160">
        <f>IF([Chambre]*1='CHAMBRES FILLES 2e ETAGE'!$A$95,1,0)</f>
        <v>0</v>
      </c>
      <c r="FM88" s="160">
        <f>IF([Occurrence17]=0,0,SUM($FL$2:FL88))</f>
        <v>0</v>
      </c>
      <c r="FN88" s="160">
        <f>IF([Chambre2]*1='CHAMBRES FILLES 1e ETAGE'!$A$5,1,0)</f>
        <v>0</v>
      </c>
      <c r="FO88" s="160">
        <f>IF([Occurrence18]=0,0,SUM($FN$2:FN88))</f>
        <v>0</v>
      </c>
      <c r="FP88" s="160">
        <f>IF([Chambre2]*1='CHAMBRES FILLES 1e ETAGE'!$A$11,1,0)</f>
        <v>0</v>
      </c>
      <c r="FQ88" s="160">
        <f>IF([Occurrence19]=0,0,SUM($FP$2:FP88))</f>
        <v>0</v>
      </c>
      <c r="FR88" s="160">
        <f>IF([Chambre2]*1='CHAMBRES FILLES 1e ETAGE'!$A$17,1,0)</f>
        <v>0</v>
      </c>
      <c r="FS88" s="160">
        <f>IF([Occurrence20]=0,0,SUM($FR$2:FR88))</f>
        <v>0</v>
      </c>
      <c r="FT88" s="160">
        <f>IF([Chambre2]*1='CHAMBRES FILLES 1e ETAGE'!$A$23,1,0)</f>
        <v>0</v>
      </c>
      <c r="FU88" s="160">
        <f>IF([Occurrence21]=0,0,SUM($FT$2:FT88))</f>
        <v>0</v>
      </c>
      <c r="FV88" s="160">
        <f>IF([Chambre2]*1='CHAMBRES FILLES 1e ETAGE'!$A$29,1,0)</f>
        <v>0</v>
      </c>
      <c r="FW88" s="160">
        <f>IF([Occurrence22]=0,0,SUM($FV$2:FV88))</f>
        <v>0</v>
      </c>
      <c r="FX88" s="160">
        <f>IF([Chambre2]*1='CHAMBRES FILLES 1e ETAGE'!$A$35,1,0)</f>
        <v>0</v>
      </c>
      <c r="FY88" s="160">
        <f>IF([Occurrence23]=0,0,SUM($FX$2:FX88))</f>
        <v>0</v>
      </c>
      <c r="FZ88" s="160">
        <f>IF([Chambre2]*1='CHAMBRES FILLES 1e ETAGE'!$A$41,1,0)</f>
        <v>0</v>
      </c>
      <c r="GA88" s="160">
        <f>IF([Occurrence24]=0,0,SUM($FZ$2:FZ88))</f>
        <v>0</v>
      </c>
      <c r="GB88" s="160">
        <f>IF([Chambre2]*1='CHAMBRES FILLES 1e ETAGE'!$A$47,1,0)</f>
        <v>0</v>
      </c>
      <c r="GC88" s="160">
        <f>IF([Occurrence25]=0,0,SUM($GB$2:GB88))</f>
        <v>0</v>
      </c>
      <c r="GD88" s="160">
        <f>IF([Chambre2]*1='CHAMBRES FILLES 1e ETAGE'!$A$53,1,0)</f>
        <v>0</v>
      </c>
      <c r="GE88" s="160">
        <f>IF([Occurrence26]=0,0,SUM($GD$2:GD88))</f>
        <v>0</v>
      </c>
      <c r="GF88" s="160">
        <f>IF([chambre4]*1='CHAMBRES GARCONS 1e ETAGE'!$A$5,1,0)</f>
        <v>0</v>
      </c>
      <c r="GG88" s="160">
        <f>IF([Occurrence27]=0,0,SUM($GF$2:GF88))</f>
        <v>0</v>
      </c>
      <c r="GH88" s="160">
        <f>IF([chambre4]*1='CHAMBRES GARCONS 1e ETAGE'!$A$11,1,0)</f>
        <v>0</v>
      </c>
      <c r="GI88" s="160">
        <f>IF([Occurrence28]=0,0,SUM($GH$2:GH88))</f>
        <v>0</v>
      </c>
      <c r="GJ88" s="160">
        <f>IF([chambre4]*1='CHAMBRES GARCONS 1e ETAGE'!$A$17,1,0)</f>
        <v>0</v>
      </c>
      <c r="GK88" s="160">
        <f>IF([Occurrence29]=0,0,SUM($GJ$2:GJ88))</f>
        <v>0</v>
      </c>
      <c r="GL88" s="160">
        <f>IF([chambre4]*1='CHAMBRES GARCONS 1e ETAGE'!$A$23,1,0)</f>
        <v>0</v>
      </c>
      <c r="GM88" s="160">
        <f>IF([Occurrence30]=0,0,SUM($GL$2:GL88))</f>
        <v>0</v>
      </c>
      <c r="GN88" s="160">
        <f>IF([chambre4]*1='CHAMBRES GARCONS 1e ETAGE'!$A$29,1,0)</f>
        <v>0</v>
      </c>
      <c r="GO88" s="160">
        <f>IF([Occurrence31]=0,0,SUM($GN$2:GN88))</f>
        <v>0</v>
      </c>
      <c r="GP88" s="160">
        <f>IF([chambre4]*1='CHAMBRES GARCONS 1e ETAGE'!$A$35,1,0)</f>
        <v>0</v>
      </c>
      <c r="GQ88" s="160">
        <f>IF([Occurrence32]=0,0,SUM($GP$2:GP88))</f>
        <v>0</v>
      </c>
      <c r="GR88" s="160">
        <f>IF([chambre3]*1='CHAMBRES GARCONS RDC'!$A$5,1,0)</f>
        <v>0</v>
      </c>
      <c r="GS88" s="160">
        <f>IF([Occurrence33]=0,0,SUM($GR$2:GR88))</f>
        <v>0</v>
      </c>
      <c r="GT88" s="160">
        <f>IF([chambre3]*1='CHAMBRES GARCONS RDC'!$A$11,1,0)</f>
        <v>0</v>
      </c>
      <c r="GU88" s="160">
        <f>IF([Occurrence34]=0,0,SUM($GT$2:GT88))</f>
        <v>0</v>
      </c>
      <c r="GV88" s="160">
        <f>IF([chambre3]*1='CHAMBRES GARCONS RDC'!$A$17,1,0)</f>
        <v>0</v>
      </c>
      <c r="GW88" s="160">
        <f>IF([Occurrence35]=0,0,SUM($GV$2:GV88))</f>
        <v>0</v>
      </c>
      <c r="GX88" s="160">
        <f>IF([chambre3]*1='CHAMBRES GARCONS RDC'!$A$23,1,0)</f>
        <v>0</v>
      </c>
      <c r="GY88" s="160">
        <f>IF([Occurrence36]=0,0,SUM($GX$2:GX88))</f>
        <v>0</v>
      </c>
      <c r="GZ88" s="160">
        <f>IF([chambre3]*1='CHAMBRES GARCONS RDC'!$A$29,1,0)</f>
        <v>0</v>
      </c>
      <c r="HA88" s="160">
        <f>IF([Occurrence37]=0,0,SUM($GZ$2:GZ88))</f>
        <v>0</v>
      </c>
      <c r="HB88" s="160">
        <f>IF([chambre3]*1='CHAMBRES GARCONS RDC'!$A$35,1,0)</f>
        <v>0</v>
      </c>
      <c r="HC88" s="160">
        <f>IF([Occurrence38]=0,0,SUM($HB$2:HB88))</f>
        <v>0</v>
      </c>
      <c r="HD88" s="160">
        <f>IF([chambre3]*1='CHAMBRES GARCONS RDC'!$A$41,1,0)</f>
        <v>0</v>
      </c>
      <c r="HE88" s="160">
        <f>IF([Occurrence39]=0,0,SUM($HD$2:HD88))</f>
        <v>0</v>
      </c>
      <c r="HF88" s="160">
        <f>IF([chambre3]*1='CHAMBRES GARCONS RDC'!$A$47,1,0)</f>
        <v>0</v>
      </c>
      <c r="HG88" s="160">
        <f>IF([Occurrence40]=0,0,SUM($HF$2:HF88))</f>
        <v>0</v>
      </c>
      <c r="HH88" s="160">
        <f>IF([chambre3]*1='CHAMBRES GARCONS RDC'!$A$53,1,0)</f>
        <v>0</v>
      </c>
      <c r="HI88" s="160">
        <f>IF([Occurrence41]=0,0,SUM($HH$2:HH88))</f>
        <v>0</v>
      </c>
      <c r="HJ88" s="160">
        <f>IF([chambre3]*1='CHAMBRES GARCONS RDC'!$A$59,1,0)</f>
        <v>0</v>
      </c>
      <c r="HK88" s="160">
        <f>IF([Occurrence42]=0,0,SUM($HJ$2:HJ88))</f>
        <v>0</v>
      </c>
      <c r="HL88" s="160">
        <f>IF([chambre3]*1='CHAMBRES GARCONS RDC'!$A$65,1,0)</f>
        <v>0</v>
      </c>
      <c r="HM88" s="160">
        <f>IF([Occurrence43]=0,0,SUM($HL$2:HL88))</f>
        <v>0</v>
      </c>
      <c r="HN88" s="160">
        <f>IF([chambre3]*1='CHAMBRES GARCONS RDC'!$A$71,1,0)</f>
        <v>0</v>
      </c>
      <c r="HO88" s="160">
        <f>IF([Occurrence44]=0,0,SUM($HN$2:HN88))</f>
        <v>0</v>
      </c>
      <c r="HP88" s="160">
        <f>IF([chambre3]*1='CHAMBRES GARCONS RDC'!$A$77,1,0)</f>
        <v>0</v>
      </c>
      <c r="HQ88" s="160">
        <f>IF([Occurrence45]=0,0,SUM($HP$2:HP88))</f>
        <v>0</v>
      </c>
      <c r="HR88" s="160">
        <f>IF([chambre3]*1='CHAMBRES GARCONS RDC'!$A$83,1,0)</f>
        <v>0</v>
      </c>
      <c r="HS88" s="160">
        <f>IF([Occurrence46]=0,0,SUM($HR$2:HR88))</f>
        <v>0</v>
      </c>
      <c r="HT88" s="160">
        <f>IF([chambre3]*1='CHAMBRES GARCONS RDC'!$A$89,1,0)</f>
        <v>0</v>
      </c>
      <c r="HU88" s="160">
        <f>IF([Occurrence47]=0,0,SUM($HT$2:HT88))</f>
        <v>0</v>
      </c>
      <c r="HV88" s="160">
        <f>IF([chambre3]*1='CHAMBRES GARCONS RDC'!$A$95,1,0)</f>
        <v>0</v>
      </c>
      <c r="HW88" s="160">
        <f>IF([Occurrence48]=0,0,SUM($HV$2:HV88))</f>
        <v>0</v>
      </c>
      <c r="HX88" s="160"/>
      <c r="HY88" s="160"/>
      <c r="HZ88" s="160">
        <f>IF([Classe]='Liste élève par classes'!$B$5,1,0)</f>
        <v>0</v>
      </c>
      <c r="IA88" s="160">
        <f>IF([Occurrence]=0,0,SUM($HZ$2:HZ88))</f>
        <v>0</v>
      </c>
      <c r="IB8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159</v>
      </c>
      <c r="IC88" s="208"/>
    </row>
    <row r="89" spans="1:237">
      <c r="A89" t="s">
        <v>400</v>
      </c>
      <c r="B89" t="s">
        <v>401</v>
      </c>
      <c r="C89" s="158">
        <v>37531</v>
      </c>
      <c r="D89" s="62">
        <f t="shared" ca="1" si="1"/>
        <v>15</v>
      </c>
      <c r="E89" t="s">
        <v>2</v>
      </c>
      <c r="F89" s="159" t="s">
        <v>50</v>
      </c>
      <c r="G89" t="s">
        <v>45</v>
      </c>
      <c r="H89" s="160"/>
      <c r="I89" s="62"/>
      <c r="J89" s="62"/>
      <c r="K89" s="62"/>
      <c r="L89" s="61"/>
      <c r="M89">
        <v>145</v>
      </c>
      <c r="N89" s="62"/>
      <c r="O89" s="62"/>
      <c r="P89" s="62"/>
      <c r="Q89" s="62"/>
      <c r="R89" s="62"/>
      <c r="S89" s="191"/>
      <c r="T89" s="62"/>
      <c r="U89" s="61">
        <v>141</v>
      </c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163"/>
      <c r="AG89" s="163"/>
      <c r="AH89" s="163"/>
      <c r="AI89" s="163"/>
      <c r="AJ89" s="163"/>
      <c r="AK89" s="163"/>
      <c r="AL89" s="163"/>
      <c r="AM89" s="163"/>
      <c r="AN89" s="163"/>
      <c r="AO89" s="163"/>
      <c r="AP89" s="163"/>
      <c r="AQ89" s="163"/>
      <c r="AR89" s="163"/>
      <c r="AS89" s="163"/>
      <c r="AT89" s="163"/>
      <c r="AU89" s="163"/>
      <c r="AV89" s="163"/>
      <c r="AW89" s="163"/>
      <c r="AX89" s="163"/>
      <c r="AY89" s="163"/>
      <c r="AZ89" s="163"/>
      <c r="BA89" s="163"/>
      <c r="BB89" s="163"/>
      <c r="BC89" s="163" t="b">
        <v>0</v>
      </c>
      <c r="BD89" s="163" t="b">
        <v>1</v>
      </c>
      <c r="BE89" s="163" t="b">
        <v>1</v>
      </c>
      <c r="BF89" s="163" t="b">
        <v>0</v>
      </c>
      <c r="BG89" s="164" t="b">
        <v>0</v>
      </c>
      <c r="BH89" s="163" t="b">
        <v>1</v>
      </c>
      <c r="BI89" s="163"/>
      <c r="BJ89" s="163"/>
      <c r="BK89" s="163"/>
      <c r="BL89" s="163"/>
      <c r="BM89" s="163"/>
      <c r="BN89" s="163"/>
      <c r="BO89" s="163"/>
      <c r="BP89" s="163"/>
      <c r="BQ89" s="163" t="b">
        <v>0</v>
      </c>
      <c r="BR89" s="163"/>
      <c r="BS89" s="163"/>
      <c r="BT89" s="163"/>
      <c r="BU89" s="163"/>
      <c r="BV89" s="163"/>
      <c r="BW89" s="163"/>
      <c r="BX89" s="163"/>
      <c r="BY89" s="163"/>
      <c r="BZ89" s="163"/>
      <c r="CA89" s="163"/>
      <c r="CB89" s="163"/>
      <c r="CC89" s="163"/>
      <c r="CD89" s="163"/>
      <c r="CE89" s="163"/>
      <c r="CF89" s="163"/>
      <c r="CG89" s="163"/>
      <c r="CH89" s="163"/>
      <c r="CI89" s="163"/>
      <c r="CJ89" s="163"/>
      <c r="CK89" s="163"/>
      <c r="CL89" s="163"/>
      <c r="CM89" s="163"/>
      <c r="CN89" s="163"/>
      <c r="CO89" s="163"/>
      <c r="CP89" s="163"/>
      <c r="CQ89" s="163"/>
      <c r="CR89" s="163"/>
      <c r="CS89" s="163"/>
      <c r="CT89" s="163"/>
      <c r="CU89" s="163"/>
      <c r="CV89" s="163"/>
      <c r="CW89" s="163"/>
      <c r="CX89" s="163"/>
      <c r="CY89" s="163"/>
      <c r="CZ89" s="163"/>
      <c r="DA89" s="163"/>
      <c r="DB89" s="163"/>
      <c r="DC89" s="163"/>
      <c r="DD89" s="163"/>
      <c r="DE89" s="163"/>
      <c r="DF89" s="163"/>
      <c r="DG89" s="208"/>
      <c r="DH89" s="163"/>
      <c r="DI89" s="163"/>
      <c r="DJ89" s="163"/>
      <c r="DK89" s="163"/>
      <c r="DL89" s="163"/>
      <c r="DM89" s="163"/>
      <c r="DN89" s="163"/>
      <c r="DO89" s="163"/>
      <c r="DP89" s="163"/>
      <c r="DQ89" s="163"/>
      <c r="DR89" s="163"/>
      <c r="DS89" s="163"/>
      <c r="DT89" s="163"/>
      <c r="DU89" s="163"/>
      <c r="DV89" s="163"/>
      <c r="DW89" s="163"/>
      <c r="DX89" s="163"/>
      <c r="DY89" s="163"/>
      <c r="DZ89" s="163"/>
      <c r="EA89" s="163"/>
      <c r="EB89" s="163"/>
      <c r="EC89" s="163"/>
      <c r="ED89" s="163"/>
      <c r="EE89" s="163"/>
      <c r="EF89" s="163"/>
      <c r="EG89" s="163"/>
      <c r="EH89" s="160">
        <f>IF([Chambre]*1='CHAMBRES FILLES 2e ETAGE'!$A$5,1,0)</f>
        <v>0</v>
      </c>
      <c r="EI89" s="161">
        <f>IF([Occurrence2]=0,0,SUM($EH$2:EH89))</f>
        <v>0</v>
      </c>
      <c r="EJ89" s="160">
        <f>IF([Chambre]*1='CHAMBRES FILLES 2e ETAGE'!$A$11,1,0)</f>
        <v>0</v>
      </c>
      <c r="EK89" s="160">
        <f>IF([Occurrence3]=0,0,SUM($EJ$2:EJ89))</f>
        <v>0</v>
      </c>
      <c r="EL89" s="160">
        <f>IF([Chambre]*1='CHAMBRES FILLES 2e ETAGE'!$A$17,1,0)</f>
        <v>0</v>
      </c>
      <c r="EM89" s="160">
        <f>IF([Occurrence4]=0,0,SUM($EL$2:EL89))</f>
        <v>0</v>
      </c>
      <c r="EN89" s="160">
        <f>IF([Chambre]*1='CHAMBRES FILLES 2e ETAGE'!$A$23,1,0)</f>
        <v>0</v>
      </c>
      <c r="EO89" s="160">
        <f>IF([Occurrence5]=0,0,SUM($EN$2:EN89))</f>
        <v>0</v>
      </c>
      <c r="EP89" s="160">
        <f>IF([Chambre]*1='CHAMBRES FILLES 2e ETAGE'!$A$29,1,0)</f>
        <v>0</v>
      </c>
      <c r="EQ89" s="160">
        <f>IF([Occurrence6]=0,0,SUM($EP$2:EP89))</f>
        <v>0</v>
      </c>
      <c r="ER89" s="160">
        <f>IF([Chambre]*1='CHAMBRES FILLES 2e ETAGE'!$A$35,1,0)</f>
        <v>0</v>
      </c>
      <c r="ES89" s="160">
        <f>IF([Occurrence7]=0,0,SUM($ER$2:ER89))</f>
        <v>0</v>
      </c>
      <c r="ET89" s="160">
        <f>IF([Chambre]*1='CHAMBRES FILLES 2e ETAGE'!$A$41,1,0)</f>
        <v>0</v>
      </c>
      <c r="EU89" s="160">
        <f>IF([Occurrence8]=0,0,SUM($ET$2:ET89))</f>
        <v>0</v>
      </c>
      <c r="EV89" s="160">
        <f>IF([Chambre]*1='CHAMBRES FILLES 2e ETAGE'!$A$47,1,0)</f>
        <v>0</v>
      </c>
      <c r="EW89" s="160">
        <f>IF([Occurrence9]=0,0,SUM($EV$2:EV89))</f>
        <v>0</v>
      </c>
      <c r="EX89" s="160">
        <f>IF([Chambre]*1='CHAMBRES FILLES 2e ETAGE'!$A$53,1,0)</f>
        <v>0</v>
      </c>
      <c r="EY89" s="160">
        <f>IF([Occurrence10]=0,0,SUM($EX$2:EX89))</f>
        <v>0</v>
      </c>
      <c r="EZ89" s="160">
        <f>IF([Chambre]*1='CHAMBRES FILLES 2e ETAGE'!$A$59,1,0)</f>
        <v>0</v>
      </c>
      <c r="FA89" s="160">
        <f>IF([Occurrence11]=0,0,SUM($EZ$2:EZ89))</f>
        <v>0</v>
      </c>
      <c r="FB89" s="160">
        <f>IF([Chambre]*1='CHAMBRES FILLES 2e ETAGE'!$A$65,1,0)</f>
        <v>0</v>
      </c>
      <c r="FC89" s="160">
        <f>IF([Occurrence12]=0,0,SUM($FB$2:FB89))</f>
        <v>0</v>
      </c>
      <c r="FD89" s="160">
        <f>IF([Chambre]*1='CHAMBRES FILLES 2e ETAGE'!$A$71,1,0)</f>
        <v>0</v>
      </c>
      <c r="FE89" s="160">
        <f>IF([Occurrence13]=0,0,SUM($FD$2:FD89))</f>
        <v>0</v>
      </c>
      <c r="FF89" s="160">
        <f>IF([Chambre]*1='CHAMBRES FILLES 2e ETAGE'!$A$77,1,0)</f>
        <v>0</v>
      </c>
      <c r="FG89" s="160">
        <f>IF([Occurrence14]=0,0,SUM($FF$2:FF89))</f>
        <v>0</v>
      </c>
      <c r="FH89" s="160">
        <f>IF([Chambre]*1='CHAMBRES FILLES 2e ETAGE'!$A$83,1,0)</f>
        <v>0</v>
      </c>
      <c r="FI89" s="160">
        <f>IF([Occurrence15]=0,0,SUM($FH$2:FH89))</f>
        <v>0</v>
      </c>
      <c r="FJ89" s="160">
        <f>IF([Chambre]*1='CHAMBRES FILLES 2e ETAGE'!$A$89,1,0)</f>
        <v>0</v>
      </c>
      <c r="FK89" s="160">
        <f>IF([Occurrence16]=0,0,SUM($FJ$2:FJ89))</f>
        <v>0</v>
      </c>
      <c r="FL89" s="160">
        <f>IF([Chambre]*1='CHAMBRES FILLES 2e ETAGE'!$A$95,1,0)</f>
        <v>0</v>
      </c>
      <c r="FM89" s="160">
        <f>IF([Occurrence17]=0,0,SUM($FL$2:FL89))</f>
        <v>0</v>
      </c>
      <c r="FN89" s="160">
        <f>IF([Chambre2]*1='CHAMBRES FILLES 1e ETAGE'!$A$5,1,0)</f>
        <v>0</v>
      </c>
      <c r="FO89" s="160">
        <f>IF([Occurrence18]=0,0,SUM($FN$2:FN89))</f>
        <v>0</v>
      </c>
      <c r="FP89" s="160">
        <f>IF([Chambre2]*1='CHAMBRES FILLES 1e ETAGE'!$A$11,1,0)</f>
        <v>0</v>
      </c>
      <c r="FQ89" s="160">
        <f>IF([Occurrence19]=0,0,SUM($FP$2:FP89))</f>
        <v>0</v>
      </c>
      <c r="FR89" s="160">
        <f>IF([Chambre2]*1='CHAMBRES FILLES 1e ETAGE'!$A$17,1,0)</f>
        <v>0</v>
      </c>
      <c r="FS89" s="160">
        <f>IF([Occurrence20]=0,0,SUM($FR$2:FR89))</f>
        <v>0</v>
      </c>
      <c r="FT89" s="160">
        <f>IF([Chambre2]*1='CHAMBRES FILLES 1e ETAGE'!$A$23,1,0)</f>
        <v>1</v>
      </c>
      <c r="FU89" s="160">
        <f>IF([Occurrence21]=0,0,SUM($FT$2:FT89))</f>
        <v>2</v>
      </c>
      <c r="FV89" s="160">
        <f>IF([Chambre2]*1='CHAMBRES FILLES 1e ETAGE'!$A$29,1,0)</f>
        <v>0</v>
      </c>
      <c r="FW89" s="160">
        <f>IF([Occurrence22]=0,0,SUM($FV$2:FV89))</f>
        <v>0</v>
      </c>
      <c r="FX89" s="160">
        <f>IF([Chambre2]*1='CHAMBRES FILLES 1e ETAGE'!$A$35,1,0)</f>
        <v>0</v>
      </c>
      <c r="FY89" s="160">
        <f>IF([Occurrence23]=0,0,SUM($FX$2:FX89))</f>
        <v>0</v>
      </c>
      <c r="FZ89" s="160">
        <f>IF([Chambre2]*1='CHAMBRES FILLES 1e ETAGE'!$A$41,1,0)</f>
        <v>0</v>
      </c>
      <c r="GA89" s="160">
        <f>IF([Occurrence24]=0,0,SUM($FZ$2:FZ89))</f>
        <v>0</v>
      </c>
      <c r="GB89" s="160">
        <f>IF([Chambre2]*1='CHAMBRES FILLES 1e ETAGE'!$A$47,1,0)</f>
        <v>0</v>
      </c>
      <c r="GC89" s="160">
        <f>IF([Occurrence25]=0,0,SUM($GB$2:GB89))</f>
        <v>0</v>
      </c>
      <c r="GD89" s="160">
        <f>IF([Chambre2]*1='CHAMBRES FILLES 1e ETAGE'!$A$53,1,0)</f>
        <v>0</v>
      </c>
      <c r="GE89" s="160">
        <f>IF([Occurrence26]=0,0,SUM($GD$2:GD89))</f>
        <v>0</v>
      </c>
      <c r="GF89" s="160">
        <f>IF([chambre4]*1='CHAMBRES GARCONS 1e ETAGE'!$A$5,1,0)</f>
        <v>0</v>
      </c>
      <c r="GG89" s="160">
        <f>IF([Occurrence27]=0,0,SUM($GF$2:GF89))</f>
        <v>0</v>
      </c>
      <c r="GH89" s="160">
        <f>IF([chambre4]*1='CHAMBRES GARCONS 1e ETAGE'!$A$11,1,0)</f>
        <v>0</v>
      </c>
      <c r="GI89" s="160">
        <f>IF([Occurrence28]=0,0,SUM($GH$2:GH89))</f>
        <v>0</v>
      </c>
      <c r="GJ89" s="160">
        <f>IF([chambre4]*1='CHAMBRES GARCONS 1e ETAGE'!$A$17,1,0)</f>
        <v>0</v>
      </c>
      <c r="GK89" s="160">
        <f>IF([Occurrence29]=0,0,SUM($GJ$2:GJ89))</f>
        <v>0</v>
      </c>
      <c r="GL89" s="160">
        <f>IF([chambre4]*1='CHAMBRES GARCONS 1e ETAGE'!$A$23,1,0)</f>
        <v>0</v>
      </c>
      <c r="GM89" s="160">
        <f>IF([Occurrence30]=0,0,SUM($GL$2:GL89))</f>
        <v>0</v>
      </c>
      <c r="GN89" s="160">
        <f>IF([chambre4]*1='CHAMBRES GARCONS 1e ETAGE'!$A$29,1,0)</f>
        <v>0</v>
      </c>
      <c r="GO89" s="160">
        <f>IF([Occurrence31]=0,0,SUM($GN$2:GN89))</f>
        <v>0</v>
      </c>
      <c r="GP89" s="160">
        <f>IF([chambre4]*1='CHAMBRES GARCONS 1e ETAGE'!$A$35,1,0)</f>
        <v>0</v>
      </c>
      <c r="GQ89" s="160">
        <f>IF([Occurrence32]=0,0,SUM($GP$2:GP89))</f>
        <v>0</v>
      </c>
      <c r="GR89" s="160">
        <f>IF([chambre3]*1='CHAMBRES GARCONS RDC'!$A$5,1,0)</f>
        <v>0</v>
      </c>
      <c r="GS89" s="160">
        <f>IF([Occurrence33]=0,0,SUM($GR$2:GR89))</f>
        <v>0</v>
      </c>
      <c r="GT89" s="160">
        <f>IF([chambre3]*1='CHAMBRES GARCONS RDC'!$A$11,1,0)</f>
        <v>0</v>
      </c>
      <c r="GU89" s="160">
        <f>IF([Occurrence34]=0,0,SUM($GT$2:GT89))</f>
        <v>0</v>
      </c>
      <c r="GV89" s="160">
        <f>IF([chambre3]*1='CHAMBRES GARCONS RDC'!$A$17,1,0)</f>
        <v>0</v>
      </c>
      <c r="GW89" s="160">
        <f>IF([Occurrence35]=0,0,SUM($GV$2:GV89))</f>
        <v>0</v>
      </c>
      <c r="GX89" s="160">
        <f>IF([chambre3]*1='CHAMBRES GARCONS RDC'!$A$23,1,0)</f>
        <v>0</v>
      </c>
      <c r="GY89" s="160">
        <f>IF([Occurrence36]=0,0,SUM($GX$2:GX89))</f>
        <v>0</v>
      </c>
      <c r="GZ89" s="160">
        <f>IF([chambre3]*1='CHAMBRES GARCONS RDC'!$A$29,1,0)</f>
        <v>0</v>
      </c>
      <c r="HA89" s="160">
        <f>IF([Occurrence37]=0,0,SUM($GZ$2:GZ89))</f>
        <v>0</v>
      </c>
      <c r="HB89" s="160">
        <f>IF([chambre3]*1='CHAMBRES GARCONS RDC'!$A$35,1,0)</f>
        <v>0</v>
      </c>
      <c r="HC89" s="160">
        <f>IF([Occurrence38]=0,0,SUM($HB$2:HB89))</f>
        <v>0</v>
      </c>
      <c r="HD89" s="160">
        <f>IF([chambre3]*1='CHAMBRES GARCONS RDC'!$A$41,1,0)</f>
        <v>0</v>
      </c>
      <c r="HE89" s="160">
        <f>IF([Occurrence39]=0,0,SUM($HD$2:HD89))</f>
        <v>0</v>
      </c>
      <c r="HF89" s="160">
        <f>IF([chambre3]*1='CHAMBRES GARCONS RDC'!$A$47,1,0)</f>
        <v>0</v>
      </c>
      <c r="HG89" s="160">
        <f>IF([Occurrence40]=0,0,SUM($HF$2:HF89))</f>
        <v>0</v>
      </c>
      <c r="HH89" s="160">
        <f>IF([chambre3]*1='CHAMBRES GARCONS RDC'!$A$53,1,0)</f>
        <v>0</v>
      </c>
      <c r="HI89" s="160">
        <f>IF([Occurrence41]=0,0,SUM($HH$2:HH89))</f>
        <v>0</v>
      </c>
      <c r="HJ89" s="160">
        <f>IF([chambre3]*1='CHAMBRES GARCONS RDC'!$A$59,1,0)</f>
        <v>0</v>
      </c>
      <c r="HK89" s="160">
        <f>IF([Occurrence42]=0,0,SUM($HJ$2:HJ89))</f>
        <v>0</v>
      </c>
      <c r="HL89" s="160">
        <f>IF([chambre3]*1='CHAMBRES GARCONS RDC'!$A$65,1,0)</f>
        <v>0</v>
      </c>
      <c r="HM89" s="160">
        <f>IF([Occurrence43]=0,0,SUM($HL$2:HL89))</f>
        <v>0</v>
      </c>
      <c r="HN89" s="160">
        <f>IF([chambre3]*1='CHAMBRES GARCONS RDC'!$A$71,1,0)</f>
        <v>0</v>
      </c>
      <c r="HO89" s="160">
        <f>IF([Occurrence44]=0,0,SUM($HN$2:HN89))</f>
        <v>0</v>
      </c>
      <c r="HP89" s="160">
        <f>IF([chambre3]*1='CHAMBRES GARCONS RDC'!$A$77,1,0)</f>
        <v>0</v>
      </c>
      <c r="HQ89" s="160">
        <f>IF([Occurrence45]=0,0,SUM($HP$2:HP89))</f>
        <v>0</v>
      </c>
      <c r="HR89" s="160">
        <f>IF([chambre3]*1='CHAMBRES GARCONS RDC'!$A$83,1,0)</f>
        <v>0</v>
      </c>
      <c r="HS89" s="160">
        <f>IF([Occurrence46]=0,0,SUM($HR$2:HR89))</f>
        <v>0</v>
      </c>
      <c r="HT89" s="160">
        <f>IF([chambre3]*1='CHAMBRES GARCONS RDC'!$A$89,1,0)</f>
        <v>0</v>
      </c>
      <c r="HU89" s="160">
        <f>IF([Occurrence47]=0,0,SUM($HT$2:HT89))</f>
        <v>0</v>
      </c>
      <c r="HV89" s="160">
        <f>IF([chambre3]*1='CHAMBRES GARCONS RDC'!$A$95,1,0)</f>
        <v>0</v>
      </c>
      <c r="HW89" s="160">
        <f>IF([Occurrence48]=0,0,SUM($HV$2:HV89))</f>
        <v>0</v>
      </c>
      <c r="HX89" s="160"/>
      <c r="HY89" s="160"/>
      <c r="HZ89" s="160">
        <f>IF([Classe]='Liste élève par classes'!$B$5,1,0)</f>
        <v>0</v>
      </c>
      <c r="IA89" s="160">
        <f>IF([Occurrence]=0,0,SUM($HZ$2:HZ89))</f>
        <v>0</v>
      </c>
      <c r="IB8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141</v>
      </c>
      <c r="IC89" s="208"/>
    </row>
    <row r="90" spans="1:237">
      <c r="A90" t="s">
        <v>402</v>
      </c>
      <c r="B90" t="s">
        <v>403</v>
      </c>
      <c r="C90" s="158">
        <v>37504</v>
      </c>
      <c r="D90" s="62">
        <f t="shared" ca="1" si="1"/>
        <v>15</v>
      </c>
      <c r="E90" t="s">
        <v>5</v>
      </c>
      <c r="F90" s="159" t="s">
        <v>50</v>
      </c>
      <c r="G90" t="s">
        <v>40</v>
      </c>
      <c r="H90" s="160"/>
      <c r="I90" s="62"/>
      <c r="J90" s="62"/>
      <c r="K90" s="62"/>
      <c r="L90" s="61"/>
      <c r="M90">
        <v>249</v>
      </c>
      <c r="N90" s="62"/>
      <c r="O90" s="62"/>
      <c r="P90" s="62"/>
      <c r="Q90" s="62"/>
      <c r="R90" s="62"/>
      <c r="S90" s="191"/>
      <c r="T90" s="62"/>
      <c r="U90" s="61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163"/>
      <c r="AG90" s="163"/>
      <c r="AH90" s="163"/>
      <c r="AI90" s="163"/>
      <c r="AJ90" s="163"/>
      <c r="AK90" s="163"/>
      <c r="AL90" s="163"/>
      <c r="AM90" s="163"/>
      <c r="AN90" s="163"/>
      <c r="AO90" s="163"/>
      <c r="AP90" s="163"/>
      <c r="AQ90" s="163"/>
      <c r="AR90" s="163"/>
      <c r="AS90" s="163"/>
      <c r="AT90" s="163"/>
      <c r="AU90" s="163"/>
      <c r="AV90" s="163"/>
      <c r="AW90" s="163"/>
      <c r="AX90" s="163"/>
      <c r="AY90" s="163"/>
      <c r="AZ90" s="163"/>
      <c r="BA90" s="163"/>
      <c r="BB90" s="163"/>
      <c r="BC90" s="163" t="b">
        <v>0</v>
      </c>
      <c r="BD90" s="163" t="b">
        <v>1</v>
      </c>
      <c r="BE90" s="163" t="b">
        <v>1</v>
      </c>
      <c r="BF90" s="163" t="b">
        <v>0</v>
      </c>
      <c r="BG90" s="164" t="b">
        <v>0</v>
      </c>
      <c r="BH90" s="163" t="b">
        <v>1</v>
      </c>
      <c r="BI90" s="163"/>
      <c r="BJ90" s="163"/>
      <c r="BK90" s="163"/>
      <c r="BL90" s="163"/>
      <c r="BM90" s="163"/>
      <c r="BN90" s="163"/>
      <c r="BO90" s="163"/>
      <c r="BP90" s="163"/>
      <c r="BQ90" s="163" t="b">
        <v>0</v>
      </c>
      <c r="BR90" s="163"/>
      <c r="BS90" s="163"/>
      <c r="BT90" s="163"/>
      <c r="BU90" s="163"/>
      <c r="BV90" s="163"/>
      <c r="BW90" s="163"/>
      <c r="BX90" s="163"/>
      <c r="BY90" s="163"/>
      <c r="BZ90" s="163"/>
      <c r="CA90" s="163"/>
      <c r="CB90" s="163"/>
      <c r="CC90" s="163"/>
      <c r="CD90" s="163"/>
      <c r="CE90" s="163"/>
      <c r="CF90" s="163"/>
      <c r="CG90" s="163"/>
      <c r="CH90" s="163"/>
      <c r="CI90" s="163"/>
      <c r="CJ90" s="163"/>
      <c r="CK90" s="163"/>
      <c r="CL90" s="163"/>
      <c r="CM90" s="163"/>
      <c r="CN90" s="163"/>
      <c r="CO90" s="163"/>
      <c r="CP90" s="163"/>
      <c r="CQ90" s="163"/>
      <c r="CR90" s="163"/>
      <c r="CS90" s="163"/>
      <c r="CT90" s="163"/>
      <c r="CU90" s="163"/>
      <c r="CV90" s="163"/>
      <c r="CW90" s="163"/>
      <c r="CX90" s="163"/>
      <c r="CY90" s="163"/>
      <c r="CZ90" s="163"/>
      <c r="DA90" s="163">
        <v>115</v>
      </c>
      <c r="DB90" s="163"/>
      <c r="DC90" s="163"/>
      <c r="DD90" s="163"/>
      <c r="DE90" s="163"/>
      <c r="DF90" s="163"/>
      <c r="DG90" s="208"/>
      <c r="DH90" s="163"/>
      <c r="DI90" s="163"/>
      <c r="DJ90" s="163"/>
      <c r="DK90" s="163"/>
      <c r="DL90" s="163"/>
      <c r="DM90" s="163"/>
      <c r="DN90" s="163"/>
      <c r="DO90" s="163"/>
      <c r="DP90" s="163"/>
      <c r="DQ90" s="163"/>
      <c r="DR90" s="163"/>
      <c r="DS90" s="163"/>
      <c r="DT90" s="163"/>
      <c r="DU90" s="163"/>
      <c r="DV90" s="163"/>
      <c r="DW90" s="163"/>
      <c r="DX90" s="163"/>
      <c r="DY90" s="163"/>
      <c r="DZ90" s="163"/>
      <c r="EA90" s="163"/>
      <c r="EB90" s="163"/>
      <c r="EC90" s="163"/>
      <c r="ED90" s="163"/>
      <c r="EE90" s="163"/>
      <c r="EF90" s="163"/>
      <c r="EG90" s="163"/>
      <c r="EH90" s="160">
        <f>IF([Chambre]*1='CHAMBRES FILLES 2e ETAGE'!$A$5,1,0)</f>
        <v>0</v>
      </c>
      <c r="EI90" s="161">
        <f>IF([Occurrence2]=0,0,SUM($EH$2:EH90))</f>
        <v>0</v>
      </c>
      <c r="EJ90" s="160">
        <f>IF([Chambre]*1='CHAMBRES FILLES 2e ETAGE'!$A$11,1,0)</f>
        <v>0</v>
      </c>
      <c r="EK90" s="160">
        <f>IF([Occurrence3]=0,0,SUM($EJ$2:EJ90))</f>
        <v>0</v>
      </c>
      <c r="EL90" s="160">
        <f>IF([Chambre]*1='CHAMBRES FILLES 2e ETAGE'!$A$17,1,0)</f>
        <v>0</v>
      </c>
      <c r="EM90" s="160">
        <f>IF([Occurrence4]=0,0,SUM($EL$2:EL90))</f>
        <v>0</v>
      </c>
      <c r="EN90" s="160">
        <f>IF([Chambre]*1='CHAMBRES FILLES 2e ETAGE'!$A$23,1,0)</f>
        <v>0</v>
      </c>
      <c r="EO90" s="160">
        <f>IF([Occurrence5]=0,0,SUM($EN$2:EN90))</f>
        <v>0</v>
      </c>
      <c r="EP90" s="160">
        <f>IF([Chambre]*1='CHAMBRES FILLES 2e ETAGE'!$A$29,1,0)</f>
        <v>0</v>
      </c>
      <c r="EQ90" s="160">
        <f>IF([Occurrence6]=0,0,SUM($EP$2:EP90))</f>
        <v>0</v>
      </c>
      <c r="ER90" s="160">
        <f>IF([Chambre]*1='CHAMBRES FILLES 2e ETAGE'!$A$35,1,0)</f>
        <v>0</v>
      </c>
      <c r="ES90" s="160">
        <f>IF([Occurrence7]=0,0,SUM($ER$2:ER90))</f>
        <v>0</v>
      </c>
      <c r="ET90" s="160">
        <f>IF([Chambre]*1='CHAMBRES FILLES 2e ETAGE'!$A$41,1,0)</f>
        <v>0</v>
      </c>
      <c r="EU90" s="160">
        <f>IF([Occurrence8]=0,0,SUM($ET$2:ET90))</f>
        <v>0</v>
      </c>
      <c r="EV90" s="160">
        <f>IF([Chambre]*1='CHAMBRES FILLES 2e ETAGE'!$A$47,1,0)</f>
        <v>0</v>
      </c>
      <c r="EW90" s="160">
        <f>IF([Occurrence9]=0,0,SUM($EV$2:EV90))</f>
        <v>0</v>
      </c>
      <c r="EX90" s="160">
        <f>IF([Chambre]*1='CHAMBRES FILLES 2e ETAGE'!$A$53,1,0)</f>
        <v>0</v>
      </c>
      <c r="EY90" s="160">
        <f>IF([Occurrence10]=0,0,SUM($EX$2:EX90))</f>
        <v>0</v>
      </c>
      <c r="EZ90" s="160">
        <f>IF([Chambre]*1='CHAMBRES FILLES 2e ETAGE'!$A$59,1,0)</f>
        <v>0</v>
      </c>
      <c r="FA90" s="160">
        <f>IF([Occurrence11]=0,0,SUM($EZ$2:EZ90))</f>
        <v>0</v>
      </c>
      <c r="FB90" s="160">
        <f>IF([Chambre]*1='CHAMBRES FILLES 2e ETAGE'!$A$65,1,0)</f>
        <v>0</v>
      </c>
      <c r="FC90" s="160">
        <f>IF([Occurrence12]=0,0,SUM($FB$2:FB90))</f>
        <v>0</v>
      </c>
      <c r="FD90" s="160">
        <f>IF([Chambre]*1='CHAMBRES FILLES 2e ETAGE'!$A$71,1,0)</f>
        <v>0</v>
      </c>
      <c r="FE90" s="160">
        <f>IF([Occurrence13]=0,0,SUM($FD$2:FD90))</f>
        <v>0</v>
      </c>
      <c r="FF90" s="160">
        <f>IF([Chambre]*1='CHAMBRES FILLES 2e ETAGE'!$A$77,1,0)</f>
        <v>0</v>
      </c>
      <c r="FG90" s="160">
        <f>IF([Occurrence14]=0,0,SUM($FF$2:FF90))</f>
        <v>0</v>
      </c>
      <c r="FH90" s="160">
        <f>IF([Chambre]*1='CHAMBRES FILLES 2e ETAGE'!$A$83,1,0)</f>
        <v>0</v>
      </c>
      <c r="FI90" s="160">
        <f>IF([Occurrence15]=0,0,SUM($FH$2:FH90))</f>
        <v>0</v>
      </c>
      <c r="FJ90" s="160">
        <f>IF([Chambre]*1='CHAMBRES FILLES 2e ETAGE'!$A$89,1,0)</f>
        <v>0</v>
      </c>
      <c r="FK90" s="160">
        <f>IF([Occurrence16]=0,0,SUM($FJ$2:FJ90))</f>
        <v>0</v>
      </c>
      <c r="FL90" s="160">
        <f>IF([Chambre]*1='CHAMBRES FILLES 2e ETAGE'!$A$95,1,0)</f>
        <v>0</v>
      </c>
      <c r="FM90" s="160">
        <f>IF([Occurrence17]=0,0,SUM($FL$2:FL90))</f>
        <v>0</v>
      </c>
      <c r="FN90" s="160">
        <f>IF([Chambre2]*1='CHAMBRES FILLES 1e ETAGE'!$A$5,1,0)</f>
        <v>0</v>
      </c>
      <c r="FO90" s="160">
        <f>IF([Occurrence18]=0,0,SUM($FN$2:FN90))</f>
        <v>0</v>
      </c>
      <c r="FP90" s="160">
        <f>IF([Chambre2]*1='CHAMBRES FILLES 1e ETAGE'!$A$11,1,0)</f>
        <v>0</v>
      </c>
      <c r="FQ90" s="160">
        <f>IF([Occurrence19]=0,0,SUM($FP$2:FP90))</f>
        <v>0</v>
      </c>
      <c r="FR90" s="160">
        <f>IF([Chambre2]*1='CHAMBRES FILLES 1e ETAGE'!$A$17,1,0)</f>
        <v>0</v>
      </c>
      <c r="FS90" s="160">
        <f>IF([Occurrence20]=0,0,SUM($FR$2:FR90))</f>
        <v>0</v>
      </c>
      <c r="FT90" s="160">
        <f>IF([Chambre2]*1='CHAMBRES FILLES 1e ETAGE'!$A$23,1,0)</f>
        <v>0</v>
      </c>
      <c r="FU90" s="160">
        <f>IF([Occurrence21]=0,0,SUM($FT$2:FT90))</f>
        <v>0</v>
      </c>
      <c r="FV90" s="160">
        <f>IF([Chambre2]*1='CHAMBRES FILLES 1e ETAGE'!$A$29,1,0)</f>
        <v>0</v>
      </c>
      <c r="FW90" s="160">
        <f>IF([Occurrence22]=0,0,SUM($FV$2:FV90))</f>
        <v>0</v>
      </c>
      <c r="FX90" s="160">
        <f>IF([Chambre2]*1='CHAMBRES FILLES 1e ETAGE'!$A$35,1,0)</f>
        <v>0</v>
      </c>
      <c r="FY90" s="160">
        <f>IF([Occurrence23]=0,0,SUM($FX$2:FX90))</f>
        <v>0</v>
      </c>
      <c r="FZ90" s="160">
        <f>IF([Chambre2]*1='CHAMBRES FILLES 1e ETAGE'!$A$41,1,0)</f>
        <v>0</v>
      </c>
      <c r="GA90" s="160">
        <f>IF([Occurrence24]=0,0,SUM($FZ$2:FZ90))</f>
        <v>0</v>
      </c>
      <c r="GB90" s="160">
        <f>IF([Chambre2]*1='CHAMBRES FILLES 1e ETAGE'!$A$47,1,0)</f>
        <v>0</v>
      </c>
      <c r="GC90" s="160">
        <f>IF([Occurrence25]=0,0,SUM($GB$2:GB90))</f>
        <v>0</v>
      </c>
      <c r="GD90" s="160">
        <f>IF([Chambre2]*1='CHAMBRES FILLES 1e ETAGE'!$A$53,1,0)</f>
        <v>0</v>
      </c>
      <c r="GE90" s="160">
        <f>IF([Occurrence26]=0,0,SUM($GD$2:GD90))</f>
        <v>0</v>
      </c>
      <c r="GF90" s="160">
        <f>IF([chambre4]*1='CHAMBRES GARCONS 1e ETAGE'!$A$5,1,0)</f>
        <v>0</v>
      </c>
      <c r="GG90" s="160">
        <f>IF([Occurrence27]=0,0,SUM($GF$2:GF90))</f>
        <v>0</v>
      </c>
      <c r="GH90" s="160">
        <f>IF([chambre4]*1='CHAMBRES GARCONS 1e ETAGE'!$A$11,1,0)</f>
        <v>0</v>
      </c>
      <c r="GI90" s="160">
        <f>IF([Occurrence28]=0,0,SUM($GH$2:GH90))</f>
        <v>0</v>
      </c>
      <c r="GJ90" s="160">
        <f>IF([chambre4]*1='CHAMBRES GARCONS 1e ETAGE'!$A$17,1,0)</f>
        <v>0</v>
      </c>
      <c r="GK90" s="160">
        <f>IF([Occurrence29]=0,0,SUM($GJ$2:GJ90))</f>
        <v>0</v>
      </c>
      <c r="GL90" s="160">
        <f>IF([chambre4]*1='CHAMBRES GARCONS 1e ETAGE'!$A$23,1,0)</f>
        <v>0</v>
      </c>
      <c r="GM90" s="160">
        <f>IF([Occurrence30]=0,0,SUM($GL$2:GL90))</f>
        <v>0</v>
      </c>
      <c r="GN90" s="160">
        <f>IF([chambre4]*1='CHAMBRES GARCONS 1e ETAGE'!$A$29,1,0)</f>
        <v>0</v>
      </c>
      <c r="GO90" s="160">
        <f>IF([Occurrence31]=0,0,SUM($GN$2:GN90))</f>
        <v>0</v>
      </c>
      <c r="GP90" s="160">
        <f>IF([chambre4]*1='CHAMBRES GARCONS 1e ETAGE'!$A$35,1,0)</f>
        <v>0</v>
      </c>
      <c r="GQ90" s="160">
        <f>IF([Occurrence32]=0,0,SUM($GP$2:GP90))</f>
        <v>0</v>
      </c>
      <c r="GR90" s="160">
        <f>IF([chambre3]*1='CHAMBRES GARCONS RDC'!$A$5,1,0)</f>
        <v>0</v>
      </c>
      <c r="GS90" s="160">
        <f>IF([Occurrence33]=0,0,SUM($GR$2:GR90))</f>
        <v>0</v>
      </c>
      <c r="GT90" s="160">
        <f>IF([chambre3]*1='CHAMBRES GARCONS RDC'!$A$11,1,0)</f>
        <v>0</v>
      </c>
      <c r="GU90" s="160">
        <f>IF([Occurrence34]=0,0,SUM($GT$2:GT90))</f>
        <v>0</v>
      </c>
      <c r="GV90" s="160">
        <f>IF([chambre3]*1='CHAMBRES GARCONS RDC'!$A$17,1,0)</f>
        <v>0</v>
      </c>
      <c r="GW90" s="160">
        <f>IF([Occurrence35]=0,0,SUM($GV$2:GV90))</f>
        <v>0</v>
      </c>
      <c r="GX90" s="160">
        <f>IF([chambre3]*1='CHAMBRES GARCONS RDC'!$A$23,1,0)</f>
        <v>0</v>
      </c>
      <c r="GY90" s="160">
        <f>IF([Occurrence36]=0,0,SUM($GX$2:GX90))</f>
        <v>0</v>
      </c>
      <c r="GZ90" s="160">
        <f>IF([chambre3]*1='CHAMBRES GARCONS RDC'!$A$29,1,0)</f>
        <v>0</v>
      </c>
      <c r="HA90" s="160">
        <f>IF([Occurrence37]=0,0,SUM($GZ$2:GZ90))</f>
        <v>0</v>
      </c>
      <c r="HB90" s="160">
        <f>IF([chambre3]*1='CHAMBRES GARCONS RDC'!$A$35,1,0)</f>
        <v>1</v>
      </c>
      <c r="HC90" s="160">
        <f>IF([Occurrence38]=0,0,SUM($HB$2:HB90))</f>
        <v>2</v>
      </c>
      <c r="HD90" s="160">
        <f>IF([chambre3]*1='CHAMBRES GARCONS RDC'!$A$41,1,0)</f>
        <v>0</v>
      </c>
      <c r="HE90" s="160">
        <f>IF([Occurrence39]=0,0,SUM($HD$2:HD90))</f>
        <v>0</v>
      </c>
      <c r="HF90" s="160">
        <f>IF([chambre3]*1='CHAMBRES GARCONS RDC'!$A$47,1,0)</f>
        <v>0</v>
      </c>
      <c r="HG90" s="160">
        <f>IF([Occurrence40]=0,0,SUM($HF$2:HF90))</f>
        <v>0</v>
      </c>
      <c r="HH90" s="160">
        <f>IF([chambre3]*1='CHAMBRES GARCONS RDC'!$A$53,1,0)</f>
        <v>0</v>
      </c>
      <c r="HI90" s="160">
        <f>IF([Occurrence41]=0,0,SUM($HH$2:HH90))</f>
        <v>0</v>
      </c>
      <c r="HJ90" s="160">
        <f>IF([chambre3]*1='CHAMBRES GARCONS RDC'!$A$59,1,0)</f>
        <v>0</v>
      </c>
      <c r="HK90" s="160">
        <f>IF([Occurrence42]=0,0,SUM($HJ$2:HJ90))</f>
        <v>0</v>
      </c>
      <c r="HL90" s="160">
        <f>IF([chambre3]*1='CHAMBRES GARCONS RDC'!$A$65,1,0)</f>
        <v>0</v>
      </c>
      <c r="HM90" s="160">
        <f>IF([Occurrence43]=0,0,SUM($HL$2:HL90))</f>
        <v>0</v>
      </c>
      <c r="HN90" s="160">
        <f>IF([chambre3]*1='CHAMBRES GARCONS RDC'!$A$71,1,0)</f>
        <v>0</v>
      </c>
      <c r="HO90" s="160">
        <f>IF([Occurrence44]=0,0,SUM($HN$2:HN90))</f>
        <v>0</v>
      </c>
      <c r="HP90" s="160">
        <f>IF([chambre3]*1='CHAMBRES GARCONS RDC'!$A$77,1,0)</f>
        <v>0</v>
      </c>
      <c r="HQ90" s="160">
        <f>IF([Occurrence45]=0,0,SUM($HP$2:HP90))</f>
        <v>0</v>
      </c>
      <c r="HR90" s="160">
        <f>IF([chambre3]*1='CHAMBRES GARCONS RDC'!$A$83,1,0)</f>
        <v>0</v>
      </c>
      <c r="HS90" s="160">
        <f>IF([Occurrence46]=0,0,SUM($HR$2:HR90))</f>
        <v>0</v>
      </c>
      <c r="HT90" s="160">
        <f>IF([chambre3]*1='CHAMBRES GARCONS RDC'!$A$89,1,0)</f>
        <v>0</v>
      </c>
      <c r="HU90" s="160">
        <f>IF([Occurrence47]=0,0,SUM($HT$2:HT90))</f>
        <v>0</v>
      </c>
      <c r="HV90" s="160">
        <f>IF([chambre3]*1='CHAMBRES GARCONS RDC'!$A$95,1,0)</f>
        <v>0</v>
      </c>
      <c r="HW90" s="160">
        <f>IF([Occurrence48]=0,0,SUM($HV$2:HV90))</f>
        <v>0</v>
      </c>
      <c r="HX90" s="160"/>
      <c r="HY90" s="160"/>
      <c r="HZ90" s="160">
        <f>IF([Classe]='Liste élève par classes'!$B$5,1,0)</f>
        <v>0</v>
      </c>
      <c r="IA90" s="160">
        <f>IF([Occurrence]=0,0,SUM($HZ$2:HZ90))</f>
        <v>0</v>
      </c>
      <c r="IB9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115</v>
      </c>
      <c r="IC90" s="208"/>
    </row>
    <row r="91" spans="1:237">
      <c r="A91" t="s">
        <v>404</v>
      </c>
      <c r="B91" t="s">
        <v>405</v>
      </c>
      <c r="C91" s="158">
        <v>36711</v>
      </c>
      <c r="D91" s="62">
        <f t="shared" ca="1" si="1"/>
        <v>17</v>
      </c>
      <c r="E91" t="s">
        <v>9</v>
      </c>
      <c r="F91" s="159" t="s">
        <v>50</v>
      </c>
      <c r="G91" t="s">
        <v>40</v>
      </c>
      <c r="H91" s="160"/>
      <c r="I91" s="161"/>
      <c r="J91" s="161"/>
      <c r="K91" s="161"/>
      <c r="L91" s="160"/>
      <c r="M91">
        <v>34</v>
      </c>
      <c r="N91" s="161"/>
      <c r="O91" s="161"/>
      <c r="P91" s="161"/>
      <c r="Q91" s="161"/>
      <c r="R91" s="161"/>
      <c r="S91" s="190"/>
      <c r="T91" s="161"/>
      <c r="U91" s="160"/>
      <c r="V91" s="161"/>
      <c r="W91" s="161"/>
      <c r="X91" s="161"/>
      <c r="Y91" s="161"/>
      <c r="Z91" s="161"/>
      <c r="AA91" s="161"/>
      <c r="AB91" s="161"/>
      <c r="AC91" s="161"/>
      <c r="AD91" s="161"/>
      <c r="AE91" s="161"/>
      <c r="AF91" s="163"/>
      <c r="AG91" s="163"/>
      <c r="AH91" s="163"/>
      <c r="AI91" s="163"/>
      <c r="AJ91" s="163"/>
      <c r="AK91" s="163"/>
      <c r="AL91" s="163"/>
      <c r="AM91" s="163"/>
      <c r="AN91" s="163"/>
      <c r="AO91" s="163"/>
      <c r="AP91" s="163"/>
      <c r="AQ91" s="163"/>
      <c r="AR91" s="163"/>
      <c r="AS91" s="163"/>
      <c r="AT91" s="163"/>
      <c r="AU91" s="163"/>
      <c r="AV91" s="163"/>
      <c r="AW91" s="163"/>
      <c r="AX91" s="163"/>
      <c r="AY91" s="163"/>
      <c r="AZ91" s="163"/>
      <c r="BA91" s="163"/>
      <c r="BB91" s="163"/>
      <c r="BC91" s="163" t="b">
        <v>0</v>
      </c>
      <c r="BD91" s="163" t="b">
        <v>1</v>
      </c>
      <c r="BE91" s="163" t="b">
        <v>1</v>
      </c>
      <c r="BF91" s="163" t="b">
        <v>0</v>
      </c>
      <c r="BG91" s="163" t="b">
        <v>1</v>
      </c>
      <c r="BH91" s="163" t="b">
        <v>0</v>
      </c>
      <c r="BI91" s="163"/>
      <c r="BJ91" s="163"/>
      <c r="BK91" s="163"/>
      <c r="BL91" s="163"/>
      <c r="BM91" s="163"/>
      <c r="BN91" s="163"/>
      <c r="BO91" s="163"/>
      <c r="BP91" s="163"/>
      <c r="BQ91" s="163" t="b">
        <v>0</v>
      </c>
      <c r="BR91" s="163"/>
      <c r="BS91" s="163"/>
      <c r="BT91" s="163"/>
      <c r="BU91" s="163"/>
      <c r="BV91" s="163"/>
      <c r="BW91" s="163"/>
      <c r="BX91" s="163"/>
      <c r="BY91" s="163"/>
      <c r="BZ91" s="163"/>
      <c r="CA91" s="163"/>
      <c r="CB91" s="163"/>
      <c r="CC91" s="163"/>
      <c r="CD91" s="163"/>
      <c r="CE91" s="163"/>
      <c r="CF91" s="163"/>
      <c r="CG91" s="163"/>
      <c r="CH91" s="163"/>
      <c r="CI91" s="163"/>
      <c r="CJ91" s="163"/>
      <c r="CK91" s="163"/>
      <c r="CL91" s="163"/>
      <c r="CM91" s="163"/>
      <c r="CN91" s="163"/>
      <c r="CO91" s="163"/>
      <c r="CP91" s="163"/>
      <c r="CQ91" s="163"/>
      <c r="CR91" s="163"/>
      <c r="CS91" s="163"/>
      <c r="CT91" s="163"/>
      <c r="CU91" s="163"/>
      <c r="CV91" s="163"/>
      <c r="CW91" s="163"/>
      <c r="CX91" s="163"/>
      <c r="CY91" s="163"/>
      <c r="CZ91" s="163"/>
      <c r="DA91" s="163">
        <v>106</v>
      </c>
      <c r="DB91" s="163"/>
      <c r="DC91" s="163"/>
      <c r="DD91" s="163"/>
      <c r="DE91" s="163"/>
      <c r="DF91" s="163"/>
      <c r="DG91" s="208"/>
      <c r="DH91" s="163"/>
      <c r="DI91" s="163"/>
      <c r="DJ91" s="163"/>
      <c r="DK91" s="163"/>
      <c r="DL91" s="163"/>
      <c r="DM91" s="163"/>
      <c r="DN91" s="163"/>
      <c r="DO91" s="163"/>
      <c r="DP91" s="163"/>
      <c r="DQ91" s="163"/>
      <c r="DR91" s="163"/>
      <c r="DS91" s="163"/>
      <c r="DT91" s="163"/>
      <c r="DU91" s="163"/>
      <c r="DV91" s="163"/>
      <c r="DW91" s="163"/>
      <c r="DX91" s="163"/>
      <c r="DY91" s="163"/>
      <c r="DZ91" s="163"/>
      <c r="EA91" s="163"/>
      <c r="EB91" s="163"/>
      <c r="EC91" s="163"/>
      <c r="ED91" s="163"/>
      <c r="EE91" s="163"/>
      <c r="EF91" s="163"/>
      <c r="EG91" s="163"/>
      <c r="EH91" s="160">
        <f>IF([Chambre]*1='CHAMBRES FILLES 2e ETAGE'!$A$5,1,0)</f>
        <v>0</v>
      </c>
      <c r="EI91" s="161">
        <f>IF([Occurrence2]=0,0,SUM($EH$2:EH91))</f>
        <v>0</v>
      </c>
      <c r="EJ91" s="160">
        <f>IF([Chambre]*1='CHAMBRES FILLES 2e ETAGE'!$A$11,1,0)</f>
        <v>0</v>
      </c>
      <c r="EK91" s="160">
        <f>IF([Occurrence3]=0,0,SUM($EJ$2:EJ91))</f>
        <v>0</v>
      </c>
      <c r="EL91" s="160">
        <f>IF([Chambre]*1='CHAMBRES FILLES 2e ETAGE'!$A$17,1,0)</f>
        <v>0</v>
      </c>
      <c r="EM91" s="160">
        <f>IF([Occurrence4]=0,0,SUM($EL$2:EL91))</f>
        <v>0</v>
      </c>
      <c r="EN91" s="160">
        <f>IF([Chambre]*1='CHAMBRES FILLES 2e ETAGE'!$A$23,1,0)</f>
        <v>0</v>
      </c>
      <c r="EO91" s="160">
        <f>IF([Occurrence5]=0,0,SUM($EN$2:EN91))</f>
        <v>0</v>
      </c>
      <c r="EP91" s="160">
        <f>IF([Chambre]*1='CHAMBRES FILLES 2e ETAGE'!$A$29,1,0)</f>
        <v>0</v>
      </c>
      <c r="EQ91" s="160">
        <f>IF([Occurrence6]=0,0,SUM($EP$2:EP91))</f>
        <v>0</v>
      </c>
      <c r="ER91" s="160">
        <f>IF([Chambre]*1='CHAMBRES FILLES 2e ETAGE'!$A$35,1,0)</f>
        <v>0</v>
      </c>
      <c r="ES91" s="160">
        <f>IF([Occurrence7]=0,0,SUM($ER$2:ER91))</f>
        <v>0</v>
      </c>
      <c r="ET91" s="160">
        <f>IF([Chambre]*1='CHAMBRES FILLES 2e ETAGE'!$A$41,1,0)</f>
        <v>0</v>
      </c>
      <c r="EU91" s="160">
        <f>IF([Occurrence8]=0,0,SUM($ET$2:ET91))</f>
        <v>0</v>
      </c>
      <c r="EV91" s="160">
        <f>IF([Chambre]*1='CHAMBRES FILLES 2e ETAGE'!$A$47,1,0)</f>
        <v>0</v>
      </c>
      <c r="EW91" s="160">
        <f>IF([Occurrence9]=0,0,SUM($EV$2:EV91))</f>
        <v>0</v>
      </c>
      <c r="EX91" s="160">
        <f>IF([Chambre]*1='CHAMBRES FILLES 2e ETAGE'!$A$53,1,0)</f>
        <v>0</v>
      </c>
      <c r="EY91" s="160">
        <f>IF([Occurrence10]=0,0,SUM($EX$2:EX91))</f>
        <v>0</v>
      </c>
      <c r="EZ91" s="160">
        <f>IF([Chambre]*1='CHAMBRES FILLES 2e ETAGE'!$A$59,1,0)</f>
        <v>0</v>
      </c>
      <c r="FA91" s="160">
        <f>IF([Occurrence11]=0,0,SUM($EZ$2:EZ91))</f>
        <v>0</v>
      </c>
      <c r="FB91" s="160">
        <f>IF([Chambre]*1='CHAMBRES FILLES 2e ETAGE'!$A$65,1,0)</f>
        <v>0</v>
      </c>
      <c r="FC91" s="160">
        <f>IF([Occurrence12]=0,0,SUM($FB$2:FB91))</f>
        <v>0</v>
      </c>
      <c r="FD91" s="160">
        <f>IF([Chambre]*1='CHAMBRES FILLES 2e ETAGE'!$A$71,1,0)</f>
        <v>0</v>
      </c>
      <c r="FE91" s="160">
        <f>IF([Occurrence13]=0,0,SUM($FD$2:FD91))</f>
        <v>0</v>
      </c>
      <c r="FF91" s="160">
        <f>IF([Chambre]*1='CHAMBRES FILLES 2e ETAGE'!$A$77,1,0)</f>
        <v>0</v>
      </c>
      <c r="FG91" s="160">
        <f>IF([Occurrence14]=0,0,SUM($FF$2:FF91))</f>
        <v>0</v>
      </c>
      <c r="FH91" s="160">
        <f>IF([Chambre]*1='CHAMBRES FILLES 2e ETAGE'!$A$83,1,0)</f>
        <v>0</v>
      </c>
      <c r="FI91" s="160">
        <f>IF([Occurrence15]=0,0,SUM($FH$2:FH91))</f>
        <v>0</v>
      </c>
      <c r="FJ91" s="160">
        <f>IF([Chambre]*1='CHAMBRES FILLES 2e ETAGE'!$A$89,1,0)</f>
        <v>0</v>
      </c>
      <c r="FK91" s="160">
        <f>IF([Occurrence16]=0,0,SUM($FJ$2:FJ91))</f>
        <v>0</v>
      </c>
      <c r="FL91" s="160">
        <f>IF([Chambre]*1='CHAMBRES FILLES 2e ETAGE'!$A$95,1,0)</f>
        <v>0</v>
      </c>
      <c r="FM91" s="160">
        <f>IF([Occurrence17]=0,0,SUM($FL$2:FL91))</f>
        <v>0</v>
      </c>
      <c r="FN91" s="160">
        <f>IF([Chambre2]*1='CHAMBRES FILLES 1e ETAGE'!$A$5,1,0)</f>
        <v>0</v>
      </c>
      <c r="FO91" s="160">
        <f>IF([Occurrence18]=0,0,SUM($FN$2:FN91))</f>
        <v>0</v>
      </c>
      <c r="FP91" s="160">
        <f>IF([Chambre2]*1='CHAMBRES FILLES 1e ETAGE'!$A$11,1,0)</f>
        <v>0</v>
      </c>
      <c r="FQ91" s="160">
        <f>IF([Occurrence19]=0,0,SUM($FP$2:FP91))</f>
        <v>0</v>
      </c>
      <c r="FR91" s="160">
        <f>IF([Chambre2]*1='CHAMBRES FILLES 1e ETAGE'!$A$17,1,0)</f>
        <v>0</v>
      </c>
      <c r="FS91" s="160">
        <f>IF([Occurrence20]=0,0,SUM($FR$2:FR91))</f>
        <v>0</v>
      </c>
      <c r="FT91" s="160">
        <f>IF([Chambre2]*1='CHAMBRES FILLES 1e ETAGE'!$A$23,1,0)</f>
        <v>0</v>
      </c>
      <c r="FU91" s="160">
        <f>IF([Occurrence21]=0,0,SUM($FT$2:FT91))</f>
        <v>0</v>
      </c>
      <c r="FV91" s="160">
        <f>IF([Chambre2]*1='CHAMBRES FILLES 1e ETAGE'!$A$29,1,0)</f>
        <v>0</v>
      </c>
      <c r="FW91" s="160">
        <f>IF([Occurrence22]=0,0,SUM($FV$2:FV91))</f>
        <v>0</v>
      </c>
      <c r="FX91" s="160">
        <f>IF([Chambre2]*1='CHAMBRES FILLES 1e ETAGE'!$A$35,1,0)</f>
        <v>0</v>
      </c>
      <c r="FY91" s="160">
        <f>IF([Occurrence23]=0,0,SUM($FX$2:FX91))</f>
        <v>0</v>
      </c>
      <c r="FZ91" s="160">
        <f>IF([Chambre2]*1='CHAMBRES FILLES 1e ETAGE'!$A$41,1,0)</f>
        <v>0</v>
      </c>
      <c r="GA91" s="160">
        <f>IF([Occurrence24]=0,0,SUM($FZ$2:FZ91))</f>
        <v>0</v>
      </c>
      <c r="GB91" s="160">
        <f>IF([Chambre2]*1='CHAMBRES FILLES 1e ETAGE'!$A$47,1,0)</f>
        <v>0</v>
      </c>
      <c r="GC91" s="160">
        <f>IF([Occurrence25]=0,0,SUM($GB$2:GB91))</f>
        <v>0</v>
      </c>
      <c r="GD91" s="160">
        <f>IF([Chambre2]*1='CHAMBRES FILLES 1e ETAGE'!$A$53,1,0)</f>
        <v>0</v>
      </c>
      <c r="GE91" s="160">
        <f>IF([Occurrence26]=0,0,SUM($GD$2:GD91))</f>
        <v>0</v>
      </c>
      <c r="GF91" s="160">
        <f>IF([chambre4]*1='CHAMBRES GARCONS 1e ETAGE'!$A$5,1,0)</f>
        <v>0</v>
      </c>
      <c r="GG91" s="160">
        <f>IF([Occurrence27]=0,0,SUM($GF$2:GF91))</f>
        <v>0</v>
      </c>
      <c r="GH91" s="160">
        <f>IF([chambre4]*1='CHAMBRES GARCONS 1e ETAGE'!$A$11,1,0)</f>
        <v>0</v>
      </c>
      <c r="GI91" s="160">
        <f>IF([Occurrence28]=0,0,SUM($GH$2:GH91))</f>
        <v>0</v>
      </c>
      <c r="GJ91" s="160">
        <f>IF([chambre4]*1='CHAMBRES GARCONS 1e ETAGE'!$A$17,1,0)</f>
        <v>0</v>
      </c>
      <c r="GK91" s="160">
        <f>IF([Occurrence29]=0,0,SUM($GJ$2:GJ91))</f>
        <v>0</v>
      </c>
      <c r="GL91" s="160">
        <f>IF([chambre4]*1='CHAMBRES GARCONS 1e ETAGE'!$A$23,1,0)</f>
        <v>0</v>
      </c>
      <c r="GM91" s="160">
        <f>IF([Occurrence30]=0,0,SUM($GL$2:GL91))</f>
        <v>0</v>
      </c>
      <c r="GN91" s="160">
        <f>IF([chambre4]*1='CHAMBRES GARCONS 1e ETAGE'!$A$29,1,0)</f>
        <v>0</v>
      </c>
      <c r="GO91" s="160">
        <f>IF([Occurrence31]=0,0,SUM($GN$2:GN91))</f>
        <v>0</v>
      </c>
      <c r="GP91" s="160">
        <f>IF([chambre4]*1='CHAMBRES GARCONS 1e ETAGE'!$A$35,1,0)</f>
        <v>0</v>
      </c>
      <c r="GQ91" s="160">
        <f>IF([Occurrence32]=0,0,SUM($GP$2:GP91))</f>
        <v>0</v>
      </c>
      <c r="GR91" s="160">
        <f>IF([chambre3]*1='CHAMBRES GARCONS RDC'!$A$5,1,0)</f>
        <v>0</v>
      </c>
      <c r="GS91" s="160">
        <f>IF([Occurrence33]=0,0,SUM($GR$2:GR91))</f>
        <v>0</v>
      </c>
      <c r="GT91" s="160">
        <f>IF([chambre3]*1='CHAMBRES GARCONS RDC'!$A$11,1,0)</f>
        <v>1</v>
      </c>
      <c r="GU91" s="160">
        <f>IF([Occurrence34]=0,0,SUM($GT$2:GT91))</f>
        <v>2</v>
      </c>
      <c r="GV91" s="160">
        <f>IF([chambre3]*1='CHAMBRES GARCONS RDC'!$A$17,1,0)</f>
        <v>0</v>
      </c>
      <c r="GW91" s="160">
        <f>IF([Occurrence35]=0,0,SUM($GV$2:GV91))</f>
        <v>0</v>
      </c>
      <c r="GX91" s="160">
        <f>IF([chambre3]*1='CHAMBRES GARCONS RDC'!$A$23,1,0)</f>
        <v>0</v>
      </c>
      <c r="GY91" s="160">
        <f>IF([Occurrence36]=0,0,SUM($GX$2:GX91))</f>
        <v>0</v>
      </c>
      <c r="GZ91" s="160">
        <f>IF([chambre3]*1='CHAMBRES GARCONS RDC'!$A$29,1,0)</f>
        <v>0</v>
      </c>
      <c r="HA91" s="160">
        <f>IF([Occurrence37]=0,0,SUM($GZ$2:GZ91))</f>
        <v>0</v>
      </c>
      <c r="HB91" s="160">
        <f>IF([chambre3]*1='CHAMBRES GARCONS RDC'!$A$35,1,0)</f>
        <v>0</v>
      </c>
      <c r="HC91" s="160">
        <f>IF([Occurrence38]=0,0,SUM($HB$2:HB91))</f>
        <v>0</v>
      </c>
      <c r="HD91" s="160">
        <f>IF([chambre3]*1='CHAMBRES GARCONS RDC'!$A$41,1,0)</f>
        <v>0</v>
      </c>
      <c r="HE91" s="160">
        <f>IF([Occurrence39]=0,0,SUM($HD$2:HD91))</f>
        <v>0</v>
      </c>
      <c r="HF91" s="160">
        <f>IF([chambre3]*1='CHAMBRES GARCONS RDC'!$A$47,1,0)</f>
        <v>0</v>
      </c>
      <c r="HG91" s="160">
        <f>IF([Occurrence40]=0,0,SUM($HF$2:HF91))</f>
        <v>0</v>
      </c>
      <c r="HH91" s="160">
        <f>IF([chambre3]*1='CHAMBRES GARCONS RDC'!$A$53,1,0)</f>
        <v>0</v>
      </c>
      <c r="HI91" s="160">
        <f>IF([Occurrence41]=0,0,SUM($HH$2:HH91))</f>
        <v>0</v>
      </c>
      <c r="HJ91" s="160">
        <f>IF([chambre3]*1='CHAMBRES GARCONS RDC'!$A$59,1,0)</f>
        <v>0</v>
      </c>
      <c r="HK91" s="160">
        <f>IF([Occurrence42]=0,0,SUM($HJ$2:HJ91))</f>
        <v>0</v>
      </c>
      <c r="HL91" s="160">
        <f>IF([chambre3]*1='CHAMBRES GARCONS RDC'!$A$65,1,0)</f>
        <v>0</v>
      </c>
      <c r="HM91" s="160">
        <f>IF([Occurrence43]=0,0,SUM($HL$2:HL91))</f>
        <v>0</v>
      </c>
      <c r="HN91" s="160">
        <f>IF([chambre3]*1='CHAMBRES GARCONS RDC'!$A$71,1,0)</f>
        <v>0</v>
      </c>
      <c r="HO91" s="160">
        <f>IF([Occurrence44]=0,0,SUM($HN$2:HN91))</f>
        <v>0</v>
      </c>
      <c r="HP91" s="160">
        <f>IF([chambre3]*1='CHAMBRES GARCONS RDC'!$A$77,1,0)</f>
        <v>0</v>
      </c>
      <c r="HQ91" s="160">
        <f>IF([Occurrence45]=0,0,SUM($HP$2:HP91))</f>
        <v>0</v>
      </c>
      <c r="HR91" s="160">
        <f>IF([chambre3]*1='CHAMBRES GARCONS RDC'!$A$83,1,0)</f>
        <v>0</v>
      </c>
      <c r="HS91" s="160">
        <f>IF([Occurrence46]=0,0,SUM($HR$2:HR91))</f>
        <v>0</v>
      </c>
      <c r="HT91" s="160">
        <f>IF([chambre3]*1='CHAMBRES GARCONS RDC'!$A$89,1,0)</f>
        <v>0</v>
      </c>
      <c r="HU91" s="160">
        <f>IF([Occurrence47]=0,0,SUM($HT$2:HT91))</f>
        <v>0</v>
      </c>
      <c r="HV91" s="160">
        <f>IF([chambre3]*1='CHAMBRES GARCONS RDC'!$A$95,1,0)</f>
        <v>0</v>
      </c>
      <c r="HW91" s="160">
        <f>IF([Occurrence48]=0,0,SUM($HV$2:HV91))</f>
        <v>0</v>
      </c>
      <c r="HX91" s="160"/>
      <c r="HY91" s="160"/>
      <c r="HZ91" s="160">
        <f>IF([Classe]='Liste élève par classes'!$B$5,1,0)</f>
        <v>0</v>
      </c>
      <c r="IA91" s="160">
        <f>IF([Occurrence]=0,0,SUM($HZ$2:HZ91))</f>
        <v>0</v>
      </c>
      <c r="IB9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106</v>
      </c>
      <c r="IC91" s="208"/>
    </row>
    <row r="92" spans="1:237">
      <c r="A92" t="s">
        <v>406</v>
      </c>
      <c r="B92" t="s">
        <v>360</v>
      </c>
      <c r="C92" s="158">
        <v>35559</v>
      </c>
      <c r="D92" s="62">
        <f t="shared" ca="1" si="1"/>
        <v>20</v>
      </c>
      <c r="E92" t="s">
        <v>3</v>
      </c>
      <c r="F92" s="165" t="s">
        <v>46</v>
      </c>
      <c r="G92" t="s">
        <v>40</v>
      </c>
      <c r="H92" s="160"/>
      <c r="I92" s="62"/>
      <c r="J92" s="62" t="s">
        <v>244</v>
      </c>
      <c r="K92" s="62"/>
      <c r="L92" s="61"/>
      <c r="M92" s="62"/>
      <c r="N92" s="62" t="s">
        <v>244</v>
      </c>
      <c r="O92" s="62" t="s">
        <v>244</v>
      </c>
      <c r="P92" s="62" t="s">
        <v>244</v>
      </c>
      <c r="Q92" s="62" t="s">
        <v>244</v>
      </c>
      <c r="R92" s="62" t="s">
        <v>244</v>
      </c>
      <c r="S92" s="62"/>
      <c r="T92" s="62" t="s">
        <v>244</v>
      </c>
      <c r="U92" s="61"/>
      <c r="V92" s="62" t="s">
        <v>244</v>
      </c>
      <c r="W92" s="62" t="s">
        <v>244</v>
      </c>
      <c r="X92" s="62" t="s">
        <v>244</v>
      </c>
      <c r="Y92" s="62" t="s">
        <v>244</v>
      </c>
      <c r="Z92" s="62" t="s">
        <v>244</v>
      </c>
      <c r="AA92" s="62" t="s">
        <v>244</v>
      </c>
      <c r="AB92" s="62" t="s">
        <v>244</v>
      </c>
      <c r="AC92" s="62" t="s">
        <v>244</v>
      </c>
      <c r="AD92" s="62" t="s">
        <v>244</v>
      </c>
      <c r="AE92" s="62" t="s">
        <v>244</v>
      </c>
      <c r="AF92" s="163" t="s">
        <v>244</v>
      </c>
      <c r="AG92" s="163" t="s">
        <v>244</v>
      </c>
      <c r="AH92" s="163" t="s">
        <v>244</v>
      </c>
      <c r="AI92" s="163"/>
      <c r="AJ92" s="163"/>
      <c r="AK92" s="163"/>
      <c r="AL92" s="163"/>
      <c r="AM92" s="163"/>
      <c r="AN92" s="163"/>
      <c r="AO92" s="163"/>
      <c r="AP92" s="163"/>
      <c r="AQ92" s="163"/>
      <c r="AR92" s="163"/>
      <c r="AS92" s="163"/>
      <c r="AT92" s="163"/>
      <c r="AU92" s="163"/>
      <c r="AV92" s="163"/>
      <c r="AW92" s="163"/>
      <c r="AX92" s="163"/>
      <c r="AY92" s="163"/>
      <c r="AZ92" s="163"/>
      <c r="BA92" s="163"/>
      <c r="BB92" s="163"/>
      <c r="BC92" s="163" t="b">
        <v>0</v>
      </c>
      <c r="BD92" s="163" t="b">
        <v>0</v>
      </c>
      <c r="BE92" s="163" t="b">
        <v>0</v>
      </c>
      <c r="BF92" s="163" t="b">
        <v>0</v>
      </c>
      <c r="BG92" s="163" t="b">
        <v>0</v>
      </c>
      <c r="BH92" s="163" t="b">
        <v>0</v>
      </c>
      <c r="BI92" s="163" t="b">
        <v>1</v>
      </c>
      <c r="BJ92" s="163" t="b">
        <v>0</v>
      </c>
      <c r="BK92" s="163" t="b">
        <v>0</v>
      </c>
      <c r="BL92" s="163" t="b">
        <v>0</v>
      </c>
      <c r="BM92" s="163"/>
      <c r="BN92" s="163"/>
      <c r="BO92" s="163"/>
      <c r="BP92" s="163"/>
      <c r="BQ92" s="163"/>
      <c r="BR92" s="163"/>
      <c r="BS92" s="163"/>
      <c r="BT92" s="163"/>
      <c r="BU92" s="163"/>
      <c r="BV92" s="163"/>
      <c r="BW92" s="163"/>
      <c r="BX92" s="163"/>
      <c r="BY92" s="163"/>
      <c r="BZ92" s="163"/>
      <c r="CA92" s="163"/>
      <c r="CB92" s="163"/>
      <c r="CC92" s="163"/>
      <c r="CD92" s="163"/>
      <c r="CE92" s="163"/>
      <c r="CF92" s="163"/>
      <c r="CG92" s="163"/>
      <c r="CH92" s="163"/>
      <c r="CI92" s="163"/>
      <c r="CJ92" s="163"/>
      <c r="CK92" s="163"/>
      <c r="CL92" s="163"/>
      <c r="CM92" s="163"/>
      <c r="CN92" s="163"/>
      <c r="CO92" s="163"/>
      <c r="CP92" s="163"/>
      <c r="CQ92" s="163"/>
      <c r="CR92" s="163"/>
      <c r="CS92" s="163"/>
      <c r="CT92" s="163"/>
      <c r="CU92" s="163"/>
      <c r="CV92" s="163"/>
      <c r="CW92" s="163"/>
      <c r="CX92" s="163"/>
      <c r="CY92" s="163"/>
      <c r="CZ92" s="163"/>
      <c r="DA92" s="163"/>
      <c r="DB92" s="163"/>
      <c r="DC92" s="163"/>
      <c r="DD92" s="163"/>
      <c r="DE92" s="163"/>
      <c r="DF92" s="163"/>
      <c r="DG92" s="163"/>
      <c r="DH92" s="163"/>
      <c r="DI92" s="163"/>
      <c r="DJ92" s="163"/>
      <c r="DK92" s="163"/>
      <c r="DL92" s="163"/>
      <c r="DM92" s="163"/>
      <c r="DN92" s="163"/>
      <c r="DO92" s="163"/>
      <c r="DP92" s="163"/>
      <c r="DQ92" s="163"/>
      <c r="DR92" s="163"/>
      <c r="DS92" s="163"/>
      <c r="DT92" s="163"/>
      <c r="DU92" s="163"/>
      <c r="DV92" s="163"/>
      <c r="DW92" s="163"/>
      <c r="DX92" s="163"/>
      <c r="DY92" s="163"/>
      <c r="DZ92" s="163"/>
      <c r="EA92" s="163"/>
      <c r="EB92" s="163"/>
      <c r="EC92" s="163"/>
      <c r="ED92" s="163"/>
      <c r="EE92" s="163"/>
      <c r="EF92" s="163"/>
      <c r="EG92" s="163"/>
      <c r="EH92" s="160">
        <f>IF([Chambre]*1='CHAMBRES FILLES 2e ETAGE'!$A$5,1,0)</f>
        <v>0</v>
      </c>
      <c r="EI92" s="161">
        <f>IF([Occurrence2]=0,0,SUM($EH$2:EH92))</f>
        <v>0</v>
      </c>
      <c r="EJ92" s="160">
        <f>IF([Chambre]*1='CHAMBRES FILLES 2e ETAGE'!$A$11,1,0)</f>
        <v>0</v>
      </c>
      <c r="EK92" s="160">
        <f>IF([Occurrence3]=0,0,SUM($EJ$2:EJ92))</f>
        <v>0</v>
      </c>
      <c r="EL92" s="160">
        <f>IF([Chambre]*1='CHAMBRES FILLES 2e ETAGE'!$A$17,1,0)</f>
        <v>0</v>
      </c>
      <c r="EM92" s="160">
        <f>IF([Occurrence4]=0,0,SUM($EL$2:EL92))</f>
        <v>0</v>
      </c>
      <c r="EN92" s="160">
        <f>IF([Chambre]*1='CHAMBRES FILLES 2e ETAGE'!$A$23,1,0)</f>
        <v>0</v>
      </c>
      <c r="EO92" s="160">
        <f>IF([Occurrence5]=0,0,SUM($EN$2:EN92))</f>
        <v>0</v>
      </c>
      <c r="EP92" s="160">
        <f>IF([Chambre]*1='CHAMBRES FILLES 2e ETAGE'!$A$29,1,0)</f>
        <v>0</v>
      </c>
      <c r="EQ92" s="160">
        <f>IF([Occurrence6]=0,0,SUM($EP$2:EP92))</f>
        <v>0</v>
      </c>
      <c r="ER92" s="160">
        <f>IF([Chambre]*1='CHAMBRES FILLES 2e ETAGE'!$A$35,1,0)</f>
        <v>0</v>
      </c>
      <c r="ES92" s="160">
        <f>IF([Occurrence7]=0,0,SUM($ER$2:ER92))</f>
        <v>0</v>
      </c>
      <c r="ET92" s="160">
        <f>IF([Chambre]*1='CHAMBRES FILLES 2e ETAGE'!$A$41,1,0)</f>
        <v>0</v>
      </c>
      <c r="EU92" s="160">
        <f>IF([Occurrence8]=0,0,SUM($ET$2:ET92))</f>
        <v>0</v>
      </c>
      <c r="EV92" s="160">
        <f>IF([Chambre]*1='CHAMBRES FILLES 2e ETAGE'!$A$47,1,0)</f>
        <v>0</v>
      </c>
      <c r="EW92" s="160">
        <f>IF([Occurrence9]=0,0,SUM($EV$2:EV92))</f>
        <v>0</v>
      </c>
      <c r="EX92" s="160">
        <f>IF([Chambre]*1='CHAMBRES FILLES 2e ETAGE'!$A$53,1,0)</f>
        <v>0</v>
      </c>
      <c r="EY92" s="160">
        <f>IF([Occurrence10]=0,0,SUM($EX$2:EX92))</f>
        <v>0</v>
      </c>
      <c r="EZ92" s="160">
        <f>IF([Chambre]*1='CHAMBRES FILLES 2e ETAGE'!$A$59,1,0)</f>
        <v>0</v>
      </c>
      <c r="FA92" s="160">
        <f>IF([Occurrence11]=0,0,SUM($EZ$2:EZ92))</f>
        <v>0</v>
      </c>
      <c r="FB92" s="160">
        <f>IF([Chambre]*1='CHAMBRES FILLES 2e ETAGE'!$A$65,1,0)</f>
        <v>0</v>
      </c>
      <c r="FC92" s="160">
        <f>IF([Occurrence12]=0,0,SUM($FB$2:FB92))</f>
        <v>0</v>
      </c>
      <c r="FD92" s="160">
        <f>IF([Chambre]*1='CHAMBRES FILLES 2e ETAGE'!$A$71,1,0)</f>
        <v>0</v>
      </c>
      <c r="FE92" s="160">
        <f>IF([Occurrence13]=0,0,SUM($FD$2:FD92))</f>
        <v>0</v>
      </c>
      <c r="FF92" s="160">
        <f>IF([Chambre]*1='CHAMBRES FILLES 2e ETAGE'!$A$77,1,0)</f>
        <v>0</v>
      </c>
      <c r="FG92" s="160">
        <f>IF([Occurrence14]=0,0,SUM($FF$2:FF92))</f>
        <v>0</v>
      </c>
      <c r="FH92" s="160">
        <f>IF([Chambre]*1='CHAMBRES FILLES 2e ETAGE'!$A$83,1,0)</f>
        <v>0</v>
      </c>
      <c r="FI92" s="160">
        <f>IF([Occurrence15]=0,0,SUM($FH$2:FH92))</f>
        <v>0</v>
      </c>
      <c r="FJ92" s="160">
        <f>IF([Chambre]*1='CHAMBRES FILLES 2e ETAGE'!$A$89,1,0)</f>
        <v>0</v>
      </c>
      <c r="FK92" s="160">
        <f>IF([Occurrence16]=0,0,SUM($FJ$2:FJ92))</f>
        <v>0</v>
      </c>
      <c r="FL92" s="160">
        <f>IF([Chambre]*1='CHAMBRES FILLES 2e ETAGE'!$A$95,1,0)</f>
        <v>0</v>
      </c>
      <c r="FM92" s="160">
        <f>IF([Occurrence17]=0,0,SUM($FL$2:FL92))</f>
        <v>0</v>
      </c>
      <c r="FN92" s="160">
        <f>IF([Chambre2]*1='CHAMBRES FILLES 1e ETAGE'!$A$5,1,0)</f>
        <v>0</v>
      </c>
      <c r="FO92" s="160">
        <f>IF([Occurrence18]=0,0,SUM($FN$2:FN92))</f>
        <v>0</v>
      </c>
      <c r="FP92" s="160">
        <f>IF([Chambre2]*1='CHAMBRES FILLES 1e ETAGE'!$A$11,1,0)</f>
        <v>0</v>
      </c>
      <c r="FQ92" s="160">
        <f>IF([Occurrence19]=0,0,SUM($FP$2:FP92))</f>
        <v>0</v>
      </c>
      <c r="FR92" s="160">
        <f>IF([Chambre2]*1='CHAMBRES FILLES 1e ETAGE'!$A$17,1,0)</f>
        <v>0</v>
      </c>
      <c r="FS92" s="160">
        <f>IF([Occurrence20]=0,0,SUM($FR$2:FR92))</f>
        <v>0</v>
      </c>
      <c r="FT92" s="160">
        <f>IF([Chambre2]*1='CHAMBRES FILLES 1e ETAGE'!$A$23,1,0)</f>
        <v>0</v>
      </c>
      <c r="FU92" s="160">
        <f>IF([Occurrence21]=0,0,SUM($FT$2:FT92))</f>
        <v>0</v>
      </c>
      <c r="FV92" s="160">
        <f>IF([Chambre2]*1='CHAMBRES FILLES 1e ETAGE'!$A$29,1,0)</f>
        <v>0</v>
      </c>
      <c r="FW92" s="160">
        <f>IF([Occurrence22]=0,0,SUM($FV$2:FV92))</f>
        <v>0</v>
      </c>
      <c r="FX92" s="160">
        <f>IF([Chambre2]*1='CHAMBRES FILLES 1e ETAGE'!$A$35,1,0)</f>
        <v>0</v>
      </c>
      <c r="FY92" s="160">
        <f>IF([Occurrence23]=0,0,SUM($FX$2:FX92))</f>
        <v>0</v>
      </c>
      <c r="FZ92" s="160">
        <f>IF([Chambre2]*1='CHAMBRES FILLES 1e ETAGE'!$A$41,1,0)</f>
        <v>0</v>
      </c>
      <c r="GA92" s="160">
        <f>IF([Occurrence24]=0,0,SUM($FZ$2:FZ92))</f>
        <v>0</v>
      </c>
      <c r="GB92" s="160">
        <f>IF([Chambre2]*1='CHAMBRES FILLES 1e ETAGE'!$A$47,1,0)</f>
        <v>0</v>
      </c>
      <c r="GC92" s="160">
        <f>IF([Occurrence25]=0,0,SUM($GB$2:GB92))</f>
        <v>0</v>
      </c>
      <c r="GD92" s="160">
        <f>IF([Chambre2]*1='CHAMBRES FILLES 1e ETAGE'!$A$53,1,0)</f>
        <v>0</v>
      </c>
      <c r="GE92" s="160">
        <f>IF([Occurrence26]=0,0,SUM($GD$2:GD92))</f>
        <v>0</v>
      </c>
      <c r="GF92" s="160">
        <f>IF([chambre4]*1='CHAMBRES GARCONS 1e ETAGE'!$A$5,1,0)</f>
        <v>0</v>
      </c>
      <c r="GG92" s="160">
        <f>IF([Occurrence27]=0,0,SUM($GF$2:GF92))</f>
        <v>0</v>
      </c>
      <c r="GH92" s="160">
        <f>IF([chambre4]*1='CHAMBRES GARCONS 1e ETAGE'!$A$11,1,0)</f>
        <v>0</v>
      </c>
      <c r="GI92" s="160">
        <f>IF([Occurrence28]=0,0,SUM($GH$2:GH92))</f>
        <v>0</v>
      </c>
      <c r="GJ92" s="160">
        <f>IF([chambre4]*1='CHAMBRES GARCONS 1e ETAGE'!$A$17,1,0)</f>
        <v>0</v>
      </c>
      <c r="GK92" s="160">
        <f>IF([Occurrence29]=0,0,SUM($GJ$2:GJ92))</f>
        <v>0</v>
      </c>
      <c r="GL92" s="160">
        <f>IF([chambre4]*1='CHAMBRES GARCONS 1e ETAGE'!$A$23,1,0)</f>
        <v>0</v>
      </c>
      <c r="GM92" s="160">
        <f>IF([Occurrence30]=0,0,SUM($GL$2:GL92))</f>
        <v>0</v>
      </c>
      <c r="GN92" s="160">
        <f>IF([chambre4]*1='CHAMBRES GARCONS 1e ETAGE'!$A$29,1,0)</f>
        <v>0</v>
      </c>
      <c r="GO92" s="160">
        <f>IF([Occurrence31]=0,0,SUM($GN$2:GN92))</f>
        <v>0</v>
      </c>
      <c r="GP92" s="160">
        <f>IF([chambre4]*1='CHAMBRES GARCONS 1e ETAGE'!$A$35,1,0)</f>
        <v>0</v>
      </c>
      <c r="GQ92" s="160">
        <f>IF([Occurrence32]=0,0,SUM($GP$2:GP92))</f>
        <v>0</v>
      </c>
      <c r="GR92" s="160">
        <f>IF([chambre3]*1='CHAMBRES GARCONS RDC'!$A$5,1,0)</f>
        <v>0</v>
      </c>
      <c r="GS92" s="160">
        <f>IF([Occurrence33]=0,0,SUM($GR$2:GR92))</f>
        <v>0</v>
      </c>
      <c r="GT92" s="160">
        <f>IF([chambre3]*1='CHAMBRES GARCONS RDC'!$A$11,1,0)</f>
        <v>0</v>
      </c>
      <c r="GU92" s="160">
        <f>IF([Occurrence34]=0,0,SUM($GT$2:GT92))</f>
        <v>0</v>
      </c>
      <c r="GV92" s="160">
        <f>IF([chambre3]*1='CHAMBRES GARCONS RDC'!$A$17,1,0)</f>
        <v>0</v>
      </c>
      <c r="GW92" s="160">
        <f>IF([Occurrence35]=0,0,SUM($GV$2:GV92))</f>
        <v>0</v>
      </c>
      <c r="GX92" s="160">
        <f>IF([chambre3]*1='CHAMBRES GARCONS RDC'!$A$23,1,0)</f>
        <v>0</v>
      </c>
      <c r="GY92" s="160">
        <f>IF([Occurrence36]=0,0,SUM($GX$2:GX92))</f>
        <v>0</v>
      </c>
      <c r="GZ92" s="160">
        <f>IF([chambre3]*1='CHAMBRES GARCONS RDC'!$A$29,1,0)</f>
        <v>0</v>
      </c>
      <c r="HA92" s="160">
        <f>IF([Occurrence37]=0,0,SUM($GZ$2:GZ92))</f>
        <v>0</v>
      </c>
      <c r="HB92" s="160">
        <f>IF([chambre3]*1='CHAMBRES GARCONS RDC'!$A$35,1,0)</f>
        <v>0</v>
      </c>
      <c r="HC92" s="160">
        <f>IF([Occurrence38]=0,0,SUM($HB$2:HB92))</f>
        <v>0</v>
      </c>
      <c r="HD92" s="160">
        <f>IF([chambre3]*1='CHAMBRES GARCONS RDC'!$A$41,1,0)</f>
        <v>0</v>
      </c>
      <c r="HE92" s="160">
        <f>IF([Occurrence39]=0,0,SUM($HD$2:HD92))</f>
        <v>0</v>
      </c>
      <c r="HF92" s="160">
        <f>IF([chambre3]*1='CHAMBRES GARCONS RDC'!$A$47,1,0)</f>
        <v>0</v>
      </c>
      <c r="HG92" s="160">
        <f>IF([Occurrence40]=0,0,SUM($HF$2:HF92))</f>
        <v>0</v>
      </c>
      <c r="HH92" s="160">
        <f>IF([chambre3]*1='CHAMBRES GARCONS RDC'!$A$53,1,0)</f>
        <v>0</v>
      </c>
      <c r="HI92" s="160">
        <f>IF([Occurrence41]=0,0,SUM($HH$2:HH92))</f>
        <v>0</v>
      </c>
      <c r="HJ92" s="160">
        <f>IF([chambre3]*1='CHAMBRES GARCONS RDC'!$A$59,1,0)</f>
        <v>0</v>
      </c>
      <c r="HK92" s="160">
        <f>IF([Occurrence42]=0,0,SUM($HJ$2:HJ92))</f>
        <v>0</v>
      </c>
      <c r="HL92" s="160">
        <f>IF([chambre3]*1='CHAMBRES GARCONS RDC'!$A$65,1,0)</f>
        <v>0</v>
      </c>
      <c r="HM92" s="160">
        <f>IF([Occurrence43]=0,0,SUM($HL$2:HL92))</f>
        <v>0</v>
      </c>
      <c r="HN92" s="160">
        <f>IF([chambre3]*1='CHAMBRES GARCONS RDC'!$A$71,1,0)</f>
        <v>0</v>
      </c>
      <c r="HO92" s="160">
        <f>IF([Occurrence44]=0,0,SUM($HN$2:HN92))</f>
        <v>0</v>
      </c>
      <c r="HP92" s="160">
        <f>IF([chambre3]*1='CHAMBRES GARCONS RDC'!$A$77,1,0)</f>
        <v>0</v>
      </c>
      <c r="HQ92" s="160">
        <f>IF([Occurrence45]=0,0,SUM($HP$2:HP92))</f>
        <v>0</v>
      </c>
      <c r="HR92" s="160">
        <f>IF([chambre3]*1='CHAMBRES GARCONS RDC'!$A$83,1,0)</f>
        <v>0</v>
      </c>
      <c r="HS92" s="160">
        <f>IF([Occurrence46]=0,0,SUM($HR$2:HR92))</f>
        <v>0</v>
      </c>
      <c r="HT92" s="160">
        <f>IF([chambre3]*1='CHAMBRES GARCONS RDC'!$A$89,1,0)</f>
        <v>0</v>
      </c>
      <c r="HU92" s="160">
        <f>IF([Occurrence47]=0,0,SUM($HT$2:HT92))</f>
        <v>0</v>
      </c>
      <c r="HV92" s="160">
        <f>IF([chambre3]*1='CHAMBRES GARCONS RDC'!$A$95,1,0)</f>
        <v>0</v>
      </c>
      <c r="HW92" s="160">
        <f>IF([Occurrence48]=0,0,SUM($HV$2:HV92))</f>
        <v>0</v>
      </c>
      <c r="HX92" s="160"/>
      <c r="HY92" s="160"/>
      <c r="HZ92" s="160">
        <f>IF([Classe]='Liste élève par classes'!$B$5,1,0)</f>
        <v>0</v>
      </c>
      <c r="IA92" s="160">
        <f>IF([Occurrence]=0,0,SUM($HZ$2:HZ92))</f>
        <v>0</v>
      </c>
      <c r="IB9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92" s="208"/>
    </row>
    <row r="93" spans="1:237">
      <c r="A93" t="s">
        <v>407</v>
      </c>
      <c r="B93" t="s">
        <v>360</v>
      </c>
      <c r="C93" s="158">
        <v>37524</v>
      </c>
      <c r="D93" s="62">
        <f t="shared" ca="1" si="1"/>
        <v>15</v>
      </c>
      <c r="E93" t="s">
        <v>7</v>
      </c>
      <c r="F93" s="159" t="s">
        <v>50</v>
      </c>
      <c r="G93" t="s">
        <v>40</v>
      </c>
      <c r="H93" s="160"/>
      <c r="I93" s="62"/>
      <c r="J93" s="62"/>
      <c r="K93" s="62"/>
      <c r="L93" s="61"/>
      <c r="M93">
        <v>12</v>
      </c>
      <c r="N93" s="62"/>
      <c r="O93" s="62"/>
      <c r="P93" s="62"/>
      <c r="Q93" s="62"/>
      <c r="R93" s="62"/>
      <c r="S93" s="191"/>
      <c r="T93" s="62"/>
      <c r="U93" s="61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163"/>
      <c r="AG93" s="163"/>
      <c r="AH93" s="163"/>
      <c r="AI93" s="163"/>
      <c r="AJ93" s="163"/>
      <c r="AK93" s="163"/>
      <c r="AL93" s="163"/>
      <c r="AM93" s="163"/>
      <c r="AN93" s="163"/>
      <c r="AO93" s="163"/>
      <c r="AP93" s="163"/>
      <c r="AQ93" s="163"/>
      <c r="AR93" s="163"/>
      <c r="AS93" s="163"/>
      <c r="AT93" s="163"/>
      <c r="AU93" s="163"/>
      <c r="AV93" s="163"/>
      <c r="AW93" s="163"/>
      <c r="AX93" s="163"/>
      <c r="AY93" s="163"/>
      <c r="AZ93" s="163"/>
      <c r="BA93" s="163"/>
      <c r="BB93" s="163"/>
      <c r="BC93" s="163" t="b">
        <v>0</v>
      </c>
      <c r="BD93" s="163" t="b">
        <v>1</v>
      </c>
      <c r="BE93" s="163" t="b">
        <v>1</v>
      </c>
      <c r="BF93" s="163" t="b">
        <v>0</v>
      </c>
      <c r="BG93" s="164" t="b">
        <v>0</v>
      </c>
      <c r="BH93" s="163" t="b">
        <v>1</v>
      </c>
      <c r="BI93" s="163"/>
      <c r="BJ93" s="163"/>
      <c r="BK93" s="163"/>
      <c r="BL93" s="163"/>
      <c r="BM93" s="163"/>
      <c r="BN93" s="163"/>
      <c r="BO93" s="163"/>
      <c r="BP93" s="163"/>
      <c r="BQ93" s="163" t="b">
        <v>0</v>
      </c>
      <c r="BR93" s="163"/>
      <c r="BS93" s="163"/>
      <c r="BT93" s="163"/>
      <c r="BU93" s="163"/>
      <c r="BV93" s="163"/>
      <c r="BW93" s="163"/>
      <c r="BX93" s="163"/>
      <c r="BY93" s="163"/>
      <c r="BZ93" s="163"/>
      <c r="CA93" s="163"/>
      <c r="CB93" s="163"/>
      <c r="CC93" s="163"/>
      <c r="CD93" s="163"/>
      <c r="CE93" s="163"/>
      <c r="CF93" s="163"/>
      <c r="CG93" s="163"/>
      <c r="CH93" s="163"/>
      <c r="CI93" s="163"/>
      <c r="CJ93" s="163"/>
      <c r="CK93" s="163"/>
      <c r="CL93" s="163"/>
      <c r="CM93" s="163"/>
      <c r="CN93" s="163"/>
      <c r="CO93" s="163"/>
      <c r="CP93" s="163"/>
      <c r="CQ93" s="163"/>
      <c r="CR93" s="163"/>
      <c r="CS93" s="163"/>
      <c r="CT93" s="163"/>
      <c r="CU93" s="163"/>
      <c r="CV93" s="163"/>
      <c r="CW93" s="163"/>
      <c r="CX93" s="163"/>
      <c r="CY93" s="163"/>
      <c r="CZ93" s="163"/>
      <c r="DA93" s="163">
        <v>112</v>
      </c>
      <c r="DB93" s="163"/>
      <c r="DC93" s="163"/>
      <c r="DD93" s="163"/>
      <c r="DE93" s="163"/>
      <c r="DF93" s="163"/>
      <c r="DG93" s="208"/>
      <c r="DH93" s="163"/>
      <c r="DI93" s="163"/>
      <c r="DJ93" s="163"/>
      <c r="DK93" s="163"/>
      <c r="DL93" s="163"/>
      <c r="DM93" s="163"/>
      <c r="DN93" s="163"/>
      <c r="DO93" s="163"/>
      <c r="DP93" s="163"/>
      <c r="DQ93" s="163"/>
      <c r="DR93" s="163"/>
      <c r="DS93" s="163"/>
      <c r="DT93" s="163"/>
      <c r="DU93" s="163"/>
      <c r="DV93" s="163"/>
      <c r="DW93" s="163"/>
      <c r="DX93" s="163"/>
      <c r="DY93" s="163"/>
      <c r="DZ93" s="163"/>
      <c r="EA93" s="163"/>
      <c r="EB93" s="163"/>
      <c r="EC93" s="163"/>
      <c r="ED93" s="163"/>
      <c r="EE93" s="163"/>
      <c r="EF93" s="163"/>
      <c r="EG93" s="163"/>
      <c r="EH93" s="160">
        <f>IF([Chambre]*1='CHAMBRES FILLES 2e ETAGE'!$A$5,1,0)</f>
        <v>0</v>
      </c>
      <c r="EI93" s="161">
        <f>IF([Occurrence2]=0,0,SUM($EH$2:EH93))</f>
        <v>0</v>
      </c>
      <c r="EJ93" s="160">
        <f>IF([Chambre]*1='CHAMBRES FILLES 2e ETAGE'!$A$11,1,0)</f>
        <v>0</v>
      </c>
      <c r="EK93" s="160">
        <f>IF([Occurrence3]=0,0,SUM($EJ$2:EJ93))</f>
        <v>0</v>
      </c>
      <c r="EL93" s="160">
        <f>IF([Chambre]*1='CHAMBRES FILLES 2e ETAGE'!$A$17,1,0)</f>
        <v>0</v>
      </c>
      <c r="EM93" s="160">
        <f>IF([Occurrence4]=0,0,SUM($EL$2:EL93))</f>
        <v>0</v>
      </c>
      <c r="EN93" s="160">
        <f>IF([Chambre]*1='CHAMBRES FILLES 2e ETAGE'!$A$23,1,0)</f>
        <v>0</v>
      </c>
      <c r="EO93" s="160">
        <f>IF([Occurrence5]=0,0,SUM($EN$2:EN93))</f>
        <v>0</v>
      </c>
      <c r="EP93" s="160">
        <f>IF([Chambre]*1='CHAMBRES FILLES 2e ETAGE'!$A$29,1,0)</f>
        <v>0</v>
      </c>
      <c r="EQ93" s="160">
        <f>IF([Occurrence6]=0,0,SUM($EP$2:EP93))</f>
        <v>0</v>
      </c>
      <c r="ER93" s="160">
        <f>IF([Chambre]*1='CHAMBRES FILLES 2e ETAGE'!$A$35,1,0)</f>
        <v>0</v>
      </c>
      <c r="ES93" s="160">
        <f>IF([Occurrence7]=0,0,SUM($ER$2:ER93))</f>
        <v>0</v>
      </c>
      <c r="ET93" s="160">
        <f>IF([Chambre]*1='CHAMBRES FILLES 2e ETAGE'!$A$41,1,0)</f>
        <v>0</v>
      </c>
      <c r="EU93" s="160">
        <f>IF([Occurrence8]=0,0,SUM($ET$2:ET93))</f>
        <v>0</v>
      </c>
      <c r="EV93" s="160">
        <f>IF([Chambre]*1='CHAMBRES FILLES 2e ETAGE'!$A$47,1,0)</f>
        <v>0</v>
      </c>
      <c r="EW93" s="160">
        <f>IF([Occurrence9]=0,0,SUM($EV$2:EV93))</f>
        <v>0</v>
      </c>
      <c r="EX93" s="160">
        <f>IF([Chambre]*1='CHAMBRES FILLES 2e ETAGE'!$A$53,1,0)</f>
        <v>0</v>
      </c>
      <c r="EY93" s="160">
        <f>IF([Occurrence10]=0,0,SUM($EX$2:EX93))</f>
        <v>0</v>
      </c>
      <c r="EZ93" s="160">
        <f>IF([Chambre]*1='CHAMBRES FILLES 2e ETAGE'!$A$59,1,0)</f>
        <v>0</v>
      </c>
      <c r="FA93" s="160">
        <f>IF([Occurrence11]=0,0,SUM($EZ$2:EZ93))</f>
        <v>0</v>
      </c>
      <c r="FB93" s="160">
        <f>IF([Chambre]*1='CHAMBRES FILLES 2e ETAGE'!$A$65,1,0)</f>
        <v>0</v>
      </c>
      <c r="FC93" s="160">
        <f>IF([Occurrence12]=0,0,SUM($FB$2:FB93))</f>
        <v>0</v>
      </c>
      <c r="FD93" s="160">
        <f>IF([Chambre]*1='CHAMBRES FILLES 2e ETAGE'!$A$71,1,0)</f>
        <v>0</v>
      </c>
      <c r="FE93" s="160">
        <f>IF([Occurrence13]=0,0,SUM($FD$2:FD93))</f>
        <v>0</v>
      </c>
      <c r="FF93" s="160">
        <f>IF([Chambre]*1='CHAMBRES FILLES 2e ETAGE'!$A$77,1,0)</f>
        <v>0</v>
      </c>
      <c r="FG93" s="160">
        <f>IF([Occurrence14]=0,0,SUM($FF$2:FF93))</f>
        <v>0</v>
      </c>
      <c r="FH93" s="160">
        <f>IF([Chambre]*1='CHAMBRES FILLES 2e ETAGE'!$A$83,1,0)</f>
        <v>0</v>
      </c>
      <c r="FI93" s="160">
        <f>IF([Occurrence15]=0,0,SUM($FH$2:FH93))</f>
        <v>0</v>
      </c>
      <c r="FJ93" s="160">
        <f>IF([Chambre]*1='CHAMBRES FILLES 2e ETAGE'!$A$89,1,0)</f>
        <v>0</v>
      </c>
      <c r="FK93" s="160">
        <f>IF([Occurrence16]=0,0,SUM($FJ$2:FJ93))</f>
        <v>0</v>
      </c>
      <c r="FL93" s="160">
        <f>IF([Chambre]*1='CHAMBRES FILLES 2e ETAGE'!$A$95,1,0)</f>
        <v>0</v>
      </c>
      <c r="FM93" s="160">
        <f>IF([Occurrence17]=0,0,SUM($FL$2:FL93))</f>
        <v>0</v>
      </c>
      <c r="FN93" s="160">
        <f>IF([Chambre2]*1='CHAMBRES FILLES 1e ETAGE'!$A$5,1,0)</f>
        <v>0</v>
      </c>
      <c r="FO93" s="160">
        <f>IF([Occurrence18]=0,0,SUM($FN$2:FN93))</f>
        <v>0</v>
      </c>
      <c r="FP93" s="160">
        <f>IF([Chambre2]*1='CHAMBRES FILLES 1e ETAGE'!$A$11,1,0)</f>
        <v>0</v>
      </c>
      <c r="FQ93" s="160">
        <f>IF([Occurrence19]=0,0,SUM($FP$2:FP93))</f>
        <v>0</v>
      </c>
      <c r="FR93" s="160">
        <f>IF([Chambre2]*1='CHAMBRES FILLES 1e ETAGE'!$A$17,1,0)</f>
        <v>0</v>
      </c>
      <c r="FS93" s="160">
        <f>IF([Occurrence20]=0,0,SUM($FR$2:FR93))</f>
        <v>0</v>
      </c>
      <c r="FT93" s="160">
        <f>IF([Chambre2]*1='CHAMBRES FILLES 1e ETAGE'!$A$23,1,0)</f>
        <v>0</v>
      </c>
      <c r="FU93" s="160">
        <f>IF([Occurrence21]=0,0,SUM($FT$2:FT93))</f>
        <v>0</v>
      </c>
      <c r="FV93" s="160">
        <f>IF([Chambre2]*1='CHAMBRES FILLES 1e ETAGE'!$A$29,1,0)</f>
        <v>0</v>
      </c>
      <c r="FW93" s="160">
        <f>IF([Occurrence22]=0,0,SUM($FV$2:FV93))</f>
        <v>0</v>
      </c>
      <c r="FX93" s="160">
        <f>IF([Chambre2]*1='CHAMBRES FILLES 1e ETAGE'!$A$35,1,0)</f>
        <v>0</v>
      </c>
      <c r="FY93" s="160">
        <f>IF([Occurrence23]=0,0,SUM($FX$2:FX93))</f>
        <v>0</v>
      </c>
      <c r="FZ93" s="160">
        <f>IF([Chambre2]*1='CHAMBRES FILLES 1e ETAGE'!$A$41,1,0)</f>
        <v>0</v>
      </c>
      <c r="GA93" s="160">
        <f>IF([Occurrence24]=0,0,SUM($FZ$2:FZ93))</f>
        <v>0</v>
      </c>
      <c r="GB93" s="160">
        <f>IF([Chambre2]*1='CHAMBRES FILLES 1e ETAGE'!$A$47,1,0)</f>
        <v>0</v>
      </c>
      <c r="GC93" s="160">
        <f>IF([Occurrence25]=0,0,SUM($GB$2:GB93))</f>
        <v>0</v>
      </c>
      <c r="GD93" s="160">
        <f>IF([Chambre2]*1='CHAMBRES FILLES 1e ETAGE'!$A$53,1,0)</f>
        <v>0</v>
      </c>
      <c r="GE93" s="160">
        <f>IF([Occurrence26]=0,0,SUM($GD$2:GD93))</f>
        <v>0</v>
      </c>
      <c r="GF93" s="160">
        <f>IF([chambre4]*1='CHAMBRES GARCONS 1e ETAGE'!$A$5,1,0)</f>
        <v>0</v>
      </c>
      <c r="GG93" s="160">
        <f>IF([Occurrence27]=0,0,SUM($GF$2:GF93))</f>
        <v>0</v>
      </c>
      <c r="GH93" s="160">
        <f>IF([chambre4]*1='CHAMBRES GARCONS 1e ETAGE'!$A$11,1,0)</f>
        <v>0</v>
      </c>
      <c r="GI93" s="160">
        <f>IF([Occurrence28]=0,0,SUM($GH$2:GH93))</f>
        <v>0</v>
      </c>
      <c r="GJ93" s="160">
        <f>IF([chambre4]*1='CHAMBRES GARCONS 1e ETAGE'!$A$17,1,0)</f>
        <v>0</v>
      </c>
      <c r="GK93" s="160">
        <f>IF([Occurrence29]=0,0,SUM($GJ$2:GJ93))</f>
        <v>0</v>
      </c>
      <c r="GL93" s="160">
        <f>IF([chambre4]*1='CHAMBRES GARCONS 1e ETAGE'!$A$23,1,0)</f>
        <v>0</v>
      </c>
      <c r="GM93" s="160">
        <f>IF([Occurrence30]=0,0,SUM($GL$2:GL93))</f>
        <v>0</v>
      </c>
      <c r="GN93" s="160">
        <f>IF([chambre4]*1='CHAMBRES GARCONS 1e ETAGE'!$A$29,1,0)</f>
        <v>0</v>
      </c>
      <c r="GO93" s="160">
        <f>IF([Occurrence31]=0,0,SUM($GN$2:GN93))</f>
        <v>0</v>
      </c>
      <c r="GP93" s="160">
        <f>IF([chambre4]*1='CHAMBRES GARCONS 1e ETAGE'!$A$35,1,0)</f>
        <v>0</v>
      </c>
      <c r="GQ93" s="160">
        <f>IF([Occurrence32]=0,0,SUM($GP$2:GP93))</f>
        <v>0</v>
      </c>
      <c r="GR93" s="160">
        <f>IF([chambre3]*1='CHAMBRES GARCONS RDC'!$A$5,1,0)</f>
        <v>0</v>
      </c>
      <c r="GS93" s="160">
        <f>IF([Occurrence33]=0,0,SUM($GR$2:GR93))</f>
        <v>0</v>
      </c>
      <c r="GT93" s="160">
        <f>IF([chambre3]*1='CHAMBRES GARCONS RDC'!$A$11,1,0)</f>
        <v>0</v>
      </c>
      <c r="GU93" s="160">
        <f>IF([Occurrence34]=0,0,SUM($GT$2:GT93))</f>
        <v>0</v>
      </c>
      <c r="GV93" s="160">
        <f>IF([chambre3]*1='CHAMBRES GARCONS RDC'!$A$17,1,0)</f>
        <v>0</v>
      </c>
      <c r="GW93" s="160">
        <f>IF([Occurrence35]=0,0,SUM($GV$2:GV93))</f>
        <v>0</v>
      </c>
      <c r="GX93" s="160">
        <f>IF([chambre3]*1='CHAMBRES GARCONS RDC'!$A$23,1,0)</f>
        <v>0</v>
      </c>
      <c r="GY93" s="160">
        <f>IF([Occurrence36]=0,0,SUM($GX$2:GX93))</f>
        <v>0</v>
      </c>
      <c r="GZ93" s="160">
        <f>IF([chambre3]*1='CHAMBRES GARCONS RDC'!$A$29,1,0)</f>
        <v>0</v>
      </c>
      <c r="HA93" s="160">
        <f>IF([Occurrence37]=0,0,SUM($GZ$2:GZ93))</f>
        <v>0</v>
      </c>
      <c r="HB93" s="160">
        <f>IF([chambre3]*1='CHAMBRES GARCONS RDC'!$A$35,1,0)</f>
        <v>0</v>
      </c>
      <c r="HC93" s="160">
        <f>IF([Occurrence38]=0,0,SUM($HB$2:HB93))</f>
        <v>0</v>
      </c>
      <c r="HD93" s="160">
        <f>IF([chambre3]*1='CHAMBRES GARCONS RDC'!$A$41,1,0)</f>
        <v>0</v>
      </c>
      <c r="HE93" s="160">
        <f>IF([Occurrence39]=0,0,SUM($HD$2:HD93))</f>
        <v>0</v>
      </c>
      <c r="HF93" s="160">
        <f>IF([chambre3]*1='CHAMBRES GARCONS RDC'!$A$47,1,0)</f>
        <v>1</v>
      </c>
      <c r="HG93" s="160">
        <f>IF([Occurrence40]=0,0,SUM($HF$2:HF93))</f>
        <v>2</v>
      </c>
      <c r="HH93" s="160">
        <f>IF([chambre3]*1='CHAMBRES GARCONS RDC'!$A$53,1,0)</f>
        <v>0</v>
      </c>
      <c r="HI93" s="160">
        <f>IF([Occurrence41]=0,0,SUM($HH$2:HH93))</f>
        <v>0</v>
      </c>
      <c r="HJ93" s="160">
        <f>IF([chambre3]*1='CHAMBRES GARCONS RDC'!$A$59,1,0)</f>
        <v>0</v>
      </c>
      <c r="HK93" s="160">
        <f>IF([Occurrence42]=0,0,SUM($HJ$2:HJ93))</f>
        <v>0</v>
      </c>
      <c r="HL93" s="160">
        <f>IF([chambre3]*1='CHAMBRES GARCONS RDC'!$A$65,1,0)</f>
        <v>0</v>
      </c>
      <c r="HM93" s="160">
        <f>IF([Occurrence43]=0,0,SUM($HL$2:HL93))</f>
        <v>0</v>
      </c>
      <c r="HN93" s="160">
        <f>IF([chambre3]*1='CHAMBRES GARCONS RDC'!$A$71,1,0)</f>
        <v>0</v>
      </c>
      <c r="HO93" s="160">
        <f>IF([Occurrence44]=0,0,SUM($HN$2:HN93))</f>
        <v>0</v>
      </c>
      <c r="HP93" s="160">
        <f>IF([chambre3]*1='CHAMBRES GARCONS RDC'!$A$77,1,0)</f>
        <v>0</v>
      </c>
      <c r="HQ93" s="160">
        <f>IF([Occurrence45]=0,0,SUM($HP$2:HP93))</f>
        <v>0</v>
      </c>
      <c r="HR93" s="160">
        <f>IF([chambre3]*1='CHAMBRES GARCONS RDC'!$A$83,1,0)</f>
        <v>0</v>
      </c>
      <c r="HS93" s="160">
        <f>IF([Occurrence46]=0,0,SUM($HR$2:HR93))</f>
        <v>0</v>
      </c>
      <c r="HT93" s="160">
        <f>IF([chambre3]*1='CHAMBRES GARCONS RDC'!$A$89,1,0)</f>
        <v>0</v>
      </c>
      <c r="HU93" s="160">
        <f>IF([Occurrence47]=0,0,SUM($HT$2:HT93))</f>
        <v>0</v>
      </c>
      <c r="HV93" s="160">
        <f>IF([chambre3]*1='CHAMBRES GARCONS RDC'!$A$95,1,0)</f>
        <v>0</v>
      </c>
      <c r="HW93" s="160">
        <f>IF([Occurrence48]=0,0,SUM($HV$2:HV93))</f>
        <v>0</v>
      </c>
      <c r="HX93" s="160"/>
      <c r="HY93" s="160"/>
      <c r="HZ93" s="160">
        <f>IF([Classe]='Liste élève par classes'!$B$5,1,0)</f>
        <v>0</v>
      </c>
      <c r="IA93" s="160">
        <f>IF([Occurrence]=0,0,SUM($HZ$2:HZ93))</f>
        <v>0</v>
      </c>
      <c r="IB9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112</v>
      </c>
      <c r="IC93" s="208"/>
    </row>
    <row r="94" spans="1:237">
      <c r="A94" t="s">
        <v>408</v>
      </c>
      <c r="B94" t="s">
        <v>409</v>
      </c>
      <c r="C94" s="158">
        <v>36588</v>
      </c>
      <c r="D94" s="62">
        <f t="shared" ca="1" si="1"/>
        <v>17</v>
      </c>
      <c r="E94" t="s">
        <v>1</v>
      </c>
      <c r="F94" s="159" t="s">
        <v>50</v>
      </c>
      <c r="G94" t="s">
        <v>45</v>
      </c>
      <c r="H94" s="160"/>
      <c r="I94" s="161"/>
      <c r="J94" s="161"/>
      <c r="K94" s="161"/>
      <c r="L94" s="160">
        <v>163</v>
      </c>
      <c r="M94">
        <v>225</v>
      </c>
      <c r="N94" s="161"/>
      <c r="O94" s="161"/>
      <c r="P94" s="161"/>
      <c r="Q94" s="161"/>
      <c r="R94" s="161"/>
      <c r="S94" s="190"/>
      <c r="T94" s="161"/>
      <c r="U94" s="160"/>
      <c r="V94" s="161"/>
      <c r="W94" s="161"/>
      <c r="X94" s="161"/>
      <c r="Y94" s="161"/>
      <c r="Z94" s="161"/>
      <c r="AA94" s="161"/>
      <c r="AB94" s="161"/>
      <c r="AC94" s="161"/>
      <c r="AD94" s="161"/>
      <c r="AE94" s="161"/>
      <c r="AF94" s="163"/>
      <c r="AG94" s="163"/>
      <c r="AH94" s="163"/>
      <c r="AI94" s="163"/>
      <c r="AJ94" s="163"/>
      <c r="AK94" s="163"/>
      <c r="AL94" s="163"/>
      <c r="AM94" s="163"/>
      <c r="AN94" s="163"/>
      <c r="AO94" s="163"/>
      <c r="AP94" s="163"/>
      <c r="AQ94" s="163"/>
      <c r="AR94" s="163"/>
      <c r="AS94" s="163"/>
      <c r="AT94" s="163"/>
      <c r="AU94" s="163"/>
      <c r="AV94" s="163"/>
      <c r="AW94" s="163"/>
      <c r="AX94" s="163"/>
      <c r="AY94" s="163"/>
      <c r="AZ94" s="163"/>
      <c r="BA94" s="163"/>
      <c r="BB94" s="163"/>
      <c r="BC94" s="163" t="b">
        <v>0</v>
      </c>
      <c r="BD94" s="163" t="b">
        <v>1</v>
      </c>
      <c r="BE94" s="163" t="b">
        <v>1</v>
      </c>
      <c r="BF94" s="163" t="b">
        <v>0</v>
      </c>
      <c r="BG94" s="164" t="b">
        <v>0</v>
      </c>
      <c r="BH94" s="163" t="b">
        <v>1</v>
      </c>
      <c r="BI94" s="163"/>
      <c r="BJ94" s="163"/>
      <c r="BK94" s="163"/>
      <c r="BL94" s="163"/>
      <c r="BM94" s="163"/>
      <c r="BN94" s="163"/>
      <c r="BO94" s="163"/>
      <c r="BP94" s="163"/>
      <c r="BQ94" s="163" t="b">
        <v>1</v>
      </c>
      <c r="BR94" s="163"/>
      <c r="BS94" s="163"/>
      <c r="BT94" s="163"/>
      <c r="BU94" s="163"/>
      <c r="BV94" s="163"/>
      <c r="BW94" s="163"/>
      <c r="BX94" s="163"/>
      <c r="BY94" s="163"/>
      <c r="BZ94" s="163"/>
      <c r="CA94" s="163"/>
      <c r="CB94" s="163"/>
      <c r="CC94" s="163"/>
      <c r="CD94" s="163"/>
      <c r="CE94" s="163"/>
      <c r="CF94" s="163"/>
      <c r="CG94" s="163"/>
      <c r="CH94" s="163"/>
      <c r="CI94" s="163"/>
      <c r="CJ94" s="163"/>
      <c r="CK94" s="163"/>
      <c r="CL94" s="163"/>
      <c r="CM94" s="163"/>
      <c r="CN94" s="163"/>
      <c r="CO94" s="163"/>
      <c r="CP94" s="163"/>
      <c r="CQ94" s="163"/>
      <c r="CR94" s="163"/>
      <c r="CS94" s="163"/>
      <c r="CT94" s="163"/>
      <c r="CU94" s="163"/>
      <c r="CV94" s="163"/>
      <c r="CW94" s="163"/>
      <c r="CX94" s="163"/>
      <c r="CY94" s="163"/>
      <c r="CZ94" s="163"/>
      <c r="DA94" s="163"/>
      <c r="DB94" s="163"/>
      <c r="DC94" s="163"/>
      <c r="DD94" s="163"/>
      <c r="DE94" s="163"/>
      <c r="DF94" s="163"/>
      <c r="DG94" s="208"/>
      <c r="DH94" s="163"/>
      <c r="DI94" s="163"/>
      <c r="DJ94" s="163"/>
      <c r="DK94" s="163"/>
      <c r="DL94" s="163"/>
      <c r="DM94" s="163"/>
      <c r="DN94" s="163"/>
      <c r="DO94" s="163"/>
      <c r="DP94" s="163"/>
      <c r="DQ94" s="163"/>
      <c r="DR94" s="163"/>
      <c r="DS94" s="163"/>
      <c r="DT94" s="163"/>
      <c r="DU94" s="163"/>
      <c r="DV94" s="163"/>
      <c r="DW94" s="163"/>
      <c r="DX94" s="163"/>
      <c r="DY94" s="163"/>
      <c r="DZ94" s="163"/>
      <c r="EA94" s="163"/>
      <c r="EB94" s="163"/>
      <c r="EC94" s="163"/>
      <c r="ED94" s="163"/>
      <c r="EE94" s="163"/>
      <c r="EF94" s="163"/>
      <c r="EG94" s="163"/>
      <c r="EH94" s="160">
        <f>IF([Chambre]*1='CHAMBRES FILLES 2e ETAGE'!$A$5,1,0)</f>
        <v>0</v>
      </c>
      <c r="EI94" s="161">
        <f>IF([Occurrence2]=0,0,SUM($EH$2:EH94))</f>
        <v>0</v>
      </c>
      <c r="EJ94" s="160">
        <f>IF([Chambre]*1='CHAMBRES FILLES 2e ETAGE'!$A$11,1,0)</f>
        <v>0</v>
      </c>
      <c r="EK94" s="160">
        <f>IF([Occurrence3]=0,0,SUM($EJ$2:EJ94))</f>
        <v>0</v>
      </c>
      <c r="EL94" s="160">
        <f>IF([Chambre]*1='CHAMBRES FILLES 2e ETAGE'!$A$17,1,0)</f>
        <v>0</v>
      </c>
      <c r="EM94" s="160">
        <f>IF([Occurrence4]=0,0,SUM($EL$2:EL94))</f>
        <v>0</v>
      </c>
      <c r="EN94" s="160">
        <f>IF([Chambre]*1='CHAMBRES FILLES 2e ETAGE'!$A$23,1,0)</f>
        <v>0</v>
      </c>
      <c r="EO94" s="160">
        <f>IF([Occurrence5]=0,0,SUM($EN$2:EN94))</f>
        <v>0</v>
      </c>
      <c r="EP94" s="160">
        <f>IF([Chambre]*1='CHAMBRES FILLES 2e ETAGE'!$A$29,1,0)</f>
        <v>0</v>
      </c>
      <c r="EQ94" s="160">
        <f>IF([Occurrence6]=0,0,SUM($EP$2:EP94))</f>
        <v>0</v>
      </c>
      <c r="ER94" s="160">
        <f>IF([Chambre]*1='CHAMBRES FILLES 2e ETAGE'!$A$35,1,0)</f>
        <v>0</v>
      </c>
      <c r="ES94" s="160">
        <f>IF([Occurrence7]=0,0,SUM($ER$2:ER94))</f>
        <v>0</v>
      </c>
      <c r="ET94" s="160">
        <f>IF([Chambre]*1='CHAMBRES FILLES 2e ETAGE'!$A$41,1,0)</f>
        <v>0</v>
      </c>
      <c r="EU94" s="160">
        <f>IF([Occurrence8]=0,0,SUM($ET$2:ET94))</f>
        <v>0</v>
      </c>
      <c r="EV94" s="160">
        <f>IF([Chambre]*1='CHAMBRES FILLES 2e ETAGE'!$A$47,1,0)</f>
        <v>0</v>
      </c>
      <c r="EW94" s="160">
        <f>IF([Occurrence9]=0,0,SUM($EV$2:EV94))</f>
        <v>0</v>
      </c>
      <c r="EX94" s="160">
        <f>IF([Chambre]*1='CHAMBRES FILLES 2e ETAGE'!$A$53,1,0)</f>
        <v>0</v>
      </c>
      <c r="EY94" s="160">
        <f>IF([Occurrence10]=0,0,SUM($EX$2:EX94))</f>
        <v>0</v>
      </c>
      <c r="EZ94" s="160">
        <f>IF([Chambre]*1='CHAMBRES FILLES 2e ETAGE'!$A$59,1,0)</f>
        <v>1</v>
      </c>
      <c r="FA94" s="160">
        <f>IF([Occurrence11]=0,0,SUM($EZ$2:EZ94))</f>
        <v>1</v>
      </c>
      <c r="FB94" s="160">
        <f>IF([Chambre]*1='CHAMBRES FILLES 2e ETAGE'!$A$65,1,0)</f>
        <v>0</v>
      </c>
      <c r="FC94" s="160">
        <f>IF([Occurrence12]=0,0,SUM($FB$2:FB94))</f>
        <v>0</v>
      </c>
      <c r="FD94" s="160">
        <f>IF([Chambre]*1='CHAMBRES FILLES 2e ETAGE'!$A$71,1,0)</f>
        <v>0</v>
      </c>
      <c r="FE94" s="160">
        <f>IF([Occurrence13]=0,0,SUM($FD$2:FD94))</f>
        <v>0</v>
      </c>
      <c r="FF94" s="160">
        <f>IF([Chambre]*1='CHAMBRES FILLES 2e ETAGE'!$A$77,1,0)</f>
        <v>0</v>
      </c>
      <c r="FG94" s="160">
        <f>IF([Occurrence14]=0,0,SUM($FF$2:FF94))</f>
        <v>0</v>
      </c>
      <c r="FH94" s="160">
        <f>IF([Chambre]*1='CHAMBRES FILLES 2e ETAGE'!$A$83,1,0)</f>
        <v>0</v>
      </c>
      <c r="FI94" s="160">
        <f>IF([Occurrence15]=0,0,SUM($FH$2:FH94))</f>
        <v>0</v>
      </c>
      <c r="FJ94" s="160">
        <f>IF([Chambre]*1='CHAMBRES FILLES 2e ETAGE'!$A$89,1,0)</f>
        <v>0</v>
      </c>
      <c r="FK94" s="160">
        <f>IF([Occurrence16]=0,0,SUM($FJ$2:FJ94))</f>
        <v>0</v>
      </c>
      <c r="FL94" s="160">
        <f>IF([Chambre]*1='CHAMBRES FILLES 2e ETAGE'!$A$95,1,0)</f>
        <v>0</v>
      </c>
      <c r="FM94" s="160">
        <f>IF([Occurrence17]=0,0,SUM($FL$2:FL94))</f>
        <v>0</v>
      </c>
      <c r="FN94" s="160">
        <f>IF([Chambre2]*1='CHAMBRES FILLES 1e ETAGE'!$A$5,1,0)</f>
        <v>0</v>
      </c>
      <c r="FO94" s="160">
        <f>IF([Occurrence18]=0,0,SUM($FN$2:FN94))</f>
        <v>0</v>
      </c>
      <c r="FP94" s="160">
        <f>IF([Chambre2]*1='CHAMBRES FILLES 1e ETAGE'!$A$11,1,0)</f>
        <v>0</v>
      </c>
      <c r="FQ94" s="160">
        <f>IF([Occurrence19]=0,0,SUM($FP$2:FP94))</f>
        <v>0</v>
      </c>
      <c r="FR94" s="160">
        <f>IF([Chambre2]*1='CHAMBRES FILLES 1e ETAGE'!$A$17,1,0)</f>
        <v>0</v>
      </c>
      <c r="FS94" s="160">
        <f>IF([Occurrence20]=0,0,SUM($FR$2:FR94))</f>
        <v>0</v>
      </c>
      <c r="FT94" s="160">
        <f>IF([Chambre2]*1='CHAMBRES FILLES 1e ETAGE'!$A$23,1,0)</f>
        <v>0</v>
      </c>
      <c r="FU94" s="160">
        <f>IF([Occurrence21]=0,0,SUM($FT$2:FT94))</f>
        <v>0</v>
      </c>
      <c r="FV94" s="160">
        <f>IF([Chambre2]*1='CHAMBRES FILLES 1e ETAGE'!$A$29,1,0)</f>
        <v>0</v>
      </c>
      <c r="FW94" s="160">
        <f>IF([Occurrence22]=0,0,SUM($FV$2:FV94))</f>
        <v>0</v>
      </c>
      <c r="FX94" s="160">
        <f>IF([Chambre2]*1='CHAMBRES FILLES 1e ETAGE'!$A$35,1,0)</f>
        <v>0</v>
      </c>
      <c r="FY94" s="160">
        <f>IF([Occurrence23]=0,0,SUM($FX$2:FX94))</f>
        <v>0</v>
      </c>
      <c r="FZ94" s="160">
        <f>IF([Chambre2]*1='CHAMBRES FILLES 1e ETAGE'!$A$41,1,0)</f>
        <v>0</v>
      </c>
      <c r="GA94" s="160">
        <f>IF([Occurrence24]=0,0,SUM($FZ$2:FZ94))</f>
        <v>0</v>
      </c>
      <c r="GB94" s="160">
        <f>IF([Chambre2]*1='CHAMBRES FILLES 1e ETAGE'!$A$47,1,0)</f>
        <v>0</v>
      </c>
      <c r="GC94" s="160">
        <f>IF([Occurrence25]=0,0,SUM($GB$2:GB94))</f>
        <v>0</v>
      </c>
      <c r="GD94" s="160">
        <f>IF([Chambre2]*1='CHAMBRES FILLES 1e ETAGE'!$A$53,1,0)</f>
        <v>0</v>
      </c>
      <c r="GE94" s="160">
        <f>IF([Occurrence26]=0,0,SUM($GD$2:GD94))</f>
        <v>0</v>
      </c>
      <c r="GF94" s="160">
        <f>IF([chambre4]*1='CHAMBRES GARCONS 1e ETAGE'!$A$5,1,0)</f>
        <v>0</v>
      </c>
      <c r="GG94" s="160">
        <f>IF([Occurrence27]=0,0,SUM($GF$2:GF94))</f>
        <v>0</v>
      </c>
      <c r="GH94" s="160">
        <f>IF([chambre4]*1='CHAMBRES GARCONS 1e ETAGE'!$A$11,1,0)</f>
        <v>0</v>
      </c>
      <c r="GI94" s="160">
        <f>IF([Occurrence28]=0,0,SUM($GH$2:GH94))</f>
        <v>0</v>
      </c>
      <c r="GJ94" s="160">
        <f>IF([chambre4]*1='CHAMBRES GARCONS 1e ETAGE'!$A$17,1,0)</f>
        <v>0</v>
      </c>
      <c r="GK94" s="160">
        <f>IF([Occurrence29]=0,0,SUM($GJ$2:GJ94))</f>
        <v>0</v>
      </c>
      <c r="GL94" s="160">
        <f>IF([chambre4]*1='CHAMBRES GARCONS 1e ETAGE'!$A$23,1,0)</f>
        <v>0</v>
      </c>
      <c r="GM94" s="160">
        <f>IF([Occurrence30]=0,0,SUM($GL$2:GL94))</f>
        <v>0</v>
      </c>
      <c r="GN94" s="160">
        <f>IF([chambre4]*1='CHAMBRES GARCONS 1e ETAGE'!$A$29,1,0)</f>
        <v>0</v>
      </c>
      <c r="GO94" s="160">
        <f>IF([Occurrence31]=0,0,SUM($GN$2:GN94))</f>
        <v>0</v>
      </c>
      <c r="GP94" s="160">
        <f>IF([chambre4]*1='CHAMBRES GARCONS 1e ETAGE'!$A$35,1,0)</f>
        <v>0</v>
      </c>
      <c r="GQ94" s="160">
        <f>IF([Occurrence32]=0,0,SUM($GP$2:GP94))</f>
        <v>0</v>
      </c>
      <c r="GR94" s="160">
        <f>IF([chambre3]*1='CHAMBRES GARCONS RDC'!$A$5,1,0)</f>
        <v>0</v>
      </c>
      <c r="GS94" s="160">
        <f>IF([Occurrence33]=0,0,SUM($GR$2:GR94))</f>
        <v>0</v>
      </c>
      <c r="GT94" s="160">
        <f>IF([chambre3]*1='CHAMBRES GARCONS RDC'!$A$11,1,0)</f>
        <v>0</v>
      </c>
      <c r="GU94" s="160">
        <f>IF([Occurrence34]=0,0,SUM($GT$2:GT94))</f>
        <v>0</v>
      </c>
      <c r="GV94" s="160">
        <f>IF([chambre3]*1='CHAMBRES GARCONS RDC'!$A$17,1,0)</f>
        <v>0</v>
      </c>
      <c r="GW94" s="160">
        <f>IF([Occurrence35]=0,0,SUM($GV$2:GV94))</f>
        <v>0</v>
      </c>
      <c r="GX94" s="160">
        <f>IF([chambre3]*1='CHAMBRES GARCONS RDC'!$A$23,1,0)</f>
        <v>0</v>
      </c>
      <c r="GY94" s="160">
        <f>IF([Occurrence36]=0,0,SUM($GX$2:GX94))</f>
        <v>0</v>
      </c>
      <c r="GZ94" s="160">
        <f>IF([chambre3]*1='CHAMBRES GARCONS RDC'!$A$29,1,0)</f>
        <v>0</v>
      </c>
      <c r="HA94" s="160">
        <f>IF([Occurrence37]=0,0,SUM($GZ$2:GZ94))</f>
        <v>0</v>
      </c>
      <c r="HB94" s="160">
        <f>IF([chambre3]*1='CHAMBRES GARCONS RDC'!$A$35,1,0)</f>
        <v>0</v>
      </c>
      <c r="HC94" s="160">
        <f>IF([Occurrence38]=0,0,SUM($HB$2:HB94))</f>
        <v>0</v>
      </c>
      <c r="HD94" s="160">
        <f>IF([chambre3]*1='CHAMBRES GARCONS RDC'!$A$41,1,0)</f>
        <v>0</v>
      </c>
      <c r="HE94" s="160">
        <f>IF([Occurrence39]=0,0,SUM($HD$2:HD94))</f>
        <v>0</v>
      </c>
      <c r="HF94" s="160">
        <f>IF([chambre3]*1='CHAMBRES GARCONS RDC'!$A$47,1,0)</f>
        <v>0</v>
      </c>
      <c r="HG94" s="160">
        <f>IF([Occurrence40]=0,0,SUM($HF$2:HF94))</f>
        <v>0</v>
      </c>
      <c r="HH94" s="160">
        <f>IF([chambre3]*1='CHAMBRES GARCONS RDC'!$A$53,1,0)</f>
        <v>0</v>
      </c>
      <c r="HI94" s="160">
        <f>IF([Occurrence41]=0,0,SUM($HH$2:HH94))</f>
        <v>0</v>
      </c>
      <c r="HJ94" s="160">
        <f>IF([chambre3]*1='CHAMBRES GARCONS RDC'!$A$59,1,0)</f>
        <v>0</v>
      </c>
      <c r="HK94" s="160">
        <f>IF([Occurrence42]=0,0,SUM($HJ$2:HJ94))</f>
        <v>0</v>
      </c>
      <c r="HL94" s="160">
        <f>IF([chambre3]*1='CHAMBRES GARCONS RDC'!$A$65,1,0)</f>
        <v>0</v>
      </c>
      <c r="HM94" s="160">
        <f>IF([Occurrence43]=0,0,SUM($HL$2:HL94))</f>
        <v>0</v>
      </c>
      <c r="HN94" s="160">
        <f>IF([chambre3]*1='CHAMBRES GARCONS RDC'!$A$71,1,0)</f>
        <v>0</v>
      </c>
      <c r="HO94" s="160">
        <f>IF([Occurrence44]=0,0,SUM($HN$2:HN94))</f>
        <v>0</v>
      </c>
      <c r="HP94" s="160">
        <f>IF([chambre3]*1='CHAMBRES GARCONS RDC'!$A$77,1,0)</f>
        <v>0</v>
      </c>
      <c r="HQ94" s="160">
        <f>IF([Occurrence45]=0,0,SUM($HP$2:HP94))</f>
        <v>0</v>
      </c>
      <c r="HR94" s="160">
        <f>IF([chambre3]*1='CHAMBRES GARCONS RDC'!$A$83,1,0)</f>
        <v>0</v>
      </c>
      <c r="HS94" s="160">
        <f>IF([Occurrence46]=0,0,SUM($HR$2:HR94))</f>
        <v>0</v>
      </c>
      <c r="HT94" s="160">
        <f>IF([chambre3]*1='CHAMBRES GARCONS RDC'!$A$89,1,0)</f>
        <v>0</v>
      </c>
      <c r="HU94" s="160">
        <f>IF([Occurrence47]=0,0,SUM($HT$2:HT94))</f>
        <v>0</v>
      </c>
      <c r="HV94" s="160">
        <f>IF([chambre3]*1='CHAMBRES GARCONS RDC'!$A$95,1,0)</f>
        <v>0</v>
      </c>
      <c r="HW94" s="160">
        <f>IF([Occurrence48]=0,0,SUM($HV$2:HV94))</f>
        <v>0</v>
      </c>
      <c r="HX94" s="160"/>
      <c r="HY94" s="160"/>
      <c r="HZ94" s="160">
        <f>IF([Classe]='Liste élève par classes'!$B$5,1,0)</f>
        <v>0</v>
      </c>
      <c r="IA94" s="160">
        <f>IF([Occurrence]=0,0,SUM($HZ$2:HZ94))</f>
        <v>0</v>
      </c>
      <c r="IB9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163</v>
      </c>
      <c r="IC94" s="208"/>
    </row>
    <row r="95" spans="1:237">
      <c r="A95" t="s">
        <v>410</v>
      </c>
      <c r="B95" t="s">
        <v>367</v>
      </c>
      <c r="C95" s="158">
        <v>37088</v>
      </c>
      <c r="D95" s="62">
        <f t="shared" ca="1" si="1"/>
        <v>16</v>
      </c>
      <c r="E95" t="s">
        <v>6</v>
      </c>
      <c r="F95" s="159" t="s">
        <v>50</v>
      </c>
      <c r="G95" t="s">
        <v>45</v>
      </c>
      <c r="H95" s="160"/>
      <c r="I95" s="62"/>
      <c r="J95" s="62"/>
      <c r="K95" s="62"/>
      <c r="L95" s="61"/>
      <c r="M95">
        <v>61</v>
      </c>
      <c r="N95" s="62"/>
      <c r="O95" s="62"/>
      <c r="P95" s="62"/>
      <c r="Q95" s="62"/>
      <c r="R95" s="62"/>
      <c r="S95" s="191"/>
      <c r="T95" s="62"/>
      <c r="U95" s="61">
        <v>142</v>
      </c>
      <c r="V95" s="62"/>
      <c r="W95" s="62"/>
      <c r="X95" s="62"/>
      <c r="Y95" s="62"/>
      <c r="Z95" s="62"/>
      <c r="AA95" s="62"/>
      <c r="AB95" s="62"/>
      <c r="AC95" s="62"/>
      <c r="AD95" s="62"/>
      <c r="AE95" s="62"/>
      <c r="AF95" s="163"/>
      <c r="AG95" s="163"/>
      <c r="AH95" s="163"/>
      <c r="AI95" s="163"/>
      <c r="AJ95" s="163"/>
      <c r="AK95" s="163"/>
      <c r="AL95" s="163"/>
      <c r="AM95" s="163"/>
      <c r="AN95" s="163"/>
      <c r="AO95" s="163"/>
      <c r="AP95" s="163"/>
      <c r="AQ95" s="163"/>
      <c r="AR95" s="163"/>
      <c r="AS95" s="163"/>
      <c r="AT95" s="163"/>
      <c r="AU95" s="163"/>
      <c r="AV95" s="163"/>
      <c r="AW95" s="163"/>
      <c r="AX95" s="163"/>
      <c r="AY95" s="163"/>
      <c r="AZ95" s="163"/>
      <c r="BA95" s="163"/>
      <c r="BB95" s="163"/>
      <c r="BC95" s="163" t="b">
        <v>0</v>
      </c>
      <c r="BD95" s="163" t="b">
        <v>1</v>
      </c>
      <c r="BE95" s="163" t="b">
        <v>1</v>
      </c>
      <c r="BF95" s="163" t="b">
        <v>0</v>
      </c>
      <c r="BG95" s="164" t="b">
        <v>0</v>
      </c>
      <c r="BH95" s="163" t="b">
        <v>1</v>
      </c>
      <c r="BI95" s="163"/>
      <c r="BJ95" s="163"/>
      <c r="BK95" s="163"/>
      <c r="BL95" s="163"/>
      <c r="BM95" s="163"/>
      <c r="BN95" s="163"/>
      <c r="BO95" s="163"/>
      <c r="BP95" s="163"/>
      <c r="BQ95" s="163" t="b">
        <v>0</v>
      </c>
      <c r="BR95" s="163"/>
      <c r="BS95" s="163"/>
      <c r="BT95" s="163"/>
      <c r="BU95" s="163"/>
      <c r="BV95" s="163"/>
      <c r="BW95" s="163"/>
      <c r="BX95" s="163"/>
      <c r="BY95" s="163"/>
      <c r="BZ95" s="163"/>
      <c r="CA95" s="163"/>
      <c r="CB95" s="163"/>
      <c r="CC95" s="163"/>
      <c r="CD95" s="163"/>
      <c r="CE95" s="163"/>
      <c r="CF95" s="163"/>
      <c r="CG95" s="163"/>
      <c r="CH95" s="163"/>
      <c r="CI95" s="163"/>
      <c r="CJ95" s="163"/>
      <c r="CK95" s="163"/>
      <c r="CL95" s="163"/>
      <c r="CM95" s="163"/>
      <c r="CN95" s="163"/>
      <c r="CO95" s="163"/>
      <c r="CP95" s="163"/>
      <c r="CQ95" s="163"/>
      <c r="CR95" s="163"/>
      <c r="CS95" s="163"/>
      <c r="CT95" s="163"/>
      <c r="CU95" s="163"/>
      <c r="CV95" s="163"/>
      <c r="CW95" s="163"/>
      <c r="CX95" s="163"/>
      <c r="CY95" s="163"/>
      <c r="CZ95" s="163"/>
      <c r="DA95" s="163"/>
      <c r="DB95" s="163"/>
      <c r="DC95" s="163"/>
      <c r="DD95" s="163"/>
      <c r="DE95" s="163"/>
      <c r="DF95" s="163"/>
      <c r="DG95" s="208"/>
      <c r="DH95" s="163"/>
      <c r="DI95" s="163"/>
      <c r="DJ95" s="163"/>
      <c r="DK95" s="163"/>
      <c r="DL95" s="163"/>
      <c r="DM95" s="163"/>
      <c r="DN95" s="163"/>
      <c r="DO95" s="163"/>
      <c r="DP95" s="163"/>
      <c r="DQ95" s="163"/>
      <c r="DR95" s="163"/>
      <c r="DS95" s="163"/>
      <c r="DT95" s="163"/>
      <c r="DU95" s="163"/>
      <c r="DV95" s="163"/>
      <c r="DW95" s="163"/>
      <c r="DX95" s="163"/>
      <c r="DY95" s="163"/>
      <c r="DZ95" s="163"/>
      <c r="EA95" s="163"/>
      <c r="EB95" s="163"/>
      <c r="EC95" s="163"/>
      <c r="ED95" s="163"/>
      <c r="EE95" s="163"/>
      <c r="EF95" s="163"/>
      <c r="EG95" s="163"/>
      <c r="EH95" s="160">
        <f>IF([Chambre]*1='CHAMBRES FILLES 2e ETAGE'!$A$5,1,0)</f>
        <v>0</v>
      </c>
      <c r="EI95" s="161">
        <f>IF([Occurrence2]=0,0,SUM($EH$2:EH95))</f>
        <v>0</v>
      </c>
      <c r="EJ95" s="160">
        <f>IF([Chambre]*1='CHAMBRES FILLES 2e ETAGE'!$A$11,1,0)</f>
        <v>0</v>
      </c>
      <c r="EK95" s="160">
        <f>IF([Occurrence3]=0,0,SUM($EJ$2:EJ95))</f>
        <v>0</v>
      </c>
      <c r="EL95" s="160">
        <f>IF([Chambre]*1='CHAMBRES FILLES 2e ETAGE'!$A$17,1,0)</f>
        <v>0</v>
      </c>
      <c r="EM95" s="160">
        <f>IF([Occurrence4]=0,0,SUM($EL$2:EL95))</f>
        <v>0</v>
      </c>
      <c r="EN95" s="160">
        <f>IF([Chambre]*1='CHAMBRES FILLES 2e ETAGE'!$A$23,1,0)</f>
        <v>0</v>
      </c>
      <c r="EO95" s="160">
        <f>IF([Occurrence5]=0,0,SUM($EN$2:EN95))</f>
        <v>0</v>
      </c>
      <c r="EP95" s="160">
        <f>IF([Chambre]*1='CHAMBRES FILLES 2e ETAGE'!$A$29,1,0)</f>
        <v>0</v>
      </c>
      <c r="EQ95" s="160">
        <f>IF([Occurrence6]=0,0,SUM($EP$2:EP95))</f>
        <v>0</v>
      </c>
      <c r="ER95" s="160">
        <f>IF([Chambre]*1='CHAMBRES FILLES 2e ETAGE'!$A$35,1,0)</f>
        <v>0</v>
      </c>
      <c r="ES95" s="160">
        <f>IF([Occurrence7]=0,0,SUM($ER$2:ER95))</f>
        <v>0</v>
      </c>
      <c r="ET95" s="160">
        <f>IF([Chambre]*1='CHAMBRES FILLES 2e ETAGE'!$A$41,1,0)</f>
        <v>0</v>
      </c>
      <c r="EU95" s="160">
        <f>IF([Occurrence8]=0,0,SUM($ET$2:ET95))</f>
        <v>0</v>
      </c>
      <c r="EV95" s="160">
        <f>IF([Chambre]*1='CHAMBRES FILLES 2e ETAGE'!$A$47,1,0)</f>
        <v>0</v>
      </c>
      <c r="EW95" s="160">
        <f>IF([Occurrence9]=0,0,SUM($EV$2:EV95))</f>
        <v>0</v>
      </c>
      <c r="EX95" s="160">
        <f>IF([Chambre]*1='CHAMBRES FILLES 2e ETAGE'!$A$53,1,0)</f>
        <v>0</v>
      </c>
      <c r="EY95" s="160">
        <f>IF([Occurrence10]=0,0,SUM($EX$2:EX95))</f>
        <v>0</v>
      </c>
      <c r="EZ95" s="160">
        <f>IF([Chambre]*1='CHAMBRES FILLES 2e ETAGE'!$A$59,1,0)</f>
        <v>0</v>
      </c>
      <c r="FA95" s="160">
        <f>IF([Occurrence11]=0,0,SUM($EZ$2:EZ95))</f>
        <v>0</v>
      </c>
      <c r="FB95" s="160">
        <f>IF([Chambre]*1='CHAMBRES FILLES 2e ETAGE'!$A$65,1,0)</f>
        <v>0</v>
      </c>
      <c r="FC95" s="160">
        <f>IF([Occurrence12]=0,0,SUM($FB$2:FB95))</f>
        <v>0</v>
      </c>
      <c r="FD95" s="160">
        <f>IF([Chambre]*1='CHAMBRES FILLES 2e ETAGE'!$A$71,1,0)</f>
        <v>0</v>
      </c>
      <c r="FE95" s="160">
        <f>IF([Occurrence13]=0,0,SUM($FD$2:FD95))</f>
        <v>0</v>
      </c>
      <c r="FF95" s="160">
        <f>IF([Chambre]*1='CHAMBRES FILLES 2e ETAGE'!$A$77,1,0)</f>
        <v>0</v>
      </c>
      <c r="FG95" s="160">
        <f>IF([Occurrence14]=0,0,SUM($FF$2:FF95))</f>
        <v>0</v>
      </c>
      <c r="FH95" s="160">
        <f>IF([Chambre]*1='CHAMBRES FILLES 2e ETAGE'!$A$83,1,0)</f>
        <v>0</v>
      </c>
      <c r="FI95" s="160">
        <f>IF([Occurrence15]=0,0,SUM($FH$2:FH95))</f>
        <v>0</v>
      </c>
      <c r="FJ95" s="160">
        <f>IF([Chambre]*1='CHAMBRES FILLES 2e ETAGE'!$A$89,1,0)</f>
        <v>0</v>
      </c>
      <c r="FK95" s="160">
        <f>IF([Occurrence16]=0,0,SUM($FJ$2:FJ95))</f>
        <v>0</v>
      </c>
      <c r="FL95" s="160">
        <f>IF([Chambre]*1='CHAMBRES FILLES 2e ETAGE'!$A$95,1,0)</f>
        <v>0</v>
      </c>
      <c r="FM95" s="160">
        <f>IF([Occurrence17]=0,0,SUM($FL$2:FL95))</f>
        <v>0</v>
      </c>
      <c r="FN95" s="160">
        <f>IF([Chambre2]*1='CHAMBRES FILLES 1e ETAGE'!$A$5,1,0)</f>
        <v>0</v>
      </c>
      <c r="FO95" s="160">
        <f>IF([Occurrence18]=0,0,SUM($FN$2:FN95))</f>
        <v>0</v>
      </c>
      <c r="FP95" s="160">
        <f>IF([Chambre2]*1='CHAMBRES FILLES 1e ETAGE'!$A$11,1,0)</f>
        <v>0</v>
      </c>
      <c r="FQ95" s="160">
        <f>IF([Occurrence19]=0,0,SUM($FP$2:FP95))</f>
        <v>0</v>
      </c>
      <c r="FR95" s="160">
        <f>IF([Chambre2]*1='CHAMBRES FILLES 1e ETAGE'!$A$17,1,0)</f>
        <v>0</v>
      </c>
      <c r="FS95" s="160">
        <f>IF([Occurrence20]=0,0,SUM($FR$2:FR95))</f>
        <v>0</v>
      </c>
      <c r="FT95" s="160">
        <f>IF([Chambre2]*1='CHAMBRES FILLES 1e ETAGE'!$A$23,1,0)</f>
        <v>0</v>
      </c>
      <c r="FU95" s="160">
        <f>IF([Occurrence21]=0,0,SUM($FT$2:FT95))</f>
        <v>0</v>
      </c>
      <c r="FV95" s="160">
        <f>IF([Chambre2]*1='CHAMBRES FILLES 1e ETAGE'!$A$29,1,0)</f>
        <v>0</v>
      </c>
      <c r="FW95" s="160">
        <f>IF([Occurrence22]=0,0,SUM($FV$2:FV95))</f>
        <v>0</v>
      </c>
      <c r="FX95" s="160">
        <f>IF([Chambre2]*1='CHAMBRES FILLES 1e ETAGE'!$A$35,1,0)</f>
        <v>1</v>
      </c>
      <c r="FY95" s="160">
        <f>IF([Occurrence23]=0,0,SUM($FX$2:FX95))</f>
        <v>3</v>
      </c>
      <c r="FZ95" s="160">
        <f>IF([Chambre2]*1='CHAMBRES FILLES 1e ETAGE'!$A$41,1,0)</f>
        <v>0</v>
      </c>
      <c r="GA95" s="160">
        <f>IF([Occurrence24]=0,0,SUM($FZ$2:FZ95))</f>
        <v>0</v>
      </c>
      <c r="GB95" s="160">
        <f>IF([Chambre2]*1='CHAMBRES FILLES 1e ETAGE'!$A$47,1,0)</f>
        <v>0</v>
      </c>
      <c r="GC95" s="160">
        <f>IF([Occurrence25]=0,0,SUM($GB$2:GB95))</f>
        <v>0</v>
      </c>
      <c r="GD95" s="160">
        <f>IF([Chambre2]*1='CHAMBRES FILLES 1e ETAGE'!$A$53,1,0)</f>
        <v>0</v>
      </c>
      <c r="GE95" s="160">
        <f>IF([Occurrence26]=0,0,SUM($GD$2:GD95))</f>
        <v>0</v>
      </c>
      <c r="GF95" s="160">
        <f>IF([chambre4]*1='CHAMBRES GARCONS 1e ETAGE'!$A$5,1,0)</f>
        <v>0</v>
      </c>
      <c r="GG95" s="160">
        <f>IF([Occurrence27]=0,0,SUM($GF$2:GF95))</f>
        <v>0</v>
      </c>
      <c r="GH95" s="160">
        <f>IF([chambre4]*1='CHAMBRES GARCONS 1e ETAGE'!$A$11,1,0)</f>
        <v>0</v>
      </c>
      <c r="GI95" s="160">
        <f>IF([Occurrence28]=0,0,SUM($GH$2:GH95))</f>
        <v>0</v>
      </c>
      <c r="GJ95" s="160">
        <f>IF([chambre4]*1='CHAMBRES GARCONS 1e ETAGE'!$A$17,1,0)</f>
        <v>0</v>
      </c>
      <c r="GK95" s="160">
        <f>IF([Occurrence29]=0,0,SUM($GJ$2:GJ95))</f>
        <v>0</v>
      </c>
      <c r="GL95" s="160">
        <f>IF([chambre4]*1='CHAMBRES GARCONS 1e ETAGE'!$A$23,1,0)</f>
        <v>0</v>
      </c>
      <c r="GM95" s="160">
        <f>IF([Occurrence30]=0,0,SUM($GL$2:GL95))</f>
        <v>0</v>
      </c>
      <c r="GN95" s="160">
        <f>IF([chambre4]*1='CHAMBRES GARCONS 1e ETAGE'!$A$29,1,0)</f>
        <v>0</v>
      </c>
      <c r="GO95" s="160">
        <f>IF([Occurrence31]=0,0,SUM($GN$2:GN95))</f>
        <v>0</v>
      </c>
      <c r="GP95" s="160">
        <f>IF([chambre4]*1='CHAMBRES GARCONS 1e ETAGE'!$A$35,1,0)</f>
        <v>0</v>
      </c>
      <c r="GQ95" s="160">
        <f>IF([Occurrence32]=0,0,SUM($GP$2:GP95))</f>
        <v>0</v>
      </c>
      <c r="GR95" s="160">
        <f>IF([chambre3]*1='CHAMBRES GARCONS RDC'!$A$5,1,0)</f>
        <v>0</v>
      </c>
      <c r="GS95" s="160">
        <f>IF([Occurrence33]=0,0,SUM($GR$2:GR95))</f>
        <v>0</v>
      </c>
      <c r="GT95" s="160">
        <f>IF([chambre3]*1='CHAMBRES GARCONS RDC'!$A$11,1,0)</f>
        <v>0</v>
      </c>
      <c r="GU95" s="160">
        <f>IF([Occurrence34]=0,0,SUM($GT$2:GT95))</f>
        <v>0</v>
      </c>
      <c r="GV95" s="160">
        <f>IF([chambre3]*1='CHAMBRES GARCONS RDC'!$A$17,1,0)</f>
        <v>0</v>
      </c>
      <c r="GW95" s="160">
        <f>IF([Occurrence35]=0,0,SUM($GV$2:GV95))</f>
        <v>0</v>
      </c>
      <c r="GX95" s="160">
        <f>IF([chambre3]*1='CHAMBRES GARCONS RDC'!$A$23,1,0)</f>
        <v>0</v>
      </c>
      <c r="GY95" s="160">
        <f>IF([Occurrence36]=0,0,SUM($GX$2:GX95))</f>
        <v>0</v>
      </c>
      <c r="GZ95" s="160">
        <f>IF([chambre3]*1='CHAMBRES GARCONS RDC'!$A$29,1,0)</f>
        <v>0</v>
      </c>
      <c r="HA95" s="160">
        <f>IF([Occurrence37]=0,0,SUM($GZ$2:GZ95))</f>
        <v>0</v>
      </c>
      <c r="HB95" s="160">
        <f>IF([chambre3]*1='CHAMBRES GARCONS RDC'!$A$35,1,0)</f>
        <v>0</v>
      </c>
      <c r="HC95" s="160">
        <f>IF([Occurrence38]=0,0,SUM($HB$2:HB95))</f>
        <v>0</v>
      </c>
      <c r="HD95" s="160">
        <f>IF([chambre3]*1='CHAMBRES GARCONS RDC'!$A$41,1,0)</f>
        <v>0</v>
      </c>
      <c r="HE95" s="160">
        <f>IF([Occurrence39]=0,0,SUM($HD$2:HD95))</f>
        <v>0</v>
      </c>
      <c r="HF95" s="160">
        <f>IF([chambre3]*1='CHAMBRES GARCONS RDC'!$A$47,1,0)</f>
        <v>0</v>
      </c>
      <c r="HG95" s="160">
        <f>IF([Occurrence40]=0,0,SUM($HF$2:HF95))</f>
        <v>0</v>
      </c>
      <c r="HH95" s="160">
        <f>IF([chambre3]*1='CHAMBRES GARCONS RDC'!$A$53,1,0)</f>
        <v>0</v>
      </c>
      <c r="HI95" s="160">
        <f>IF([Occurrence41]=0,0,SUM($HH$2:HH95))</f>
        <v>0</v>
      </c>
      <c r="HJ95" s="160">
        <f>IF([chambre3]*1='CHAMBRES GARCONS RDC'!$A$59,1,0)</f>
        <v>0</v>
      </c>
      <c r="HK95" s="160">
        <f>IF([Occurrence42]=0,0,SUM($HJ$2:HJ95))</f>
        <v>0</v>
      </c>
      <c r="HL95" s="160">
        <f>IF([chambre3]*1='CHAMBRES GARCONS RDC'!$A$65,1,0)</f>
        <v>0</v>
      </c>
      <c r="HM95" s="160">
        <f>IF([Occurrence43]=0,0,SUM($HL$2:HL95))</f>
        <v>0</v>
      </c>
      <c r="HN95" s="160">
        <f>IF([chambre3]*1='CHAMBRES GARCONS RDC'!$A$71,1,0)</f>
        <v>0</v>
      </c>
      <c r="HO95" s="160">
        <f>IF([Occurrence44]=0,0,SUM($HN$2:HN95))</f>
        <v>0</v>
      </c>
      <c r="HP95" s="160">
        <f>IF([chambre3]*1='CHAMBRES GARCONS RDC'!$A$77,1,0)</f>
        <v>0</v>
      </c>
      <c r="HQ95" s="160">
        <f>IF([Occurrence45]=0,0,SUM($HP$2:HP95))</f>
        <v>0</v>
      </c>
      <c r="HR95" s="160">
        <f>IF([chambre3]*1='CHAMBRES GARCONS RDC'!$A$83,1,0)</f>
        <v>0</v>
      </c>
      <c r="HS95" s="160">
        <f>IF([Occurrence46]=0,0,SUM($HR$2:HR95))</f>
        <v>0</v>
      </c>
      <c r="HT95" s="160">
        <f>IF([chambre3]*1='CHAMBRES GARCONS RDC'!$A$89,1,0)</f>
        <v>0</v>
      </c>
      <c r="HU95" s="160">
        <f>IF([Occurrence47]=0,0,SUM($HT$2:HT95))</f>
        <v>0</v>
      </c>
      <c r="HV95" s="160">
        <f>IF([chambre3]*1='CHAMBRES GARCONS RDC'!$A$95,1,0)</f>
        <v>0</v>
      </c>
      <c r="HW95" s="160">
        <f>IF([Occurrence48]=0,0,SUM($HV$2:HV95))</f>
        <v>0</v>
      </c>
      <c r="HX95" s="160"/>
      <c r="HY95" s="160"/>
      <c r="HZ95" s="160">
        <f>IF([Classe]='Liste élève par classes'!$B$5,1,0)</f>
        <v>0</v>
      </c>
      <c r="IA95" s="160">
        <f>IF([Occurrence]=0,0,SUM($HZ$2:HZ95))</f>
        <v>0</v>
      </c>
      <c r="IB9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142</v>
      </c>
      <c r="IC95" s="208"/>
    </row>
    <row r="96" spans="1:237">
      <c r="A96" t="s">
        <v>411</v>
      </c>
      <c r="B96" t="s">
        <v>412</v>
      </c>
      <c r="C96" s="158">
        <v>36694</v>
      </c>
      <c r="D96" s="62">
        <f t="shared" ca="1" si="1"/>
        <v>17</v>
      </c>
      <c r="E96" t="s">
        <v>6</v>
      </c>
      <c r="F96" s="159" t="s">
        <v>46</v>
      </c>
      <c r="G96" t="s">
        <v>45</v>
      </c>
      <c r="H96" s="160"/>
      <c r="I96" s="62"/>
      <c r="J96" s="62"/>
      <c r="K96" s="62"/>
      <c r="L96" s="61"/>
      <c r="M96">
        <v>62</v>
      </c>
      <c r="N96" s="62"/>
      <c r="O96" s="62"/>
      <c r="P96" s="62"/>
      <c r="Q96" s="62"/>
      <c r="R96" s="62"/>
      <c r="S96" s="62"/>
      <c r="T96" s="62"/>
      <c r="U96" s="61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163"/>
      <c r="AG96" s="163"/>
      <c r="AH96" s="163"/>
      <c r="AI96" s="163"/>
      <c r="AJ96" s="163"/>
      <c r="AK96" s="163"/>
      <c r="AL96" s="163"/>
      <c r="AM96" s="163"/>
      <c r="AN96" s="163"/>
      <c r="AO96" s="163"/>
      <c r="AP96" s="163"/>
      <c r="AQ96" s="163"/>
      <c r="AR96" s="163"/>
      <c r="AS96" s="163"/>
      <c r="AT96" s="163"/>
      <c r="AU96" s="163"/>
      <c r="AV96" s="163"/>
      <c r="AW96" s="163"/>
      <c r="AX96" s="163"/>
      <c r="AY96" s="163"/>
      <c r="AZ96" s="163"/>
      <c r="BA96" s="163"/>
      <c r="BB96" s="163"/>
      <c r="BC96" s="163"/>
      <c r="BD96" s="163"/>
      <c r="BE96" s="163"/>
      <c r="BF96" s="163"/>
      <c r="BG96" s="163"/>
      <c r="BH96" s="163"/>
      <c r="BI96" s="163"/>
      <c r="BJ96" s="163"/>
      <c r="BK96" s="163"/>
      <c r="BL96" s="163"/>
      <c r="BM96" s="163"/>
      <c r="BN96" s="163"/>
      <c r="BO96" s="163"/>
      <c r="BP96" s="163"/>
      <c r="BQ96" s="163"/>
      <c r="BR96" s="163"/>
      <c r="BS96" s="163"/>
      <c r="BT96" s="163"/>
      <c r="BU96" s="163"/>
      <c r="BV96" s="163"/>
      <c r="BW96" s="163"/>
      <c r="BX96" s="163"/>
      <c r="BY96" s="163"/>
      <c r="BZ96" s="163"/>
      <c r="CA96" s="163"/>
      <c r="CB96" s="163"/>
      <c r="CC96" s="163"/>
      <c r="CD96" s="163"/>
      <c r="CE96" s="163"/>
      <c r="CF96" s="163"/>
      <c r="CG96" s="163"/>
      <c r="CH96" s="163"/>
      <c r="CI96" s="163"/>
      <c r="CJ96" s="163"/>
      <c r="CK96" s="163"/>
      <c r="CL96" s="163"/>
      <c r="CM96" s="163"/>
      <c r="CN96" s="163"/>
      <c r="CO96" s="163"/>
      <c r="CP96" s="163"/>
      <c r="CQ96" s="163"/>
      <c r="CR96" s="163"/>
      <c r="CS96" s="163"/>
      <c r="CT96" s="163"/>
      <c r="CU96" s="163"/>
      <c r="CV96" s="163"/>
      <c r="CW96" s="163"/>
      <c r="CX96" s="163"/>
      <c r="CY96" s="163"/>
      <c r="CZ96" s="163"/>
      <c r="DA96" s="163"/>
      <c r="DB96" s="163"/>
      <c r="DC96" s="163"/>
      <c r="DD96" s="163"/>
      <c r="DE96" s="163"/>
      <c r="DF96" s="163"/>
      <c r="DG96" s="163"/>
      <c r="DH96" s="163"/>
      <c r="DI96" s="163"/>
      <c r="DJ96" s="163"/>
      <c r="DK96" s="163"/>
      <c r="DL96" s="163"/>
      <c r="DM96" s="163"/>
      <c r="DN96" s="163"/>
      <c r="DO96" s="163"/>
      <c r="DP96" s="163"/>
      <c r="DQ96" s="163"/>
      <c r="DR96" s="163"/>
      <c r="DS96" s="163"/>
      <c r="DT96" s="163"/>
      <c r="DU96" s="163"/>
      <c r="DV96" s="163"/>
      <c r="DW96" s="163"/>
      <c r="DX96" s="163"/>
      <c r="DY96" s="163"/>
      <c r="DZ96" s="163"/>
      <c r="EA96" s="163"/>
      <c r="EB96" s="163"/>
      <c r="EC96" s="163"/>
      <c r="ED96" s="163"/>
      <c r="EE96" s="163"/>
      <c r="EF96" s="163"/>
      <c r="EG96" s="163"/>
      <c r="EH96" s="160">
        <f>IF([Chambre]*1='CHAMBRES FILLES 2e ETAGE'!$A$5,1,0)</f>
        <v>0</v>
      </c>
      <c r="EI96" s="161">
        <f>IF([Occurrence2]=0,0,SUM($EH$2:EH96))</f>
        <v>0</v>
      </c>
      <c r="EJ96" s="160">
        <f>IF([Chambre]*1='CHAMBRES FILLES 2e ETAGE'!$A$11,1,0)</f>
        <v>0</v>
      </c>
      <c r="EK96" s="160">
        <f>IF([Occurrence3]=0,0,SUM($EJ$2:EJ96))</f>
        <v>0</v>
      </c>
      <c r="EL96" s="160">
        <f>IF([Chambre]*1='CHAMBRES FILLES 2e ETAGE'!$A$17,1,0)</f>
        <v>0</v>
      </c>
      <c r="EM96" s="160">
        <f>IF([Occurrence4]=0,0,SUM($EL$2:EL96))</f>
        <v>0</v>
      </c>
      <c r="EN96" s="160">
        <f>IF([Chambre]*1='CHAMBRES FILLES 2e ETAGE'!$A$23,1,0)</f>
        <v>0</v>
      </c>
      <c r="EO96" s="160">
        <f>IF([Occurrence5]=0,0,SUM($EN$2:EN96))</f>
        <v>0</v>
      </c>
      <c r="EP96" s="160">
        <f>IF([Chambre]*1='CHAMBRES FILLES 2e ETAGE'!$A$29,1,0)</f>
        <v>0</v>
      </c>
      <c r="EQ96" s="160">
        <f>IF([Occurrence6]=0,0,SUM($EP$2:EP96))</f>
        <v>0</v>
      </c>
      <c r="ER96" s="160">
        <f>IF([Chambre]*1='CHAMBRES FILLES 2e ETAGE'!$A$35,1,0)</f>
        <v>0</v>
      </c>
      <c r="ES96" s="160">
        <f>IF([Occurrence7]=0,0,SUM($ER$2:ER96))</f>
        <v>0</v>
      </c>
      <c r="ET96" s="160">
        <f>IF([Chambre]*1='CHAMBRES FILLES 2e ETAGE'!$A$41,1,0)</f>
        <v>0</v>
      </c>
      <c r="EU96" s="160">
        <f>IF([Occurrence8]=0,0,SUM($ET$2:ET96))</f>
        <v>0</v>
      </c>
      <c r="EV96" s="160">
        <f>IF([Chambre]*1='CHAMBRES FILLES 2e ETAGE'!$A$47,1,0)</f>
        <v>0</v>
      </c>
      <c r="EW96" s="160">
        <f>IF([Occurrence9]=0,0,SUM($EV$2:EV96))</f>
        <v>0</v>
      </c>
      <c r="EX96" s="160">
        <f>IF([Chambre]*1='CHAMBRES FILLES 2e ETAGE'!$A$53,1,0)</f>
        <v>0</v>
      </c>
      <c r="EY96" s="160">
        <f>IF([Occurrence10]=0,0,SUM($EX$2:EX96))</f>
        <v>0</v>
      </c>
      <c r="EZ96" s="160">
        <f>IF([Chambre]*1='CHAMBRES FILLES 2e ETAGE'!$A$59,1,0)</f>
        <v>0</v>
      </c>
      <c r="FA96" s="160">
        <f>IF([Occurrence11]=0,0,SUM($EZ$2:EZ96))</f>
        <v>0</v>
      </c>
      <c r="FB96" s="160">
        <f>IF([Chambre]*1='CHAMBRES FILLES 2e ETAGE'!$A$65,1,0)</f>
        <v>0</v>
      </c>
      <c r="FC96" s="160">
        <f>IF([Occurrence12]=0,0,SUM($FB$2:FB96))</f>
        <v>0</v>
      </c>
      <c r="FD96" s="160">
        <f>IF([Chambre]*1='CHAMBRES FILLES 2e ETAGE'!$A$71,1,0)</f>
        <v>0</v>
      </c>
      <c r="FE96" s="160">
        <f>IF([Occurrence13]=0,0,SUM($FD$2:FD96))</f>
        <v>0</v>
      </c>
      <c r="FF96" s="160">
        <f>IF([Chambre]*1='CHAMBRES FILLES 2e ETAGE'!$A$77,1,0)</f>
        <v>0</v>
      </c>
      <c r="FG96" s="160">
        <f>IF([Occurrence14]=0,0,SUM($FF$2:FF96))</f>
        <v>0</v>
      </c>
      <c r="FH96" s="160">
        <f>IF([Chambre]*1='CHAMBRES FILLES 2e ETAGE'!$A$83,1,0)</f>
        <v>0</v>
      </c>
      <c r="FI96" s="160">
        <f>IF([Occurrence15]=0,0,SUM($FH$2:FH96))</f>
        <v>0</v>
      </c>
      <c r="FJ96" s="160">
        <f>IF([Chambre]*1='CHAMBRES FILLES 2e ETAGE'!$A$89,1,0)</f>
        <v>0</v>
      </c>
      <c r="FK96" s="160">
        <f>IF([Occurrence16]=0,0,SUM($FJ$2:FJ96))</f>
        <v>0</v>
      </c>
      <c r="FL96" s="160">
        <f>IF([Chambre]*1='CHAMBRES FILLES 2e ETAGE'!$A$95,1,0)</f>
        <v>0</v>
      </c>
      <c r="FM96" s="160">
        <f>IF([Occurrence17]=0,0,SUM($FL$2:FL96))</f>
        <v>0</v>
      </c>
      <c r="FN96" s="160">
        <f>IF([Chambre2]*1='CHAMBRES FILLES 1e ETAGE'!$A$5,1,0)</f>
        <v>0</v>
      </c>
      <c r="FO96" s="160">
        <f>IF([Occurrence18]=0,0,SUM($FN$2:FN96))</f>
        <v>0</v>
      </c>
      <c r="FP96" s="160">
        <f>IF([Chambre2]*1='CHAMBRES FILLES 1e ETAGE'!$A$11,1,0)</f>
        <v>0</v>
      </c>
      <c r="FQ96" s="160">
        <f>IF([Occurrence19]=0,0,SUM($FP$2:FP96))</f>
        <v>0</v>
      </c>
      <c r="FR96" s="160">
        <f>IF([Chambre2]*1='CHAMBRES FILLES 1e ETAGE'!$A$17,1,0)</f>
        <v>0</v>
      </c>
      <c r="FS96" s="160">
        <f>IF([Occurrence20]=0,0,SUM($FR$2:FR96))</f>
        <v>0</v>
      </c>
      <c r="FT96" s="160">
        <f>IF([Chambre2]*1='CHAMBRES FILLES 1e ETAGE'!$A$23,1,0)</f>
        <v>0</v>
      </c>
      <c r="FU96" s="160">
        <f>IF([Occurrence21]=0,0,SUM($FT$2:FT96))</f>
        <v>0</v>
      </c>
      <c r="FV96" s="160">
        <f>IF([Chambre2]*1='CHAMBRES FILLES 1e ETAGE'!$A$29,1,0)</f>
        <v>0</v>
      </c>
      <c r="FW96" s="160">
        <f>IF([Occurrence22]=0,0,SUM($FV$2:FV96))</f>
        <v>0</v>
      </c>
      <c r="FX96" s="160">
        <f>IF([Chambre2]*1='CHAMBRES FILLES 1e ETAGE'!$A$35,1,0)</f>
        <v>0</v>
      </c>
      <c r="FY96" s="160">
        <f>IF([Occurrence23]=0,0,SUM($FX$2:FX96))</f>
        <v>0</v>
      </c>
      <c r="FZ96" s="160">
        <f>IF([Chambre2]*1='CHAMBRES FILLES 1e ETAGE'!$A$41,1,0)</f>
        <v>0</v>
      </c>
      <c r="GA96" s="160">
        <f>IF([Occurrence24]=0,0,SUM($FZ$2:FZ96))</f>
        <v>0</v>
      </c>
      <c r="GB96" s="160">
        <f>IF([Chambre2]*1='CHAMBRES FILLES 1e ETAGE'!$A$47,1,0)</f>
        <v>0</v>
      </c>
      <c r="GC96" s="160">
        <f>IF([Occurrence25]=0,0,SUM($GB$2:GB96))</f>
        <v>0</v>
      </c>
      <c r="GD96" s="160">
        <f>IF([Chambre2]*1='CHAMBRES FILLES 1e ETAGE'!$A$53,1,0)</f>
        <v>0</v>
      </c>
      <c r="GE96" s="160">
        <f>IF([Occurrence26]=0,0,SUM($GD$2:GD96))</f>
        <v>0</v>
      </c>
      <c r="GF96" s="160">
        <f>IF([chambre4]*1='CHAMBRES GARCONS 1e ETAGE'!$A$5,1,0)</f>
        <v>0</v>
      </c>
      <c r="GG96" s="160">
        <f>IF([Occurrence27]=0,0,SUM($GF$2:GF96))</f>
        <v>0</v>
      </c>
      <c r="GH96" s="160">
        <f>IF([chambre4]*1='CHAMBRES GARCONS 1e ETAGE'!$A$11,1,0)</f>
        <v>0</v>
      </c>
      <c r="GI96" s="160">
        <f>IF([Occurrence28]=0,0,SUM($GH$2:GH96))</f>
        <v>0</v>
      </c>
      <c r="GJ96" s="160">
        <f>IF([chambre4]*1='CHAMBRES GARCONS 1e ETAGE'!$A$17,1,0)</f>
        <v>0</v>
      </c>
      <c r="GK96" s="160">
        <f>IF([Occurrence29]=0,0,SUM($GJ$2:GJ96))</f>
        <v>0</v>
      </c>
      <c r="GL96" s="160">
        <f>IF([chambre4]*1='CHAMBRES GARCONS 1e ETAGE'!$A$23,1,0)</f>
        <v>0</v>
      </c>
      <c r="GM96" s="160">
        <f>IF([Occurrence30]=0,0,SUM($GL$2:GL96))</f>
        <v>0</v>
      </c>
      <c r="GN96" s="160">
        <f>IF([chambre4]*1='CHAMBRES GARCONS 1e ETAGE'!$A$29,1,0)</f>
        <v>0</v>
      </c>
      <c r="GO96" s="160">
        <f>IF([Occurrence31]=0,0,SUM($GN$2:GN96))</f>
        <v>0</v>
      </c>
      <c r="GP96" s="160">
        <f>IF([chambre4]*1='CHAMBRES GARCONS 1e ETAGE'!$A$35,1,0)</f>
        <v>0</v>
      </c>
      <c r="GQ96" s="160">
        <f>IF([Occurrence32]=0,0,SUM($GP$2:GP96))</f>
        <v>0</v>
      </c>
      <c r="GR96" s="160">
        <f>IF([chambre3]*1='CHAMBRES GARCONS RDC'!$A$5,1,0)</f>
        <v>0</v>
      </c>
      <c r="GS96" s="160">
        <f>IF([Occurrence33]=0,0,SUM($GR$2:GR96))</f>
        <v>0</v>
      </c>
      <c r="GT96" s="160">
        <f>IF([chambre3]*1='CHAMBRES GARCONS RDC'!$A$11,1,0)</f>
        <v>0</v>
      </c>
      <c r="GU96" s="160">
        <f>IF([Occurrence34]=0,0,SUM($GT$2:GT96))</f>
        <v>0</v>
      </c>
      <c r="GV96" s="160">
        <f>IF([chambre3]*1='CHAMBRES GARCONS RDC'!$A$17,1,0)</f>
        <v>0</v>
      </c>
      <c r="GW96" s="160">
        <f>IF([Occurrence35]=0,0,SUM($GV$2:GV96))</f>
        <v>0</v>
      </c>
      <c r="GX96" s="160">
        <f>IF([chambre3]*1='CHAMBRES GARCONS RDC'!$A$23,1,0)</f>
        <v>0</v>
      </c>
      <c r="GY96" s="160">
        <f>IF([Occurrence36]=0,0,SUM($GX$2:GX96))</f>
        <v>0</v>
      </c>
      <c r="GZ96" s="160">
        <f>IF([chambre3]*1='CHAMBRES GARCONS RDC'!$A$29,1,0)</f>
        <v>0</v>
      </c>
      <c r="HA96" s="160">
        <f>IF([Occurrence37]=0,0,SUM($GZ$2:GZ96))</f>
        <v>0</v>
      </c>
      <c r="HB96" s="160">
        <f>IF([chambre3]*1='CHAMBRES GARCONS RDC'!$A$35,1,0)</f>
        <v>0</v>
      </c>
      <c r="HC96" s="160">
        <f>IF([Occurrence38]=0,0,SUM($HB$2:HB96))</f>
        <v>0</v>
      </c>
      <c r="HD96" s="160">
        <f>IF([chambre3]*1='CHAMBRES GARCONS RDC'!$A$41,1,0)</f>
        <v>0</v>
      </c>
      <c r="HE96" s="160">
        <f>IF([Occurrence39]=0,0,SUM($HD$2:HD96))</f>
        <v>0</v>
      </c>
      <c r="HF96" s="160">
        <f>IF([chambre3]*1='CHAMBRES GARCONS RDC'!$A$47,1,0)</f>
        <v>0</v>
      </c>
      <c r="HG96" s="160">
        <f>IF([Occurrence40]=0,0,SUM($HF$2:HF96))</f>
        <v>0</v>
      </c>
      <c r="HH96" s="160">
        <f>IF([chambre3]*1='CHAMBRES GARCONS RDC'!$A$53,1,0)</f>
        <v>0</v>
      </c>
      <c r="HI96" s="160">
        <f>IF([Occurrence41]=0,0,SUM($HH$2:HH96))</f>
        <v>0</v>
      </c>
      <c r="HJ96" s="160">
        <f>IF([chambre3]*1='CHAMBRES GARCONS RDC'!$A$59,1,0)</f>
        <v>0</v>
      </c>
      <c r="HK96" s="160">
        <f>IF([Occurrence42]=0,0,SUM($HJ$2:HJ96))</f>
        <v>0</v>
      </c>
      <c r="HL96" s="160">
        <f>IF([chambre3]*1='CHAMBRES GARCONS RDC'!$A$65,1,0)</f>
        <v>0</v>
      </c>
      <c r="HM96" s="160">
        <f>IF([Occurrence43]=0,0,SUM($HL$2:HL96))</f>
        <v>0</v>
      </c>
      <c r="HN96" s="160">
        <f>IF([chambre3]*1='CHAMBRES GARCONS RDC'!$A$71,1,0)</f>
        <v>0</v>
      </c>
      <c r="HO96" s="160">
        <f>IF([Occurrence44]=0,0,SUM($HN$2:HN96))</f>
        <v>0</v>
      </c>
      <c r="HP96" s="160">
        <f>IF([chambre3]*1='CHAMBRES GARCONS RDC'!$A$77,1,0)</f>
        <v>0</v>
      </c>
      <c r="HQ96" s="160">
        <f>IF([Occurrence45]=0,0,SUM($HP$2:HP96))</f>
        <v>0</v>
      </c>
      <c r="HR96" s="160">
        <f>IF([chambre3]*1='CHAMBRES GARCONS RDC'!$A$83,1,0)</f>
        <v>0</v>
      </c>
      <c r="HS96" s="160">
        <f>IF([Occurrence46]=0,0,SUM($HR$2:HR96))</f>
        <v>0</v>
      </c>
      <c r="HT96" s="160">
        <f>IF([chambre3]*1='CHAMBRES GARCONS RDC'!$A$89,1,0)</f>
        <v>0</v>
      </c>
      <c r="HU96" s="160">
        <f>IF([Occurrence47]=0,0,SUM($HT$2:HT96))</f>
        <v>0</v>
      </c>
      <c r="HV96" s="160">
        <f>IF([chambre3]*1='CHAMBRES GARCONS RDC'!$A$95,1,0)</f>
        <v>0</v>
      </c>
      <c r="HW96" s="160">
        <f>IF([Occurrence48]=0,0,SUM($HV$2:HV96))</f>
        <v>0</v>
      </c>
      <c r="HX96" s="160"/>
      <c r="HY96" s="160"/>
      <c r="HZ96" s="160">
        <f>IF([Classe]='Liste élève par classes'!$B$5,1,0)</f>
        <v>0</v>
      </c>
      <c r="IA96" s="160">
        <f>IF([Occurrence]=0,0,SUM($HZ$2:HZ96))</f>
        <v>0</v>
      </c>
      <c r="IB9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96" s="208"/>
    </row>
    <row r="97" spans="1:237">
      <c r="A97" t="s">
        <v>411</v>
      </c>
      <c r="B97" t="s">
        <v>413</v>
      </c>
      <c r="C97" s="158">
        <v>37304</v>
      </c>
      <c r="D97" s="62">
        <f t="shared" ca="1" si="1"/>
        <v>15</v>
      </c>
      <c r="E97" t="s">
        <v>11</v>
      </c>
      <c r="F97" s="159" t="s">
        <v>50</v>
      </c>
      <c r="G97" t="s">
        <v>45</v>
      </c>
      <c r="H97" s="160"/>
      <c r="I97" s="62"/>
      <c r="J97" s="62"/>
      <c r="K97" s="62"/>
      <c r="L97" s="61">
        <v>164</v>
      </c>
      <c r="M97">
        <v>161</v>
      </c>
      <c r="N97" s="62"/>
      <c r="O97" s="62"/>
      <c r="P97" s="62"/>
      <c r="Q97" s="62"/>
      <c r="R97" s="62"/>
      <c r="S97" s="191"/>
      <c r="T97" s="62"/>
      <c r="U97" s="61"/>
      <c r="V97" s="62"/>
      <c r="W97" s="62"/>
      <c r="X97" s="62"/>
      <c r="Y97" s="62"/>
      <c r="Z97" s="62"/>
      <c r="AA97" s="62"/>
      <c r="AB97" s="62"/>
      <c r="AC97" s="62"/>
      <c r="AD97" s="62"/>
      <c r="AE97" s="62"/>
      <c r="AF97" s="163"/>
      <c r="AG97" s="163"/>
      <c r="AH97" s="163"/>
      <c r="AI97" s="163"/>
      <c r="AJ97" s="163"/>
      <c r="AK97" s="163"/>
      <c r="AL97" s="163"/>
      <c r="AM97" s="163"/>
      <c r="AN97" s="163"/>
      <c r="AO97" s="163"/>
      <c r="AP97" s="163"/>
      <c r="AQ97" s="163"/>
      <c r="AR97" s="163"/>
      <c r="AS97" s="163"/>
      <c r="AT97" s="163"/>
      <c r="AU97" s="163"/>
      <c r="AV97" s="163"/>
      <c r="AW97" s="163"/>
      <c r="AX97" s="163"/>
      <c r="AY97" s="163"/>
      <c r="AZ97" s="163"/>
      <c r="BA97" s="163"/>
      <c r="BB97" s="163"/>
      <c r="BC97" s="163" t="b">
        <v>0</v>
      </c>
      <c r="BD97" s="163" t="b">
        <v>1</v>
      </c>
      <c r="BE97" s="163" t="b">
        <v>1</v>
      </c>
      <c r="BF97" s="163" t="b">
        <v>0</v>
      </c>
      <c r="BG97" s="164" t="b">
        <v>0</v>
      </c>
      <c r="BH97" s="163" t="b">
        <v>1</v>
      </c>
      <c r="BI97" s="163"/>
      <c r="BJ97" s="163"/>
      <c r="BK97" s="163"/>
      <c r="BL97" s="163"/>
      <c r="BM97" s="163"/>
      <c r="BN97" s="163"/>
      <c r="BO97" s="163"/>
      <c r="BP97" s="163"/>
      <c r="BQ97" s="163" t="b">
        <v>1</v>
      </c>
      <c r="BR97" s="163"/>
      <c r="BS97" s="163"/>
      <c r="BT97" s="163"/>
      <c r="BU97" s="163"/>
      <c r="BV97" s="163"/>
      <c r="BW97" s="163"/>
      <c r="BX97" s="163"/>
      <c r="BY97" s="163"/>
      <c r="BZ97" s="163"/>
      <c r="CA97" s="163"/>
      <c r="CB97" s="163"/>
      <c r="CC97" s="163"/>
      <c r="CD97" s="163"/>
      <c r="CE97" s="163"/>
      <c r="CF97" s="163"/>
      <c r="CG97" s="163"/>
      <c r="CH97" s="163"/>
      <c r="CI97" s="163"/>
      <c r="CJ97" s="163"/>
      <c r="CK97" s="163"/>
      <c r="CL97" s="163"/>
      <c r="CM97" s="163"/>
      <c r="CN97" s="163"/>
      <c r="CO97" s="163"/>
      <c r="CP97" s="163"/>
      <c r="CQ97" s="163"/>
      <c r="CR97" s="163"/>
      <c r="CS97" s="163"/>
      <c r="CT97" s="163"/>
      <c r="CU97" s="163"/>
      <c r="CV97" s="163"/>
      <c r="CW97" s="163"/>
      <c r="CX97" s="163"/>
      <c r="CY97" s="163"/>
      <c r="CZ97" s="163"/>
      <c r="DA97" s="163"/>
      <c r="DB97" s="163"/>
      <c r="DC97" s="163"/>
      <c r="DD97" s="163"/>
      <c r="DE97" s="163"/>
      <c r="DF97" s="163"/>
      <c r="DG97" s="208"/>
      <c r="DH97" s="163"/>
      <c r="DI97" s="163"/>
      <c r="DJ97" s="163"/>
      <c r="DK97" s="163"/>
      <c r="DL97" s="163"/>
      <c r="DM97" s="163"/>
      <c r="DN97" s="163"/>
      <c r="DO97" s="163"/>
      <c r="DP97" s="163"/>
      <c r="DQ97" s="163"/>
      <c r="DR97" s="163"/>
      <c r="DS97" s="163"/>
      <c r="DT97" s="163"/>
      <c r="DU97" s="163"/>
      <c r="DV97" s="163"/>
      <c r="DW97" s="163"/>
      <c r="DX97" s="163"/>
      <c r="DY97" s="163"/>
      <c r="DZ97" s="163"/>
      <c r="EA97" s="163"/>
      <c r="EB97" s="163"/>
      <c r="EC97" s="163"/>
      <c r="ED97" s="163"/>
      <c r="EE97" s="163"/>
      <c r="EF97" s="163"/>
      <c r="EG97" s="163"/>
      <c r="EH97" s="160">
        <f>IF([Chambre]*1='CHAMBRES FILLES 2e ETAGE'!$A$5,1,0)</f>
        <v>0</v>
      </c>
      <c r="EI97" s="161">
        <f>IF([Occurrence2]=0,0,SUM($EH$2:EH97))</f>
        <v>0</v>
      </c>
      <c r="EJ97" s="160">
        <f>IF([Chambre]*1='CHAMBRES FILLES 2e ETAGE'!$A$11,1,0)</f>
        <v>0</v>
      </c>
      <c r="EK97" s="160">
        <f>IF([Occurrence3]=0,0,SUM($EJ$2:EJ97))</f>
        <v>0</v>
      </c>
      <c r="EL97" s="160">
        <f>IF([Chambre]*1='CHAMBRES FILLES 2e ETAGE'!$A$17,1,0)</f>
        <v>0</v>
      </c>
      <c r="EM97" s="160">
        <f>IF([Occurrence4]=0,0,SUM($EL$2:EL97))</f>
        <v>0</v>
      </c>
      <c r="EN97" s="160">
        <f>IF([Chambre]*1='CHAMBRES FILLES 2e ETAGE'!$A$23,1,0)</f>
        <v>0</v>
      </c>
      <c r="EO97" s="160">
        <f>IF([Occurrence5]=0,0,SUM($EN$2:EN97))</f>
        <v>0</v>
      </c>
      <c r="EP97" s="160">
        <f>IF([Chambre]*1='CHAMBRES FILLES 2e ETAGE'!$A$29,1,0)</f>
        <v>0</v>
      </c>
      <c r="EQ97" s="160">
        <f>IF([Occurrence6]=0,0,SUM($EP$2:EP97))</f>
        <v>0</v>
      </c>
      <c r="ER97" s="160">
        <f>IF([Chambre]*1='CHAMBRES FILLES 2e ETAGE'!$A$35,1,0)</f>
        <v>0</v>
      </c>
      <c r="ES97" s="160">
        <f>IF([Occurrence7]=0,0,SUM($ER$2:ER97))</f>
        <v>0</v>
      </c>
      <c r="ET97" s="160">
        <f>IF([Chambre]*1='CHAMBRES FILLES 2e ETAGE'!$A$41,1,0)</f>
        <v>0</v>
      </c>
      <c r="EU97" s="160">
        <f>IF([Occurrence8]=0,0,SUM($ET$2:ET97))</f>
        <v>0</v>
      </c>
      <c r="EV97" s="160">
        <f>IF([Chambre]*1='CHAMBRES FILLES 2e ETAGE'!$A$47,1,0)</f>
        <v>1</v>
      </c>
      <c r="EW97" s="160">
        <f>IF([Occurrence9]=0,0,SUM($EV$2:EV97))</f>
        <v>2</v>
      </c>
      <c r="EX97" s="160">
        <f>IF([Chambre]*1='CHAMBRES FILLES 2e ETAGE'!$A$53,1,0)</f>
        <v>0</v>
      </c>
      <c r="EY97" s="160">
        <f>IF([Occurrence10]=0,0,SUM($EX$2:EX97))</f>
        <v>0</v>
      </c>
      <c r="EZ97" s="160">
        <f>IF([Chambre]*1='CHAMBRES FILLES 2e ETAGE'!$A$59,1,0)</f>
        <v>0</v>
      </c>
      <c r="FA97" s="160">
        <f>IF([Occurrence11]=0,0,SUM($EZ$2:EZ97))</f>
        <v>0</v>
      </c>
      <c r="FB97" s="160">
        <f>IF([Chambre]*1='CHAMBRES FILLES 2e ETAGE'!$A$65,1,0)</f>
        <v>0</v>
      </c>
      <c r="FC97" s="160">
        <f>IF([Occurrence12]=0,0,SUM($FB$2:FB97))</f>
        <v>0</v>
      </c>
      <c r="FD97" s="160">
        <f>IF([Chambre]*1='CHAMBRES FILLES 2e ETAGE'!$A$71,1,0)</f>
        <v>0</v>
      </c>
      <c r="FE97" s="160">
        <f>IF([Occurrence13]=0,0,SUM($FD$2:FD97))</f>
        <v>0</v>
      </c>
      <c r="FF97" s="160">
        <f>IF([Chambre]*1='CHAMBRES FILLES 2e ETAGE'!$A$77,1,0)</f>
        <v>0</v>
      </c>
      <c r="FG97" s="160">
        <f>IF([Occurrence14]=0,0,SUM($FF$2:FF97))</f>
        <v>0</v>
      </c>
      <c r="FH97" s="160">
        <f>IF([Chambre]*1='CHAMBRES FILLES 2e ETAGE'!$A$83,1,0)</f>
        <v>0</v>
      </c>
      <c r="FI97" s="160">
        <f>IF([Occurrence15]=0,0,SUM($FH$2:FH97))</f>
        <v>0</v>
      </c>
      <c r="FJ97" s="160">
        <f>IF([Chambre]*1='CHAMBRES FILLES 2e ETAGE'!$A$89,1,0)</f>
        <v>0</v>
      </c>
      <c r="FK97" s="160">
        <f>IF([Occurrence16]=0,0,SUM($FJ$2:FJ97))</f>
        <v>0</v>
      </c>
      <c r="FL97" s="160">
        <f>IF([Chambre]*1='CHAMBRES FILLES 2e ETAGE'!$A$95,1,0)</f>
        <v>0</v>
      </c>
      <c r="FM97" s="160">
        <f>IF([Occurrence17]=0,0,SUM($FL$2:FL97))</f>
        <v>0</v>
      </c>
      <c r="FN97" s="160">
        <f>IF([Chambre2]*1='CHAMBRES FILLES 1e ETAGE'!$A$5,1,0)</f>
        <v>0</v>
      </c>
      <c r="FO97" s="160">
        <f>IF([Occurrence18]=0,0,SUM($FN$2:FN97))</f>
        <v>0</v>
      </c>
      <c r="FP97" s="160">
        <f>IF([Chambre2]*1='CHAMBRES FILLES 1e ETAGE'!$A$11,1,0)</f>
        <v>0</v>
      </c>
      <c r="FQ97" s="160">
        <f>IF([Occurrence19]=0,0,SUM($FP$2:FP97))</f>
        <v>0</v>
      </c>
      <c r="FR97" s="160">
        <f>IF([Chambre2]*1='CHAMBRES FILLES 1e ETAGE'!$A$17,1,0)</f>
        <v>0</v>
      </c>
      <c r="FS97" s="160">
        <f>IF([Occurrence20]=0,0,SUM($FR$2:FR97))</f>
        <v>0</v>
      </c>
      <c r="FT97" s="160">
        <f>IF([Chambre2]*1='CHAMBRES FILLES 1e ETAGE'!$A$23,1,0)</f>
        <v>0</v>
      </c>
      <c r="FU97" s="160">
        <f>IF([Occurrence21]=0,0,SUM($FT$2:FT97))</f>
        <v>0</v>
      </c>
      <c r="FV97" s="160">
        <f>IF([Chambre2]*1='CHAMBRES FILLES 1e ETAGE'!$A$29,1,0)</f>
        <v>0</v>
      </c>
      <c r="FW97" s="160">
        <f>IF([Occurrence22]=0,0,SUM($FV$2:FV97))</f>
        <v>0</v>
      </c>
      <c r="FX97" s="160">
        <f>IF([Chambre2]*1='CHAMBRES FILLES 1e ETAGE'!$A$35,1,0)</f>
        <v>0</v>
      </c>
      <c r="FY97" s="160">
        <f>IF([Occurrence23]=0,0,SUM($FX$2:FX97))</f>
        <v>0</v>
      </c>
      <c r="FZ97" s="160">
        <f>IF([Chambre2]*1='CHAMBRES FILLES 1e ETAGE'!$A$41,1,0)</f>
        <v>0</v>
      </c>
      <c r="GA97" s="160">
        <f>IF([Occurrence24]=0,0,SUM($FZ$2:FZ97))</f>
        <v>0</v>
      </c>
      <c r="GB97" s="160">
        <f>IF([Chambre2]*1='CHAMBRES FILLES 1e ETAGE'!$A$47,1,0)</f>
        <v>0</v>
      </c>
      <c r="GC97" s="160">
        <f>IF([Occurrence25]=0,0,SUM($GB$2:GB97))</f>
        <v>0</v>
      </c>
      <c r="GD97" s="160">
        <f>IF([Chambre2]*1='CHAMBRES FILLES 1e ETAGE'!$A$53,1,0)</f>
        <v>0</v>
      </c>
      <c r="GE97" s="160">
        <f>IF([Occurrence26]=0,0,SUM($GD$2:GD97))</f>
        <v>0</v>
      </c>
      <c r="GF97" s="160">
        <f>IF([chambre4]*1='CHAMBRES GARCONS 1e ETAGE'!$A$5,1,0)</f>
        <v>0</v>
      </c>
      <c r="GG97" s="160">
        <f>IF([Occurrence27]=0,0,SUM($GF$2:GF97))</f>
        <v>0</v>
      </c>
      <c r="GH97" s="160">
        <f>IF([chambre4]*1='CHAMBRES GARCONS 1e ETAGE'!$A$11,1,0)</f>
        <v>0</v>
      </c>
      <c r="GI97" s="160">
        <f>IF([Occurrence28]=0,0,SUM($GH$2:GH97))</f>
        <v>0</v>
      </c>
      <c r="GJ97" s="160">
        <f>IF([chambre4]*1='CHAMBRES GARCONS 1e ETAGE'!$A$17,1,0)</f>
        <v>0</v>
      </c>
      <c r="GK97" s="160">
        <f>IF([Occurrence29]=0,0,SUM($GJ$2:GJ97))</f>
        <v>0</v>
      </c>
      <c r="GL97" s="160">
        <f>IF([chambre4]*1='CHAMBRES GARCONS 1e ETAGE'!$A$23,1,0)</f>
        <v>0</v>
      </c>
      <c r="GM97" s="160">
        <f>IF([Occurrence30]=0,0,SUM($GL$2:GL97))</f>
        <v>0</v>
      </c>
      <c r="GN97" s="160">
        <f>IF([chambre4]*1='CHAMBRES GARCONS 1e ETAGE'!$A$29,1,0)</f>
        <v>0</v>
      </c>
      <c r="GO97" s="160">
        <f>IF([Occurrence31]=0,0,SUM($GN$2:GN97))</f>
        <v>0</v>
      </c>
      <c r="GP97" s="160">
        <f>IF([chambre4]*1='CHAMBRES GARCONS 1e ETAGE'!$A$35,1,0)</f>
        <v>0</v>
      </c>
      <c r="GQ97" s="160">
        <f>IF([Occurrence32]=0,0,SUM($GP$2:GP97))</f>
        <v>0</v>
      </c>
      <c r="GR97" s="160">
        <f>IF([chambre3]*1='CHAMBRES GARCONS RDC'!$A$5,1,0)</f>
        <v>0</v>
      </c>
      <c r="GS97" s="160">
        <f>IF([Occurrence33]=0,0,SUM($GR$2:GR97))</f>
        <v>0</v>
      </c>
      <c r="GT97" s="160">
        <f>IF([chambre3]*1='CHAMBRES GARCONS RDC'!$A$11,1,0)</f>
        <v>0</v>
      </c>
      <c r="GU97" s="160">
        <f>IF([Occurrence34]=0,0,SUM($GT$2:GT97))</f>
        <v>0</v>
      </c>
      <c r="GV97" s="160">
        <f>IF([chambre3]*1='CHAMBRES GARCONS RDC'!$A$17,1,0)</f>
        <v>0</v>
      </c>
      <c r="GW97" s="160">
        <f>IF([Occurrence35]=0,0,SUM($GV$2:GV97))</f>
        <v>0</v>
      </c>
      <c r="GX97" s="160">
        <f>IF([chambre3]*1='CHAMBRES GARCONS RDC'!$A$23,1,0)</f>
        <v>0</v>
      </c>
      <c r="GY97" s="160">
        <f>IF([Occurrence36]=0,0,SUM($GX$2:GX97))</f>
        <v>0</v>
      </c>
      <c r="GZ97" s="160">
        <f>IF([chambre3]*1='CHAMBRES GARCONS RDC'!$A$29,1,0)</f>
        <v>0</v>
      </c>
      <c r="HA97" s="160">
        <f>IF([Occurrence37]=0,0,SUM($GZ$2:GZ97))</f>
        <v>0</v>
      </c>
      <c r="HB97" s="160">
        <f>IF([chambre3]*1='CHAMBRES GARCONS RDC'!$A$35,1,0)</f>
        <v>0</v>
      </c>
      <c r="HC97" s="160">
        <f>IF([Occurrence38]=0,0,SUM($HB$2:HB97))</f>
        <v>0</v>
      </c>
      <c r="HD97" s="160">
        <f>IF([chambre3]*1='CHAMBRES GARCONS RDC'!$A$41,1,0)</f>
        <v>0</v>
      </c>
      <c r="HE97" s="160">
        <f>IF([Occurrence39]=0,0,SUM($HD$2:HD97))</f>
        <v>0</v>
      </c>
      <c r="HF97" s="160">
        <f>IF([chambre3]*1='CHAMBRES GARCONS RDC'!$A$47,1,0)</f>
        <v>0</v>
      </c>
      <c r="HG97" s="160">
        <f>IF([Occurrence40]=0,0,SUM($HF$2:HF97))</f>
        <v>0</v>
      </c>
      <c r="HH97" s="160">
        <f>IF([chambre3]*1='CHAMBRES GARCONS RDC'!$A$53,1,0)</f>
        <v>0</v>
      </c>
      <c r="HI97" s="160">
        <f>IF([Occurrence41]=0,0,SUM($HH$2:HH97))</f>
        <v>0</v>
      </c>
      <c r="HJ97" s="160">
        <f>IF([chambre3]*1='CHAMBRES GARCONS RDC'!$A$59,1,0)</f>
        <v>0</v>
      </c>
      <c r="HK97" s="160">
        <f>IF([Occurrence42]=0,0,SUM($HJ$2:HJ97))</f>
        <v>0</v>
      </c>
      <c r="HL97" s="160">
        <f>IF([chambre3]*1='CHAMBRES GARCONS RDC'!$A$65,1,0)</f>
        <v>0</v>
      </c>
      <c r="HM97" s="160">
        <f>IF([Occurrence43]=0,0,SUM($HL$2:HL97))</f>
        <v>0</v>
      </c>
      <c r="HN97" s="160">
        <f>IF([chambre3]*1='CHAMBRES GARCONS RDC'!$A$71,1,0)</f>
        <v>0</v>
      </c>
      <c r="HO97" s="160">
        <f>IF([Occurrence44]=0,0,SUM($HN$2:HN97))</f>
        <v>0</v>
      </c>
      <c r="HP97" s="160">
        <f>IF([chambre3]*1='CHAMBRES GARCONS RDC'!$A$77,1,0)</f>
        <v>0</v>
      </c>
      <c r="HQ97" s="160">
        <f>IF([Occurrence45]=0,0,SUM($HP$2:HP97))</f>
        <v>0</v>
      </c>
      <c r="HR97" s="160">
        <f>IF([chambre3]*1='CHAMBRES GARCONS RDC'!$A$83,1,0)</f>
        <v>0</v>
      </c>
      <c r="HS97" s="160">
        <f>IF([Occurrence46]=0,0,SUM($HR$2:HR97))</f>
        <v>0</v>
      </c>
      <c r="HT97" s="160">
        <f>IF([chambre3]*1='CHAMBRES GARCONS RDC'!$A$89,1,0)</f>
        <v>0</v>
      </c>
      <c r="HU97" s="160">
        <f>IF([Occurrence47]=0,0,SUM($HT$2:HT97))</f>
        <v>0</v>
      </c>
      <c r="HV97" s="160">
        <f>IF([chambre3]*1='CHAMBRES GARCONS RDC'!$A$95,1,0)</f>
        <v>0</v>
      </c>
      <c r="HW97" s="160">
        <f>IF([Occurrence48]=0,0,SUM($HV$2:HV97))</f>
        <v>0</v>
      </c>
      <c r="HX97" s="160"/>
      <c r="HY97" s="160"/>
      <c r="HZ97" s="160">
        <f>IF([Classe]='Liste élève par classes'!$B$5,1,0)</f>
        <v>0</v>
      </c>
      <c r="IA97" s="160">
        <f>IF([Occurrence]=0,0,SUM($HZ$2:HZ97))</f>
        <v>0</v>
      </c>
      <c r="IB9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164</v>
      </c>
      <c r="IC97" s="208"/>
    </row>
    <row r="98" spans="1:237">
      <c r="A98" t="s">
        <v>414</v>
      </c>
      <c r="B98" t="s">
        <v>415</v>
      </c>
      <c r="C98" s="158">
        <v>37169</v>
      </c>
      <c r="D98" s="62">
        <f t="shared" ca="1" si="1"/>
        <v>16</v>
      </c>
      <c r="E98" t="s">
        <v>2</v>
      </c>
      <c r="F98" s="159" t="s">
        <v>50</v>
      </c>
      <c r="G98" t="s">
        <v>45</v>
      </c>
      <c r="H98" s="160"/>
      <c r="I98" s="62"/>
      <c r="J98" s="62" t="s">
        <v>244</v>
      </c>
      <c r="K98" s="62"/>
      <c r="L98" s="61">
        <v>158</v>
      </c>
      <c r="M98">
        <v>146</v>
      </c>
      <c r="N98" s="62" t="s">
        <v>244</v>
      </c>
      <c r="O98" s="62" t="s">
        <v>244</v>
      </c>
      <c r="P98" s="62" t="s">
        <v>244</v>
      </c>
      <c r="Q98" s="62" t="s">
        <v>244</v>
      </c>
      <c r="R98" s="62" t="s">
        <v>244</v>
      </c>
      <c r="S98" s="191"/>
      <c r="T98" s="62" t="s">
        <v>244</v>
      </c>
      <c r="U98" s="61"/>
      <c r="V98" s="62" t="s">
        <v>244</v>
      </c>
      <c r="W98" s="62" t="s">
        <v>244</v>
      </c>
      <c r="X98" s="62" t="s">
        <v>244</v>
      </c>
      <c r="Y98" s="62" t="s">
        <v>244</v>
      </c>
      <c r="Z98" s="62" t="s">
        <v>244</v>
      </c>
      <c r="AA98" s="62" t="s">
        <v>244</v>
      </c>
      <c r="AB98" s="62" t="s">
        <v>244</v>
      </c>
      <c r="AC98" s="62" t="s">
        <v>244</v>
      </c>
      <c r="AD98" s="62" t="s">
        <v>244</v>
      </c>
      <c r="AE98" s="62" t="s">
        <v>244</v>
      </c>
      <c r="AF98" s="163" t="s">
        <v>244</v>
      </c>
      <c r="AG98" s="163" t="s">
        <v>244</v>
      </c>
      <c r="AH98" s="163" t="s">
        <v>244</v>
      </c>
      <c r="AI98" s="163"/>
      <c r="AJ98" s="163"/>
      <c r="AK98" s="163"/>
      <c r="AL98" s="163"/>
      <c r="AM98" s="163"/>
      <c r="AN98" s="163"/>
      <c r="AO98" s="163"/>
      <c r="AP98" s="163"/>
      <c r="AQ98" s="163"/>
      <c r="AR98" s="163"/>
      <c r="AS98" s="163"/>
      <c r="AT98" s="163"/>
      <c r="AU98" s="163"/>
      <c r="AV98" s="163"/>
      <c r="AW98" s="163"/>
      <c r="AX98" s="163"/>
      <c r="AY98" s="163"/>
      <c r="AZ98" s="163"/>
      <c r="BA98" s="163"/>
      <c r="BB98" s="163"/>
      <c r="BC98" s="163" t="b">
        <v>0</v>
      </c>
      <c r="BD98" s="163" t="b">
        <v>1</v>
      </c>
      <c r="BE98" s="163" t="b">
        <v>1</v>
      </c>
      <c r="BF98" s="163" t="b">
        <v>0</v>
      </c>
      <c r="BG98" s="164" t="b">
        <v>0</v>
      </c>
      <c r="BH98" s="163" t="b">
        <v>1</v>
      </c>
      <c r="BI98" s="163"/>
      <c r="BJ98" s="163"/>
      <c r="BK98" s="163"/>
      <c r="BL98" s="163"/>
      <c r="BM98" s="163"/>
      <c r="BN98" s="163"/>
      <c r="BO98" s="163"/>
      <c r="BP98" s="163"/>
      <c r="BQ98" s="163" t="b">
        <v>1</v>
      </c>
      <c r="BR98" s="163"/>
      <c r="BS98" s="163"/>
      <c r="BT98" s="163"/>
      <c r="BU98" s="163"/>
      <c r="BV98" s="163"/>
      <c r="BW98" s="163"/>
      <c r="BX98" s="163"/>
      <c r="BY98" s="163"/>
      <c r="BZ98" s="163"/>
      <c r="CA98" s="163"/>
      <c r="CB98" s="163"/>
      <c r="CC98" s="163"/>
      <c r="CD98" s="163"/>
      <c r="CE98" s="163"/>
      <c r="CF98" s="163"/>
      <c r="CG98" s="163"/>
      <c r="CH98" s="163"/>
      <c r="CI98" s="163"/>
      <c r="CJ98" s="163"/>
      <c r="CK98" s="163"/>
      <c r="CL98" s="163"/>
      <c r="CM98" s="163"/>
      <c r="CN98" s="163"/>
      <c r="CO98" s="163"/>
      <c r="CP98" s="163"/>
      <c r="CQ98" s="163"/>
      <c r="CR98" s="163"/>
      <c r="CS98" s="163"/>
      <c r="CT98" s="163"/>
      <c r="CU98" s="163"/>
      <c r="CV98" s="163"/>
      <c r="CW98" s="163"/>
      <c r="CX98" s="163"/>
      <c r="CY98" s="163"/>
      <c r="CZ98" s="163"/>
      <c r="DA98" s="163"/>
      <c r="DB98" s="163"/>
      <c r="DC98" s="163"/>
      <c r="DD98" s="163"/>
      <c r="DE98" s="163"/>
      <c r="DF98" s="163"/>
      <c r="DG98" s="208"/>
      <c r="DH98" s="163"/>
      <c r="DI98" s="163"/>
      <c r="DJ98" s="163"/>
      <c r="DK98" s="163"/>
      <c r="DL98" s="163"/>
      <c r="DM98" s="163"/>
      <c r="DN98" s="163"/>
      <c r="DO98" s="163"/>
      <c r="DP98" s="163"/>
      <c r="DQ98" s="163"/>
      <c r="DR98" s="163"/>
      <c r="DS98" s="163"/>
      <c r="DT98" s="163"/>
      <c r="DU98" s="163"/>
      <c r="DV98" s="163"/>
      <c r="DW98" s="163"/>
      <c r="DX98" s="163"/>
      <c r="DY98" s="163"/>
      <c r="DZ98" s="163"/>
      <c r="EA98" s="163"/>
      <c r="EB98" s="163"/>
      <c r="EC98" s="163"/>
      <c r="ED98" s="163"/>
      <c r="EE98" s="163"/>
      <c r="EF98" s="163"/>
      <c r="EG98" s="163"/>
      <c r="EH98" s="160">
        <f>IF([Chambre]*1='CHAMBRES FILLES 2e ETAGE'!$A$5,1,0)</f>
        <v>1</v>
      </c>
      <c r="EI98" s="161">
        <f>IF([Occurrence2]=0,0,SUM($EH$2:EH98))</f>
        <v>3</v>
      </c>
      <c r="EJ98" s="160">
        <f>IF([Chambre]*1='CHAMBRES FILLES 2e ETAGE'!$A$11,1,0)</f>
        <v>0</v>
      </c>
      <c r="EK98" s="160">
        <f>IF([Occurrence3]=0,0,SUM($EJ$2:EJ98))</f>
        <v>0</v>
      </c>
      <c r="EL98" s="160">
        <f>IF([Chambre]*1='CHAMBRES FILLES 2e ETAGE'!$A$17,1,0)</f>
        <v>0</v>
      </c>
      <c r="EM98" s="160">
        <f>IF([Occurrence4]=0,0,SUM($EL$2:EL98))</f>
        <v>0</v>
      </c>
      <c r="EN98" s="160">
        <f>IF([Chambre]*1='CHAMBRES FILLES 2e ETAGE'!$A$23,1,0)</f>
        <v>0</v>
      </c>
      <c r="EO98" s="160">
        <f>IF([Occurrence5]=0,0,SUM($EN$2:EN98))</f>
        <v>0</v>
      </c>
      <c r="EP98" s="160">
        <f>IF([Chambre]*1='CHAMBRES FILLES 2e ETAGE'!$A$29,1,0)</f>
        <v>0</v>
      </c>
      <c r="EQ98" s="160">
        <f>IF([Occurrence6]=0,0,SUM($EP$2:EP98))</f>
        <v>0</v>
      </c>
      <c r="ER98" s="160">
        <f>IF([Chambre]*1='CHAMBRES FILLES 2e ETAGE'!$A$35,1,0)</f>
        <v>0</v>
      </c>
      <c r="ES98" s="160">
        <f>IF([Occurrence7]=0,0,SUM($ER$2:ER98))</f>
        <v>0</v>
      </c>
      <c r="ET98" s="160">
        <f>IF([Chambre]*1='CHAMBRES FILLES 2e ETAGE'!$A$41,1,0)</f>
        <v>0</v>
      </c>
      <c r="EU98" s="160">
        <f>IF([Occurrence8]=0,0,SUM($ET$2:ET98))</f>
        <v>0</v>
      </c>
      <c r="EV98" s="160">
        <f>IF([Chambre]*1='CHAMBRES FILLES 2e ETAGE'!$A$47,1,0)</f>
        <v>0</v>
      </c>
      <c r="EW98" s="160">
        <f>IF([Occurrence9]=0,0,SUM($EV$2:EV98))</f>
        <v>0</v>
      </c>
      <c r="EX98" s="160">
        <f>IF([Chambre]*1='CHAMBRES FILLES 2e ETAGE'!$A$53,1,0)</f>
        <v>0</v>
      </c>
      <c r="EY98" s="160">
        <f>IF([Occurrence10]=0,0,SUM($EX$2:EX98))</f>
        <v>0</v>
      </c>
      <c r="EZ98" s="160">
        <f>IF([Chambre]*1='CHAMBRES FILLES 2e ETAGE'!$A$59,1,0)</f>
        <v>0</v>
      </c>
      <c r="FA98" s="160">
        <f>IF([Occurrence11]=0,0,SUM($EZ$2:EZ98))</f>
        <v>0</v>
      </c>
      <c r="FB98" s="160">
        <f>IF([Chambre]*1='CHAMBRES FILLES 2e ETAGE'!$A$65,1,0)</f>
        <v>0</v>
      </c>
      <c r="FC98" s="160">
        <f>IF([Occurrence12]=0,0,SUM($FB$2:FB98))</f>
        <v>0</v>
      </c>
      <c r="FD98" s="160">
        <f>IF([Chambre]*1='CHAMBRES FILLES 2e ETAGE'!$A$71,1,0)</f>
        <v>0</v>
      </c>
      <c r="FE98" s="160">
        <f>IF([Occurrence13]=0,0,SUM($FD$2:FD98))</f>
        <v>0</v>
      </c>
      <c r="FF98" s="160">
        <f>IF([Chambre]*1='CHAMBRES FILLES 2e ETAGE'!$A$77,1,0)</f>
        <v>0</v>
      </c>
      <c r="FG98" s="160">
        <f>IF([Occurrence14]=0,0,SUM($FF$2:FF98))</f>
        <v>0</v>
      </c>
      <c r="FH98" s="160">
        <f>IF([Chambre]*1='CHAMBRES FILLES 2e ETAGE'!$A$83,1,0)</f>
        <v>0</v>
      </c>
      <c r="FI98" s="160">
        <f>IF([Occurrence15]=0,0,SUM($FH$2:FH98))</f>
        <v>0</v>
      </c>
      <c r="FJ98" s="160">
        <f>IF([Chambre]*1='CHAMBRES FILLES 2e ETAGE'!$A$89,1,0)</f>
        <v>0</v>
      </c>
      <c r="FK98" s="160">
        <f>IF([Occurrence16]=0,0,SUM($FJ$2:FJ98))</f>
        <v>0</v>
      </c>
      <c r="FL98" s="160">
        <f>IF([Chambre]*1='CHAMBRES FILLES 2e ETAGE'!$A$95,1,0)</f>
        <v>0</v>
      </c>
      <c r="FM98" s="160">
        <f>IF([Occurrence17]=0,0,SUM($FL$2:FL98))</f>
        <v>0</v>
      </c>
      <c r="FN98" s="160">
        <f>IF([Chambre2]*1='CHAMBRES FILLES 1e ETAGE'!$A$5,1,0)</f>
        <v>0</v>
      </c>
      <c r="FO98" s="160">
        <f>IF([Occurrence18]=0,0,SUM($FN$2:FN98))</f>
        <v>0</v>
      </c>
      <c r="FP98" s="160">
        <f>IF([Chambre2]*1='CHAMBRES FILLES 1e ETAGE'!$A$11,1,0)</f>
        <v>0</v>
      </c>
      <c r="FQ98" s="160">
        <f>IF([Occurrence19]=0,0,SUM($FP$2:FP98))</f>
        <v>0</v>
      </c>
      <c r="FR98" s="160">
        <f>IF([Chambre2]*1='CHAMBRES FILLES 1e ETAGE'!$A$17,1,0)</f>
        <v>0</v>
      </c>
      <c r="FS98" s="160">
        <f>IF([Occurrence20]=0,0,SUM($FR$2:FR98))</f>
        <v>0</v>
      </c>
      <c r="FT98" s="160">
        <f>IF([Chambre2]*1='CHAMBRES FILLES 1e ETAGE'!$A$23,1,0)</f>
        <v>0</v>
      </c>
      <c r="FU98" s="160">
        <f>IF([Occurrence21]=0,0,SUM($FT$2:FT98))</f>
        <v>0</v>
      </c>
      <c r="FV98" s="160">
        <f>IF([Chambre2]*1='CHAMBRES FILLES 1e ETAGE'!$A$29,1,0)</f>
        <v>0</v>
      </c>
      <c r="FW98" s="160">
        <f>IF([Occurrence22]=0,0,SUM($FV$2:FV98))</f>
        <v>0</v>
      </c>
      <c r="FX98" s="160">
        <f>IF([Chambre2]*1='CHAMBRES FILLES 1e ETAGE'!$A$35,1,0)</f>
        <v>0</v>
      </c>
      <c r="FY98" s="160">
        <f>IF([Occurrence23]=0,0,SUM($FX$2:FX98))</f>
        <v>0</v>
      </c>
      <c r="FZ98" s="160">
        <f>IF([Chambre2]*1='CHAMBRES FILLES 1e ETAGE'!$A$41,1,0)</f>
        <v>0</v>
      </c>
      <c r="GA98" s="160">
        <f>IF([Occurrence24]=0,0,SUM($FZ$2:FZ98))</f>
        <v>0</v>
      </c>
      <c r="GB98" s="160">
        <f>IF([Chambre2]*1='CHAMBRES FILLES 1e ETAGE'!$A$47,1,0)</f>
        <v>0</v>
      </c>
      <c r="GC98" s="160">
        <f>IF([Occurrence25]=0,0,SUM($GB$2:GB98))</f>
        <v>0</v>
      </c>
      <c r="GD98" s="160">
        <f>IF([Chambre2]*1='CHAMBRES FILLES 1e ETAGE'!$A$53,1,0)</f>
        <v>0</v>
      </c>
      <c r="GE98" s="160">
        <f>IF([Occurrence26]=0,0,SUM($GD$2:GD98))</f>
        <v>0</v>
      </c>
      <c r="GF98" s="160">
        <f>IF([chambre4]*1='CHAMBRES GARCONS 1e ETAGE'!$A$5,1,0)</f>
        <v>0</v>
      </c>
      <c r="GG98" s="160">
        <f>IF([Occurrence27]=0,0,SUM($GF$2:GF98))</f>
        <v>0</v>
      </c>
      <c r="GH98" s="160">
        <f>IF([chambre4]*1='CHAMBRES GARCONS 1e ETAGE'!$A$11,1,0)</f>
        <v>0</v>
      </c>
      <c r="GI98" s="160">
        <f>IF([Occurrence28]=0,0,SUM($GH$2:GH98))</f>
        <v>0</v>
      </c>
      <c r="GJ98" s="160">
        <f>IF([chambre4]*1='CHAMBRES GARCONS 1e ETAGE'!$A$17,1,0)</f>
        <v>0</v>
      </c>
      <c r="GK98" s="160">
        <f>IF([Occurrence29]=0,0,SUM($GJ$2:GJ98))</f>
        <v>0</v>
      </c>
      <c r="GL98" s="160">
        <f>IF([chambre4]*1='CHAMBRES GARCONS 1e ETAGE'!$A$23,1,0)</f>
        <v>0</v>
      </c>
      <c r="GM98" s="160">
        <f>IF([Occurrence30]=0,0,SUM($GL$2:GL98))</f>
        <v>0</v>
      </c>
      <c r="GN98" s="160">
        <f>IF([chambre4]*1='CHAMBRES GARCONS 1e ETAGE'!$A$29,1,0)</f>
        <v>0</v>
      </c>
      <c r="GO98" s="160">
        <f>IF([Occurrence31]=0,0,SUM($GN$2:GN98))</f>
        <v>0</v>
      </c>
      <c r="GP98" s="160">
        <f>IF([chambre4]*1='CHAMBRES GARCONS 1e ETAGE'!$A$35,1,0)</f>
        <v>0</v>
      </c>
      <c r="GQ98" s="160">
        <f>IF([Occurrence32]=0,0,SUM($GP$2:GP98))</f>
        <v>0</v>
      </c>
      <c r="GR98" s="160">
        <f>IF([chambre3]*1='CHAMBRES GARCONS RDC'!$A$5,1,0)</f>
        <v>0</v>
      </c>
      <c r="GS98" s="160">
        <f>IF([Occurrence33]=0,0,SUM($GR$2:GR98))</f>
        <v>0</v>
      </c>
      <c r="GT98" s="160">
        <f>IF([chambre3]*1='CHAMBRES GARCONS RDC'!$A$11,1,0)</f>
        <v>0</v>
      </c>
      <c r="GU98" s="160">
        <f>IF([Occurrence34]=0,0,SUM($GT$2:GT98))</f>
        <v>0</v>
      </c>
      <c r="GV98" s="160">
        <f>IF([chambre3]*1='CHAMBRES GARCONS RDC'!$A$17,1,0)</f>
        <v>0</v>
      </c>
      <c r="GW98" s="160">
        <f>IF([Occurrence35]=0,0,SUM($GV$2:GV98))</f>
        <v>0</v>
      </c>
      <c r="GX98" s="160">
        <f>IF([chambre3]*1='CHAMBRES GARCONS RDC'!$A$23,1,0)</f>
        <v>0</v>
      </c>
      <c r="GY98" s="160">
        <f>IF([Occurrence36]=0,0,SUM($GX$2:GX98))</f>
        <v>0</v>
      </c>
      <c r="GZ98" s="160">
        <f>IF([chambre3]*1='CHAMBRES GARCONS RDC'!$A$29,1,0)</f>
        <v>0</v>
      </c>
      <c r="HA98" s="160">
        <f>IF([Occurrence37]=0,0,SUM($GZ$2:GZ98))</f>
        <v>0</v>
      </c>
      <c r="HB98" s="160">
        <f>IF([chambre3]*1='CHAMBRES GARCONS RDC'!$A$35,1,0)</f>
        <v>0</v>
      </c>
      <c r="HC98" s="160">
        <f>IF([Occurrence38]=0,0,SUM($HB$2:HB98))</f>
        <v>0</v>
      </c>
      <c r="HD98" s="160">
        <f>IF([chambre3]*1='CHAMBRES GARCONS RDC'!$A$41,1,0)</f>
        <v>0</v>
      </c>
      <c r="HE98" s="160">
        <f>IF([Occurrence39]=0,0,SUM($HD$2:HD98))</f>
        <v>0</v>
      </c>
      <c r="HF98" s="160">
        <f>IF([chambre3]*1='CHAMBRES GARCONS RDC'!$A$47,1,0)</f>
        <v>0</v>
      </c>
      <c r="HG98" s="160">
        <f>IF([Occurrence40]=0,0,SUM($HF$2:HF98))</f>
        <v>0</v>
      </c>
      <c r="HH98" s="160">
        <f>IF([chambre3]*1='CHAMBRES GARCONS RDC'!$A$53,1,0)</f>
        <v>0</v>
      </c>
      <c r="HI98" s="160">
        <f>IF([Occurrence41]=0,0,SUM($HH$2:HH98))</f>
        <v>0</v>
      </c>
      <c r="HJ98" s="160">
        <f>IF([chambre3]*1='CHAMBRES GARCONS RDC'!$A$59,1,0)</f>
        <v>0</v>
      </c>
      <c r="HK98" s="160">
        <f>IF([Occurrence42]=0,0,SUM($HJ$2:HJ98))</f>
        <v>0</v>
      </c>
      <c r="HL98" s="160">
        <f>IF([chambre3]*1='CHAMBRES GARCONS RDC'!$A$65,1,0)</f>
        <v>0</v>
      </c>
      <c r="HM98" s="160">
        <f>IF([Occurrence43]=0,0,SUM($HL$2:HL98))</f>
        <v>0</v>
      </c>
      <c r="HN98" s="160">
        <f>IF([chambre3]*1='CHAMBRES GARCONS RDC'!$A$71,1,0)</f>
        <v>0</v>
      </c>
      <c r="HO98" s="160">
        <f>IF([Occurrence44]=0,0,SUM($HN$2:HN98))</f>
        <v>0</v>
      </c>
      <c r="HP98" s="160">
        <f>IF([chambre3]*1='CHAMBRES GARCONS RDC'!$A$77,1,0)</f>
        <v>0</v>
      </c>
      <c r="HQ98" s="160">
        <f>IF([Occurrence45]=0,0,SUM($HP$2:HP98))</f>
        <v>0</v>
      </c>
      <c r="HR98" s="160">
        <f>IF([chambre3]*1='CHAMBRES GARCONS RDC'!$A$83,1,0)</f>
        <v>0</v>
      </c>
      <c r="HS98" s="160">
        <f>IF([Occurrence46]=0,0,SUM($HR$2:HR98))</f>
        <v>0</v>
      </c>
      <c r="HT98" s="160">
        <f>IF([chambre3]*1='CHAMBRES GARCONS RDC'!$A$89,1,0)</f>
        <v>0</v>
      </c>
      <c r="HU98" s="160">
        <f>IF([Occurrence47]=0,0,SUM($HT$2:HT98))</f>
        <v>0</v>
      </c>
      <c r="HV98" s="160">
        <f>IF([chambre3]*1='CHAMBRES GARCONS RDC'!$A$95,1,0)</f>
        <v>0</v>
      </c>
      <c r="HW98" s="160">
        <f>IF([Occurrence48]=0,0,SUM($HV$2:HV98))</f>
        <v>0</v>
      </c>
      <c r="HX98" s="160"/>
      <c r="HY98" s="160"/>
      <c r="HZ98" s="160">
        <f>IF([Classe]='Liste élève par classes'!$B$5,1,0)</f>
        <v>0</v>
      </c>
      <c r="IA98" s="160">
        <f>IF([Occurrence]=0,0,SUM($HZ$2:HZ98))</f>
        <v>0</v>
      </c>
      <c r="IB9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158</v>
      </c>
      <c r="IC98" s="208"/>
    </row>
    <row r="99" spans="1:237">
      <c r="A99" t="s">
        <v>416</v>
      </c>
      <c r="B99" t="s">
        <v>417</v>
      </c>
      <c r="C99" s="158">
        <v>36600</v>
      </c>
      <c r="D99" s="62">
        <f t="shared" ca="1" si="1"/>
        <v>17</v>
      </c>
      <c r="E99" t="s">
        <v>0</v>
      </c>
      <c r="F99" s="159" t="s">
        <v>50</v>
      </c>
      <c r="G99" t="s">
        <v>45</v>
      </c>
      <c r="H99" s="160"/>
      <c r="I99" s="161"/>
      <c r="J99" s="161"/>
      <c r="K99" s="161"/>
      <c r="L99" s="160">
        <v>163</v>
      </c>
      <c r="M99">
        <v>213</v>
      </c>
      <c r="N99" s="161"/>
      <c r="O99" s="161"/>
      <c r="P99" s="161"/>
      <c r="Q99" s="161"/>
      <c r="R99" s="161"/>
      <c r="S99" s="190"/>
      <c r="T99" s="161"/>
      <c r="U99" s="160"/>
      <c r="V99" s="161"/>
      <c r="W99" s="161"/>
      <c r="X99" s="161"/>
      <c r="Y99" s="161"/>
      <c r="Z99" s="161"/>
      <c r="AA99" s="161"/>
      <c r="AB99" s="161"/>
      <c r="AC99" s="161"/>
      <c r="AD99" s="161"/>
      <c r="AE99" s="161"/>
      <c r="AF99" s="163"/>
      <c r="AG99" s="163"/>
      <c r="AH99" s="163"/>
      <c r="AI99" s="163"/>
      <c r="AJ99" s="163"/>
      <c r="AK99" s="163"/>
      <c r="AL99" s="163"/>
      <c r="AM99" s="163"/>
      <c r="AN99" s="163"/>
      <c r="AO99" s="163"/>
      <c r="AP99" s="163"/>
      <c r="AQ99" s="163"/>
      <c r="AR99" s="163"/>
      <c r="AS99" s="163"/>
      <c r="AT99" s="163"/>
      <c r="AU99" s="163"/>
      <c r="AV99" s="163"/>
      <c r="AW99" s="163"/>
      <c r="AX99" s="163"/>
      <c r="AY99" s="163"/>
      <c r="AZ99" s="163"/>
      <c r="BA99" s="163"/>
      <c r="BB99" s="163"/>
      <c r="BC99" s="163" t="b">
        <v>0</v>
      </c>
      <c r="BD99" s="163" t="b">
        <v>1</v>
      </c>
      <c r="BE99" s="163" t="b">
        <v>1</v>
      </c>
      <c r="BF99" s="163" t="b">
        <v>0</v>
      </c>
      <c r="BG99" s="164" t="b">
        <v>0</v>
      </c>
      <c r="BH99" s="163" t="b">
        <v>1</v>
      </c>
      <c r="BI99" s="163"/>
      <c r="BJ99" s="163"/>
      <c r="BK99" s="163"/>
      <c r="BL99" s="163"/>
      <c r="BM99" s="163"/>
      <c r="BN99" s="163"/>
      <c r="BO99" s="163"/>
      <c r="BP99" s="163"/>
      <c r="BQ99" s="163" t="b">
        <v>0</v>
      </c>
      <c r="BR99" s="163"/>
      <c r="BS99" s="163"/>
      <c r="BT99" s="163"/>
      <c r="BU99" s="163"/>
      <c r="BV99" s="163"/>
      <c r="BW99" s="163"/>
      <c r="BX99" s="163"/>
      <c r="BY99" s="163"/>
      <c r="BZ99" s="163"/>
      <c r="CA99" s="163"/>
      <c r="CB99" s="163"/>
      <c r="CC99" s="163"/>
      <c r="CD99" s="163"/>
      <c r="CE99" s="163"/>
      <c r="CF99" s="163"/>
      <c r="CG99" s="163"/>
      <c r="CH99" s="163"/>
      <c r="CI99" s="163"/>
      <c r="CJ99" s="163"/>
      <c r="CK99" s="163"/>
      <c r="CL99" s="163"/>
      <c r="CM99" s="163"/>
      <c r="CN99" s="163"/>
      <c r="CO99" s="163"/>
      <c r="CP99" s="163"/>
      <c r="CQ99" s="163"/>
      <c r="CR99" s="163"/>
      <c r="CS99" s="163"/>
      <c r="CT99" s="163"/>
      <c r="CU99" s="163"/>
      <c r="CV99" s="163"/>
      <c r="CW99" s="163"/>
      <c r="CX99" s="163"/>
      <c r="CY99" s="163"/>
      <c r="CZ99" s="163"/>
      <c r="DA99" s="163"/>
      <c r="DB99" s="163"/>
      <c r="DC99" s="163"/>
      <c r="DD99" s="163"/>
      <c r="DE99" s="163"/>
      <c r="DF99" s="163"/>
      <c r="DG99" s="208"/>
      <c r="DH99" s="163"/>
      <c r="DI99" s="163"/>
      <c r="DJ99" s="163"/>
      <c r="DK99" s="163"/>
      <c r="DL99" s="163"/>
      <c r="DM99" s="163"/>
      <c r="DN99" s="163"/>
      <c r="DO99" s="163"/>
      <c r="DP99" s="163"/>
      <c r="DQ99" s="163"/>
      <c r="DR99" s="163"/>
      <c r="DS99" s="163"/>
      <c r="DT99" s="163"/>
      <c r="DU99" s="163"/>
      <c r="DV99" s="163"/>
      <c r="DW99" s="163"/>
      <c r="DX99" s="163"/>
      <c r="DY99" s="163"/>
      <c r="DZ99" s="163"/>
      <c r="EA99" s="163"/>
      <c r="EB99" s="163"/>
      <c r="EC99" s="163"/>
      <c r="ED99" s="163"/>
      <c r="EE99" s="163"/>
      <c r="EF99" s="163"/>
      <c r="EG99" s="163"/>
      <c r="EH99" s="160">
        <f>IF([Chambre]*1='CHAMBRES FILLES 2e ETAGE'!$A$5,1,0)</f>
        <v>0</v>
      </c>
      <c r="EI99" s="161">
        <f>IF([Occurrence2]=0,0,SUM($EH$2:EH99))</f>
        <v>0</v>
      </c>
      <c r="EJ99" s="160">
        <f>IF([Chambre]*1='CHAMBRES FILLES 2e ETAGE'!$A$11,1,0)</f>
        <v>0</v>
      </c>
      <c r="EK99" s="160">
        <f>IF([Occurrence3]=0,0,SUM($EJ$2:EJ99))</f>
        <v>0</v>
      </c>
      <c r="EL99" s="160">
        <f>IF([Chambre]*1='CHAMBRES FILLES 2e ETAGE'!$A$17,1,0)</f>
        <v>0</v>
      </c>
      <c r="EM99" s="160">
        <f>IF([Occurrence4]=0,0,SUM($EL$2:EL99))</f>
        <v>0</v>
      </c>
      <c r="EN99" s="160">
        <f>IF([Chambre]*1='CHAMBRES FILLES 2e ETAGE'!$A$23,1,0)</f>
        <v>0</v>
      </c>
      <c r="EO99" s="160">
        <f>IF([Occurrence5]=0,0,SUM($EN$2:EN99))</f>
        <v>0</v>
      </c>
      <c r="EP99" s="160">
        <f>IF([Chambre]*1='CHAMBRES FILLES 2e ETAGE'!$A$29,1,0)</f>
        <v>0</v>
      </c>
      <c r="EQ99" s="160">
        <f>IF([Occurrence6]=0,0,SUM($EP$2:EP99))</f>
        <v>0</v>
      </c>
      <c r="ER99" s="160">
        <f>IF([Chambre]*1='CHAMBRES FILLES 2e ETAGE'!$A$35,1,0)</f>
        <v>0</v>
      </c>
      <c r="ES99" s="160">
        <f>IF([Occurrence7]=0,0,SUM($ER$2:ER99))</f>
        <v>0</v>
      </c>
      <c r="ET99" s="160">
        <f>IF([Chambre]*1='CHAMBRES FILLES 2e ETAGE'!$A$41,1,0)</f>
        <v>0</v>
      </c>
      <c r="EU99" s="160">
        <f>IF([Occurrence8]=0,0,SUM($ET$2:ET99))</f>
        <v>0</v>
      </c>
      <c r="EV99" s="160">
        <f>IF([Chambre]*1='CHAMBRES FILLES 2e ETAGE'!$A$47,1,0)</f>
        <v>0</v>
      </c>
      <c r="EW99" s="160">
        <f>IF([Occurrence9]=0,0,SUM($EV$2:EV99))</f>
        <v>0</v>
      </c>
      <c r="EX99" s="160">
        <f>IF([Chambre]*1='CHAMBRES FILLES 2e ETAGE'!$A$53,1,0)</f>
        <v>0</v>
      </c>
      <c r="EY99" s="160">
        <f>IF([Occurrence10]=0,0,SUM($EX$2:EX99))</f>
        <v>0</v>
      </c>
      <c r="EZ99" s="160">
        <f>IF([Chambre]*1='CHAMBRES FILLES 2e ETAGE'!$A$59,1,0)</f>
        <v>1</v>
      </c>
      <c r="FA99" s="160">
        <f>IF([Occurrence11]=0,0,SUM($EZ$2:EZ99))</f>
        <v>2</v>
      </c>
      <c r="FB99" s="160">
        <f>IF([Chambre]*1='CHAMBRES FILLES 2e ETAGE'!$A$65,1,0)</f>
        <v>0</v>
      </c>
      <c r="FC99" s="160">
        <f>IF([Occurrence12]=0,0,SUM($FB$2:FB99))</f>
        <v>0</v>
      </c>
      <c r="FD99" s="160">
        <f>IF([Chambre]*1='CHAMBRES FILLES 2e ETAGE'!$A$71,1,0)</f>
        <v>0</v>
      </c>
      <c r="FE99" s="160">
        <f>IF([Occurrence13]=0,0,SUM($FD$2:FD99))</f>
        <v>0</v>
      </c>
      <c r="FF99" s="160">
        <f>IF([Chambre]*1='CHAMBRES FILLES 2e ETAGE'!$A$77,1,0)</f>
        <v>0</v>
      </c>
      <c r="FG99" s="160">
        <f>IF([Occurrence14]=0,0,SUM($FF$2:FF99))</f>
        <v>0</v>
      </c>
      <c r="FH99" s="160">
        <f>IF([Chambre]*1='CHAMBRES FILLES 2e ETAGE'!$A$83,1,0)</f>
        <v>0</v>
      </c>
      <c r="FI99" s="160">
        <f>IF([Occurrence15]=0,0,SUM($FH$2:FH99))</f>
        <v>0</v>
      </c>
      <c r="FJ99" s="160">
        <f>IF([Chambre]*1='CHAMBRES FILLES 2e ETAGE'!$A$89,1,0)</f>
        <v>0</v>
      </c>
      <c r="FK99" s="160">
        <f>IF([Occurrence16]=0,0,SUM($FJ$2:FJ99))</f>
        <v>0</v>
      </c>
      <c r="FL99" s="160">
        <f>IF([Chambre]*1='CHAMBRES FILLES 2e ETAGE'!$A$95,1,0)</f>
        <v>0</v>
      </c>
      <c r="FM99" s="160">
        <f>IF([Occurrence17]=0,0,SUM($FL$2:FL99))</f>
        <v>0</v>
      </c>
      <c r="FN99" s="160">
        <f>IF([Chambre2]*1='CHAMBRES FILLES 1e ETAGE'!$A$5,1,0)</f>
        <v>0</v>
      </c>
      <c r="FO99" s="160">
        <f>IF([Occurrence18]=0,0,SUM($FN$2:FN99))</f>
        <v>0</v>
      </c>
      <c r="FP99" s="160">
        <f>IF([Chambre2]*1='CHAMBRES FILLES 1e ETAGE'!$A$11,1,0)</f>
        <v>0</v>
      </c>
      <c r="FQ99" s="160">
        <f>IF([Occurrence19]=0,0,SUM($FP$2:FP99))</f>
        <v>0</v>
      </c>
      <c r="FR99" s="160">
        <f>IF([Chambre2]*1='CHAMBRES FILLES 1e ETAGE'!$A$17,1,0)</f>
        <v>0</v>
      </c>
      <c r="FS99" s="160">
        <f>IF([Occurrence20]=0,0,SUM($FR$2:FR99))</f>
        <v>0</v>
      </c>
      <c r="FT99" s="160">
        <f>IF([Chambre2]*1='CHAMBRES FILLES 1e ETAGE'!$A$23,1,0)</f>
        <v>0</v>
      </c>
      <c r="FU99" s="160">
        <f>IF([Occurrence21]=0,0,SUM($FT$2:FT99))</f>
        <v>0</v>
      </c>
      <c r="FV99" s="160">
        <f>IF([Chambre2]*1='CHAMBRES FILLES 1e ETAGE'!$A$29,1,0)</f>
        <v>0</v>
      </c>
      <c r="FW99" s="160">
        <f>IF([Occurrence22]=0,0,SUM($FV$2:FV99))</f>
        <v>0</v>
      </c>
      <c r="FX99" s="160">
        <f>IF([Chambre2]*1='CHAMBRES FILLES 1e ETAGE'!$A$35,1,0)</f>
        <v>0</v>
      </c>
      <c r="FY99" s="160">
        <f>IF([Occurrence23]=0,0,SUM($FX$2:FX99))</f>
        <v>0</v>
      </c>
      <c r="FZ99" s="160">
        <f>IF([Chambre2]*1='CHAMBRES FILLES 1e ETAGE'!$A$41,1,0)</f>
        <v>0</v>
      </c>
      <c r="GA99" s="160">
        <f>IF([Occurrence24]=0,0,SUM($FZ$2:FZ99))</f>
        <v>0</v>
      </c>
      <c r="GB99" s="160">
        <f>IF([Chambre2]*1='CHAMBRES FILLES 1e ETAGE'!$A$47,1,0)</f>
        <v>0</v>
      </c>
      <c r="GC99" s="160">
        <f>IF([Occurrence25]=0,0,SUM($GB$2:GB99))</f>
        <v>0</v>
      </c>
      <c r="GD99" s="160">
        <f>IF([Chambre2]*1='CHAMBRES FILLES 1e ETAGE'!$A$53,1,0)</f>
        <v>0</v>
      </c>
      <c r="GE99" s="160">
        <f>IF([Occurrence26]=0,0,SUM($GD$2:GD99))</f>
        <v>0</v>
      </c>
      <c r="GF99" s="160">
        <f>IF([chambre4]*1='CHAMBRES GARCONS 1e ETAGE'!$A$5,1,0)</f>
        <v>0</v>
      </c>
      <c r="GG99" s="160">
        <f>IF([Occurrence27]=0,0,SUM($GF$2:GF99))</f>
        <v>0</v>
      </c>
      <c r="GH99" s="160">
        <f>IF([chambre4]*1='CHAMBRES GARCONS 1e ETAGE'!$A$11,1,0)</f>
        <v>0</v>
      </c>
      <c r="GI99" s="160">
        <f>IF([Occurrence28]=0,0,SUM($GH$2:GH99))</f>
        <v>0</v>
      </c>
      <c r="GJ99" s="160">
        <f>IF([chambre4]*1='CHAMBRES GARCONS 1e ETAGE'!$A$17,1,0)</f>
        <v>0</v>
      </c>
      <c r="GK99" s="160">
        <f>IF([Occurrence29]=0,0,SUM($GJ$2:GJ99))</f>
        <v>0</v>
      </c>
      <c r="GL99" s="160">
        <f>IF([chambre4]*1='CHAMBRES GARCONS 1e ETAGE'!$A$23,1,0)</f>
        <v>0</v>
      </c>
      <c r="GM99" s="160">
        <f>IF([Occurrence30]=0,0,SUM($GL$2:GL99))</f>
        <v>0</v>
      </c>
      <c r="GN99" s="160">
        <f>IF([chambre4]*1='CHAMBRES GARCONS 1e ETAGE'!$A$29,1,0)</f>
        <v>0</v>
      </c>
      <c r="GO99" s="160">
        <f>IF([Occurrence31]=0,0,SUM($GN$2:GN99))</f>
        <v>0</v>
      </c>
      <c r="GP99" s="160">
        <f>IF([chambre4]*1='CHAMBRES GARCONS 1e ETAGE'!$A$35,1,0)</f>
        <v>0</v>
      </c>
      <c r="GQ99" s="160">
        <f>IF([Occurrence32]=0,0,SUM($GP$2:GP99))</f>
        <v>0</v>
      </c>
      <c r="GR99" s="160">
        <f>IF([chambre3]*1='CHAMBRES GARCONS RDC'!$A$5,1,0)</f>
        <v>0</v>
      </c>
      <c r="GS99" s="160">
        <f>IF([Occurrence33]=0,0,SUM($GR$2:GR99))</f>
        <v>0</v>
      </c>
      <c r="GT99" s="160">
        <f>IF([chambre3]*1='CHAMBRES GARCONS RDC'!$A$11,1,0)</f>
        <v>0</v>
      </c>
      <c r="GU99" s="160">
        <f>IF([Occurrence34]=0,0,SUM($GT$2:GT99))</f>
        <v>0</v>
      </c>
      <c r="GV99" s="160">
        <f>IF([chambre3]*1='CHAMBRES GARCONS RDC'!$A$17,1,0)</f>
        <v>0</v>
      </c>
      <c r="GW99" s="160">
        <f>IF([Occurrence35]=0,0,SUM($GV$2:GV99))</f>
        <v>0</v>
      </c>
      <c r="GX99" s="160">
        <f>IF([chambre3]*1='CHAMBRES GARCONS RDC'!$A$23,1,0)</f>
        <v>0</v>
      </c>
      <c r="GY99" s="160">
        <f>IF([Occurrence36]=0,0,SUM($GX$2:GX99))</f>
        <v>0</v>
      </c>
      <c r="GZ99" s="160">
        <f>IF([chambre3]*1='CHAMBRES GARCONS RDC'!$A$29,1,0)</f>
        <v>0</v>
      </c>
      <c r="HA99" s="160">
        <f>IF([Occurrence37]=0,0,SUM($GZ$2:GZ99))</f>
        <v>0</v>
      </c>
      <c r="HB99" s="160">
        <f>IF([chambre3]*1='CHAMBRES GARCONS RDC'!$A$35,1,0)</f>
        <v>0</v>
      </c>
      <c r="HC99" s="160">
        <f>IF([Occurrence38]=0,0,SUM($HB$2:HB99))</f>
        <v>0</v>
      </c>
      <c r="HD99" s="160">
        <f>IF([chambre3]*1='CHAMBRES GARCONS RDC'!$A$41,1,0)</f>
        <v>0</v>
      </c>
      <c r="HE99" s="160">
        <f>IF([Occurrence39]=0,0,SUM($HD$2:HD99))</f>
        <v>0</v>
      </c>
      <c r="HF99" s="160">
        <f>IF([chambre3]*1='CHAMBRES GARCONS RDC'!$A$47,1,0)</f>
        <v>0</v>
      </c>
      <c r="HG99" s="160">
        <f>IF([Occurrence40]=0,0,SUM($HF$2:HF99))</f>
        <v>0</v>
      </c>
      <c r="HH99" s="160">
        <f>IF([chambre3]*1='CHAMBRES GARCONS RDC'!$A$53,1,0)</f>
        <v>0</v>
      </c>
      <c r="HI99" s="160">
        <f>IF([Occurrence41]=0,0,SUM($HH$2:HH99))</f>
        <v>0</v>
      </c>
      <c r="HJ99" s="160">
        <f>IF([chambre3]*1='CHAMBRES GARCONS RDC'!$A$59,1,0)</f>
        <v>0</v>
      </c>
      <c r="HK99" s="160">
        <f>IF([Occurrence42]=0,0,SUM($HJ$2:HJ99))</f>
        <v>0</v>
      </c>
      <c r="HL99" s="160">
        <f>IF([chambre3]*1='CHAMBRES GARCONS RDC'!$A$65,1,0)</f>
        <v>0</v>
      </c>
      <c r="HM99" s="160">
        <f>IF([Occurrence43]=0,0,SUM($HL$2:HL99))</f>
        <v>0</v>
      </c>
      <c r="HN99" s="160">
        <f>IF([chambre3]*1='CHAMBRES GARCONS RDC'!$A$71,1,0)</f>
        <v>0</v>
      </c>
      <c r="HO99" s="160">
        <f>IF([Occurrence44]=0,0,SUM($HN$2:HN99))</f>
        <v>0</v>
      </c>
      <c r="HP99" s="160">
        <f>IF([chambre3]*1='CHAMBRES GARCONS RDC'!$A$77,1,0)</f>
        <v>0</v>
      </c>
      <c r="HQ99" s="160">
        <f>IF([Occurrence45]=0,0,SUM($HP$2:HP99))</f>
        <v>0</v>
      </c>
      <c r="HR99" s="160">
        <f>IF([chambre3]*1='CHAMBRES GARCONS RDC'!$A$83,1,0)</f>
        <v>0</v>
      </c>
      <c r="HS99" s="160">
        <f>IF([Occurrence46]=0,0,SUM($HR$2:HR99))</f>
        <v>0</v>
      </c>
      <c r="HT99" s="160">
        <f>IF([chambre3]*1='CHAMBRES GARCONS RDC'!$A$89,1,0)</f>
        <v>0</v>
      </c>
      <c r="HU99" s="160">
        <f>IF([Occurrence47]=0,0,SUM($HT$2:HT99))</f>
        <v>0</v>
      </c>
      <c r="HV99" s="160">
        <f>IF([chambre3]*1='CHAMBRES GARCONS RDC'!$A$95,1,0)</f>
        <v>0</v>
      </c>
      <c r="HW99" s="160">
        <f>IF([Occurrence48]=0,0,SUM($HV$2:HV99))</f>
        <v>0</v>
      </c>
      <c r="HX99" s="160"/>
      <c r="HY99" s="160"/>
      <c r="HZ99" s="160">
        <f>IF([Classe]='Liste élève par classes'!$B$5,1,0)</f>
        <v>0</v>
      </c>
      <c r="IA99" s="160">
        <f>IF([Occurrence]=0,0,SUM($HZ$2:HZ99))</f>
        <v>0</v>
      </c>
      <c r="IB9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163</v>
      </c>
      <c r="IC99" s="208"/>
    </row>
    <row r="100" spans="1:237">
      <c r="A100" t="s">
        <v>418</v>
      </c>
      <c r="B100" t="s">
        <v>297</v>
      </c>
      <c r="C100" s="158">
        <v>37910</v>
      </c>
      <c r="D100" s="62">
        <f t="shared" ca="1" si="1"/>
        <v>14</v>
      </c>
      <c r="E100" t="s">
        <v>12</v>
      </c>
      <c r="F100" s="159" t="s">
        <v>50</v>
      </c>
      <c r="G100" t="s">
        <v>40</v>
      </c>
      <c r="H100" s="160"/>
      <c r="I100" s="62"/>
      <c r="J100" s="62"/>
      <c r="K100" s="62"/>
      <c r="L100" s="61"/>
      <c r="M100">
        <v>81</v>
      </c>
      <c r="N100" s="62"/>
      <c r="O100" s="62"/>
      <c r="P100" s="62"/>
      <c r="Q100" s="62"/>
      <c r="R100" s="62"/>
      <c r="S100" s="191"/>
      <c r="T100" s="62"/>
      <c r="U100" s="61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163"/>
      <c r="AG100" s="163"/>
      <c r="AH100" s="163"/>
      <c r="AI100" s="163"/>
      <c r="AJ100" s="163"/>
      <c r="AK100" s="163"/>
      <c r="AL100" s="163"/>
      <c r="AM100" s="163"/>
      <c r="AN100" s="163"/>
      <c r="AO100" s="163"/>
      <c r="AP100" s="163"/>
      <c r="AQ100" s="163"/>
      <c r="AR100" s="163"/>
      <c r="AS100" s="163"/>
      <c r="AT100" s="163"/>
      <c r="AU100" s="163"/>
      <c r="AV100" s="163"/>
      <c r="AW100" s="163"/>
      <c r="AX100" s="163"/>
      <c r="AY100" s="163"/>
      <c r="AZ100" s="163"/>
      <c r="BA100" s="163"/>
      <c r="BB100" s="163"/>
      <c r="BC100" s="163" t="b">
        <v>0</v>
      </c>
      <c r="BD100" s="163" t="b">
        <v>1</v>
      </c>
      <c r="BE100" s="163" t="b">
        <v>1</v>
      </c>
      <c r="BF100" s="163" t="b">
        <v>0</v>
      </c>
      <c r="BG100" s="164" t="b">
        <v>0</v>
      </c>
      <c r="BH100" s="163" t="b">
        <v>1</v>
      </c>
      <c r="BI100" s="163"/>
      <c r="BJ100" s="163"/>
      <c r="BK100" s="163"/>
      <c r="BL100" s="163"/>
      <c r="BM100" s="163"/>
      <c r="BN100" s="163"/>
      <c r="BO100" s="163"/>
      <c r="BP100" s="163"/>
      <c r="BQ100" s="163" t="b">
        <v>1</v>
      </c>
      <c r="BR100" s="163"/>
      <c r="BS100" s="163"/>
      <c r="BT100" s="163"/>
      <c r="BU100" s="163"/>
      <c r="BV100" s="163"/>
      <c r="BW100" s="163"/>
      <c r="BX100" s="163"/>
      <c r="BY100" s="163"/>
      <c r="BZ100" s="163"/>
      <c r="CA100" s="163"/>
      <c r="CB100" s="163"/>
      <c r="CC100" s="163"/>
      <c r="CD100" s="163"/>
      <c r="CE100" s="163"/>
      <c r="CF100" s="163"/>
      <c r="CG100" s="163"/>
      <c r="CH100" s="163"/>
      <c r="CI100" s="163"/>
      <c r="CJ100" s="163"/>
      <c r="CK100" s="163"/>
      <c r="CL100" s="163"/>
      <c r="CM100" s="163"/>
      <c r="CN100" s="163"/>
      <c r="CO100" s="163"/>
      <c r="CP100" s="163"/>
      <c r="CQ100" s="163"/>
      <c r="CR100" s="163"/>
      <c r="CS100" s="163"/>
      <c r="CT100" s="163"/>
      <c r="CU100" s="163"/>
      <c r="CV100" s="163"/>
      <c r="CW100" s="163"/>
      <c r="CX100" s="163"/>
      <c r="CY100" s="163"/>
      <c r="CZ100" s="163"/>
      <c r="DA100" s="163">
        <v>105</v>
      </c>
      <c r="DB100" s="163"/>
      <c r="DC100" s="163"/>
      <c r="DD100" s="163"/>
      <c r="DE100" s="163"/>
      <c r="DF100" s="163"/>
      <c r="DG100" s="208"/>
      <c r="DH100" s="163"/>
      <c r="DI100" s="163"/>
      <c r="DJ100" s="163"/>
      <c r="DK100" s="163"/>
      <c r="DL100" s="163"/>
      <c r="DM100" s="163"/>
      <c r="DN100" s="163"/>
      <c r="DO100" s="163"/>
      <c r="DP100" s="163"/>
      <c r="DQ100" s="163"/>
      <c r="DR100" s="163"/>
      <c r="DS100" s="163"/>
      <c r="DT100" s="163"/>
      <c r="DU100" s="163"/>
      <c r="DV100" s="163"/>
      <c r="DW100" s="163"/>
      <c r="DX100" s="163"/>
      <c r="DY100" s="163"/>
      <c r="DZ100" s="163"/>
      <c r="EA100" s="163"/>
      <c r="EB100" s="163"/>
      <c r="EC100" s="163"/>
      <c r="ED100" s="163"/>
      <c r="EE100" s="163"/>
      <c r="EF100" s="163"/>
      <c r="EG100" s="163"/>
      <c r="EH100" s="160">
        <f>IF([Chambre]*1='CHAMBRES FILLES 2e ETAGE'!$A$5,1,0)</f>
        <v>0</v>
      </c>
      <c r="EI100" s="161">
        <f>IF([Occurrence2]=0,0,SUM($EH$2:EH100))</f>
        <v>0</v>
      </c>
      <c r="EJ100" s="160">
        <f>IF([Chambre]*1='CHAMBRES FILLES 2e ETAGE'!$A$11,1,0)</f>
        <v>0</v>
      </c>
      <c r="EK100" s="160">
        <f>IF([Occurrence3]=0,0,SUM($EJ$2:EJ100))</f>
        <v>0</v>
      </c>
      <c r="EL100" s="160">
        <f>IF([Chambre]*1='CHAMBRES FILLES 2e ETAGE'!$A$17,1,0)</f>
        <v>0</v>
      </c>
      <c r="EM100" s="160">
        <f>IF([Occurrence4]=0,0,SUM($EL$2:EL100))</f>
        <v>0</v>
      </c>
      <c r="EN100" s="160">
        <f>IF([Chambre]*1='CHAMBRES FILLES 2e ETAGE'!$A$23,1,0)</f>
        <v>0</v>
      </c>
      <c r="EO100" s="160">
        <f>IF([Occurrence5]=0,0,SUM($EN$2:EN100))</f>
        <v>0</v>
      </c>
      <c r="EP100" s="160">
        <f>IF([Chambre]*1='CHAMBRES FILLES 2e ETAGE'!$A$29,1,0)</f>
        <v>0</v>
      </c>
      <c r="EQ100" s="160">
        <f>IF([Occurrence6]=0,0,SUM($EP$2:EP100))</f>
        <v>0</v>
      </c>
      <c r="ER100" s="160">
        <f>IF([Chambre]*1='CHAMBRES FILLES 2e ETAGE'!$A$35,1,0)</f>
        <v>0</v>
      </c>
      <c r="ES100" s="160">
        <f>IF([Occurrence7]=0,0,SUM($ER$2:ER100))</f>
        <v>0</v>
      </c>
      <c r="ET100" s="160">
        <f>IF([Chambre]*1='CHAMBRES FILLES 2e ETAGE'!$A$41,1,0)</f>
        <v>0</v>
      </c>
      <c r="EU100" s="160">
        <f>IF([Occurrence8]=0,0,SUM($ET$2:ET100))</f>
        <v>0</v>
      </c>
      <c r="EV100" s="160">
        <f>IF([Chambre]*1='CHAMBRES FILLES 2e ETAGE'!$A$47,1,0)</f>
        <v>0</v>
      </c>
      <c r="EW100" s="160">
        <f>IF([Occurrence9]=0,0,SUM($EV$2:EV100))</f>
        <v>0</v>
      </c>
      <c r="EX100" s="160">
        <f>IF([Chambre]*1='CHAMBRES FILLES 2e ETAGE'!$A$53,1,0)</f>
        <v>0</v>
      </c>
      <c r="EY100" s="160">
        <f>IF([Occurrence10]=0,0,SUM($EX$2:EX100))</f>
        <v>0</v>
      </c>
      <c r="EZ100" s="160">
        <f>IF([Chambre]*1='CHAMBRES FILLES 2e ETAGE'!$A$59,1,0)</f>
        <v>0</v>
      </c>
      <c r="FA100" s="160">
        <f>IF([Occurrence11]=0,0,SUM($EZ$2:EZ100))</f>
        <v>0</v>
      </c>
      <c r="FB100" s="160">
        <f>IF([Chambre]*1='CHAMBRES FILLES 2e ETAGE'!$A$65,1,0)</f>
        <v>0</v>
      </c>
      <c r="FC100" s="160">
        <f>IF([Occurrence12]=0,0,SUM($FB$2:FB100))</f>
        <v>0</v>
      </c>
      <c r="FD100" s="160">
        <f>IF([Chambre]*1='CHAMBRES FILLES 2e ETAGE'!$A$71,1,0)</f>
        <v>0</v>
      </c>
      <c r="FE100" s="160">
        <f>IF([Occurrence13]=0,0,SUM($FD$2:FD100))</f>
        <v>0</v>
      </c>
      <c r="FF100" s="160">
        <f>IF([Chambre]*1='CHAMBRES FILLES 2e ETAGE'!$A$77,1,0)</f>
        <v>0</v>
      </c>
      <c r="FG100" s="160">
        <f>IF([Occurrence14]=0,0,SUM($FF$2:FF100))</f>
        <v>0</v>
      </c>
      <c r="FH100" s="160">
        <f>IF([Chambre]*1='CHAMBRES FILLES 2e ETAGE'!$A$83,1,0)</f>
        <v>0</v>
      </c>
      <c r="FI100" s="160">
        <f>IF([Occurrence15]=0,0,SUM($FH$2:FH100))</f>
        <v>0</v>
      </c>
      <c r="FJ100" s="160">
        <f>IF([Chambre]*1='CHAMBRES FILLES 2e ETAGE'!$A$89,1,0)</f>
        <v>0</v>
      </c>
      <c r="FK100" s="160">
        <f>IF([Occurrence16]=0,0,SUM($FJ$2:FJ100))</f>
        <v>0</v>
      </c>
      <c r="FL100" s="160">
        <f>IF([Chambre]*1='CHAMBRES FILLES 2e ETAGE'!$A$95,1,0)</f>
        <v>0</v>
      </c>
      <c r="FM100" s="160">
        <f>IF([Occurrence17]=0,0,SUM($FL$2:FL100))</f>
        <v>0</v>
      </c>
      <c r="FN100" s="160">
        <f>IF([Chambre2]*1='CHAMBRES FILLES 1e ETAGE'!$A$5,1,0)</f>
        <v>0</v>
      </c>
      <c r="FO100" s="160">
        <f>IF([Occurrence18]=0,0,SUM($FN$2:FN100))</f>
        <v>0</v>
      </c>
      <c r="FP100" s="160">
        <f>IF([Chambre2]*1='CHAMBRES FILLES 1e ETAGE'!$A$11,1,0)</f>
        <v>0</v>
      </c>
      <c r="FQ100" s="160">
        <f>IF([Occurrence19]=0,0,SUM($FP$2:FP100))</f>
        <v>0</v>
      </c>
      <c r="FR100" s="160">
        <f>IF([Chambre2]*1='CHAMBRES FILLES 1e ETAGE'!$A$17,1,0)</f>
        <v>0</v>
      </c>
      <c r="FS100" s="160">
        <f>IF([Occurrence20]=0,0,SUM($FR$2:FR100))</f>
        <v>0</v>
      </c>
      <c r="FT100" s="160">
        <f>IF([Chambre2]*1='CHAMBRES FILLES 1e ETAGE'!$A$23,1,0)</f>
        <v>0</v>
      </c>
      <c r="FU100" s="160">
        <f>IF([Occurrence21]=0,0,SUM($FT$2:FT100))</f>
        <v>0</v>
      </c>
      <c r="FV100" s="160">
        <f>IF([Chambre2]*1='CHAMBRES FILLES 1e ETAGE'!$A$29,1,0)</f>
        <v>0</v>
      </c>
      <c r="FW100" s="160">
        <f>IF([Occurrence22]=0,0,SUM($FV$2:FV100))</f>
        <v>0</v>
      </c>
      <c r="FX100" s="160">
        <f>IF([Chambre2]*1='CHAMBRES FILLES 1e ETAGE'!$A$35,1,0)</f>
        <v>0</v>
      </c>
      <c r="FY100" s="160">
        <f>IF([Occurrence23]=0,0,SUM($FX$2:FX100))</f>
        <v>0</v>
      </c>
      <c r="FZ100" s="160">
        <f>IF([Chambre2]*1='CHAMBRES FILLES 1e ETAGE'!$A$41,1,0)</f>
        <v>0</v>
      </c>
      <c r="GA100" s="160">
        <f>IF([Occurrence24]=0,0,SUM($FZ$2:FZ100))</f>
        <v>0</v>
      </c>
      <c r="GB100" s="160">
        <f>IF([Chambre2]*1='CHAMBRES FILLES 1e ETAGE'!$A$47,1,0)</f>
        <v>0</v>
      </c>
      <c r="GC100" s="160">
        <f>IF([Occurrence25]=0,0,SUM($GB$2:GB100))</f>
        <v>0</v>
      </c>
      <c r="GD100" s="160">
        <f>IF([Chambre2]*1='CHAMBRES FILLES 1e ETAGE'!$A$53,1,0)</f>
        <v>0</v>
      </c>
      <c r="GE100" s="160">
        <f>IF([Occurrence26]=0,0,SUM($GD$2:GD100))</f>
        <v>0</v>
      </c>
      <c r="GF100" s="160">
        <f>IF([chambre4]*1='CHAMBRES GARCONS 1e ETAGE'!$A$5,1,0)</f>
        <v>0</v>
      </c>
      <c r="GG100" s="160">
        <f>IF([Occurrence27]=0,0,SUM($GF$2:GF100))</f>
        <v>0</v>
      </c>
      <c r="GH100" s="160">
        <f>IF([chambre4]*1='CHAMBRES GARCONS 1e ETAGE'!$A$11,1,0)</f>
        <v>0</v>
      </c>
      <c r="GI100" s="160">
        <f>IF([Occurrence28]=0,0,SUM($GH$2:GH100))</f>
        <v>0</v>
      </c>
      <c r="GJ100" s="160">
        <f>IF([chambre4]*1='CHAMBRES GARCONS 1e ETAGE'!$A$17,1,0)</f>
        <v>0</v>
      </c>
      <c r="GK100" s="160">
        <f>IF([Occurrence29]=0,0,SUM($GJ$2:GJ100))</f>
        <v>0</v>
      </c>
      <c r="GL100" s="160">
        <f>IF([chambre4]*1='CHAMBRES GARCONS 1e ETAGE'!$A$23,1,0)</f>
        <v>0</v>
      </c>
      <c r="GM100" s="160">
        <f>IF([Occurrence30]=0,0,SUM($GL$2:GL100))</f>
        <v>0</v>
      </c>
      <c r="GN100" s="160">
        <f>IF([chambre4]*1='CHAMBRES GARCONS 1e ETAGE'!$A$29,1,0)</f>
        <v>0</v>
      </c>
      <c r="GO100" s="160">
        <f>IF([Occurrence31]=0,0,SUM($GN$2:GN100))</f>
        <v>0</v>
      </c>
      <c r="GP100" s="160">
        <f>IF([chambre4]*1='CHAMBRES GARCONS 1e ETAGE'!$A$35,1,0)</f>
        <v>0</v>
      </c>
      <c r="GQ100" s="160">
        <f>IF([Occurrence32]=0,0,SUM($GP$2:GP100))</f>
        <v>0</v>
      </c>
      <c r="GR100" s="160">
        <f>IF([chambre3]*1='CHAMBRES GARCONS RDC'!$A$5,1,0)</f>
        <v>1</v>
      </c>
      <c r="GS100" s="160">
        <f>IF([Occurrence33]=0,0,SUM($GR$2:GR100))</f>
        <v>1</v>
      </c>
      <c r="GT100" s="160">
        <f>IF([chambre3]*1='CHAMBRES GARCONS RDC'!$A$11,1,0)</f>
        <v>0</v>
      </c>
      <c r="GU100" s="160">
        <f>IF([Occurrence34]=0,0,SUM($GT$2:GT100))</f>
        <v>0</v>
      </c>
      <c r="GV100" s="160">
        <f>IF([chambre3]*1='CHAMBRES GARCONS RDC'!$A$17,1,0)</f>
        <v>0</v>
      </c>
      <c r="GW100" s="160">
        <f>IF([Occurrence35]=0,0,SUM($GV$2:GV100))</f>
        <v>0</v>
      </c>
      <c r="GX100" s="160">
        <f>IF([chambre3]*1='CHAMBRES GARCONS RDC'!$A$23,1,0)</f>
        <v>0</v>
      </c>
      <c r="GY100" s="160">
        <f>IF([Occurrence36]=0,0,SUM($GX$2:GX100))</f>
        <v>0</v>
      </c>
      <c r="GZ100" s="160">
        <f>IF([chambre3]*1='CHAMBRES GARCONS RDC'!$A$29,1,0)</f>
        <v>0</v>
      </c>
      <c r="HA100" s="160">
        <f>IF([Occurrence37]=0,0,SUM($GZ$2:GZ100))</f>
        <v>0</v>
      </c>
      <c r="HB100" s="160">
        <f>IF([chambre3]*1='CHAMBRES GARCONS RDC'!$A$35,1,0)</f>
        <v>0</v>
      </c>
      <c r="HC100" s="160">
        <f>IF([Occurrence38]=0,0,SUM($HB$2:HB100))</f>
        <v>0</v>
      </c>
      <c r="HD100" s="160">
        <f>IF([chambre3]*1='CHAMBRES GARCONS RDC'!$A$41,1,0)</f>
        <v>0</v>
      </c>
      <c r="HE100" s="160">
        <f>IF([Occurrence39]=0,0,SUM($HD$2:HD100))</f>
        <v>0</v>
      </c>
      <c r="HF100" s="160">
        <f>IF([chambre3]*1='CHAMBRES GARCONS RDC'!$A$47,1,0)</f>
        <v>0</v>
      </c>
      <c r="HG100" s="160">
        <f>IF([Occurrence40]=0,0,SUM($HF$2:HF100))</f>
        <v>0</v>
      </c>
      <c r="HH100" s="160">
        <f>IF([chambre3]*1='CHAMBRES GARCONS RDC'!$A$53,1,0)</f>
        <v>0</v>
      </c>
      <c r="HI100" s="160">
        <f>IF([Occurrence41]=0,0,SUM($HH$2:HH100))</f>
        <v>0</v>
      </c>
      <c r="HJ100" s="160">
        <f>IF([chambre3]*1='CHAMBRES GARCONS RDC'!$A$59,1,0)</f>
        <v>0</v>
      </c>
      <c r="HK100" s="160">
        <f>IF([Occurrence42]=0,0,SUM($HJ$2:HJ100))</f>
        <v>0</v>
      </c>
      <c r="HL100" s="160">
        <f>IF([chambre3]*1='CHAMBRES GARCONS RDC'!$A$65,1,0)</f>
        <v>0</v>
      </c>
      <c r="HM100" s="160">
        <f>IF([Occurrence43]=0,0,SUM($HL$2:HL100))</f>
        <v>0</v>
      </c>
      <c r="HN100" s="160">
        <f>IF([chambre3]*1='CHAMBRES GARCONS RDC'!$A$71,1,0)</f>
        <v>0</v>
      </c>
      <c r="HO100" s="160">
        <f>IF([Occurrence44]=0,0,SUM($HN$2:HN100))</f>
        <v>0</v>
      </c>
      <c r="HP100" s="160">
        <f>IF([chambre3]*1='CHAMBRES GARCONS RDC'!$A$77,1,0)</f>
        <v>0</v>
      </c>
      <c r="HQ100" s="160">
        <f>IF([Occurrence45]=0,0,SUM($HP$2:HP100))</f>
        <v>0</v>
      </c>
      <c r="HR100" s="160">
        <f>IF([chambre3]*1='CHAMBRES GARCONS RDC'!$A$83,1,0)</f>
        <v>0</v>
      </c>
      <c r="HS100" s="160">
        <f>IF([Occurrence46]=0,0,SUM($HR$2:HR100))</f>
        <v>0</v>
      </c>
      <c r="HT100" s="160">
        <f>IF([chambre3]*1='CHAMBRES GARCONS RDC'!$A$89,1,0)</f>
        <v>0</v>
      </c>
      <c r="HU100" s="160">
        <f>IF([Occurrence47]=0,0,SUM($HT$2:HT100))</f>
        <v>0</v>
      </c>
      <c r="HV100" s="160">
        <f>IF([chambre3]*1='CHAMBRES GARCONS RDC'!$A$95,1,0)</f>
        <v>0</v>
      </c>
      <c r="HW100" s="160">
        <f>IF([Occurrence48]=0,0,SUM($HV$2:HV100))</f>
        <v>0</v>
      </c>
      <c r="HX100" s="160"/>
      <c r="HY100" s="160"/>
      <c r="HZ100" s="160">
        <f>IF([Classe]='Liste élève par classes'!$B$5,1,0)</f>
        <v>0</v>
      </c>
      <c r="IA100" s="160">
        <f>IF([Occurrence]=0,0,SUM($HZ$2:HZ100))</f>
        <v>0</v>
      </c>
      <c r="IB10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105</v>
      </c>
      <c r="IC100" s="208"/>
    </row>
    <row r="101" spans="1:237">
      <c r="A101" t="s">
        <v>419</v>
      </c>
      <c r="B101" t="s">
        <v>420</v>
      </c>
      <c r="C101" s="158">
        <v>37039</v>
      </c>
      <c r="D101" s="62">
        <f t="shared" ca="1" si="1"/>
        <v>16</v>
      </c>
      <c r="E101" t="s">
        <v>11</v>
      </c>
      <c r="F101" s="159" t="s">
        <v>46</v>
      </c>
      <c r="G101" t="s">
        <v>45</v>
      </c>
      <c r="H101" s="160"/>
      <c r="I101" s="62"/>
      <c r="J101" s="62" t="s">
        <v>244</v>
      </c>
      <c r="K101" s="62"/>
      <c r="L101" s="61"/>
      <c r="M101">
        <v>93</v>
      </c>
      <c r="N101" s="62" t="s">
        <v>244</v>
      </c>
      <c r="O101" s="62" t="s">
        <v>244</v>
      </c>
      <c r="P101" s="62" t="s">
        <v>244</v>
      </c>
      <c r="Q101" s="62" t="s">
        <v>244</v>
      </c>
      <c r="R101" s="62" t="s">
        <v>244</v>
      </c>
      <c r="S101" s="62"/>
      <c r="T101" s="62" t="s">
        <v>244</v>
      </c>
      <c r="U101" s="61"/>
      <c r="V101" s="62" t="s">
        <v>244</v>
      </c>
      <c r="W101" s="62" t="s">
        <v>244</v>
      </c>
      <c r="X101" s="62" t="s">
        <v>244</v>
      </c>
      <c r="Y101" s="62" t="s">
        <v>244</v>
      </c>
      <c r="Z101" s="62" t="s">
        <v>244</v>
      </c>
      <c r="AA101" s="62" t="s">
        <v>244</v>
      </c>
      <c r="AB101" s="62" t="s">
        <v>244</v>
      </c>
      <c r="AC101" s="62" t="s">
        <v>244</v>
      </c>
      <c r="AD101" s="62" t="s">
        <v>244</v>
      </c>
      <c r="AE101" s="62" t="s">
        <v>244</v>
      </c>
      <c r="AF101" s="163" t="s">
        <v>244</v>
      </c>
      <c r="AG101" s="163" t="s">
        <v>244</v>
      </c>
      <c r="AH101" s="163" t="s">
        <v>244</v>
      </c>
      <c r="AI101" s="163"/>
      <c r="AJ101" s="163"/>
      <c r="AK101" s="163"/>
      <c r="AL101" s="163"/>
      <c r="AM101" s="163"/>
      <c r="AN101" s="163"/>
      <c r="AO101" s="163"/>
      <c r="AP101" s="163"/>
      <c r="AQ101" s="163"/>
      <c r="AR101" s="163"/>
      <c r="AS101" s="163"/>
      <c r="AT101" s="163"/>
      <c r="AU101" s="163"/>
      <c r="AV101" s="163"/>
      <c r="AW101" s="163"/>
      <c r="AX101" s="163"/>
      <c r="AY101" s="163"/>
      <c r="AZ101" s="163"/>
      <c r="BA101" s="163"/>
      <c r="BB101" s="163"/>
      <c r="BC101" s="163"/>
      <c r="BD101" s="163"/>
      <c r="BE101" s="163"/>
      <c r="BF101" s="163"/>
      <c r="BG101" s="163"/>
      <c r="BH101" s="163"/>
      <c r="BI101" s="163"/>
      <c r="BJ101" s="163"/>
      <c r="BK101" s="163"/>
      <c r="BL101" s="163"/>
      <c r="BM101" s="163"/>
      <c r="BN101" s="163"/>
      <c r="BO101" s="163"/>
      <c r="BP101" s="163"/>
      <c r="BQ101" s="163"/>
      <c r="BR101" s="163"/>
      <c r="BS101" s="163"/>
      <c r="BT101" s="163"/>
      <c r="BU101" s="163"/>
      <c r="BV101" s="163"/>
      <c r="BW101" s="163"/>
      <c r="BX101" s="163"/>
      <c r="BY101" s="163"/>
      <c r="BZ101" s="163"/>
      <c r="CA101" s="163"/>
      <c r="CB101" s="163"/>
      <c r="CC101" s="163"/>
      <c r="CD101" s="163"/>
      <c r="CE101" s="163"/>
      <c r="CF101" s="163"/>
      <c r="CG101" s="163"/>
      <c r="CH101" s="163"/>
      <c r="CI101" s="163"/>
      <c r="CJ101" s="163"/>
      <c r="CK101" s="163"/>
      <c r="CL101" s="163"/>
      <c r="CM101" s="163"/>
      <c r="CN101" s="163"/>
      <c r="CO101" s="163"/>
      <c r="CP101" s="163"/>
      <c r="CQ101" s="163"/>
      <c r="CR101" s="163"/>
      <c r="CS101" s="163"/>
      <c r="CT101" s="163"/>
      <c r="CU101" s="163"/>
      <c r="CV101" s="163"/>
      <c r="CW101" s="163"/>
      <c r="CX101" s="163"/>
      <c r="CY101" s="163"/>
      <c r="CZ101" s="163"/>
      <c r="DA101" s="163"/>
      <c r="DB101" s="163"/>
      <c r="DC101" s="163"/>
      <c r="DD101" s="163"/>
      <c r="DE101" s="163"/>
      <c r="DF101" s="163"/>
      <c r="DG101" s="163"/>
      <c r="DH101" s="163"/>
      <c r="DI101" s="163"/>
      <c r="DJ101" s="163"/>
      <c r="DK101" s="163"/>
      <c r="DL101" s="163"/>
      <c r="DM101" s="163"/>
      <c r="DN101" s="163"/>
      <c r="DO101" s="163"/>
      <c r="DP101" s="163"/>
      <c r="DQ101" s="163"/>
      <c r="DR101" s="163"/>
      <c r="DS101" s="163"/>
      <c r="DT101" s="163"/>
      <c r="DU101" s="163"/>
      <c r="DV101" s="163"/>
      <c r="DW101" s="163"/>
      <c r="DX101" s="163"/>
      <c r="DY101" s="163"/>
      <c r="DZ101" s="163"/>
      <c r="EA101" s="163"/>
      <c r="EB101" s="163"/>
      <c r="EC101" s="163"/>
      <c r="ED101" s="163"/>
      <c r="EE101" s="163"/>
      <c r="EF101" s="163"/>
      <c r="EG101" s="163"/>
      <c r="EH101" s="160">
        <f>IF([Chambre]*1='CHAMBRES FILLES 2e ETAGE'!$A$5,1,0)</f>
        <v>0</v>
      </c>
      <c r="EI101" s="161">
        <f>IF([Occurrence2]=0,0,SUM($EH$2:EH101))</f>
        <v>0</v>
      </c>
      <c r="EJ101" s="160">
        <f>IF([Chambre]*1='CHAMBRES FILLES 2e ETAGE'!$A$11,1,0)</f>
        <v>0</v>
      </c>
      <c r="EK101" s="160">
        <f>IF([Occurrence3]=0,0,SUM($EJ$2:EJ101))</f>
        <v>0</v>
      </c>
      <c r="EL101" s="160">
        <f>IF([Chambre]*1='CHAMBRES FILLES 2e ETAGE'!$A$17,1,0)</f>
        <v>0</v>
      </c>
      <c r="EM101" s="160">
        <f>IF([Occurrence4]=0,0,SUM($EL$2:EL101))</f>
        <v>0</v>
      </c>
      <c r="EN101" s="160">
        <f>IF([Chambre]*1='CHAMBRES FILLES 2e ETAGE'!$A$23,1,0)</f>
        <v>0</v>
      </c>
      <c r="EO101" s="160">
        <f>IF([Occurrence5]=0,0,SUM($EN$2:EN101))</f>
        <v>0</v>
      </c>
      <c r="EP101" s="160">
        <f>IF([Chambre]*1='CHAMBRES FILLES 2e ETAGE'!$A$29,1,0)</f>
        <v>0</v>
      </c>
      <c r="EQ101" s="160">
        <f>IF([Occurrence6]=0,0,SUM($EP$2:EP101))</f>
        <v>0</v>
      </c>
      <c r="ER101" s="160">
        <f>IF([Chambre]*1='CHAMBRES FILLES 2e ETAGE'!$A$35,1,0)</f>
        <v>0</v>
      </c>
      <c r="ES101" s="160">
        <f>IF([Occurrence7]=0,0,SUM($ER$2:ER101))</f>
        <v>0</v>
      </c>
      <c r="ET101" s="160">
        <f>IF([Chambre]*1='CHAMBRES FILLES 2e ETAGE'!$A$41,1,0)</f>
        <v>0</v>
      </c>
      <c r="EU101" s="160">
        <f>IF([Occurrence8]=0,0,SUM($ET$2:ET101))</f>
        <v>0</v>
      </c>
      <c r="EV101" s="160">
        <f>IF([Chambre]*1='CHAMBRES FILLES 2e ETAGE'!$A$47,1,0)</f>
        <v>0</v>
      </c>
      <c r="EW101" s="160">
        <f>IF([Occurrence9]=0,0,SUM($EV$2:EV101))</f>
        <v>0</v>
      </c>
      <c r="EX101" s="160">
        <f>IF([Chambre]*1='CHAMBRES FILLES 2e ETAGE'!$A$53,1,0)</f>
        <v>0</v>
      </c>
      <c r="EY101" s="160">
        <f>IF([Occurrence10]=0,0,SUM($EX$2:EX101))</f>
        <v>0</v>
      </c>
      <c r="EZ101" s="160">
        <f>IF([Chambre]*1='CHAMBRES FILLES 2e ETAGE'!$A$59,1,0)</f>
        <v>0</v>
      </c>
      <c r="FA101" s="160">
        <f>IF([Occurrence11]=0,0,SUM($EZ$2:EZ101))</f>
        <v>0</v>
      </c>
      <c r="FB101" s="160">
        <f>IF([Chambre]*1='CHAMBRES FILLES 2e ETAGE'!$A$65,1,0)</f>
        <v>0</v>
      </c>
      <c r="FC101" s="160">
        <f>IF([Occurrence12]=0,0,SUM($FB$2:FB101))</f>
        <v>0</v>
      </c>
      <c r="FD101" s="160">
        <f>IF([Chambre]*1='CHAMBRES FILLES 2e ETAGE'!$A$71,1,0)</f>
        <v>0</v>
      </c>
      <c r="FE101" s="160">
        <f>IF([Occurrence13]=0,0,SUM($FD$2:FD101))</f>
        <v>0</v>
      </c>
      <c r="FF101" s="160">
        <f>IF([Chambre]*1='CHAMBRES FILLES 2e ETAGE'!$A$77,1,0)</f>
        <v>0</v>
      </c>
      <c r="FG101" s="160">
        <f>IF([Occurrence14]=0,0,SUM($FF$2:FF101))</f>
        <v>0</v>
      </c>
      <c r="FH101" s="160">
        <f>IF([Chambre]*1='CHAMBRES FILLES 2e ETAGE'!$A$83,1,0)</f>
        <v>0</v>
      </c>
      <c r="FI101" s="160">
        <f>IF([Occurrence15]=0,0,SUM($FH$2:FH101))</f>
        <v>0</v>
      </c>
      <c r="FJ101" s="160">
        <f>IF([Chambre]*1='CHAMBRES FILLES 2e ETAGE'!$A$89,1,0)</f>
        <v>0</v>
      </c>
      <c r="FK101" s="160">
        <f>IF([Occurrence16]=0,0,SUM($FJ$2:FJ101))</f>
        <v>0</v>
      </c>
      <c r="FL101" s="160">
        <f>IF([Chambre]*1='CHAMBRES FILLES 2e ETAGE'!$A$95,1,0)</f>
        <v>0</v>
      </c>
      <c r="FM101" s="160">
        <f>IF([Occurrence17]=0,0,SUM($FL$2:FL101))</f>
        <v>0</v>
      </c>
      <c r="FN101" s="160">
        <f>IF([Chambre2]*1='CHAMBRES FILLES 1e ETAGE'!$A$5,1,0)</f>
        <v>0</v>
      </c>
      <c r="FO101" s="160">
        <f>IF([Occurrence18]=0,0,SUM($FN$2:FN101))</f>
        <v>0</v>
      </c>
      <c r="FP101" s="160">
        <f>IF([Chambre2]*1='CHAMBRES FILLES 1e ETAGE'!$A$11,1,0)</f>
        <v>0</v>
      </c>
      <c r="FQ101" s="160">
        <f>IF([Occurrence19]=0,0,SUM($FP$2:FP101))</f>
        <v>0</v>
      </c>
      <c r="FR101" s="160">
        <f>IF([Chambre2]*1='CHAMBRES FILLES 1e ETAGE'!$A$17,1,0)</f>
        <v>0</v>
      </c>
      <c r="FS101" s="160">
        <f>IF([Occurrence20]=0,0,SUM($FR$2:FR101))</f>
        <v>0</v>
      </c>
      <c r="FT101" s="160">
        <f>IF([Chambre2]*1='CHAMBRES FILLES 1e ETAGE'!$A$23,1,0)</f>
        <v>0</v>
      </c>
      <c r="FU101" s="160">
        <f>IF([Occurrence21]=0,0,SUM($FT$2:FT101))</f>
        <v>0</v>
      </c>
      <c r="FV101" s="160">
        <f>IF([Chambre2]*1='CHAMBRES FILLES 1e ETAGE'!$A$29,1,0)</f>
        <v>0</v>
      </c>
      <c r="FW101" s="160">
        <f>IF([Occurrence22]=0,0,SUM($FV$2:FV101))</f>
        <v>0</v>
      </c>
      <c r="FX101" s="160">
        <f>IF([Chambre2]*1='CHAMBRES FILLES 1e ETAGE'!$A$35,1,0)</f>
        <v>0</v>
      </c>
      <c r="FY101" s="160">
        <f>IF([Occurrence23]=0,0,SUM($FX$2:FX101))</f>
        <v>0</v>
      </c>
      <c r="FZ101" s="160">
        <f>IF([Chambre2]*1='CHAMBRES FILLES 1e ETAGE'!$A$41,1,0)</f>
        <v>0</v>
      </c>
      <c r="GA101" s="160">
        <f>IF([Occurrence24]=0,0,SUM($FZ$2:FZ101))</f>
        <v>0</v>
      </c>
      <c r="GB101" s="160">
        <f>IF([Chambre2]*1='CHAMBRES FILLES 1e ETAGE'!$A$47,1,0)</f>
        <v>0</v>
      </c>
      <c r="GC101" s="160">
        <f>IF([Occurrence25]=0,0,SUM($GB$2:GB101))</f>
        <v>0</v>
      </c>
      <c r="GD101" s="160">
        <f>IF([Chambre2]*1='CHAMBRES FILLES 1e ETAGE'!$A$53,1,0)</f>
        <v>0</v>
      </c>
      <c r="GE101" s="160">
        <f>IF([Occurrence26]=0,0,SUM($GD$2:GD101))</f>
        <v>0</v>
      </c>
      <c r="GF101" s="160">
        <f>IF([chambre4]*1='CHAMBRES GARCONS 1e ETAGE'!$A$5,1,0)</f>
        <v>0</v>
      </c>
      <c r="GG101" s="160">
        <f>IF([Occurrence27]=0,0,SUM($GF$2:GF101))</f>
        <v>0</v>
      </c>
      <c r="GH101" s="160">
        <f>IF([chambre4]*1='CHAMBRES GARCONS 1e ETAGE'!$A$11,1,0)</f>
        <v>0</v>
      </c>
      <c r="GI101" s="160">
        <f>IF([Occurrence28]=0,0,SUM($GH$2:GH101))</f>
        <v>0</v>
      </c>
      <c r="GJ101" s="160">
        <f>IF([chambre4]*1='CHAMBRES GARCONS 1e ETAGE'!$A$17,1,0)</f>
        <v>0</v>
      </c>
      <c r="GK101" s="160">
        <f>IF([Occurrence29]=0,0,SUM($GJ$2:GJ101))</f>
        <v>0</v>
      </c>
      <c r="GL101" s="160">
        <f>IF([chambre4]*1='CHAMBRES GARCONS 1e ETAGE'!$A$23,1,0)</f>
        <v>0</v>
      </c>
      <c r="GM101" s="160">
        <f>IF([Occurrence30]=0,0,SUM($GL$2:GL101))</f>
        <v>0</v>
      </c>
      <c r="GN101" s="160">
        <f>IF([chambre4]*1='CHAMBRES GARCONS 1e ETAGE'!$A$29,1,0)</f>
        <v>0</v>
      </c>
      <c r="GO101" s="160">
        <f>IF([Occurrence31]=0,0,SUM($GN$2:GN101))</f>
        <v>0</v>
      </c>
      <c r="GP101" s="160">
        <f>IF([chambre4]*1='CHAMBRES GARCONS 1e ETAGE'!$A$35,1,0)</f>
        <v>0</v>
      </c>
      <c r="GQ101" s="160">
        <f>IF([Occurrence32]=0,0,SUM($GP$2:GP101))</f>
        <v>0</v>
      </c>
      <c r="GR101" s="160">
        <f>IF([chambre3]*1='CHAMBRES GARCONS RDC'!$A$5,1,0)</f>
        <v>0</v>
      </c>
      <c r="GS101" s="160">
        <f>IF([Occurrence33]=0,0,SUM($GR$2:GR101))</f>
        <v>0</v>
      </c>
      <c r="GT101" s="160">
        <f>IF([chambre3]*1='CHAMBRES GARCONS RDC'!$A$11,1,0)</f>
        <v>0</v>
      </c>
      <c r="GU101" s="160">
        <f>IF([Occurrence34]=0,0,SUM($GT$2:GT101))</f>
        <v>0</v>
      </c>
      <c r="GV101" s="160">
        <f>IF([chambre3]*1='CHAMBRES GARCONS RDC'!$A$17,1,0)</f>
        <v>0</v>
      </c>
      <c r="GW101" s="160">
        <f>IF([Occurrence35]=0,0,SUM($GV$2:GV101))</f>
        <v>0</v>
      </c>
      <c r="GX101" s="160">
        <f>IF([chambre3]*1='CHAMBRES GARCONS RDC'!$A$23,1,0)</f>
        <v>0</v>
      </c>
      <c r="GY101" s="160">
        <f>IF([Occurrence36]=0,0,SUM($GX$2:GX101))</f>
        <v>0</v>
      </c>
      <c r="GZ101" s="160">
        <f>IF([chambre3]*1='CHAMBRES GARCONS RDC'!$A$29,1,0)</f>
        <v>0</v>
      </c>
      <c r="HA101" s="160">
        <f>IF([Occurrence37]=0,0,SUM($GZ$2:GZ101))</f>
        <v>0</v>
      </c>
      <c r="HB101" s="160">
        <f>IF([chambre3]*1='CHAMBRES GARCONS RDC'!$A$35,1,0)</f>
        <v>0</v>
      </c>
      <c r="HC101" s="160">
        <f>IF([Occurrence38]=0,0,SUM($HB$2:HB101))</f>
        <v>0</v>
      </c>
      <c r="HD101" s="160">
        <f>IF([chambre3]*1='CHAMBRES GARCONS RDC'!$A$41,1,0)</f>
        <v>0</v>
      </c>
      <c r="HE101" s="160">
        <f>IF([Occurrence39]=0,0,SUM($HD$2:HD101))</f>
        <v>0</v>
      </c>
      <c r="HF101" s="160">
        <f>IF([chambre3]*1='CHAMBRES GARCONS RDC'!$A$47,1,0)</f>
        <v>0</v>
      </c>
      <c r="HG101" s="160">
        <f>IF([Occurrence40]=0,0,SUM($HF$2:HF101))</f>
        <v>0</v>
      </c>
      <c r="HH101" s="160">
        <f>IF([chambre3]*1='CHAMBRES GARCONS RDC'!$A$53,1,0)</f>
        <v>0</v>
      </c>
      <c r="HI101" s="160">
        <f>IF([Occurrence41]=0,0,SUM($HH$2:HH101))</f>
        <v>0</v>
      </c>
      <c r="HJ101" s="160">
        <f>IF([chambre3]*1='CHAMBRES GARCONS RDC'!$A$59,1,0)</f>
        <v>0</v>
      </c>
      <c r="HK101" s="160">
        <f>IF([Occurrence42]=0,0,SUM($HJ$2:HJ101))</f>
        <v>0</v>
      </c>
      <c r="HL101" s="160">
        <f>IF([chambre3]*1='CHAMBRES GARCONS RDC'!$A$65,1,0)</f>
        <v>0</v>
      </c>
      <c r="HM101" s="160">
        <f>IF([Occurrence43]=0,0,SUM($HL$2:HL101))</f>
        <v>0</v>
      </c>
      <c r="HN101" s="160">
        <f>IF([chambre3]*1='CHAMBRES GARCONS RDC'!$A$71,1,0)</f>
        <v>0</v>
      </c>
      <c r="HO101" s="160">
        <f>IF([Occurrence44]=0,0,SUM($HN$2:HN101))</f>
        <v>0</v>
      </c>
      <c r="HP101" s="160">
        <f>IF([chambre3]*1='CHAMBRES GARCONS RDC'!$A$77,1,0)</f>
        <v>0</v>
      </c>
      <c r="HQ101" s="160">
        <f>IF([Occurrence45]=0,0,SUM($HP$2:HP101))</f>
        <v>0</v>
      </c>
      <c r="HR101" s="160">
        <f>IF([chambre3]*1='CHAMBRES GARCONS RDC'!$A$83,1,0)</f>
        <v>0</v>
      </c>
      <c r="HS101" s="160">
        <f>IF([Occurrence46]=0,0,SUM($HR$2:HR101))</f>
        <v>0</v>
      </c>
      <c r="HT101" s="160">
        <f>IF([chambre3]*1='CHAMBRES GARCONS RDC'!$A$89,1,0)</f>
        <v>0</v>
      </c>
      <c r="HU101" s="160">
        <f>IF([Occurrence47]=0,0,SUM($HT$2:HT101))</f>
        <v>0</v>
      </c>
      <c r="HV101" s="160">
        <f>IF([chambre3]*1='CHAMBRES GARCONS RDC'!$A$95,1,0)</f>
        <v>0</v>
      </c>
      <c r="HW101" s="160">
        <f>IF([Occurrence48]=0,0,SUM($HV$2:HV101))</f>
        <v>0</v>
      </c>
      <c r="HX101" s="160"/>
      <c r="HY101" s="160"/>
      <c r="HZ101" s="160">
        <f>IF([Classe]='Liste élève par classes'!$B$5,1,0)</f>
        <v>0</v>
      </c>
      <c r="IA101" s="160">
        <f>IF([Occurrence]=0,0,SUM($HZ$2:HZ101))</f>
        <v>0</v>
      </c>
      <c r="IB10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01" s="208"/>
    </row>
    <row r="102" spans="1:237">
      <c r="A102" t="s">
        <v>421</v>
      </c>
      <c r="B102" t="s">
        <v>422</v>
      </c>
      <c r="C102" s="158">
        <v>37578</v>
      </c>
      <c r="D102" s="62">
        <f t="shared" ca="1" si="1"/>
        <v>14</v>
      </c>
      <c r="E102" t="s">
        <v>5</v>
      </c>
      <c r="F102" s="159" t="s">
        <v>46</v>
      </c>
      <c r="G102" t="s">
        <v>40</v>
      </c>
      <c r="H102" s="160"/>
      <c r="I102" s="62"/>
      <c r="J102" s="62"/>
      <c r="K102" s="62"/>
      <c r="L102" s="61"/>
      <c r="M102">
        <v>250</v>
      </c>
      <c r="N102" s="62"/>
      <c r="O102" s="62"/>
      <c r="P102" s="62"/>
      <c r="Q102" s="62"/>
      <c r="R102" s="62"/>
      <c r="S102" s="62"/>
      <c r="T102" s="62"/>
      <c r="U102" s="61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163"/>
      <c r="AG102" s="163"/>
      <c r="AH102" s="163"/>
      <c r="AI102" s="163"/>
      <c r="AJ102" s="163"/>
      <c r="AK102" s="163"/>
      <c r="AL102" s="163"/>
      <c r="AM102" s="163"/>
      <c r="AN102" s="163"/>
      <c r="AO102" s="163"/>
      <c r="AP102" s="163"/>
      <c r="AQ102" s="163"/>
      <c r="AR102" s="163"/>
      <c r="AS102" s="163"/>
      <c r="AT102" s="163"/>
      <c r="AU102" s="163"/>
      <c r="AV102" s="163"/>
      <c r="AW102" s="163"/>
      <c r="AX102" s="163"/>
      <c r="AY102" s="163"/>
      <c r="AZ102" s="163"/>
      <c r="BA102" s="163"/>
      <c r="BB102" s="163"/>
      <c r="BC102" s="163"/>
      <c r="BD102" s="163"/>
      <c r="BE102" s="163"/>
      <c r="BF102" s="163"/>
      <c r="BG102" s="163"/>
      <c r="BH102" s="163"/>
      <c r="BI102" s="163"/>
      <c r="BJ102" s="163"/>
      <c r="BK102" s="163"/>
      <c r="BL102" s="163"/>
      <c r="BM102" s="163"/>
      <c r="BN102" s="163"/>
      <c r="BO102" s="163"/>
      <c r="BP102" s="163"/>
      <c r="BQ102" s="163"/>
      <c r="BR102" s="163"/>
      <c r="BS102" s="163"/>
      <c r="BT102" s="163"/>
      <c r="BU102" s="163"/>
      <c r="BV102" s="163"/>
      <c r="BW102" s="163"/>
      <c r="BX102" s="163"/>
      <c r="BY102" s="163"/>
      <c r="BZ102" s="163"/>
      <c r="CA102" s="163"/>
      <c r="CB102" s="163"/>
      <c r="CC102" s="163"/>
      <c r="CD102" s="163"/>
      <c r="CE102" s="163"/>
      <c r="CF102" s="163"/>
      <c r="CG102" s="163"/>
      <c r="CH102" s="163"/>
      <c r="CI102" s="163"/>
      <c r="CJ102" s="163"/>
      <c r="CK102" s="163"/>
      <c r="CL102" s="163"/>
      <c r="CM102" s="163"/>
      <c r="CN102" s="163"/>
      <c r="CO102" s="163"/>
      <c r="CP102" s="163"/>
      <c r="CQ102" s="163"/>
      <c r="CR102" s="163"/>
      <c r="CS102" s="163"/>
      <c r="CT102" s="163"/>
      <c r="CU102" s="163"/>
      <c r="CV102" s="163"/>
      <c r="CW102" s="163"/>
      <c r="CX102" s="163"/>
      <c r="CY102" s="163"/>
      <c r="CZ102" s="163"/>
      <c r="DA102" s="163"/>
      <c r="DB102" s="163"/>
      <c r="DC102" s="163"/>
      <c r="DD102" s="163"/>
      <c r="DE102" s="163"/>
      <c r="DF102" s="163"/>
      <c r="DG102" s="163"/>
      <c r="DH102" s="163"/>
      <c r="DI102" s="163"/>
      <c r="DJ102" s="163"/>
      <c r="DK102" s="163"/>
      <c r="DL102" s="163"/>
      <c r="DM102" s="163"/>
      <c r="DN102" s="163"/>
      <c r="DO102" s="163"/>
      <c r="DP102" s="163"/>
      <c r="DQ102" s="163"/>
      <c r="DR102" s="163"/>
      <c r="DS102" s="163"/>
      <c r="DT102" s="163"/>
      <c r="DU102" s="163"/>
      <c r="DV102" s="163"/>
      <c r="DW102" s="163"/>
      <c r="DX102" s="163"/>
      <c r="DY102" s="163"/>
      <c r="DZ102" s="163"/>
      <c r="EA102" s="163"/>
      <c r="EB102" s="163"/>
      <c r="EC102" s="163"/>
      <c r="ED102" s="163"/>
      <c r="EE102" s="163"/>
      <c r="EF102" s="163"/>
      <c r="EG102" s="163"/>
      <c r="EH102" s="160">
        <f>IF([Chambre]*1='CHAMBRES FILLES 2e ETAGE'!$A$5,1,0)</f>
        <v>0</v>
      </c>
      <c r="EI102" s="161">
        <f>IF([Occurrence2]=0,0,SUM($EH$2:EH102))</f>
        <v>0</v>
      </c>
      <c r="EJ102" s="160">
        <f>IF([Chambre]*1='CHAMBRES FILLES 2e ETAGE'!$A$11,1,0)</f>
        <v>0</v>
      </c>
      <c r="EK102" s="160">
        <f>IF([Occurrence3]=0,0,SUM($EJ$2:EJ102))</f>
        <v>0</v>
      </c>
      <c r="EL102" s="160">
        <f>IF([Chambre]*1='CHAMBRES FILLES 2e ETAGE'!$A$17,1,0)</f>
        <v>0</v>
      </c>
      <c r="EM102" s="160">
        <f>IF([Occurrence4]=0,0,SUM($EL$2:EL102))</f>
        <v>0</v>
      </c>
      <c r="EN102" s="160">
        <f>IF([Chambre]*1='CHAMBRES FILLES 2e ETAGE'!$A$23,1,0)</f>
        <v>0</v>
      </c>
      <c r="EO102" s="160">
        <f>IF([Occurrence5]=0,0,SUM($EN$2:EN102))</f>
        <v>0</v>
      </c>
      <c r="EP102" s="160">
        <f>IF([Chambre]*1='CHAMBRES FILLES 2e ETAGE'!$A$29,1,0)</f>
        <v>0</v>
      </c>
      <c r="EQ102" s="160">
        <f>IF([Occurrence6]=0,0,SUM($EP$2:EP102))</f>
        <v>0</v>
      </c>
      <c r="ER102" s="160">
        <f>IF([Chambre]*1='CHAMBRES FILLES 2e ETAGE'!$A$35,1,0)</f>
        <v>0</v>
      </c>
      <c r="ES102" s="160">
        <f>IF([Occurrence7]=0,0,SUM($ER$2:ER102))</f>
        <v>0</v>
      </c>
      <c r="ET102" s="160">
        <f>IF([Chambre]*1='CHAMBRES FILLES 2e ETAGE'!$A$41,1,0)</f>
        <v>0</v>
      </c>
      <c r="EU102" s="160">
        <f>IF([Occurrence8]=0,0,SUM($ET$2:ET102))</f>
        <v>0</v>
      </c>
      <c r="EV102" s="160">
        <f>IF([Chambre]*1='CHAMBRES FILLES 2e ETAGE'!$A$47,1,0)</f>
        <v>0</v>
      </c>
      <c r="EW102" s="160">
        <f>IF([Occurrence9]=0,0,SUM($EV$2:EV102))</f>
        <v>0</v>
      </c>
      <c r="EX102" s="160">
        <f>IF([Chambre]*1='CHAMBRES FILLES 2e ETAGE'!$A$53,1,0)</f>
        <v>0</v>
      </c>
      <c r="EY102" s="160">
        <f>IF([Occurrence10]=0,0,SUM($EX$2:EX102))</f>
        <v>0</v>
      </c>
      <c r="EZ102" s="160">
        <f>IF([Chambre]*1='CHAMBRES FILLES 2e ETAGE'!$A$59,1,0)</f>
        <v>0</v>
      </c>
      <c r="FA102" s="160">
        <f>IF([Occurrence11]=0,0,SUM($EZ$2:EZ102))</f>
        <v>0</v>
      </c>
      <c r="FB102" s="160">
        <f>IF([Chambre]*1='CHAMBRES FILLES 2e ETAGE'!$A$65,1,0)</f>
        <v>0</v>
      </c>
      <c r="FC102" s="160">
        <f>IF([Occurrence12]=0,0,SUM($FB$2:FB102))</f>
        <v>0</v>
      </c>
      <c r="FD102" s="160">
        <f>IF([Chambre]*1='CHAMBRES FILLES 2e ETAGE'!$A$71,1,0)</f>
        <v>0</v>
      </c>
      <c r="FE102" s="160">
        <f>IF([Occurrence13]=0,0,SUM($FD$2:FD102))</f>
        <v>0</v>
      </c>
      <c r="FF102" s="160">
        <f>IF([Chambre]*1='CHAMBRES FILLES 2e ETAGE'!$A$77,1,0)</f>
        <v>0</v>
      </c>
      <c r="FG102" s="160">
        <f>IF([Occurrence14]=0,0,SUM($FF$2:FF102))</f>
        <v>0</v>
      </c>
      <c r="FH102" s="160">
        <f>IF([Chambre]*1='CHAMBRES FILLES 2e ETAGE'!$A$83,1,0)</f>
        <v>0</v>
      </c>
      <c r="FI102" s="160">
        <f>IF([Occurrence15]=0,0,SUM($FH$2:FH102))</f>
        <v>0</v>
      </c>
      <c r="FJ102" s="160">
        <f>IF([Chambre]*1='CHAMBRES FILLES 2e ETAGE'!$A$89,1,0)</f>
        <v>0</v>
      </c>
      <c r="FK102" s="160">
        <f>IF([Occurrence16]=0,0,SUM($FJ$2:FJ102))</f>
        <v>0</v>
      </c>
      <c r="FL102" s="160">
        <f>IF([Chambre]*1='CHAMBRES FILLES 2e ETAGE'!$A$95,1,0)</f>
        <v>0</v>
      </c>
      <c r="FM102" s="160">
        <f>IF([Occurrence17]=0,0,SUM($FL$2:FL102))</f>
        <v>0</v>
      </c>
      <c r="FN102" s="160">
        <f>IF([Chambre2]*1='CHAMBRES FILLES 1e ETAGE'!$A$5,1,0)</f>
        <v>0</v>
      </c>
      <c r="FO102" s="160">
        <f>IF([Occurrence18]=0,0,SUM($FN$2:FN102))</f>
        <v>0</v>
      </c>
      <c r="FP102" s="160">
        <f>IF([Chambre2]*1='CHAMBRES FILLES 1e ETAGE'!$A$11,1,0)</f>
        <v>0</v>
      </c>
      <c r="FQ102" s="160">
        <f>IF([Occurrence19]=0,0,SUM($FP$2:FP102))</f>
        <v>0</v>
      </c>
      <c r="FR102" s="160">
        <f>IF([Chambre2]*1='CHAMBRES FILLES 1e ETAGE'!$A$17,1,0)</f>
        <v>0</v>
      </c>
      <c r="FS102" s="160">
        <f>IF([Occurrence20]=0,0,SUM($FR$2:FR102))</f>
        <v>0</v>
      </c>
      <c r="FT102" s="160">
        <f>IF([Chambre2]*1='CHAMBRES FILLES 1e ETAGE'!$A$23,1,0)</f>
        <v>0</v>
      </c>
      <c r="FU102" s="160">
        <f>IF([Occurrence21]=0,0,SUM($FT$2:FT102))</f>
        <v>0</v>
      </c>
      <c r="FV102" s="160">
        <f>IF([Chambre2]*1='CHAMBRES FILLES 1e ETAGE'!$A$29,1,0)</f>
        <v>0</v>
      </c>
      <c r="FW102" s="160">
        <f>IF([Occurrence22]=0,0,SUM($FV$2:FV102))</f>
        <v>0</v>
      </c>
      <c r="FX102" s="160">
        <f>IF([Chambre2]*1='CHAMBRES FILLES 1e ETAGE'!$A$35,1,0)</f>
        <v>0</v>
      </c>
      <c r="FY102" s="160">
        <f>IF([Occurrence23]=0,0,SUM($FX$2:FX102))</f>
        <v>0</v>
      </c>
      <c r="FZ102" s="160">
        <f>IF([Chambre2]*1='CHAMBRES FILLES 1e ETAGE'!$A$41,1,0)</f>
        <v>0</v>
      </c>
      <c r="GA102" s="160">
        <f>IF([Occurrence24]=0,0,SUM($FZ$2:FZ102))</f>
        <v>0</v>
      </c>
      <c r="GB102" s="160">
        <f>IF([Chambre2]*1='CHAMBRES FILLES 1e ETAGE'!$A$47,1,0)</f>
        <v>0</v>
      </c>
      <c r="GC102" s="160">
        <f>IF([Occurrence25]=0,0,SUM($GB$2:GB102))</f>
        <v>0</v>
      </c>
      <c r="GD102" s="160">
        <f>IF([Chambre2]*1='CHAMBRES FILLES 1e ETAGE'!$A$53,1,0)</f>
        <v>0</v>
      </c>
      <c r="GE102" s="160">
        <f>IF([Occurrence26]=0,0,SUM($GD$2:GD102))</f>
        <v>0</v>
      </c>
      <c r="GF102" s="160">
        <f>IF([chambre4]*1='CHAMBRES GARCONS 1e ETAGE'!$A$5,1,0)</f>
        <v>0</v>
      </c>
      <c r="GG102" s="160">
        <f>IF([Occurrence27]=0,0,SUM($GF$2:GF102))</f>
        <v>0</v>
      </c>
      <c r="GH102" s="160">
        <f>IF([chambre4]*1='CHAMBRES GARCONS 1e ETAGE'!$A$11,1,0)</f>
        <v>0</v>
      </c>
      <c r="GI102" s="160">
        <f>IF([Occurrence28]=0,0,SUM($GH$2:GH102))</f>
        <v>0</v>
      </c>
      <c r="GJ102" s="160">
        <f>IF([chambre4]*1='CHAMBRES GARCONS 1e ETAGE'!$A$17,1,0)</f>
        <v>0</v>
      </c>
      <c r="GK102" s="160">
        <f>IF([Occurrence29]=0,0,SUM($GJ$2:GJ102))</f>
        <v>0</v>
      </c>
      <c r="GL102" s="160">
        <f>IF([chambre4]*1='CHAMBRES GARCONS 1e ETAGE'!$A$23,1,0)</f>
        <v>0</v>
      </c>
      <c r="GM102" s="160">
        <f>IF([Occurrence30]=0,0,SUM($GL$2:GL102))</f>
        <v>0</v>
      </c>
      <c r="GN102" s="160">
        <f>IF([chambre4]*1='CHAMBRES GARCONS 1e ETAGE'!$A$29,1,0)</f>
        <v>0</v>
      </c>
      <c r="GO102" s="160">
        <f>IF([Occurrence31]=0,0,SUM($GN$2:GN102))</f>
        <v>0</v>
      </c>
      <c r="GP102" s="160">
        <f>IF([chambre4]*1='CHAMBRES GARCONS 1e ETAGE'!$A$35,1,0)</f>
        <v>0</v>
      </c>
      <c r="GQ102" s="160">
        <f>IF([Occurrence32]=0,0,SUM($GP$2:GP102))</f>
        <v>0</v>
      </c>
      <c r="GR102" s="160">
        <f>IF([chambre3]*1='CHAMBRES GARCONS RDC'!$A$5,1,0)</f>
        <v>0</v>
      </c>
      <c r="GS102" s="160">
        <f>IF([Occurrence33]=0,0,SUM($GR$2:GR102))</f>
        <v>0</v>
      </c>
      <c r="GT102" s="160">
        <f>IF([chambre3]*1='CHAMBRES GARCONS RDC'!$A$11,1,0)</f>
        <v>0</v>
      </c>
      <c r="GU102" s="160">
        <f>IF([Occurrence34]=0,0,SUM($GT$2:GT102))</f>
        <v>0</v>
      </c>
      <c r="GV102" s="160">
        <f>IF([chambre3]*1='CHAMBRES GARCONS RDC'!$A$17,1,0)</f>
        <v>0</v>
      </c>
      <c r="GW102" s="160">
        <f>IF([Occurrence35]=0,0,SUM($GV$2:GV102))</f>
        <v>0</v>
      </c>
      <c r="GX102" s="160">
        <f>IF([chambre3]*1='CHAMBRES GARCONS RDC'!$A$23,1,0)</f>
        <v>0</v>
      </c>
      <c r="GY102" s="160">
        <f>IF([Occurrence36]=0,0,SUM($GX$2:GX102))</f>
        <v>0</v>
      </c>
      <c r="GZ102" s="160">
        <f>IF([chambre3]*1='CHAMBRES GARCONS RDC'!$A$29,1,0)</f>
        <v>0</v>
      </c>
      <c r="HA102" s="160">
        <f>IF([Occurrence37]=0,0,SUM($GZ$2:GZ102))</f>
        <v>0</v>
      </c>
      <c r="HB102" s="160">
        <f>IF([chambre3]*1='CHAMBRES GARCONS RDC'!$A$35,1,0)</f>
        <v>0</v>
      </c>
      <c r="HC102" s="160">
        <f>IF([Occurrence38]=0,0,SUM($HB$2:HB102))</f>
        <v>0</v>
      </c>
      <c r="HD102" s="160">
        <f>IF([chambre3]*1='CHAMBRES GARCONS RDC'!$A$41,1,0)</f>
        <v>0</v>
      </c>
      <c r="HE102" s="160">
        <f>IF([Occurrence39]=0,0,SUM($HD$2:HD102))</f>
        <v>0</v>
      </c>
      <c r="HF102" s="160">
        <f>IF([chambre3]*1='CHAMBRES GARCONS RDC'!$A$47,1,0)</f>
        <v>0</v>
      </c>
      <c r="HG102" s="160">
        <f>IF([Occurrence40]=0,0,SUM($HF$2:HF102))</f>
        <v>0</v>
      </c>
      <c r="HH102" s="160">
        <f>IF([chambre3]*1='CHAMBRES GARCONS RDC'!$A$53,1,0)</f>
        <v>0</v>
      </c>
      <c r="HI102" s="160">
        <f>IF([Occurrence41]=0,0,SUM($HH$2:HH102))</f>
        <v>0</v>
      </c>
      <c r="HJ102" s="160">
        <f>IF([chambre3]*1='CHAMBRES GARCONS RDC'!$A$59,1,0)</f>
        <v>0</v>
      </c>
      <c r="HK102" s="160">
        <f>IF([Occurrence42]=0,0,SUM($HJ$2:HJ102))</f>
        <v>0</v>
      </c>
      <c r="HL102" s="160">
        <f>IF([chambre3]*1='CHAMBRES GARCONS RDC'!$A$65,1,0)</f>
        <v>0</v>
      </c>
      <c r="HM102" s="160">
        <f>IF([Occurrence43]=0,0,SUM($HL$2:HL102))</f>
        <v>0</v>
      </c>
      <c r="HN102" s="160">
        <f>IF([chambre3]*1='CHAMBRES GARCONS RDC'!$A$71,1,0)</f>
        <v>0</v>
      </c>
      <c r="HO102" s="160">
        <f>IF([Occurrence44]=0,0,SUM($HN$2:HN102))</f>
        <v>0</v>
      </c>
      <c r="HP102" s="160">
        <f>IF([chambre3]*1='CHAMBRES GARCONS RDC'!$A$77,1,0)</f>
        <v>0</v>
      </c>
      <c r="HQ102" s="160">
        <f>IF([Occurrence45]=0,0,SUM($HP$2:HP102))</f>
        <v>0</v>
      </c>
      <c r="HR102" s="160">
        <f>IF([chambre3]*1='CHAMBRES GARCONS RDC'!$A$83,1,0)</f>
        <v>0</v>
      </c>
      <c r="HS102" s="160">
        <f>IF([Occurrence46]=0,0,SUM($HR$2:HR102))</f>
        <v>0</v>
      </c>
      <c r="HT102" s="160">
        <f>IF([chambre3]*1='CHAMBRES GARCONS RDC'!$A$89,1,0)</f>
        <v>0</v>
      </c>
      <c r="HU102" s="160">
        <f>IF([Occurrence47]=0,0,SUM($HT$2:HT102))</f>
        <v>0</v>
      </c>
      <c r="HV102" s="160">
        <f>IF([chambre3]*1='CHAMBRES GARCONS RDC'!$A$95,1,0)</f>
        <v>0</v>
      </c>
      <c r="HW102" s="160">
        <f>IF([Occurrence48]=0,0,SUM($HV$2:HV102))</f>
        <v>0</v>
      </c>
      <c r="HX102" s="160"/>
      <c r="HY102" s="160"/>
      <c r="HZ102" s="160">
        <f>IF([Classe]='Liste élève par classes'!$B$5,1,0)</f>
        <v>0</v>
      </c>
      <c r="IA102" s="160">
        <f>IF([Occurrence]=0,0,SUM($HZ$2:HZ102))</f>
        <v>0</v>
      </c>
      <c r="IB10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02" s="208"/>
    </row>
    <row r="103" spans="1:237">
      <c r="A103" t="s">
        <v>423</v>
      </c>
      <c r="B103" t="s">
        <v>424</v>
      </c>
      <c r="C103" s="158" t="s">
        <v>782</v>
      </c>
      <c r="D103" s="62" t="s">
        <v>778</v>
      </c>
      <c r="E103" t="s">
        <v>7</v>
      </c>
      <c r="F103" s="159" t="s">
        <v>50</v>
      </c>
      <c r="G103" t="s">
        <v>40</v>
      </c>
      <c r="H103" s="160"/>
      <c r="I103" s="62"/>
      <c r="J103" s="62"/>
      <c r="K103" s="62"/>
      <c r="L103" s="61"/>
      <c r="M103" t="s">
        <v>783</v>
      </c>
      <c r="N103" s="62"/>
      <c r="O103" s="62"/>
      <c r="P103" s="62"/>
      <c r="Q103" s="62"/>
      <c r="R103" s="62"/>
      <c r="S103" s="191"/>
      <c r="T103" s="62"/>
      <c r="U103" s="61"/>
      <c r="V103" s="62"/>
      <c r="W103" s="62"/>
      <c r="X103" s="62"/>
      <c r="Y103" s="62"/>
      <c r="Z103" s="62"/>
      <c r="AA103" s="62"/>
      <c r="AB103" s="62"/>
      <c r="AC103" s="62"/>
      <c r="AD103" s="62"/>
      <c r="AE103" s="62"/>
      <c r="AF103" s="163"/>
      <c r="AG103" s="163"/>
      <c r="AH103" s="163"/>
      <c r="AI103" s="163" t="b">
        <v>0</v>
      </c>
      <c r="AJ103" s="163" t="b">
        <v>0</v>
      </c>
      <c r="AK103" s="163" t="b">
        <v>0</v>
      </c>
      <c r="AL103" s="163" t="b">
        <v>0</v>
      </c>
      <c r="AM103" s="163" t="b">
        <v>0</v>
      </c>
      <c r="AN103" s="163" t="b">
        <v>0</v>
      </c>
      <c r="AO103" s="163" t="b">
        <v>0</v>
      </c>
      <c r="AP103" s="163" t="b">
        <v>0</v>
      </c>
      <c r="AQ103" s="163" t="b">
        <v>0</v>
      </c>
      <c r="AR103" s="163" t="b">
        <v>0</v>
      </c>
      <c r="AS103" s="163" t="b">
        <v>0</v>
      </c>
      <c r="AT103" s="163" t="b">
        <v>0</v>
      </c>
      <c r="AU103" s="163" t="b">
        <v>0</v>
      </c>
      <c r="AV103" s="163" t="b">
        <v>0</v>
      </c>
      <c r="AW103" s="163" t="b">
        <v>0</v>
      </c>
      <c r="AX103" s="163" t="b">
        <v>0</v>
      </c>
      <c r="AY103" s="163" t="b">
        <v>0</v>
      </c>
      <c r="AZ103" s="163" t="b">
        <v>0</v>
      </c>
      <c r="BA103" s="163" t="b">
        <v>0</v>
      </c>
      <c r="BB103" s="163" t="b">
        <v>0</v>
      </c>
      <c r="BC103" s="163" t="b">
        <v>0</v>
      </c>
      <c r="BD103" s="163" t="b">
        <v>1</v>
      </c>
      <c r="BE103" s="163" t="b">
        <v>1</v>
      </c>
      <c r="BF103" s="163" t="b">
        <v>0</v>
      </c>
      <c r="BG103" s="164" t="b">
        <v>0</v>
      </c>
      <c r="BH103" s="163" t="b">
        <v>1</v>
      </c>
      <c r="BI103" s="163" t="b">
        <v>0</v>
      </c>
      <c r="BJ103" s="163" t="b">
        <v>0</v>
      </c>
      <c r="BK103" s="163" t="b">
        <v>0</v>
      </c>
      <c r="BL103" s="163" t="b">
        <v>0</v>
      </c>
      <c r="BM103" s="163"/>
      <c r="BN103" s="163" t="b">
        <v>0</v>
      </c>
      <c r="BO103" s="163" t="b">
        <v>0</v>
      </c>
      <c r="BP103" s="163"/>
      <c r="BQ103" s="163" t="b">
        <v>0</v>
      </c>
      <c r="BR103" s="163" t="b">
        <v>0</v>
      </c>
      <c r="BS103" s="163"/>
      <c r="BT103" s="163" t="b">
        <v>0</v>
      </c>
      <c r="BU103" s="163" t="b">
        <v>0</v>
      </c>
      <c r="BV103" s="163"/>
      <c r="BW103" s="163" t="b">
        <v>0</v>
      </c>
      <c r="BX103" s="163" t="b">
        <v>0</v>
      </c>
      <c r="BY103" s="163"/>
      <c r="BZ103" s="163" t="b">
        <v>0</v>
      </c>
      <c r="CA103" s="163" t="b">
        <v>0</v>
      </c>
      <c r="CB103" s="163"/>
      <c r="CC103" s="163" t="b">
        <v>0</v>
      </c>
      <c r="CD103" s="163" t="b">
        <v>0</v>
      </c>
      <c r="CE103" s="163"/>
      <c r="CF103" s="163" t="b">
        <v>0</v>
      </c>
      <c r="CG103" s="163" t="b">
        <v>0</v>
      </c>
      <c r="CH103" s="163"/>
      <c r="CI103" s="163" t="b">
        <v>0</v>
      </c>
      <c r="CJ103" s="163" t="b">
        <v>0</v>
      </c>
      <c r="CK103" s="163"/>
      <c r="CL103" s="163" t="b">
        <v>0</v>
      </c>
      <c r="CM103" s="163" t="b">
        <v>0</v>
      </c>
      <c r="CN103" s="163"/>
      <c r="CO103" s="163" t="b">
        <v>0</v>
      </c>
      <c r="CP103" s="163" t="b">
        <v>0</v>
      </c>
      <c r="CQ103" s="163"/>
      <c r="CR103" s="163" t="b">
        <v>0</v>
      </c>
      <c r="CS103" s="163" t="b">
        <v>0</v>
      </c>
      <c r="CT103" s="163" t="b">
        <v>0</v>
      </c>
      <c r="CU103" s="163" t="b">
        <v>0</v>
      </c>
      <c r="CV103" s="163"/>
      <c r="CW103" s="163" t="b">
        <v>0</v>
      </c>
      <c r="CX103" s="163" t="b">
        <v>0</v>
      </c>
      <c r="CY103" s="163" t="b">
        <v>0</v>
      </c>
      <c r="CZ103" s="163" t="b">
        <v>0</v>
      </c>
      <c r="DA103" s="163"/>
      <c r="DB103" s="163"/>
      <c r="DC103" s="163"/>
      <c r="DD103" s="163"/>
      <c r="DE103" s="163"/>
      <c r="DF103" s="163"/>
      <c r="DG103" s="208" t="s">
        <v>776</v>
      </c>
      <c r="DH103" s="163"/>
      <c r="DI103" s="163"/>
      <c r="DJ103" s="163"/>
      <c r="DK103" s="163"/>
      <c r="DL103" s="163"/>
      <c r="DM103" s="163" t="b">
        <v>0</v>
      </c>
      <c r="DN103" s="163" t="b">
        <v>0</v>
      </c>
      <c r="DO103" s="163" t="b">
        <v>0</v>
      </c>
      <c r="DP103" s="163" t="b">
        <v>0</v>
      </c>
      <c r="DQ103" s="163" t="b">
        <v>0</v>
      </c>
      <c r="DR103" s="163" t="b">
        <v>0</v>
      </c>
      <c r="DS103" s="163" t="b">
        <v>0</v>
      </c>
      <c r="DT103" s="163" t="b">
        <v>0</v>
      </c>
      <c r="DU103" s="163" t="b">
        <v>0</v>
      </c>
      <c r="DV103" s="163" t="b">
        <v>0</v>
      </c>
      <c r="DW103" s="163" t="b">
        <v>0</v>
      </c>
      <c r="DX103" s="163" t="b">
        <v>0</v>
      </c>
      <c r="DY103" s="163" t="b">
        <v>0</v>
      </c>
      <c r="DZ103" s="163" t="b">
        <v>0</v>
      </c>
      <c r="EA103" s="163" t="b">
        <v>0</v>
      </c>
      <c r="EB103" s="163" t="b">
        <v>0</v>
      </c>
      <c r="EC103" s="163" t="b">
        <v>0</v>
      </c>
      <c r="ED103" s="163" t="b">
        <v>0</v>
      </c>
      <c r="EE103" s="163" t="b">
        <v>0</v>
      </c>
      <c r="EF103" s="163" t="b">
        <v>0</v>
      </c>
      <c r="EG103" s="163"/>
      <c r="EH103" s="160">
        <f>IF([Chambre]*1='CHAMBRES FILLES 2e ETAGE'!$A$5,1,0)</f>
        <v>0</v>
      </c>
      <c r="EI103" s="161">
        <f>IF([Occurrence2]=0,0,SUM($EH$2:EH103))</f>
        <v>0</v>
      </c>
      <c r="EJ103" s="160">
        <f>IF([Chambre]*1='CHAMBRES FILLES 2e ETAGE'!$A$11,1,0)</f>
        <v>0</v>
      </c>
      <c r="EK103" s="160">
        <f>IF([Occurrence3]=0,0,SUM($EJ$2:EJ103))</f>
        <v>0</v>
      </c>
      <c r="EL103" s="160">
        <f>IF([Chambre]*1='CHAMBRES FILLES 2e ETAGE'!$A$17,1,0)</f>
        <v>0</v>
      </c>
      <c r="EM103" s="160">
        <f>IF([Occurrence4]=0,0,SUM($EL$2:EL103))</f>
        <v>0</v>
      </c>
      <c r="EN103" s="160">
        <f>IF([Chambre]*1='CHAMBRES FILLES 2e ETAGE'!$A$23,1,0)</f>
        <v>0</v>
      </c>
      <c r="EO103" s="160">
        <f>IF([Occurrence5]=0,0,SUM($EN$2:EN103))</f>
        <v>0</v>
      </c>
      <c r="EP103" s="160">
        <f>IF([Chambre]*1='CHAMBRES FILLES 2e ETAGE'!$A$29,1,0)</f>
        <v>0</v>
      </c>
      <c r="EQ103" s="160">
        <f>IF([Occurrence6]=0,0,SUM($EP$2:EP103))</f>
        <v>0</v>
      </c>
      <c r="ER103" s="160">
        <f>IF([Chambre]*1='CHAMBRES FILLES 2e ETAGE'!$A$35,1,0)</f>
        <v>0</v>
      </c>
      <c r="ES103" s="160">
        <f>IF([Occurrence7]=0,0,SUM($ER$2:ER103))</f>
        <v>0</v>
      </c>
      <c r="ET103" s="160">
        <f>IF([Chambre]*1='CHAMBRES FILLES 2e ETAGE'!$A$41,1,0)</f>
        <v>0</v>
      </c>
      <c r="EU103" s="160">
        <f>IF([Occurrence8]=0,0,SUM($ET$2:ET103))</f>
        <v>0</v>
      </c>
      <c r="EV103" s="160">
        <f>IF([Chambre]*1='CHAMBRES FILLES 2e ETAGE'!$A$47,1,0)</f>
        <v>0</v>
      </c>
      <c r="EW103" s="160">
        <f>IF([Occurrence9]=0,0,SUM($EV$2:EV103))</f>
        <v>0</v>
      </c>
      <c r="EX103" s="160">
        <f>IF([Chambre]*1='CHAMBRES FILLES 2e ETAGE'!$A$53,1,0)</f>
        <v>0</v>
      </c>
      <c r="EY103" s="160">
        <f>IF([Occurrence10]=0,0,SUM($EX$2:EX103))</f>
        <v>0</v>
      </c>
      <c r="EZ103" s="160">
        <f>IF([Chambre]*1='CHAMBRES FILLES 2e ETAGE'!$A$59,1,0)</f>
        <v>0</v>
      </c>
      <c r="FA103" s="160">
        <f>IF([Occurrence11]=0,0,SUM($EZ$2:EZ103))</f>
        <v>0</v>
      </c>
      <c r="FB103" s="160">
        <f>IF([Chambre]*1='CHAMBRES FILLES 2e ETAGE'!$A$65,1,0)</f>
        <v>0</v>
      </c>
      <c r="FC103" s="160">
        <f>IF([Occurrence12]=0,0,SUM($FB$2:FB103))</f>
        <v>0</v>
      </c>
      <c r="FD103" s="160">
        <f>IF([Chambre]*1='CHAMBRES FILLES 2e ETAGE'!$A$71,1,0)</f>
        <v>0</v>
      </c>
      <c r="FE103" s="160">
        <f>IF([Occurrence13]=0,0,SUM($FD$2:FD103))</f>
        <v>0</v>
      </c>
      <c r="FF103" s="160">
        <f>IF([Chambre]*1='CHAMBRES FILLES 2e ETAGE'!$A$77,1,0)</f>
        <v>0</v>
      </c>
      <c r="FG103" s="160">
        <f>IF([Occurrence14]=0,0,SUM($FF$2:FF103))</f>
        <v>0</v>
      </c>
      <c r="FH103" s="160">
        <f>IF([Chambre]*1='CHAMBRES FILLES 2e ETAGE'!$A$83,1,0)</f>
        <v>0</v>
      </c>
      <c r="FI103" s="160">
        <f>IF([Occurrence15]=0,0,SUM($FH$2:FH103))</f>
        <v>0</v>
      </c>
      <c r="FJ103" s="160">
        <f>IF([Chambre]*1='CHAMBRES FILLES 2e ETAGE'!$A$89,1,0)</f>
        <v>0</v>
      </c>
      <c r="FK103" s="160">
        <f>IF([Occurrence16]=0,0,SUM($FJ$2:FJ103))</f>
        <v>0</v>
      </c>
      <c r="FL103" s="160">
        <f>IF([Chambre]*1='CHAMBRES FILLES 2e ETAGE'!$A$95,1,0)</f>
        <v>0</v>
      </c>
      <c r="FM103" s="160">
        <f>IF([Occurrence17]=0,0,SUM($FL$2:FL103))</f>
        <v>0</v>
      </c>
      <c r="FN103" s="160">
        <f>IF([Chambre2]*1='CHAMBRES FILLES 1e ETAGE'!$A$5,1,0)</f>
        <v>0</v>
      </c>
      <c r="FO103" s="160">
        <f>IF([Occurrence18]=0,0,SUM($FN$2:FN103))</f>
        <v>0</v>
      </c>
      <c r="FP103" s="160">
        <f>IF([Chambre2]*1='CHAMBRES FILLES 1e ETAGE'!$A$11,1,0)</f>
        <v>0</v>
      </c>
      <c r="FQ103" s="160">
        <f>IF([Occurrence19]=0,0,SUM($FP$2:FP103))</f>
        <v>0</v>
      </c>
      <c r="FR103" s="160">
        <f>IF([Chambre2]*1='CHAMBRES FILLES 1e ETAGE'!$A$17,1,0)</f>
        <v>0</v>
      </c>
      <c r="FS103" s="160">
        <f>IF([Occurrence20]=0,0,SUM($FR$2:FR103))</f>
        <v>0</v>
      </c>
      <c r="FT103" s="160">
        <f>IF([Chambre2]*1='CHAMBRES FILLES 1e ETAGE'!$A$23,1,0)</f>
        <v>0</v>
      </c>
      <c r="FU103" s="160">
        <f>IF([Occurrence21]=0,0,SUM($FT$2:FT103))</f>
        <v>0</v>
      </c>
      <c r="FV103" s="160">
        <f>IF([Chambre2]*1='CHAMBRES FILLES 1e ETAGE'!$A$29,1,0)</f>
        <v>0</v>
      </c>
      <c r="FW103" s="160">
        <f>IF([Occurrence22]=0,0,SUM($FV$2:FV103))</f>
        <v>0</v>
      </c>
      <c r="FX103" s="160">
        <f>IF([Chambre2]*1='CHAMBRES FILLES 1e ETAGE'!$A$35,1,0)</f>
        <v>0</v>
      </c>
      <c r="FY103" s="160">
        <f>IF([Occurrence23]=0,0,SUM($FX$2:FX103))</f>
        <v>0</v>
      </c>
      <c r="FZ103" s="160">
        <f>IF([Chambre2]*1='CHAMBRES FILLES 1e ETAGE'!$A$41,1,0)</f>
        <v>0</v>
      </c>
      <c r="GA103" s="160">
        <f>IF([Occurrence24]=0,0,SUM($FZ$2:FZ103))</f>
        <v>0</v>
      </c>
      <c r="GB103" s="160">
        <f>IF([Chambre2]*1='CHAMBRES FILLES 1e ETAGE'!$A$47,1,0)</f>
        <v>0</v>
      </c>
      <c r="GC103" s="160">
        <f>IF([Occurrence25]=0,0,SUM($GB$2:GB103))</f>
        <v>0</v>
      </c>
      <c r="GD103" s="160">
        <f>IF([Chambre2]*1='CHAMBRES FILLES 1e ETAGE'!$A$53,1,0)</f>
        <v>0</v>
      </c>
      <c r="GE103" s="160">
        <f>IF([Occurrence26]=0,0,SUM($GD$2:GD103))</f>
        <v>0</v>
      </c>
      <c r="GF103" s="160">
        <f>IF([chambre4]*1='CHAMBRES GARCONS 1e ETAGE'!$A$5,1,0)</f>
        <v>1</v>
      </c>
      <c r="GG103" s="160">
        <f>IF([Occurrence27]=0,0,SUM($GF$2:GF103))</f>
        <v>1</v>
      </c>
      <c r="GH103" s="160">
        <f>IF([chambre4]*1='CHAMBRES GARCONS 1e ETAGE'!$A$11,1,0)</f>
        <v>0</v>
      </c>
      <c r="GI103" s="160">
        <f>IF([Occurrence28]=0,0,SUM($GH$2:GH103))</f>
        <v>0</v>
      </c>
      <c r="GJ103" s="160">
        <f>IF([chambre4]*1='CHAMBRES GARCONS 1e ETAGE'!$A$17,1,0)</f>
        <v>0</v>
      </c>
      <c r="GK103" s="160">
        <f>IF([Occurrence29]=0,0,SUM($GJ$2:GJ103))</f>
        <v>0</v>
      </c>
      <c r="GL103" s="160">
        <f>IF([chambre4]*1='CHAMBRES GARCONS 1e ETAGE'!$A$23,1,0)</f>
        <v>0</v>
      </c>
      <c r="GM103" s="160">
        <f>IF([Occurrence30]=0,0,SUM($GL$2:GL103))</f>
        <v>0</v>
      </c>
      <c r="GN103" s="160">
        <f>IF([chambre4]*1='CHAMBRES GARCONS 1e ETAGE'!$A$29,1,0)</f>
        <v>0</v>
      </c>
      <c r="GO103" s="160">
        <f>IF([Occurrence31]=0,0,SUM($GN$2:GN103))</f>
        <v>0</v>
      </c>
      <c r="GP103" s="160">
        <f>IF([chambre4]*1='CHAMBRES GARCONS 1e ETAGE'!$A$35,1,0)</f>
        <v>0</v>
      </c>
      <c r="GQ103" s="160">
        <f>IF([Occurrence32]=0,0,SUM($GP$2:GP103))</f>
        <v>0</v>
      </c>
      <c r="GR103" s="160">
        <f>IF([chambre3]*1='CHAMBRES GARCONS RDC'!$A$5,1,0)</f>
        <v>0</v>
      </c>
      <c r="GS103" s="160">
        <f>IF([Occurrence33]=0,0,SUM($GR$2:GR103))</f>
        <v>0</v>
      </c>
      <c r="GT103" s="160">
        <f>IF([chambre3]*1='CHAMBRES GARCONS RDC'!$A$11,1,0)</f>
        <v>0</v>
      </c>
      <c r="GU103" s="160">
        <f>IF([Occurrence34]=0,0,SUM($GT$2:GT103))</f>
        <v>0</v>
      </c>
      <c r="GV103" s="160">
        <f>IF([chambre3]*1='CHAMBRES GARCONS RDC'!$A$17,1,0)</f>
        <v>0</v>
      </c>
      <c r="GW103" s="160">
        <f>IF([Occurrence35]=0,0,SUM($GV$2:GV103))</f>
        <v>0</v>
      </c>
      <c r="GX103" s="160">
        <f>IF([chambre3]*1='CHAMBRES GARCONS RDC'!$A$23,1,0)</f>
        <v>0</v>
      </c>
      <c r="GY103" s="160">
        <f>IF([Occurrence36]=0,0,SUM($GX$2:GX103))</f>
        <v>0</v>
      </c>
      <c r="GZ103" s="160">
        <f>IF([chambre3]*1='CHAMBRES GARCONS RDC'!$A$29,1,0)</f>
        <v>0</v>
      </c>
      <c r="HA103" s="160">
        <f>IF([Occurrence37]=0,0,SUM($GZ$2:GZ103))</f>
        <v>0</v>
      </c>
      <c r="HB103" s="160">
        <f>IF([chambre3]*1='CHAMBRES GARCONS RDC'!$A$35,1,0)</f>
        <v>0</v>
      </c>
      <c r="HC103" s="160">
        <f>IF([Occurrence38]=0,0,SUM($HB$2:HB103))</f>
        <v>0</v>
      </c>
      <c r="HD103" s="160">
        <f>IF([chambre3]*1='CHAMBRES GARCONS RDC'!$A$41,1,0)</f>
        <v>0</v>
      </c>
      <c r="HE103" s="160">
        <f>IF([Occurrence39]=0,0,SUM($HD$2:HD103))</f>
        <v>0</v>
      </c>
      <c r="HF103" s="160">
        <f>IF([chambre3]*1='CHAMBRES GARCONS RDC'!$A$47,1,0)</f>
        <v>0</v>
      </c>
      <c r="HG103" s="160">
        <f>IF([Occurrence40]=0,0,SUM($HF$2:HF103))</f>
        <v>0</v>
      </c>
      <c r="HH103" s="160">
        <f>IF([chambre3]*1='CHAMBRES GARCONS RDC'!$A$53,1,0)</f>
        <v>0</v>
      </c>
      <c r="HI103" s="160">
        <f>IF([Occurrence41]=0,0,SUM($HH$2:HH103))</f>
        <v>0</v>
      </c>
      <c r="HJ103" s="160">
        <f>IF([chambre3]*1='CHAMBRES GARCONS RDC'!$A$59,1,0)</f>
        <v>0</v>
      </c>
      <c r="HK103" s="160">
        <f>IF([Occurrence42]=0,0,SUM($HJ$2:HJ103))</f>
        <v>0</v>
      </c>
      <c r="HL103" s="160">
        <f>IF([chambre3]*1='CHAMBRES GARCONS RDC'!$A$65,1,0)</f>
        <v>0</v>
      </c>
      <c r="HM103" s="160">
        <f>IF([Occurrence43]=0,0,SUM($HL$2:HL103))</f>
        <v>0</v>
      </c>
      <c r="HN103" s="160">
        <f>IF([chambre3]*1='CHAMBRES GARCONS RDC'!$A$71,1,0)</f>
        <v>0</v>
      </c>
      <c r="HO103" s="160">
        <f>IF([Occurrence44]=0,0,SUM($HN$2:HN103))</f>
        <v>0</v>
      </c>
      <c r="HP103" s="160">
        <f>IF([chambre3]*1='CHAMBRES GARCONS RDC'!$A$77,1,0)</f>
        <v>0</v>
      </c>
      <c r="HQ103" s="160">
        <f>IF([Occurrence45]=0,0,SUM($HP$2:HP103))</f>
        <v>0</v>
      </c>
      <c r="HR103" s="160">
        <f>IF([chambre3]*1='CHAMBRES GARCONS RDC'!$A$83,1,0)</f>
        <v>0</v>
      </c>
      <c r="HS103" s="160">
        <f>IF([Occurrence46]=0,0,SUM($HR$2:HR103))</f>
        <v>0</v>
      </c>
      <c r="HT103" s="160">
        <f>IF([chambre3]*1='CHAMBRES GARCONS RDC'!$A$89,1,0)</f>
        <v>0</v>
      </c>
      <c r="HU103" s="160">
        <f>IF([Occurrence47]=0,0,SUM($HT$2:HT103))</f>
        <v>0</v>
      </c>
      <c r="HV103" s="160">
        <f>IF([chambre3]*1='CHAMBRES GARCONS RDC'!$A$95,1,0)</f>
        <v>0</v>
      </c>
      <c r="HW103" s="160">
        <f>IF([Occurrence48]=0,0,SUM($HV$2:HV103))</f>
        <v>0</v>
      </c>
      <c r="HX103" s="160"/>
      <c r="HY103" s="160"/>
      <c r="HZ103" s="160">
        <f>IF([Classe]='Liste élève par classes'!$B$5,1,0)</f>
        <v>0</v>
      </c>
      <c r="IA103" s="160">
        <f>IF([Occurrence]=0,0,SUM($HZ$2:HZ103))</f>
        <v>0</v>
      </c>
      <c r="IB10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145</v>
      </c>
      <c r="IC103" s="208"/>
    </row>
    <row r="104" spans="1:237">
      <c r="A104" t="s">
        <v>425</v>
      </c>
      <c r="B104" t="s">
        <v>326</v>
      </c>
      <c r="C104" s="158">
        <v>36673</v>
      </c>
      <c r="D104" s="62">
        <f t="shared" ca="1" si="1"/>
        <v>17</v>
      </c>
      <c r="E104" t="s">
        <v>9</v>
      </c>
      <c r="F104" s="159" t="s">
        <v>50</v>
      </c>
      <c r="G104" t="s">
        <v>45</v>
      </c>
      <c r="H104" s="160"/>
      <c r="I104" s="161"/>
      <c r="J104" s="161"/>
      <c r="K104" s="161"/>
      <c r="L104" s="160"/>
      <c r="M104">
        <v>35</v>
      </c>
      <c r="N104" s="161"/>
      <c r="O104" s="161"/>
      <c r="P104" s="161"/>
      <c r="Q104" s="161"/>
      <c r="R104" s="161"/>
      <c r="S104" s="190"/>
      <c r="T104" s="161"/>
      <c r="U104" s="160">
        <v>148</v>
      </c>
      <c r="V104" s="161"/>
      <c r="W104" s="161"/>
      <c r="X104" s="161"/>
      <c r="Y104" s="161"/>
      <c r="Z104" s="161"/>
      <c r="AA104" s="161"/>
      <c r="AB104" s="161"/>
      <c r="AC104" s="161"/>
      <c r="AD104" s="161"/>
      <c r="AE104" s="161"/>
      <c r="AF104" s="163"/>
      <c r="AG104" s="163"/>
      <c r="AH104" s="163"/>
      <c r="AI104" s="163"/>
      <c r="AJ104" s="163"/>
      <c r="AK104" s="163"/>
      <c r="AL104" s="163"/>
      <c r="AM104" s="163"/>
      <c r="AN104" s="163"/>
      <c r="AO104" s="163"/>
      <c r="AP104" s="163"/>
      <c r="AQ104" s="163"/>
      <c r="AR104" s="163"/>
      <c r="AS104" s="163"/>
      <c r="AT104" s="163"/>
      <c r="AU104" s="163"/>
      <c r="AV104" s="163"/>
      <c r="AW104" s="163"/>
      <c r="AX104" s="163"/>
      <c r="AY104" s="163"/>
      <c r="AZ104" s="163"/>
      <c r="BA104" s="163"/>
      <c r="BB104" s="163"/>
      <c r="BC104" s="163" t="b">
        <v>0</v>
      </c>
      <c r="BD104" s="163" t="b">
        <v>1</v>
      </c>
      <c r="BE104" s="163" t="b">
        <v>1</v>
      </c>
      <c r="BF104" s="163" t="b">
        <v>0</v>
      </c>
      <c r="BG104" s="164" t="b">
        <v>0</v>
      </c>
      <c r="BH104" s="163" t="b">
        <v>1</v>
      </c>
      <c r="BI104" s="163"/>
      <c r="BJ104" s="163"/>
      <c r="BK104" s="163"/>
      <c r="BL104" s="163"/>
      <c r="BM104" s="163"/>
      <c r="BN104" s="163"/>
      <c r="BO104" s="163"/>
      <c r="BP104" s="163"/>
      <c r="BQ104" s="163" t="b">
        <v>0</v>
      </c>
      <c r="BR104" s="163"/>
      <c r="BS104" s="163"/>
      <c r="BT104" s="163"/>
      <c r="BU104" s="163"/>
      <c r="BV104" s="163"/>
      <c r="BW104" s="163"/>
      <c r="BX104" s="163"/>
      <c r="BY104" s="163"/>
      <c r="BZ104" s="163"/>
      <c r="CA104" s="163"/>
      <c r="CB104" s="163"/>
      <c r="CC104" s="163"/>
      <c r="CD104" s="163"/>
      <c r="CE104" s="163"/>
      <c r="CF104" s="163"/>
      <c r="CG104" s="163"/>
      <c r="CH104" s="163"/>
      <c r="CI104" s="163"/>
      <c r="CJ104" s="163"/>
      <c r="CK104" s="163"/>
      <c r="CL104" s="163"/>
      <c r="CM104" s="163"/>
      <c r="CN104" s="163"/>
      <c r="CO104" s="163"/>
      <c r="CP104" s="163"/>
      <c r="CQ104" s="163"/>
      <c r="CR104" s="163"/>
      <c r="CS104" s="163"/>
      <c r="CT104" s="163"/>
      <c r="CU104" s="163"/>
      <c r="CV104" s="163"/>
      <c r="CW104" s="163"/>
      <c r="CX104" s="163"/>
      <c r="CY104" s="163"/>
      <c r="CZ104" s="163"/>
      <c r="DA104" s="163"/>
      <c r="DB104" s="163"/>
      <c r="DC104" s="163"/>
      <c r="DD104" s="163"/>
      <c r="DE104" s="163"/>
      <c r="DF104" s="163"/>
      <c r="DG104" s="208"/>
      <c r="DH104" s="163"/>
      <c r="DI104" s="163"/>
      <c r="DJ104" s="163"/>
      <c r="DK104" s="163"/>
      <c r="DL104" s="163"/>
      <c r="DM104" s="163"/>
      <c r="DN104" s="163"/>
      <c r="DO104" s="163"/>
      <c r="DP104" s="163"/>
      <c r="DQ104" s="163"/>
      <c r="DR104" s="163"/>
      <c r="DS104" s="163"/>
      <c r="DT104" s="163"/>
      <c r="DU104" s="163"/>
      <c r="DV104" s="163"/>
      <c r="DW104" s="163"/>
      <c r="DX104" s="163"/>
      <c r="DY104" s="163"/>
      <c r="DZ104" s="163"/>
      <c r="EA104" s="163"/>
      <c r="EB104" s="163"/>
      <c r="EC104" s="163"/>
      <c r="ED104" s="163"/>
      <c r="EE104" s="163"/>
      <c r="EF104" s="163"/>
      <c r="EG104" s="163"/>
      <c r="EH104" s="160">
        <f>IF([Chambre]*1='CHAMBRES FILLES 2e ETAGE'!$A$5,1,0)</f>
        <v>0</v>
      </c>
      <c r="EI104" s="161">
        <f>IF([Occurrence2]=0,0,SUM($EH$2:EH104))</f>
        <v>0</v>
      </c>
      <c r="EJ104" s="160">
        <f>IF([Chambre]*1='CHAMBRES FILLES 2e ETAGE'!$A$11,1,0)</f>
        <v>0</v>
      </c>
      <c r="EK104" s="160">
        <f>IF([Occurrence3]=0,0,SUM($EJ$2:EJ104))</f>
        <v>0</v>
      </c>
      <c r="EL104" s="160">
        <f>IF([Chambre]*1='CHAMBRES FILLES 2e ETAGE'!$A$17,1,0)</f>
        <v>0</v>
      </c>
      <c r="EM104" s="160">
        <f>IF([Occurrence4]=0,0,SUM($EL$2:EL104))</f>
        <v>0</v>
      </c>
      <c r="EN104" s="160">
        <f>IF([Chambre]*1='CHAMBRES FILLES 2e ETAGE'!$A$23,1,0)</f>
        <v>0</v>
      </c>
      <c r="EO104" s="160">
        <f>IF([Occurrence5]=0,0,SUM($EN$2:EN104))</f>
        <v>0</v>
      </c>
      <c r="EP104" s="160">
        <f>IF([Chambre]*1='CHAMBRES FILLES 2e ETAGE'!$A$29,1,0)</f>
        <v>0</v>
      </c>
      <c r="EQ104" s="160">
        <f>IF([Occurrence6]=0,0,SUM($EP$2:EP104))</f>
        <v>0</v>
      </c>
      <c r="ER104" s="160">
        <f>IF([Chambre]*1='CHAMBRES FILLES 2e ETAGE'!$A$35,1,0)</f>
        <v>0</v>
      </c>
      <c r="ES104" s="160">
        <f>IF([Occurrence7]=0,0,SUM($ER$2:ER104))</f>
        <v>0</v>
      </c>
      <c r="ET104" s="160">
        <f>IF([Chambre]*1='CHAMBRES FILLES 2e ETAGE'!$A$41,1,0)</f>
        <v>0</v>
      </c>
      <c r="EU104" s="160">
        <f>IF([Occurrence8]=0,0,SUM($ET$2:ET104))</f>
        <v>0</v>
      </c>
      <c r="EV104" s="160">
        <f>IF([Chambre]*1='CHAMBRES FILLES 2e ETAGE'!$A$47,1,0)</f>
        <v>0</v>
      </c>
      <c r="EW104" s="160">
        <f>IF([Occurrence9]=0,0,SUM($EV$2:EV104))</f>
        <v>0</v>
      </c>
      <c r="EX104" s="160">
        <f>IF([Chambre]*1='CHAMBRES FILLES 2e ETAGE'!$A$53,1,0)</f>
        <v>0</v>
      </c>
      <c r="EY104" s="160">
        <f>IF([Occurrence10]=0,0,SUM($EX$2:EX104))</f>
        <v>0</v>
      </c>
      <c r="EZ104" s="160">
        <f>IF([Chambre]*1='CHAMBRES FILLES 2e ETAGE'!$A$59,1,0)</f>
        <v>0</v>
      </c>
      <c r="FA104" s="160">
        <f>IF([Occurrence11]=0,0,SUM($EZ$2:EZ104))</f>
        <v>0</v>
      </c>
      <c r="FB104" s="160">
        <f>IF([Chambre]*1='CHAMBRES FILLES 2e ETAGE'!$A$65,1,0)</f>
        <v>0</v>
      </c>
      <c r="FC104" s="160">
        <f>IF([Occurrence12]=0,0,SUM($FB$2:FB104))</f>
        <v>0</v>
      </c>
      <c r="FD104" s="160">
        <f>IF([Chambre]*1='CHAMBRES FILLES 2e ETAGE'!$A$71,1,0)</f>
        <v>0</v>
      </c>
      <c r="FE104" s="160">
        <f>IF([Occurrence13]=0,0,SUM($FD$2:FD104))</f>
        <v>0</v>
      </c>
      <c r="FF104" s="160">
        <f>IF([Chambre]*1='CHAMBRES FILLES 2e ETAGE'!$A$77,1,0)</f>
        <v>0</v>
      </c>
      <c r="FG104" s="160">
        <f>IF([Occurrence14]=0,0,SUM($FF$2:FF104))</f>
        <v>0</v>
      </c>
      <c r="FH104" s="160">
        <f>IF([Chambre]*1='CHAMBRES FILLES 2e ETAGE'!$A$83,1,0)</f>
        <v>0</v>
      </c>
      <c r="FI104" s="160">
        <f>IF([Occurrence15]=0,0,SUM($FH$2:FH104))</f>
        <v>0</v>
      </c>
      <c r="FJ104" s="160">
        <f>IF([Chambre]*1='CHAMBRES FILLES 2e ETAGE'!$A$89,1,0)</f>
        <v>0</v>
      </c>
      <c r="FK104" s="160">
        <f>IF([Occurrence16]=0,0,SUM($FJ$2:FJ104))</f>
        <v>0</v>
      </c>
      <c r="FL104" s="160">
        <f>IF([Chambre]*1='CHAMBRES FILLES 2e ETAGE'!$A$95,1,0)</f>
        <v>0</v>
      </c>
      <c r="FM104" s="160">
        <f>IF([Occurrence17]=0,0,SUM($FL$2:FL104))</f>
        <v>0</v>
      </c>
      <c r="FN104" s="160">
        <f>IF([Chambre2]*1='CHAMBRES FILLES 1e ETAGE'!$A$5,1,0)</f>
        <v>0</v>
      </c>
      <c r="FO104" s="160">
        <f>IF([Occurrence18]=0,0,SUM($FN$2:FN104))</f>
        <v>0</v>
      </c>
      <c r="FP104" s="160">
        <f>IF([Chambre2]*1='CHAMBRES FILLES 1e ETAGE'!$A$11,1,0)</f>
        <v>0</v>
      </c>
      <c r="FQ104" s="160">
        <f>IF([Occurrence19]=0,0,SUM($FP$2:FP104))</f>
        <v>0</v>
      </c>
      <c r="FR104" s="160">
        <f>IF([Chambre2]*1='CHAMBRES FILLES 1e ETAGE'!$A$17,1,0)</f>
        <v>0</v>
      </c>
      <c r="FS104" s="160">
        <f>IF([Occurrence20]=0,0,SUM($FR$2:FR104))</f>
        <v>0</v>
      </c>
      <c r="FT104" s="160">
        <f>IF([Chambre2]*1='CHAMBRES FILLES 1e ETAGE'!$A$23,1,0)</f>
        <v>0</v>
      </c>
      <c r="FU104" s="160">
        <f>IF([Occurrence21]=0,0,SUM($FT$2:FT104))</f>
        <v>0</v>
      </c>
      <c r="FV104" s="160">
        <f>IF([Chambre2]*1='CHAMBRES FILLES 1e ETAGE'!$A$29,1,0)</f>
        <v>0</v>
      </c>
      <c r="FW104" s="160">
        <f>IF([Occurrence22]=0,0,SUM($FV$2:FV104))</f>
        <v>0</v>
      </c>
      <c r="FX104" s="160">
        <f>IF([Chambre2]*1='CHAMBRES FILLES 1e ETAGE'!$A$35,1,0)</f>
        <v>0</v>
      </c>
      <c r="FY104" s="160">
        <f>IF([Occurrence23]=0,0,SUM($FX$2:FX104))</f>
        <v>0</v>
      </c>
      <c r="FZ104" s="160">
        <f>IF([Chambre2]*1='CHAMBRES FILLES 1e ETAGE'!$A$41,1,0)</f>
        <v>0</v>
      </c>
      <c r="GA104" s="160">
        <f>IF([Occurrence24]=0,0,SUM($FZ$2:FZ104))</f>
        <v>0</v>
      </c>
      <c r="GB104" s="160">
        <f>IF([Chambre2]*1='CHAMBRES FILLES 1e ETAGE'!$A$47,1,0)</f>
        <v>0</v>
      </c>
      <c r="GC104" s="160">
        <f>IF([Occurrence25]=0,0,SUM($GB$2:GB104))</f>
        <v>0</v>
      </c>
      <c r="GD104" s="160">
        <f>IF([Chambre2]*1='CHAMBRES FILLES 1e ETAGE'!$A$53,1,0)</f>
        <v>1</v>
      </c>
      <c r="GE104" s="160">
        <f>IF([Occurrence26]=0,0,SUM($GD$2:GD104))</f>
        <v>1</v>
      </c>
      <c r="GF104" s="160">
        <f>IF([chambre4]*1='CHAMBRES GARCONS 1e ETAGE'!$A$5,1,0)</f>
        <v>0</v>
      </c>
      <c r="GG104" s="160">
        <f>IF([Occurrence27]=0,0,SUM($GF$2:GF104))</f>
        <v>0</v>
      </c>
      <c r="GH104" s="160">
        <f>IF([chambre4]*1='CHAMBRES GARCONS 1e ETAGE'!$A$11,1,0)</f>
        <v>0</v>
      </c>
      <c r="GI104" s="160">
        <f>IF([Occurrence28]=0,0,SUM($GH$2:GH104))</f>
        <v>0</v>
      </c>
      <c r="GJ104" s="160">
        <f>IF([chambre4]*1='CHAMBRES GARCONS 1e ETAGE'!$A$17,1,0)</f>
        <v>0</v>
      </c>
      <c r="GK104" s="160">
        <f>IF([Occurrence29]=0,0,SUM($GJ$2:GJ104))</f>
        <v>0</v>
      </c>
      <c r="GL104" s="160">
        <f>IF([chambre4]*1='CHAMBRES GARCONS 1e ETAGE'!$A$23,1,0)</f>
        <v>0</v>
      </c>
      <c r="GM104" s="160">
        <f>IF([Occurrence30]=0,0,SUM($GL$2:GL104))</f>
        <v>0</v>
      </c>
      <c r="GN104" s="160">
        <f>IF([chambre4]*1='CHAMBRES GARCONS 1e ETAGE'!$A$29,1,0)</f>
        <v>0</v>
      </c>
      <c r="GO104" s="160">
        <f>IF([Occurrence31]=0,0,SUM($GN$2:GN104))</f>
        <v>0</v>
      </c>
      <c r="GP104" s="160">
        <f>IF([chambre4]*1='CHAMBRES GARCONS 1e ETAGE'!$A$35,1,0)</f>
        <v>0</v>
      </c>
      <c r="GQ104" s="160">
        <f>IF([Occurrence32]=0,0,SUM($GP$2:GP104))</f>
        <v>0</v>
      </c>
      <c r="GR104" s="160">
        <f>IF([chambre3]*1='CHAMBRES GARCONS RDC'!$A$5,1,0)</f>
        <v>0</v>
      </c>
      <c r="GS104" s="160">
        <f>IF([Occurrence33]=0,0,SUM($GR$2:GR104))</f>
        <v>0</v>
      </c>
      <c r="GT104" s="160">
        <f>IF([chambre3]*1='CHAMBRES GARCONS RDC'!$A$11,1,0)</f>
        <v>0</v>
      </c>
      <c r="GU104" s="160">
        <f>IF([Occurrence34]=0,0,SUM($GT$2:GT104))</f>
        <v>0</v>
      </c>
      <c r="GV104" s="160">
        <f>IF([chambre3]*1='CHAMBRES GARCONS RDC'!$A$17,1,0)</f>
        <v>0</v>
      </c>
      <c r="GW104" s="160">
        <f>IF([Occurrence35]=0,0,SUM($GV$2:GV104))</f>
        <v>0</v>
      </c>
      <c r="GX104" s="160">
        <f>IF([chambre3]*1='CHAMBRES GARCONS RDC'!$A$23,1,0)</f>
        <v>0</v>
      </c>
      <c r="GY104" s="160">
        <f>IF([Occurrence36]=0,0,SUM($GX$2:GX104))</f>
        <v>0</v>
      </c>
      <c r="GZ104" s="160">
        <f>IF([chambre3]*1='CHAMBRES GARCONS RDC'!$A$29,1,0)</f>
        <v>0</v>
      </c>
      <c r="HA104" s="160">
        <f>IF([Occurrence37]=0,0,SUM($GZ$2:GZ104))</f>
        <v>0</v>
      </c>
      <c r="HB104" s="160">
        <f>IF([chambre3]*1='CHAMBRES GARCONS RDC'!$A$35,1,0)</f>
        <v>0</v>
      </c>
      <c r="HC104" s="160">
        <f>IF([Occurrence38]=0,0,SUM($HB$2:HB104))</f>
        <v>0</v>
      </c>
      <c r="HD104" s="160">
        <f>IF([chambre3]*1='CHAMBRES GARCONS RDC'!$A$41,1,0)</f>
        <v>0</v>
      </c>
      <c r="HE104" s="160">
        <f>IF([Occurrence39]=0,0,SUM($HD$2:HD104))</f>
        <v>0</v>
      </c>
      <c r="HF104" s="160">
        <f>IF([chambre3]*1='CHAMBRES GARCONS RDC'!$A$47,1,0)</f>
        <v>0</v>
      </c>
      <c r="HG104" s="160">
        <f>IF([Occurrence40]=0,0,SUM($HF$2:HF104))</f>
        <v>0</v>
      </c>
      <c r="HH104" s="160">
        <f>IF([chambre3]*1='CHAMBRES GARCONS RDC'!$A$53,1,0)</f>
        <v>0</v>
      </c>
      <c r="HI104" s="160">
        <f>IF([Occurrence41]=0,0,SUM($HH$2:HH104))</f>
        <v>0</v>
      </c>
      <c r="HJ104" s="160">
        <f>IF([chambre3]*1='CHAMBRES GARCONS RDC'!$A$59,1,0)</f>
        <v>0</v>
      </c>
      <c r="HK104" s="160">
        <f>IF([Occurrence42]=0,0,SUM($HJ$2:HJ104))</f>
        <v>0</v>
      </c>
      <c r="HL104" s="160">
        <f>IF([chambre3]*1='CHAMBRES GARCONS RDC'!$A$65,1,0)</f>
        <v>0</v>
      </c>
      <c r="HM104" s="160">
        <f>IF([Occurrence43]=0,0,SUM($HL$2:HL104))</f>
        <v>0</v>
      </c>
      <c r="HN104" s="160">
        <f>IF([chambre3]*1='CHAMBRES GARCONS RDC'!$A$71,1,0)</f>
        <v>0</v>
      </c>
      <c r="HO104" s="160">
        <f>IF([Occurrence44]=0,0,SUM($HN$2:HN104))</f>
        <v>0</v>
      </c>
      <c r="HP104" s="160">
        <f>IF([chambre3]*1='CHAMBRES GARCONS RDC'!$A$77,1,0)</f>
        <v>0</v>
      </c>
      <c r="HQ104" s="160">
        <f>IF([Occurrence45]=0,0,SUM($HP$2:HP104))</f>
        <v>0</v>
      </c>
      <c r="HR104" s="160">
        <f>IF([chambre3]*1='CHAMBRES GARCONS RDC'!$A$83,1,0)</f>
        <v>0</v>
      </c>
      <c r="HS104" s="160">
        <f>IF([Occurrence46]=0,0,SUM($HR$2:HR104))</f>
        <v>0</v>
      </c>
      <c r="HT104" s="160">
        <f>IF([chambre3]*1='CHAMBRES GARCONS RDC'!$A$89,1,0)</f>
        <v>0</v>
      </c>
      <c r="HU104" s="160">
        <f>IF([Occurrence47]=0,0,SUM($HT$2:HT104))</f>
        <v>0</v>
      </c>
      <c r="HV104" s="160">
        <f>IF([chambre3]*1='CHAMBRES GARCONS RDC'!$A$95,1,0)</f>
        <v>0</v>
      </c>
      <c r="HW104" s="160">
        <f>IF([Occurrence48]=0,0,SUM($HV$2:HV104))</f>
        <v>0</v>
      </c>
      <c r="HX104" s="160"/>
      <c r="HY104" s="160"/>
      <c r="HZ104" s="160">
        <f>IF([Classe]='Liste élève par classes'!$B$5,1,0)</f>
        <v>0</v>
      </c>
      <c r="IA104" s="160">
        <f>IF([Occurrence]=0,0,SUM($HZ$2:HZ104))</f>
        <v>0</v>
      </c>
      <c r="IB10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148</v>
      </c>
      <c r="IC104" s="208"/>
    </row>
    <row r="105" spans="1:237">
      <c r="A105" t="s">
        <v>426</v>
      </c>
      <c r="B105" t="s">
        <v>427</v>
      </c>
      <c r="C105" s="158">
        <v>37882</v>
      </c>
      <c r="D105" s="62">
        <f t="shared" ca="1" si="1"/>
        <v>14</v>
      </c>
      <c r="E105" t="s">
        <v>12</v>
      </c>
      <c r="F105" s="159" t="s">
        <v>50</v>
      </c>
      <c r="G105" t="s">
        <v>40</v>
      </c>
      <c r="H105" s="160"/>
      <c r="I105" s="62"/>
      <c r="J105" s="62" t="s">
        <v>244</v>
      </c>
      <c r="K105" s="62"/>
      <c r="L105" s="61"/>
      <c r="M105">
        <v>83</v>
      </c>
      <c r="N105" s="62" t="s">
        <v>244</v>
      </c>
      <c r="O105" s="62" t="s">
        <v>244</v>
      </c>
      <c r="P105" s="62" t="s">
        <v>244</v>
      </c>
      <c r="Q105" s="62" t="s">
        <v>244</v>
      </c>
      <c r="R105" s="62" t="s">
        <v>244</v>
      </c>
      <c r="S105" s="191"/>
      <c r="T105" s="62" t="s">
        <v>244</v>
      </c>
      <c r="U105" s="61"/>
      <c r="V105" s="62" t="s">
        <v>244</v>
      </c>
      <c r="W105" s="62" t="s">
        <v>244</v>
      </c>
      <c r="X105" s="62" t="s">
        <v>244</v>
      </c>
      <c r="Y105" s="62" t="s">
        <v>244</v>
      </c>
      <c r="Z105" s="62" t="s">
        <v>244</v>
      </c>
      <c r="AA105" s="62" t="s">
        <v>244</v>
      </c>
      <c r="AB105" s="62" t="s">
        <v>244</v>
      </c>
      <c r="AC105" s="62" t="s">
        <v>244</v>
      </c>
      <c r="AD105" s="62" t="s">
        <v>244</v>
      </c>
      <c r="AE105" s="62" t="s">
        <v>244</v>
      </c>
      <c r="AF105" s="163" t="s">
        <v>244</v>
      </c>
      <c r="AG105" s="163" t="s">
        <v>244</v>
      </c>
      <c r="AH105" s="163" t="s">
        <v>244</v>
      </c>
      <c r="AI105" s="163"/>
      <c r="AJ105" s="163"/>
      <c r="AK105" s="163"/>
      <c r="AL105" s="163"/>
      <c r="AM105" s="163"/>
      <c r="AN105" s="163"/>
      <c r="AO105" s="163"/>
      <c r="AP105" s="163"/>
      <c r="AQ105" s="163"/>
      <c r="AR105" s="163"/>
      <c r="AS105" s="163"/>
      <c r="AT105" s="163"/>
      <c r="AU105" s="163"/>
      <c r="AV105" s="163"/>
      <c r="AW105" s="163"/>
      <c r="AX105" s="163"/>
      <c r="AY105" s="163"/>
      <c r="AZ105" s="163"/>
      <c r="BA105" s="163"/>
      <c r="BB105" s="163"/>
      <c r="BC105" s="163" t="b">
        <v>0</v>
      </c>
      <c r="BD105" s="163" t="b">
        <v>1</v>
      </c>
      <c r="BE105" s="163" t="b">
        <v>1</v>
      </c>
      <c r="BF105" s="163" t="b">
        <v>0</v>
      </c>
      <c r="BG105" s="164" t="b">
        <v>0</v>
      </c>
      <c r="BH105" s="163" t="b">
        <v>1</v>
      </c>
      <c r="BI105" s="163"/>
      <c r="BJ105" s="163"/>
      <c r="BK105" s="163"/>
      <c r="BL105" s="163"/>
      <c r="BM105" s="163"/>
      <c r="BN105" s="163"/>
      <c r="BO105" s="163"/>
      <c r="BP105" s="163"/>
      <c r="BQ105" s="163" t="b">
        <v>0</v>
      </c>
      <c r="BR105" s="163"/>
      <c r="BS105" s="163"/>
      <c r="BT105" s="163"/>
      <c r="BU105" s="163"/>
      <c r="BV105" s="163"/>
      <c r="BW105" s="163"/>
      <c r="BX105" s="163"/>
      <c r="BY105" s="163"/>
      <c r="BZ105" s="163"/>
      <c r="CA105" s="163"/>
      <c r="CB105" s="163"/>
      <c r="CC105" s="163"/>
      <c r="CD105" s="163"/>
      <c r="CE105" s="163"/>
      <c r="CF105" s="163"/>
      <c r="CG105" s="163"/>
      <c r="CH105" s="163"/>
      <c r="CI105" s="163"/>
      <c r="CJ105" s="163"/>
      <c r="CK105" s="163"/>
      <c r="CL105" s="163"/>
      <c r="CM105" s="163"/>
      <c r="CN105" s="163"/>
      <c r="CO105" s="163"/>
      <c r="CP105" s="163"/>
      <c r="CQ105" s="163"/>
      <c r="CR105" s="163"/>
      <c r="CS105" s="163"/>
      <c r="CT105" s="163"/>
      <c r="CU105" s="163"/>
      <c r="CV105" s="163"/>
      <c r="CW105" s="163"/>
      <c r="CX105" s="163"/>
      <c r="CY105" s="163"/>
      <c r="CZ105" s="163"/>
      <c r="DA105" s="163">
        <v>105</v>
      </c>
      <c r="DB105" s="163"/>
      <c r="DC105" s="163"/>
      <c r="DD105" s="163"/>
      <c r="DE105" s="163"/>
      <c r="DF105" s="163"/>
      <c r="DG105" s="208"/>
      <c r="DH105" s="163"/>
      <c r="DI105" s="163"/>
      <c r="DJ105" s="163"/>
      <c r="DK105" s="163"/>
      <c r="DL105" s="163"/>
      <c r="DM105" s="163"/>
      <c r="DN105" s="163"/>
      <c r="DO105" s="163"/>
      <c r="DP105" s="163"/>
      <c r="DQ105" s="163"/>
      <c r="DR105" s="163"/>
      <c r="DS105" s="163"/>
      <c r="DT105" s="163"/>
      <c r="DU105" s="163"/>
      <c r="DV105" s="163"/>
      <c r="DW105" s="163"/>
      <c r="DX105" s="163"/>
      <c r="DY105" s="163"/>
      <c r="DZ105" s="163"/>
      <c r="EA105" s="163"/>
      <c r="EB105" s="163"/>
      <c r="EC105" s="163"/>
      <c r="ED105" s="163"/>
      <c r="EE105" s="163"/>
      <c r="EF105" s="163"/>
      <c r="EG105" s="163"/>
      <c r="EH105" s="160">
        <f>IF([Chambre]*1='CHAMBRES FILLES 2e ETAGE'!$A$5,1,0)</f>
        <v>0</v>
      </c>
      <c r="EI105" s="161">
        <f>IF([Occurrence2]=0,0,SUM($EH$2:EH105))</f>
        <v>0</v>
      </c>
      <c r="EJ105" s="160">
        <f>IF([Chambre]*1='CHAMBRES FILLES 2e ETAGE'!$A$11,1,0)</f>
        <v>0</v>
      </c>
      <c r="EK105" s="160">
        <f>IF([Occurrence3]=0,0,SUM($EJ$2:EJ105))</f>
        <v>0</v>
      </c>
      <c r="EL105" s="160">
        <f>IF([Chambre]*1='CHAMBRES FILLES 2e ETAGE'!$A$17,1,0)</f>
        <v>0</v>
      </c>
      <c r="EM105" s="160">
        <f>IF([Occurrence4]=0,0,SUM($EL$2:EL105))</f>
        <v>0</v>
      </c>
      <c r="EN105" s="160">
        <f>IF([Chambre]*1='CHAMBRES FILLES 2e ETAGE'!$A$23,1,0)</f>
        <v>0</v>
      </c>
      <c r="EO105" s="160">
        <f>IF([Occurrence5]=0,0,SUM($EN$2:EN105))</f>
        <v>0</v>
      </c>
      <c r="EP105" s="160">
        <f>IF([Chambre]*1='CHAMBRES FILLES 2e ETAGE'!$A$29,1,0)</f>
        <v>0</v>
      </c>
      <c r="EQ105" s="160">
        <f>IF([Occurrence6]=0,0,SUM($EP$2:EP105))</f>
        <v>0</v>
      </c>
      <c r="ER105" s="160">
        <f>IF([Chambre]*1='CHAMBRES FILLES 2e ETAGE'!$A$35,1,0)</f>
        <v>0</v>
      </c>
      <c r="ES105" s="160">
        <f>IF([Occurrence7]=0,0,SUM($ER$2:ER105))</f>
        <v>0</v>
      </c>
      <c r="ET105" s="160">
        <f>IF([Chambre]*1='CHAMBRES FILLES 2e ETAGE'!$A$41,1,0)</f>
        <v>0</v>
      </c>
      <c r="EU105" s="160">
        <f>IF([Occurrence8]=0,0,SUM($ET$2:ET105))</f>
        <v>0</v>
      </c>
      <c r="EV105" s="160">
        <f>IF([Chambre]*1='CHAMBRES FILLES 2e ETAGE'!$A$47,1,0)</f>
        <v>0</v>
      </c>
      <c r="EW105" s="160">
        <f>IF([Occurrence9]=0,0,SUM($EV$2:EV105))</f>
        <v>0</v>
      </c>
      <c r="EX105" s="160">
        <f>IF([Chambre]*1='CHAMBRES FILLES 2e ETAGE'!$A$53,1,0)</f>
        <v>0</v>
      </c>
      <c r="EY105" s="160">
        <f>IF([Occurrence10]=0,0,SUM($EX$2:EX105))</f>
        <v>0</v>
      </c>
      <c r="EZ105" s="160">
        <f>IF([Chambre]*1='CHAMBRES FILLES 2e ETAGE'!$A$59,1,0)</f>
        <v>0</v>
      </c>
      <c r="FA105" s="160">
        <f>IF([Occurrence11]=0,0,SUM($EZ$2:EZ105))</f>
        <v>0</v>
      </c>
      <c r="FB105" s="160">
        <f>IF([Chambre]*1='CHAMBRES FILLES 2e ETAGE'!$A$65,1,0)</f>
        <v>0</v>
      </c>
      <c r="FC105" s="160">
        <f>IF([Occurrence12]=0,0,SUM($FB$2:FB105))</f>
        <v>0</v>
      </c>
      <c r="FD105" s="160">
        <f>IF([Chambre]*1='CHAMBRES FILLES 2e ETAGE'!$A$71,1,0)</f>
        <v>0</v>
      </c>
      <c r="FE105" s="160">
        <f>IF([Occurrence13]=0,0,SUM($FD$2:FD105))</f>
        <v>0</v>
      </c>
      <c r="FF105" s="160">
        <f>IF([Chambre]*1='CHAMBRES FILLES 2e ETAGE'!$A$77,1,0)</f>
        <v>0</v>
      </c>
      <c r="FG105" s="160">
        <f>IF([Occurrence14]=0,0,SUM($FF$2:FF105))</f>
        <v>0</v>
      </c>
      <c r="FH105" s="160">
        <f>IF([Chambre]*1='CHAMBRES FILLES 2e ETAGE'!$A$83,1,0)</f>
        <v>0</v>
      </c>
      <c r="FI105" s="160">
        <f>IF([Occurrence15]=0,0,SUM($FH$2:FH105))</f>
        <v>0</v>
      </c>
      <c r="FJ105" s="160">
        <f>IF([Chambre]*1='CHAMBRES FILLES 2e ETAGE'!$A$89,1,0)</f>
        <v>0</v>
      </c>
      <c r="FK105" s="160">
        <f>IF([Occurrence16]=0,0,SUM($FJ$2:FJ105))</f>
        <v>0</v>
      </c>
      <c r="FL105" s="160">
        <f>IF([Chambre]*1='CHAMBRES FILLES 2e ETAGE'!$A$95,1,0)</f>
        <v>0</v>
      </c>
      <c r="FM105" s="160">
        <f>IF([Occurrence17]=0,0,SUM($FL$2:FL105))</f>
        <v>0</v>
      </c>
      <c r="FN105" s="160">
        <f>IF([Chambre2]*1='CHAMBRES FILLES 1e ETAGE'!$A$5,1,0)</f>
        <v>0</v>
      </c>
      <c r="FO105" s="160">
        <f>IF([Occurrence18]=0,0,SUM($FN$2:FN105))</f>
        <v>0</v>
      </c>
      <c r="FP105" s="160">
        <f>IF([Chambre2]*1='CHAMBRES FILLES 1e ETAGE'!$A$11,1,0)</f>
        <v>0</v>
      </c>
      <c r="FQ105" s="160">
        <f>IF([Occurrence19]=0,0,SUM($FP$2:FP105))</f>
        <v>0</v>
      </c>
      <c r="FR105" s="160">
        <f>IF([Chambre2]*1='CHAMBRES FILLES 1e ETAGE'!$A$17,1,0)</f>
        <v>0</v>
      </c>
      <c r="FS105" s="160">
        <f>IF([Occurrence20]=0,0,SUM($FR$2:FR105))</f>
        <v>0</v>
      </c>
      <c r="FT105" s="160">
        <f>IF([Chambre2]*1='CHAMBRES FILLES 1e ETAGE'!$A$23,1,0)</f>
        <v>0</v>
      </c>
      <c r="FU105" s="160">
        <f>IF([Occurrence21]=0,0,SUM($FT$2:FT105))</f>
        <v>0</v>
      </c>
      <c r="FV105" s="160">
        <f>IF([Chambre2]*1='CHAMBRES FILLES 1e ETAGE'!$A$29,1,0)</f>
        <v>0</v>
      </c>
      <c r="FW105" s="160">
        <f>IF([Occurrence22]=0,0,SUM($FV$2:FV105))</f>
        <v>0</v>
      </c>
      <c r="FX105" s="160">
        <f>IF([Chambre2]*1='CHAMBRES FILLES 1e ETAGE'!$A$35,1,0)</f>
        <v>0</v>
      </c>
      <c r="FY105" s="160">
        <f>IF([Occurrence23]=0,0,SUM($FX$2:FX105))</f>
        <v>0</v>
      </c>
      <c r="FZ105" s="160">
        <f>IF([Chambre2]*1='CHAMBRES FILLES 1e ETAGE'!$A$41,1,0)</f>
        <v>0</v>
      </c>
      <c r="GA105" s="160">
        <f>IF([Occurrence24]=0,0,SUM($FZ$2:FZ105))</f>
        <v>0</v>
      </c>
      <c r="GB105" s="160">
        <f>IF([Chambre2]*1='CHAMBRES FILLES 1e ETAGE'!$A$47,1,0)</f>
        <v>0</v>
      </c>
      <c r="GC105" s="160">
        <f>IF([Occurrence25]=0,0,SUM($GB$2:GB105))</f>
        <v>0</v>
      </c>
      <c r="GD105" s="160">
        <f>IF([Chambre2]*1='CHAMBRES FILLES 1e ETAGE'!$A$53,1,0)</f>
        <v>0</v>
      </c>
      <c r="GE105" s="160">
        <f>IF([Occurrence26]=0,0,SUM($GD$2:GD105))</f>
        <v>0</v>
      </c>
      <c r="GF105" s="160">
        <f>IF([chambre4]*1='CHAMBRES GARCONS 1e ETAGE'!$A$5,1,0)</f>
        <v>0</v>
      </c>
      <c r="GG105" s="160">
        <f>IF([Occurrence27]=0,0,SUM($GF$2:GF105))</f>
        <v>0</v>
      </c>
      <c r="GH105" s="160">
        <f>IF([chambre4]*1='CHAMBRES GARCONS 1e ETAGE'!$A$11,1,0)</f>
        <v>0</v>
      </c>
      <c r="GI105" s="160">
        <f>IF([Occurrence28]=0,0,SUM($GH$2:GH105))</f>
        <v>0</v>
      </c>
      <c r="GJ105" s="160">
        <f>IF([chambre4]*1='CHAMBRES GARCONS 1e ETAGE'!$A$17,1,0)</f>
        <v>0</v>
      </c>
      <c r="GK105" s="160">
        <f>IF([Occurrence29]=0,0,SUM($GJ$2:GJ105))</f>
        <v>0</v>
      </c>
      <c r="GL105" s="160">
        <f>IF([chambre4]*1='CHAMBRES GARCONS 1e ETAGE'!$A$23,1,0)</f>
        <v>0</v>
      </c>
      <c r="GM105" s="160">
        <f>IF([Occurrence30]=0,0,SUM($GL$2:GL105))</f>
        <v>0</v>
      </c>
      <c r="GN105" s="160">
        <f>IF([chambre4]*1='CHAMBRES GARCONS 1e ETAGE'!$A$29,1,0)</f>
        <v>0</v>
      </c>
      <c r="GO105" s="160">
        <f>IF([Occurrence31]=0,0,SUM($GN$2:GN105))</f>
        <v>0</v>
      </c>
      <c r="GP105" s="160">
        <f>IF([chambre4]*1='CHAMBRES GARCONS 1e ETAGE'!$A$35,1,0)</f>
        <v>0</v>
      </c>
      <c r="GQ105" s="160">
        <f>IF([Occurrence32]=0,0,SUM($GP$2:GP105))</f>
        <v>0</v>
      </c>
      <c r="GR105" s="160">
        <f>IF([chambre3]*1='CHAMBRES GARCONS RDC'!$A$5,1,0)</f>
        <v>1</v>
      </c>
      <c r="GS105" s="160">
        <f>IF([Occurrence33]=0,0,SUM($GR$2:GR105))</f>
        <v>2</v>
      </c>
      <c r="GT105" s="160">
        <f>IF([chambre3]*1='CHAMBRES GARCONS RDC'!$A$11,1,0)</f>
        <v>0</v>
      </c>
      <c r="GU105" s="160">
        <f>IF([Occurrence34]=0,0,SUM($GT$2:GT105))</f>
        <v>0</v>
      </c>
      <c r="GV105" s="160">
        <f>IF([chambre3]*1='CHAMBRES GARCONS RDC'!$A$17,1,0)</f>
        <v>0</v>
      </c>
      <c r="GW105" s="160">
        <f>IF([Occurrence35]=0,0,SUM($GV$2:GV105))</f>
        <v>0</v>
      </c>
      <c r="GX105" s="160">
        <f>IF([chambre3]*1='CHAMBRES GARCONS RDC'!$A$23,1,0)</f>
        <v>0</v>
      </c>
      <c r="GY105" s="160">
        <f>IF([Occurrence36]=0,0,SUM($GX$2:GX105))</f>
        <v>0</v>
      </c>
      <c r="GZ105" s="160">
        <f>IF([chambre3]*1='CHAMBRES GARCONS RDC'!$A$29,1,0)</f>
        <v>0</v>
      </c>
      <c r="HA105" s="160">
        <f>IF([Occurrence37]=0,0,SUM($GZ$2:GZ105))</f>
        <v>0</v>
      </c>
      <c r="HB105" s="160">
        <f>IF([chambre3]*1='CHAMBRES GARCONS RDC'!$A$35,1,0)</f>
        <v>0</v>
      </c>
      <c r="HC105" s="160">
        <f>IF([Occurrence38]=0,0,SUM($HB$2:HB105))</f>
        <v>0</v>
      </c>
      <c r="HD105" s="160">
        <f>IF([chambre3]*1='CHAMBRES GARCONS RDC'!$A$41,1,0)</f>
        <v>0</v>
      </c>
      <c r="HE105" s="160">
        <f>IF([Occurrence39]=0,0,SUM($HD$2:HD105))</f>
        <v>0</v>
      </c>
      <c r="HF105" s="160">
        <f>IF([chambre3]*1='CHAMBRES GARCONS RDC'!$A$47,1,0)</f>
        <v>0</v>
      </c>
      <c r="HG105" s="160">
        <f>IF([Occurrence40]=0,0,SUM($HF$2:HF105))</f>
        <v>0</v>
      </c>
      <c r="HH105" s="160">
        <f>IF([chambre3]*1='CHAMBRES GARCONS RDC'!$A$53,1,0)</f>
        <v>0</v>
      </c>
      <c r="HI105" s="160">
        <f>IF([Occurrence41]=0,0,SUM($HH$2:HH105))</f>
        <v>0</v>
      </c>
      <c r="HJ105" s="160">
        <f>IF([chambre3]*1='CHAMBRES GARCONS RDC'!$A$59,1,0)</f>
        <v>0</v>
      </c>
      <c r="HK105" s="160">
        <f>IF([Occurrence42]=0,0,SUM($HJ$2:HJ105))</f>
        <v>0</v>
      </c>
      <c r="HL105" s="160">
        <f>IF([chambre3]*1='CHAMBRES GARCONS RDC'!$A$65,1,0)</f>
        <v>0</v>
      </c>
      <c r="HM105" s="160">
        <f>IF([Occurrence43]=0,0,SUM($HL$2:HL105))</f>
        <v>0</v>
      </c>
      <c r="HN105" s="160">
        <f>IF([chambre3]*1='CHAMBRES GARCONS RDC'!$A$71,1,0)</f>
        <v>0</v>
      </c>
      <c r="HO105" s="160">
        <f>IF([Occurrence44]=0,0,SUM($HN$2:HN105))</f>
        <v>0</v>
      </c>
      <c r="HP105" s="160">
        <f>IF([chambre3]*1='CHAMBRES GARCONS RDC'!$A$77,1,0)</f>
        <v>0</v>
      </c>
      <c r="HQ105" s="160">
        <f>IF([Occurrence45]=0,0,SUM($HP$2:HP105))</f>
        <v>0</v>
      </c>
      <c r="HR105" s="160">
        <f>IF([chambre3]*1='CHAMBRES GARCONS RDC'!$A$83,1,0)</f>
        <v>0</v>
      </c>
      <c r="HS105" s="160">
        <f>IF([Occurrence46]=0,0,SUM($HR$2:HR105))</f>
        <v>0</v>
      </c>
      <c r="HT105" s="160">
        <f>IF([chambre3]*1='CHAMBRES GARCONS RDC'!$A$89,1,0)</f>
        <v>0</v>
      </c>
      <c r="HU105" s="160">
        <f>IF([Occurrence47]=0,0,SUM($HT$2:HT105))</f>
        <v>0</v>
      </c>
      <c r="HV105" s="160">
        <f>IF([chambre3]*1='CHAMBRES GARCONS RDC'!$A$95,1,0)</f>
        <v>0</v>
      </c>
      <c r="HW105" s="160">
        <f>IF([Occurrence48]=0,0,SUM($HV$2:HV105))</f>
        <v>0</v>
      </c>
      <c r="HX105" s="160"/>
      <c r="HY105" s="160"/>
      <c r="HZ105" s="160">
        <f>IF([Classe]='Liste élève par classes'!$B$5,1,0)</f>
        <v>0</v>
      </c>
      <c r="IA105" s="160">
        <f>IF([Occurrence]=0,0,SUM($HZ$2:HZ105))</f>
        <v>0</v>
      </c>
      <c r="IB10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105</v>
      </c>
      <c r="IC105" s="208"/>
    </row>
    <row r="106" spans="1:237">
      <c r="A106" t="s">
        <v>428</v>
      </c>
      <c r="B106" t="s">
        <v>429</v>
      </c>
      <c r="C106" s="158">
        <v>37484</v>
      </c>
      <c r="D106" s="62">
        <f t="shared" ca="1" si="1"/>
        <v>15</v>
      </c>
      <c r="E106" t="s">
        <v>5</v>
      </c>
      <c r="F106" s="159" t="s">
        <v>46</v>
      </c>
      <c r="G106" t="s">
        <v>40</v>
      </c>
      <c r="H106" s="160"/>
      <c r="I106" s="62"/>
      <c r="J106" s="62"/>
      <c r="K106" s="62"/>
      <c r="L106" s="61"/>
      <c r="M106">
        <v>251</v>
      </c>
      <c r="N106" s="62"/>
      <c r="O106" s="62"/>
      <c r="P106" s="62"/>
      <c r="Q106" s="62"/>
      <c r="R106" s="62"/>
      <c r="S106" s="62"/>
      <c r="T106" s="62"/>
      <c r="U106" s="61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163"/>
      <c r="AG106" s="163"/>
      <c r="AH106" s="163"/>
      <c r="AI106" s="163"/>
      <c r="AJ106" s="163"/>
      <c r="AK106" s="163"/>
      <c r="AL106" s="163"/>
      <c r="AM106" s="163"/>
      <c r="AN106" s="163"/>
      <c r="AO106" s="163"/>
      <c r="AP106" s="163"/>
      <c r="AQ106" s="163"/>
      <c r="AR106" s="163"/>
      <c r="AS106" s="163"/>
      <c r="AT106" s="163"/>
      <c r="AU106" s="163"/>
      <c r="AV106" s="163"/>
      <c r="AW106" s="163"/>
      <c r="AX106" s="163"/>
      <c r="AY106" s="163"/>
      <c r="AZ106" s="163"/>
      <c r="BA106" s="163"/>
      <c r="BB106" s="163"/>
      <c r="BC106" s="163"/>
      <c r="BD106" s="163"/>
      <c r="BE106" s="163"/>
      <c r="BF106" s="163"/>
      <c r="BG106" s="163"/>
      <c r="BH106" s="163"/>
      <c r="BI106" s="163"/>
      <c r="BJ106" s="163"/>
      <c r="BK106" s="163"/>
      <c r="BL106" s="163"/>
      <c r="BM106" s="163"/>
      <c r="BN106" s="163"/>
      <c r="BO106" s="163"/>
      <c r="BP106" s="163"/>
      <c r="BQ106" s="163"/>
      <c r="BR106" s="163"/>
      <c r="BS106" s="163"/>
      <c r="BT106" s="163"/>
      <c r="BU106" s="163"/>
      <c r="BV106" s="163"/>
      <c r="BW106" s="163"/>
      <c r="BX106" s="163"/>
      <c r="BY106" s="163"/>
      <c r="BZ106" s="163"/>
      <c r="CA106" s="163"/>
      <c r="CB106" s="163"/>
      <c r="CC106" s="163"/>
      <c r="CD106" s="163"/>
      <c r="CE106" s="163"/>
      <c r="CF106" s="163"/>
      <c r="CG106" s="163"/>
      <c r="CH106" s="163"/>
      <c r="CI106" s="163"/>
      <c r="CJ106" s="163"/>
      <c r="CK106" s="163"/>
      <c r="CL106" s="163"/>
      <c r="CM106" s="163"/>
      <c r="CN106" s="163"/>
      <c r="CO106" s="163"/>
      <c r="CP106" s="163"/>
      <c r="CQ106" s="163"/>
      <c r="CR106" s="163"/>
      <c r="CS106" s="163"/>
      <c r="CT106" s="163"/>
      <c r="CU106" s="163"/>
      <c r="CV106" s="163"/>
      <c r="CW106" s="163"/>
      <c r="CX106" s="163"/>
      <c r="CY106" s="163"/>
      <c r="CZ106" s="163"/>
      <c r="DA106" s="163"/>
      <c r="DB106" s="163"/>
      <c r="DC106" s="163"/>
      <c r="DD106" s="163"/>
      <c r="DE106" s="163"/>
      <c r="DF106" s="163"/>
      <c r="DG106" s="163"/>
      <c r="DH106" s="163"/>
      <c r="DI106" s="163"/>
      <c r="DJ106" s="163"/>
      <c r="DK106" s="163"/>
      <c r="DL106" s="163"/>
      <c r="DM106" s="163"/>
      <c r="DN106" s="163"/>
      <c r="DO106" s="163"/>
      <c r="DP106" s="163"/>
      <c r="DQ106" s="163"/>
      <c r="DR106" s="163"/>
      <c r="DS106" s="163"/>
      <c r="DT106" s="163"/>
      <c r="DU106" s="163"/>
      <c r="DV106" s="163"/>
      <c r="DW106" s="163"/>
      <c r="DX106" s="163"/>
      <c r="DY106" s="163"/>
      <c r="DZ106" s="163"/>
      <c r="EA106" s="163"/>
      <c r="EB106" s="163"/>
      <c r="EC106" s="163"/>
      <c r="ED106" s="163"/>
      <c r="EE106" s="163"/>
      <c r="EF106" s="163"/>
      <c r="EG106" s="163"/>
      <c r="EH106" s="160">
        <f>IF([Chambre]*1='CHAMBRES FILLES 2e ETAGE'!$A$5,1,0)</f>
        <v>0</v>
      </c>
      <c r="EI106" s="161">
        <f>IF([Occurrence2]=0,0,SUM($EH$2:EH106))</f>
        <v>0</v>
      </c>
      <c r="EJ106" s="160">
        <f>IF([Chambre]*1='CHAMBRES FILLES 2e ETAGE'!$A$11,1,0)</f>
        <v>0</v>
      </c>
      <c r="EK106" s="160">
        <f>IF([Occurrence3]=0,0,SUM($EJ$2:EJ106))</f>
        <v>0</v>
      </c>
      <c r="EL106" s="160">
        <f>IF([Chambre]*1='CHAMBRES FILLES 2e ETAGE'!$A$17,1,0)</f>
        <v>0</v>
      </c>
      <c r="EM106" s="160">
        <f>IF([Occurrence4]=0,0,SUM($EL$2:EL106))</f>
        <v>0</v>
      </c>
      <c r="EN106" s="160">
        <f>IF([Chambre]*1='CHAMBRES FILLES 2e ETAGE'!$A$23,1,0)</f>
        <v>0</v>
      </c>
      <c r="EO106" s="160">
        <f>IF([Occurrence5]=0,0,SUM($EN$2:EN106))</f>
        <v>0</v>
      </c>
      <c r="EP106" s="160">
        <f>IF([Chambre]*1='CHAMBRES FILLES 2e ETAGE'!$A$29,1,0)</f>
        <v>0</v>
      </c>
      <c r="EQ106" s="160">
        <f>IF([Occurrence6]=0,0,SUM($EP$2:EP106))</f>
        <v>0</v>
      </c>
      <c r="ER106" s="160">
        <f>IF([Chambre]*1='CHAMBRES FILLES 2e ETAGE'!$A$35,1,0)</f>
        <v>0</v>
      </c>
      <c r="ES106" s="160">
        <f>IF([Occurrence7]=0,0,SUM($ER$2:ER106))</f>
        <v>0</v>
      </c>
      <c r="ET106" s="160">
        <f>IF([Chambre]*1='CHAMBRES FILLES 2e ETAGE'!$A$41,1,0)</f>
        <v>0</v>
      </c>
      <c r="EU106" s="160">
        <f>IF([Occurrence8]=0,0,SUM($ET$2:ET106))</f>
        <v>0</v>
      </c>
      <c r="EV106" s="160">
        <f>IF([Chambre]*1='CHAMBRES FILLES 2e ETAGE'!$A$47,1,0)</f>
        <v>0</v>
      </c>
      <c r="EW106" s="160">
        <f>IF([Occurrence9]=0,0,SUM($EV$2:EV106))</f>
        <v>0</v>
      </c>
      <c r="EX106" s="160">
        <f>IF([Chambre]*1='CHAMBRES FILLES 2e ETAGE'!$A$53,1,0)</f>
        <v>0</v>
      </c>
      <c r="EY106" s="160">
        <f>IF([Occurrence10]=0,0,SUM($EX$2:EX106))</f>
        <v>0</v>
      </c>
      <c r="EZ106" s="160">
        <f>IF([Chambre]*1='CHAMBRES FILLES 2e ETAGE'!$A$59,1,0)</f>
        <v>0</v>
      </c>
      <c r="FA106" s="160">
        <f>IF([Occurrence11]=0,0,SUM($EZ$2:EZ106))</f>
        <v>0</v>
      </c>
      <c r="FB106" s="160">
        <f>IF([Chambre]*1='CHAMBRES FILLES 2e ETAGE'!$A$65,1,0)</f>
        <v>0</v>
      </c>
      <c r="FC106" s="160">
        <f>IF([Occurrence12]=0,0,SUM($FB$2:FB106))</f>
        <v>0</v>
      </c>
      <c r="FD106" s="160">
        <f>IF([Chambre]*1='CHAMBRES FILLES 2e ETAGE'!$A$71,1,0)</f>
        <v>0</v>
      </c>
      <c r="FE106" s="160">
        <f>IF([Occurrence13]=0,0,SUM($FD$2:FD106))</f>
        <v>0</v>
      </c>
      <c r="FF106" s="160">
        <f>IF([Chambre]*1='CHAMBRES FILLES 2e ETAGE'!$A$77,1,0)</f>
        <v>0</v>
      </c>
      <c r="FG106" s="160">
        <f>IF([Occurrence14]=0,0,SUM($FF$2:FF106))</f>
        <v>0</v>
      </c>
      <c r="FH106" s="160">
        <f>IF([Chambre]*1='CHAMBRES FILLES 2e ETAGE'!$A$83,1,0)</f>
        <v>0</v>
      </c>
      <c r="FI106" s="160">
        <f>IF([Occurrence15]=0,0,SUM($FH$2:FH106))</f>
        <v>0</v>
      </c>
      <c r="FJ106" s="160">
        <f>IF([Chambre]*1='CHAMBRES FILLES 2e ETAGE'!$A$89,1,0)</f>
        <v>0</v>
      </c>
      <c r="FK106" s="160">
        <f>IF([Occurrence16]=0,0,SUM($FJ$2:FJ106))</f>
        <v>0</v>
      </c>
      <c r="FL106" s="160">
        <f>IF([Chambre]*1='CHAMBRES FILLES 2e ETAGE'!$A$95,1,0)</f>
        <v>0</v>
      </c>
      <c r="FM106" s="160">
        <f>IF([Occurrence17]=0,0,SUM($FL$2:FL106))</f>
        <v>0</v>
      </c>
      <c r="FN106" s="160">
        <f>IF([Chambre2]*1='CHAMBRES FILLES 1e ETAGE'!$A$5,1,0)</f>
        <v>0</v>
      </c>
      <c r="FO106" s="160">
        <f>IF([Occurrence18]=0,0,SUM($FN$2:FN106))</f>
        <v>0</v>
      </c>
      <c r="FP106" s="160">
        <f>IF([Chambre2]*1='CHAMBRES FILLES 1e ETAGE'!$A$11,1,0)</f>
        <v>0</v>
      </c>
      <c r="FQ106" s="160">
        <f>IF([Occurrence19]=0,0,SUM($FP$2:FP106))</f>
        <v>0</v>
      </c>
      <c r="FR106" s="160">
        <f>IF([Chambre2]*1='CHAMBRES FILLES 1e ETAGE'!$A$17,1,0)</f>
        <v>0</v>
      </c>
      <c r="FS106" s="160">
        <f>IF([Occurrence20]=0,0,SUM($FR$2:FR106))</f>
        <v>0</v>
      </c>
      <c r="FT106" s="160">
        <f>IF([Chambre2]*1='CHAMBRES FILLES 1e ETAGE'!$A$23,1,0)</f>
        <v>0</v>
      </c>
      <c r="FU106" s="160">
        <f>IF([Occurrence21]=0,0,SUM($FT$2:FT106))</f>
        <v>0</v>
      </c>
      <c r="FV106" s="160">
        <f>IF([Chambre2]*1='CHAMBRES FILLES 1e ETAGE'!$A$29,1,0)</f>
        <v>0</v>
      </c>
      <c r="FW106" s="160">
        <f>IF([Occurrence22]=0,0,SUM($FV$2:FV106))</f>
        <v>0</v>
      </c>
      <c r="FX106" s="160">
        <f>IF([Chambre2]*1='CHAMBRES FILLES 1e ETAGE'!$A$35,1,0)</f>
        <v>0</v>
      </c>
      <c r="FY106" s="160">
        <f>IF([Occurrence23]=0,0,SUM($FX$2:FX106))</f>
        <v>0</v>
      </c>
      <c r="FZ106" s="160">
        <f>IF([Chambre2]*1='CHAMBRES FILLES 1e ETAGE'!$A$41,1,0)</f>
        <v>0</v>
      </c>
      <c r="GA106" s="160">
        <f>IF([Occurrence24]=0,0,SUM($FZ$2:FZ106))</f>
        <v>0</v>
      </c>
      <c r="GB106" s="160">
        <f>IF([Chambre2]*1='CHAMBRES FILLES 1e ETAGE'!$A$47,1,0)</f>
        <v>0</v>
      </c>
      <c r="GC106" s="160">
        <f>IF([Occurrence25]=0,0,SUM($GB$2:GB106))</f>
        <v>0</v>
      </c>
      <c r="GD106" s="160">
        <f>IF([Chambre2]*1='CHAMBRES FILLES 1e ETAGE'!$A$53,1,0)</f>
        <v>0</v>
      </c>
      <c r="GE106" s="160">
        <f>IF([Occurrence26]=0,0,SUM($GD$2:GD106))</f>
        <v>0</v>
      </c>
      <c r="GF106" s="160">
        <f>IF([chambre4]*1='CHAMBRES GARCONS 1e ETAGE'!$A$5,1,0)</f>
        <v>0</v>
      </c>
      <c r="GG106" s="160">
        <f>IF([Occurrence27]=0,0,SUM($GF$2:GF106))</f>
        <v>0</v>
      </c>
      <c r="GH106" s="160">
        <f>IF([chambre4]*1='CHAMBRES GARCONS 1e ETAGE'!$A$11,1,0)</f>
        <v>0</v>
      </c>
      <c r="GI106" s="160">
        <f>IF([Occurrence28]=0,0,SUM($GH$2:GH106))</f>
        <v>0</v>
      </c>
      <c r="GJ106" s="160">
        <f>IF([chambre4]*1='CHAMBRES GARCONS 1e ETAGE'!$A$17,1,0)</f>
        <v>0</v>
      </c>
      <c r="GK106" s="160">
        <f>IF([Occurrence29]=0,0,SUM($GJ$2:GJ106))</f>
        <v>0</v>
      </c>
      <c r="GL106" s="160">
        <f>IF([chambre4]*1='CHAMBRES GARCONS 1e ETAGE'!$A$23,1,0)</f>
        <v>0</v>
      </c>
      <c r="GM106" s="160">
        <f>IF([Occurrence30]=0,0,SUM($GL$2:GL106))</f>
        <v>0</v>
      </c>
      <c r="GN106" s="160">
        <f>IF([chambre4]*1='CHAMBRES GARCONS 1e ETAGE'!$A$29,1,0)</f>
        <v>0</v>
      </c>
      <c r="GO106" s="160">
        <f>IF([Occurrence31]=0,0,SUM($GN$2:GN106))</f>
        <v>0</v>
      </c>
      <c r="GP106" s="160">
        <f>IF([chambre4]*1='CHAMBRES GARCONS 1e ETAGE'!$A$35,1,0)</f>
        <v>0</v>
      </c>
      <c r="GQ106" s="160">
        <f>IF([Occurrence32]=0,0,SUM($GP$2:GP106))</f>
        <v>0</v>
      </c>
      <c r="GR106" s="160">
        <f>IF([chambre3]*1='CHAMBRES GARCONS RDC'!$A$5,1,0)</f>
        <v>0</v>
      </c>
      <c r="GS106" s="160">
        <f>IF([Occurrence33]=0,0,SUM($GR$2:GR106))</f>
        <v>0</v>
      </c>
      <c r="GT106" s="160">
        <f>IF([chambre3]*1='CHAMBRES GARCONS RDC'!$A$11,1,0)</f>
        <v>0</v>
      </c>
      <c r="GU106" s="160">
        <f>IF([Occurrence34]=0,0,SUM($GT$2:GT106))</f>
        <v>0</v>
      </c>
      <c r="GV106" s="160">
        <f>IF([chambre3]*1='CHAMBRES GARCONS RDC'!$A$17,1,0)</f>
        <v>0</v>
      </c>
      <c r="GW106" s="160">
        <f>IF([Occurrence35]=0,0,SUM($GV$2:GV106))</f>
        <v>0</v>
      </c>
      <c r="GX106" s="160">
        <f>IF([chambre3]*1='CHAMBRES GARCONS RDC'!$A$23,1,0)</f>
        <v>0</v>
      </c>
      <c r="GY106" s="160">
        <f>IF([Occurrence36]=0,0,SUM($GX$2:GX106))</f>
        <v>0</v>
      </c>
      <c r="GZ106" s="160">
        <f>IF([chambre3]*1='CHAMBRES GARCONS RDC'!$A$29,1,0)</f>
        <v>0</v>
      </c>
      <c r="HA106" s="160">
        <f>IF([Occurrence37]=0,0,SUM($GZ$2:GZ106))</f>
        <v>0</v>
      </c>
      <c r="HB106" s="160">
        <f>IF([chambre3]*1='CHAMBRES GARCONS RDC'!$A$35,1,0)</f>
        <v>0</v>
      </c>
      <c r="HC106" s="160">
        <f>IF([Occurrence38]=0,0,SUM($HB$2:HB106))</f>
        <v>0</v>
      </c>
      <c r="HD106" s="160">
        <f>IF([chambre3]*1='CHAMBRES GARCONS RDC'!$A$41,1,0)</f>
        <v>0</v>
      </c>
      <c r="HE106" s="160">
        <f>IF([Occurrence39]=0,0,SUM($HD$2:HD106))</f>
        <v>0</v>
      </c>
      <c r="HF106" s="160">
        <f>IF([chambre3]*1='CHAMBRES GARCONS RDC'!$A$47,1,0)</f>
        <v>0</v>
      </c>
      <c r="HG106" s="160">
        <f>IF([Occurrence40]=0,0,SUM($HF$2:HF106))</f>
        <v>0</v>
      </c>
      <c r="HH106" s="160">
        <f>IF([chambre3]*1='CHAMBRES GARCONS RDC'!$A$53,1,0)</f>
        <v>0</v>
      </c>
      <c r="HI106" s="160">
        <f>IF([Occurrence41]=0,0,SUM($HH$2:HH106))</f>
        <v>0</v>
      </c>
      <c r="HJ106" s="160">
        <f>IF([chambre3]*1='CHAMBRES GARCONS RDC'!$A$59,1,0)</f>
        <v>0</v>
      </c>
      <c r="HK106" s="160">
        <f>IF([Occurrence42]=0,0,SUM($HJ$2:HJ106))</f>
        <v>0</v>
      </c>
      <c r="HL106" s="160">
        <f>IF([chambre3]*1='CHAMBRES GARCONS RDC'!$A$65,1,0)</f>
        <v>0</v>
      </c>
      <c r="HM106" s="160">
        <f>IF([Occurrence43]=0,0,SUM($HL$2:HL106))</f>
        <v>0</v>
      </c>
      <c r="HN106" s="160">
        <f>IF([chambre3]*1='CHAMBRES GARCONS RDC'!$A$71,1,0)</f>
        <v>0</v>
      </c>
      <c r="HO106" s="160">
        <f>IF([Occurrence44]=0,0,SUM($HN$2:HN106))</f>
        <v>0</v>
      </c>
      <c r="HP106" s="160">
        <f>IF([chambre3]*1='CHAMBRES GARCONS RDC'!$A$77,1,0)</f>
        <v>0</v>
      </c>
      <c r="HQ106" s="160">
        <f>IF([Occurrence45]=0,0,SUM($HP$2:HP106))</f>
        <v>0</v>
      </c>
      <c r="HR106" s="160">
        <f>IF([chambre3]*1='CHAMBRES GARCONS RDC'!$A$83,1,0)</f>
        <v>0</v>
      </c>
      <c r="HS106" s="160">
        <f>IF([Occurrence46]=0,0,SUM($HR$2:HR106))</f>
        <v>0</v>
      </c>
      <c r="HT106" s="160">
        <f>IF([chambre3]*1='CHAMBRES GARCONS RDC'!$A$89,1,0)</f>
        <v>0</v>
      </c>
      <c r="HU106" s="160">
        <f>IF([Occurrence47]=0,0,SUM($HT$2:HT106))</f>
        <v>0</v>
      </c>
      <c r="HV106" s="160">
        <f>IF([chambre3]*1='CHAMBRES GARCONS RDC'!$A$95,1,0)</f>
        <v>0</v>
      </c>
      <c r="HW106" s="160">
        <f>IF([Occurrence48]=0,0,SUM($HV$2:HV106))</f>
        <v>0</v>
      </c>
      <c r="HX106" s="160"/>
      <c r="HY106" s="160"/>
      <c r="HZ106" s="160">
        <f>IF([Classe]='Liste élève par classes'!$B$5,1,0)</f>
        <v>0</v>
      </c>
      <c r="IA106" s="160">
        <f>IF([Occurrence]=0,0,SUM($HZ$2:HZ106))</f>
        <v>0</v>
      </c>
      <c r="IB10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06" s="208"/>
    </row>
    <row r="107" spans="1:237">
      <c r="A107" t="s">
        <v>430</v>
      </c>
      <c r="B107" t="s">
        <v>431</v>
      </c>
      <c r="C107" s="158">
        <v>37500</v>
      </c>
      <c r="D107" s="62">
        <f t="shared" ca="1" si="1"/>
        <v>15</v>
      </c>
      <c r="E107" t="s">
        <v>5</v>
      </c>
      <c r="F107" s="159" t="s">
        <v>50</v>
      </c>
      <c r="G107" t="s">
        <v>45</v>
      </c>
      <c r="H107" s="160"/>
      <c r="I107" s="62"/>
      <c r="J107" s="62"/>
      <c r="K107" s="62"/>
      <c r="L107" s="61">
        <v>164</v>
      </c>
      <c r="M107">
        <v>252</v>
      </c>
      <c r="N107" s="62"/>
      <c r="O107" s="62"/>
      <c r="P107" s="62"/>
      <c r="Q107" s="62"/>
      <c r="R107" s="62"/>
      <c r="S107" s="191"/>
      <c r="T107" s="62"/>
      <c r="U107" s="61"/>
      <c r="V107" s="62"/>
      <c r="W107" s="62"/>
      <c r="X107" s="62"/>
      <c r="Y107" s="62"/>
      <c r="Z107" s="62"/>
      <c r="AA107" s="62"/>
      <c r="AB107" s="62"/>
      <c r="AC107" s="62"/>
      <c r="AD107" s="62"/>
      <c r="AE107" s="62"/>
      <c r="AF107" s="163"/>
      <c r="AG107" s="163"/>
      <c r="AH107" s="163"/>
      <c r="AI107" s="163"/>
      <c r="AJ107" s="163"/>
      <c r="AK107" s="163"/>
      <c r="AL107" s="163"/>
      <c r="AM107" s="163"/>
      <c r="AN107" s="163"/>
      <c r="AO107" s="163"/>
      <c r="AP107" s="163"/>
      <c r="AQ107" s="163"/>
      <c r="AR107" s="163"/>
      <c r="AS107" s="163"/>
      <c r="AT107" s="163"/>
      <c r="AU107" s="163"/>
      <c r="AV107" s="163"/>
      <c r="AW107" s="163"/>
      <c r="AX107" s="163"/>
      <c r="AY107" s="163"/>
      <c r="AZ107" s="163"/>
      <c r="BA107" s="163"/>
      <c r="BB107" s="163"/>
      <c r="BC107" s="163" t="b">
        <v>0</v>
      </c>
      <c r="BD107" s="163" t="b">
        <v>1</v>
      </c>
      <c r="BE107" s="163" t="b">
        <v>1</v>
      </c>
      <c r="BF107" s="163" t="b">
        <v>0</v>
      </c>
      <c r="BG107" s="164" t="b">
        <v>0</v>
      </c>
      <c r="BH107" s="163" t="b">
        <v>1</v>
      </c>
      <c r="BI107" s="163"/>
      <c r="BJ107" s="163"/>
      <c r="BK107" s="163"/>
      <c r="BL107" s="163"/>
      <c r="BM107" s="163"/>
      <c r="BN107" s="163"/>
      <c r="BO107" s="163"/>
      <c r="BP107" s="163"/>
      <c r="BQ107" s="163" t="b">
        <v>1</v>
      </c>
      <c r="BR107" s="163"/>
      <c r="BS107" s="163"/>
      <c r="BT107" s="163"/>
      <c r="BU107" s="163"/>
      <c r="BV107" s="163"/>
      <c r="BW107" s="163"/>
      <c r="BX107" s="163"/>
      <c r="BY107" s="163"/>
      <c r="BZ107" s="163"/>
      <c r="CA107" s="163"/>
      <c r="CB107" s="163"/>
      <c r="CC107" s="163"/>
      <c r="CD107" s="163"/>
      <c r="CE107" s="163"/>
      <c r="CF107" s="163"/>
      <c r="CG107" s="163"/>
      <c r="CH107" s="163"/>
      <c r="CI107" s="163"/>
      <c r="CJ107" s="163"/>
      <c r="CK107" s="163"/>
      <c r="CL107" s="163"/>
      <c r="CM107" s="163"/>
      <c r="CN107" s="163"/>
      <c r="CO107" s="163"/>
      <c r="CP107" s="163"/>
      <c r="CQ107" s="163"/>
      <c r="CR107" s="163"/>
      <c r="CS107" s="163"/>
      <c r="CT107" s="163"/>
      <c r="CU107" s="163"/>
      <c r="CV107" s="163"/>
      <c r="CW107" s="163"/>
      <c r="CX107" s="163"/>
      <c r="CY107" s="163"/>
      <c r="CZ107" s="163"/>
      <c r="DA107" s="163"/>
      <c r="DB107" s="163"/>
      <c r="DC107" s="163"/>
      <c r="DD107" s="163"/>
      <c r="DE107" s="163"/>
      <c r="DF107" s="163"/>
      <c r="DG107" s="208"/>
      <c r="DH107" s="163"/>
      <c r="DI107" s="163"/>
      <c r="DJ107" s="163"/>
      <c r="DK107" s="163"/>
      <c r="DL107" s="163"/>
      <c r="DM107" s="163"/>
      <c r="DN107" s="163"/>
      <c r="DO107" s="163"/>
      <c r="DP107" s="163"/>
      <c r="DQ107" s="163"/>
      <c r="DR107" s="163"/>
      <c r="DS107" s="163"/>
      <c r="DT107" s="163"/>
      <c r="DU107" s="163"/>
      <c r="DV107" s="163"/>
      <c r="DW107" s="163"/>
      <c r="DX107" s="163"/>
      <c r="DY107" s="163"/>
      <c r="DZ107" s="163"/>
      <c r="EA107" s="163"/>
      <c r="EB107" s="163"/>
      <c r="EC107" s="163"/>
      <c r="ED107" s="163"/>
      <c r="EE107" s="163"/>
      <c r="EF107" s="163"/>
      <c r="EG107" s="163"/>
      <c r="EH107" s="160">
        <f>IF([Chambre]*1='CHAMBRES FILLES 2e ETAGE'!$A$5,1,0)</f>
        <v>0</v>
      </c>
      <c r="EI107" s="161">
        <f>IF([Occurrence2]=0,0,SUM($EH$2:EH107))</f>
        <v>0</v>
      </c>
      <c r="EJ107" s="160">
        <f>IF([Chambre]*1='CHAMBRES FILLES 2e ETAGE'!$A$11,1,0)</f>
        <v>0</v>
      </c>
      <c r="EK107" s="160">
        <f>IF([Occurrence3]=0,0,SUM($EJ$2:EJ107))</f>
        <v>0</v>
      </c>
      <c r="EL107" s="160">
        <f>IF([Chambre]*1='CHAMBRES FILLES 2e ETAGE'!$A$17,1,0)</f>
        <v>0</v>
      </c>
      <c r="EM107" s="160">
        <f>IF([Occurrence4]=0,0,SUM($EL$2:EL107))</f>
        <v>0</v>
      </c>
      <c r="EN107" s="160">
        <f>IF([Chambre]*1='CHAMBRES FILLES 2e ETAGE'!$A$23,1,0)</f>
        <v>0</v>
      </c>
      <c r="EO107" s="160">
        <f>IF([Occurrence5]=0,0,SUM($EN$2:EN107))</f>
        <v>0</v>
      </c>
      <c r="EP107" s="160">
        <f>IF([Chambre]*1='CHAMBRES FILLES 2e ETAGE'!$A$29,1,0)</f>
        <v>0</v>
      </c>
      <c r="EQ107" s="160">
        <f>IF([Occurrence6]=0,0,SUM($EP$2:EP107))</f>
        <v>0</v>
      </c>
      <c r="ER107" s="160">
        <f>IF([Chambre]*1='CHAMBRES FILLES 2e ETAGE'!$A$35,1,0)</f>
        <v>0</v>
      </c>
      <c r="ES107" s="160">
        <f>IF([Occurrence7]=0,0,SUM($ER$2:ER107))</f>
        <v>0</v>
      </c>
      <c r="ET107" s="160">
        <f>IF([Chambre]*1='CHAMBRES FILLES 2e ETAGE'!$A$41,1,0)</f>
        <v>0</v>
      </c>
      <c r="EU107" s="160">
        <f>IF([Occurrence8]=0,0,SUM($ET$2:ET107))</f>
        <v>0</v>
      </c>
      <c r="EV107" s="160">
        <f>IF([Chambre]*1='CHAMBRES FILLES 2e ETAGE'!$A$47,1,0)</f>
        <v>1</v>
      </c>
      <c r="EW107" s="160">
        <f>IF([Occurrence9]=0,0,SUM($EV$2:EV107))</f>
        <v>3</v>
      </c>
      <c r="EX107" s="160">
        <f>IF([Chambre]*1='CHAMBRES FILLES 2e ETAGE'!$A$53,1,0)</f>
        <v>0</v>
      </c>
      <c r="EY107" s="160">
        <f>IF([Occurrence10]=0,0,SUM($EX$2:EX107))</f>
        <v>0</v>
      </c>
      <c r="EZ107" s="160">
        <f>IF([Chambre]*1='CHAMBRES FILLES 2e ETAGE'!$A$59,1,0)</f>
        <v>0</v>
      </c>
      <c r="FA107" s="160">
        <f>IF([Occurrence11]=0,0,SUM($EZ$2:EZ107))</f>
        <v>0</v>
      </c>
      <c r="FB107" s="160">
        <f>IF([Chambre]*1='CHAMBRES FILLES 2e ETAGE'!$A$65,1,0)</f>
        <v>0</v>
      </c>
      <c r="FC107" s="160">
        <f>IF([Occurrence12]=0,0,SUM($FB$2:FB107))</f>
        <v>0</v>
      </c>
      <c r="FD107" s="160">
        <f>IF([Chambre]*1='CHAMBRES FILLES 2e ETAGE'!$A$71,1,0)</f>
        <v>0</v>
      </c>
      <c r="FE107" s="160">
        <f>IF([Occurrence13]=0,0,SUM($FD$2:FD107))</f>
        <v>0</v>
      </c>
      <c r="FF107" s="160">
        <f>IF([Chambre]*1='CHAMBRES FILLES 2e ETAGE'!$A$77,1,0)</f>
        <v>0</v>
      </c>
      <c r="FG107" s="160">
        <f>IF([Occurrence14]=0,0,SUM($FF$2:FF107))</f>
        <v>0</v>
      </c>
      <c r="FH107" s="160">
        <f>IF([Chambre]*1='CHAMBRES FILLES 2e ETAGE'!$A$83,1,0)</f>
        <v>0</v>
      </c>
      <c r="FI107" s="160">
        <f>IF([Occurrence15]=0,0,SUM($FH$2:FH107))</f>
        <v>0</v>
      </c>
      <c r="FJ107" s="160">
        <f>IF([Chambre]*1='CHAMBRES FILLES 2e ETAGE'!$A$89,1,0)</f>
        <v>0</v>
      </c>
      <c r="FK107" s="160">
        <f>IF([Occurrence16]=0,0,SUM($FJ$2:FJ107))</f>
        <v>0</v>
      </c>
      <c r="FL107" s="160">
        <f>IF([Chambre]*1='CHAMBRES FILLES 2e ETAGE'!$A$95,1,0)</f>
        <v>0</v>
      </c>
      <c r="FM107" s="160">
        <f>IF([Occurrence17]=0,0,SUM($FL$2:FL107))</f>
        <v>0</v>
      </c>
      <c r="FN107" s="160">
        <f>IF([Chambre2]*1='CHAMBRES FILLES 1e ETAGE'!$A$5,1,0)</f>
        <v>0</v>
      </c>
      <c r="FO107" s="160">
        <f>IF([Occurrence18]=0,0,SUM($FN$2:FN107))</f>
        <v>0</v>
      </c>
      <c r="FP107" s="160">
        <f>IF([Chambre2]*1='CHAMBRES FILLES 1e ETAGE'!$A$11,1,0)</f>
        <v>0</v>
      </c>
      <c r="FQ107" s="160">
        <f>IF([Occurrence19]=0,0,SUM($FP$2:FP107))</f>
        <v>0</v>
      </c>
      <c r="FR107" s="160">
        <f>IF([Chambre2]*1='CHAMBRES FILLES 1e ETAGE'!$A$17,1,0)</f>
        <v>0</v>
      </c>
      <c r="FS107" s="160">
        <f>IF([Occurrence20]=0,0,SUM($FR$2:FR107))</f>
        <v>0</v>
      </c>
      <c r="FT107" s="160">
        <f>IF([Chambre2]*1='CHAMBRES FILLES 1e ETAGE'!$A$23,1,0)</f>
        <v>0</v>
      </c>
      <c r="FU107" s="160">
        <f>IF([Occurrence21]=0,0,SUM($FT$2:FT107))</f>
        <v>0</v>
      </c>
      <c r="FV107" s="160">
        <f>IF([Chambre2]*1='CHAMBRES FILLES 1e ETAGE'!$A$29,1,0)</f>
        <v>0</v>
      </c>
      <c r="FW107" s="160">
        <f>IF([Occurrence22]=0,0,SUM($FV$2:FV107))</f>
        <v>0</v>
      </c>
      <c r="FX107" s="160">
        <f>IF([Chambre2]*1='CHAMBRES FILLES 1e ETAGE'!$A$35,1,0)</f>
        <v>0</v>
      </c>
      <c r="FY107" s="160">
        <f>IF([Occurrence23]=0,0,SUM($FX$2:FX107))</f>
        <v>0</v>
      </c>
      <c r="FZ107" s="160">
        <f>IF([Chambre2]*1='CHAMBRES FILLES 1e ETAGE'!$A$41,1,0)</f>
        <v>0</v>
      </c>
      <c r="GA107" s="160">
        <f>IF([Occurrence24]=0,0,SUM($FZ$2:FZ107))</f>
        <v>0</v>
      </c>
      <c r="GB107" s="160">
        <f>IF([Chambre2]*1='CHAMBRES FILLES 1e ETAGE'!$A$47,1,0)</f>
        <v>0</v>
      </c>
      <c r="GC107" s="160">
        <f>IF([Occurrence25]=0,0,SUM($GB$2:GB107))</f>
        <v>0</v>
      </c>
      <c r="GD107" s="160">
        <f>IF([Chambre2]*1='CHAMBRES FILLES 1e ETAGE'!$A$53,1,0)</f>
        <v>0</v>
      </c>
      <c r="GE107" s="160">
        <f>IF([Occurrence26]=0,0,SUM($GD$2:GD107))</f>
        <v>0</v>
      </c>
      <c r="GF107" s="160">
        <f>IF([chambre4]*1='CHAMBRES GARCONS 1e ETAGE'!$A$5,1,0)</f>
        <v>0</v>
      </c>
      <c r="GG107" s="160">
        <f>IF([Occurrence27]=0,0,SUM($GF$2:GF107))</f>
        <v>0</v>
      </c>
      <c r="GH107" s="160">
        <f>IF([chambre4]*1='CHAMBRES GARCONS 1e ETAGE'!$A$11,1,0)</f>
        <v>0</v>
      </c>
      <c r="GI107" s="160">
        <f>IF([Occurrence28]=0,0,SUM($GH$2:GH107))</f>
        <v>0</v>
      </c>
      <c r="GJ107" s="160">
        <f>IF([chambre4]*1='CHAMBRES GARCONS 1e ETAGE'!$A$17,1,0)</f>
        <v>0</v>
      </c>
      <c r="GK107" s="160">
        <f>IF([Occurrence29]=0,0,SUM($GJ$2:GJ107))</f>
        <v>0</v>
      </c>
      <c r="GL107" s="160">
        <f>IF([chambre4]*1='CHAMBRES GARCONS 1e ETAGE'!$A$23,1,0)</f>
        <v>0</v>
      </c>
      <c r="GM107" s="160">
        <f>IF([Occurrence30]=0,0,SUM($GL$2:GL107))</f>
        <v>0</v>
      </c>
      <c r="GN107" s="160">
        <f>IF([chambre4]*1='CHAMBRES GARCONS 1e ETAGE'!$A$29,1,0)</f>
        <v>0</v>
      </c>
      <c r="GO107" s="160">
        <f>IF([Occurrence31]=0,0,SUM($GN$2:GN107))</f>
        <v>0</v>
      </c>
      <c r="GP107" s="160">
        <f>IF([chambre4]*1='CHAMBRES GARCONS 1e ETAGE'!$A$35,1,0)</f>
        <v>0</v>
      </c>
      <c r="GQ107" s="160">
        <f>IF([Occurrence32]=0,0,SUM($GP$2:GP107))</f>
        <v>0</v>
      </c>
      <c r="GR107" s="160">
        <f>IF([chambre3]*1='CHAMBRES GARCONS RDC'!$A$5,1,0)</f>
        <v>0</v>
      </c>
      <c r="GS107" s="160">
        <f>IF([Occurrence33]=0,0,SUM($GR$2:GR107))</f>
        <v>0</v>
      </c>
      <c r="GT107" s="160">
        <f>IF([chambre3]*1='CHAMBRES GARCONS RDC'!$A$11,1,0)</f>
        <v>0</v>
      </c>
      <c r="GU107" s="160">
        <f>IF([Occurrence34]=0,0,SUM($GT$2:GT107))</f>
        <v>0</v>
      </c>
      <c r="GV107" s="160">
        <f>IF([chambre3]*1='CHAMBRES GARCONS RDC'!$A$17,1,0)</f>
        <v>0</v>
      </c>
      <c r="GW107" s="160">
        <f>IF([Occurrence35]=0,0,SUM($GV$2:GV107))</f>
        <v>0</v>
      </c>
      <c r="GX107" s="160">
        <f>IF([chambre3]*1='CHAMBRES GARCONS RDC'!$A$23,1,0)</f>
        <v>0</v>
      </c>
      <c r="GY107" s="160">
        <f>IF([Occurrence36]=0,0,SUM($GX$2:GX107))</f>
        <v>0</v>
      </c>
      <c r="GZ107" s="160">
        <f>IF([chambre3]*1='CHAMBRES GARCONS RDC'!$A$29,1,0)</f>
        <v>0</v>
      </c>
      <c r="HA107" s="160">
        <f>IF([Occurrence37]=0,0,SUM($GZ$2:GZ107))</f>
        <v>0</v>
      </c>
      <c r="HB107" s="160">
        <f>IF([chambre3]*1='CHAMBRES GARCONS RDC'!$A$35,1,0)</f>
        <v>0</v>
      </c>
      <c r="HC107" s="160">
        <f>IF([Occurrence38]=0,0,SUM($HB$2:HB107))</f>
        <v>0</v>
      </c>
      <c r="HD107" s="160">
        <f>IF([chambre3]*1='CHAMBRES GARCONS RDC'!$A$41,1,0)</f>
        <v>0</v>
      </c>
      <c r="HE107" s="160">
        <f>IF([Occurrence39]=0,0,SUM($HD$2:HD107))</f>
        <v>0</v>
      </c>
      <c r="HF107" s="160">
        <f>IF([chambre3]*1='CHAMBRES GARCONS RDC'!$A$47,1,0)</f>
        <v>0</v>
      </c>
      <c r="HG107" s="160">
        <f>IF([Occurrence40]=0,0,SUM($HF$2:HF107))</f>
        <v>0</v>
      </c>
      <c r="HH107" s="160">
        <f>IF([chambre3]*1='CHAMBRES GARCONS RDC'!$A$53,1,0)</f>
        <v>0</v>
      </c>
      <c r="HI107" s="160">
        <f>IF([Occurrence41]=0,0,SUM($HH$2:HH107))</f>
        <v>0</v>
      </c>
      <c r="HJ107" s="160">
        <f>IF([chambre3]*1='CHAMBRES GARCONS RDC'!$A$59,1,0)</f>
        <v>0</v>
      </c>
      <c r="HK107" s="160">
        <f>IF([Occurrence42]=0,0,SUM($HJ$2:HJ107))</f>
        <v>0</v>
      </c>
      <c r="HL107" s="160">
        <f>IF([chambre3]*1='CHAMBRES GARCONS RDC'!$A$65,1,0)</f>
        <v>0</v>
      </c>
      <c r="HM107" s="160">
        <f>IF([Occurrence43]=0,0,SUM($HL$2:HL107))</f>
        <v>0</v>
      </c>
      <c r="HN107" s="160">
        <f>IF([chambre3]*1='CHAMBRES GARCONS RDC'!$A$71,1,0)</f>
        <v>0</v>
      </c>
      <c r="HO107" s="160">
        <f>IF([Occurrence44]=0,0,SUM($HN$2:HN107))</f>
        <v>0</v>
      </c>
      <c r="HP107" s="160">
        <f>IF([chambre3]*1='CHAMBRES GARCONS RDC'!$A$77,1,0)</f>
        <v>0</v>
      </c>
      <c r="HQ107" s="160">
        <f>IF([Occurrence45]=0,0,SUM($HP$2:HP107))</f>
        <v>0</v>
      </c>
      <c r="HR107" s="160">
        <f>IF([chambre3]*1='CHAMBRES GARCONS RDC'!$A$83,1,0)</f>
        <v>0</v>
      </c>
      <c r="HS107" s="160">
        <f>IF([Occurrence46]=0,0,SUM($HR$2:HR107))</f>
        <v>0</v>
      </c>
      <c r="HT107" s="160">
        <f>IF([chambre3]*1='CHAMBRES GARCONS RDC'!$A$89,1,0)</f>
        <v>0</v>
      </c>
      <c r="HU107" s="160">
        <f>IF([Occurrence47]=0,0,SUM($HT$2:HT107))</f>
        <v>0</v>
      </c>
      <c r="HV107" s="160">
        <f>IF([chambre3]*1='CHAMBRES GARCONS RDC'!$A$95,1,0)</f>
        <v>0</v>
      </c>
      <c r="HW107" s="160">
        <f>IF([Occurrence48]=0,0,SUM($HV$2:HV107))</f>
        <v>0</v>
      </c>
      <c r="HX107" s="160"/>
      <c r="HY107" s="160"/>
      <c r="HZ107" s="160">
        <f>IF([Classe]='Liste élève par classes'!$B$5,1,0)</f>
        <v>0</v>
      </c>
      <c r="IA107" s="160">
        <f>IF([Occurrence]=0,0,SUM($HZ$2:HZ107))</f>
        <v>0</v>
      </c>
      <c r="IB10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164</v>
      </c>
      <c r="IC107" s="208"/>
    </row>
    <row r="108" spans="1:237">
      <c r="A108" t="s">
        <v>432</v>
      </c>
      <c r="B108" t="s">
        <v>381</v>
      </c>
      <c r="C108" s="158">
        <v>36816</v>
      </c>
      <c r="D108" s="62">
        <f t="shared" ca="1" si="1"/>
        <v>17</v>
      </c>
      <c r="E108" t="s">
        <v>1</v>
      </c>
      <c r="F108" s="159" t="s">
        <v>46</v>
      </c>
      <c r="G108" t="s">
        <v>45</v>
      </c>
      <c r="H108" s="160"/>
      <c r="I108" s="161"/>
      <c r="J108" s="161"/>
      <c r="K108" s="161"/>
      <c r="L108" s="160"/>
      <c r="M108">
        <v>226</v>
      </c>
      <c r="N108" s="161"/>
      <c r="O108" s="161"/>
      <c r="P108" s="161"/>
      <c r="Q108" s="161"/>
      <c r="R108" s="161"/>
      <c r="S108" s="161"/>
      <c r="T108" s="161"/>
      <c r="U108" s="160"/>
      <c r="V108" s="161"/>
      <c r="W108" s="161"/>
      <c r="X108" s="161"/>
      <c r="Y108" s="161"/>
      <c r="Z108" s="161"/>
      <c r="AA108" s="161"/>
      <c r="AB108" s="161"/>
      <c r="AC108" s="161"/>
      <c r="AD108" s="161"/>
      <c r="AE108" s="161"/>
      <c r="AF108" s="163"/>
      <c r="AG108" s="163"/>
      <c r="AH108" s="163"/>
      <c r="AI108" s="163"/>
      <c r="AJ108" s="163"/>
      <c r="AK108" s="163"/>
      <c r="AL108" s="163"/>
      <c r="AM108" s="163"/>
      <c r="AN108" s="163"/>
      <c r="AO108" s="163"/>
      <c r="AP108" s="163"/>
      <c r="AQ108" s="163"/>
      <c r="AR108" s="163"/>
      <c r="AS108" s="163"/>
      <c r="AT108" s="163"/>
      <c r="AU108" s="163"/>
      <c r="AV108" s="163"/>
      <c r="AW108" s="163"/>
      <c r="AX108" s="163"/>
      <c r="AY108" s="163"/>
      <c r="AZ108" s="163"/>
      <c r="BA108" s="163"/>
      <c r="BB108" s="163"/>
      <c r="BC108" s="163"/>
      <c r="BD108" s="163"/>
      <c r="BE108" s="163"/>
      <c r="BF108" s="163"/>
      <c r="BG108" s="163"/>
      <c r="BH108" s="163"/>
      <c r="BI108" s="163"/>
      <c r="BJ108" s="163"/>
      <c r="BK108" s="163"/>
      <c r="BL108" s="163"/>
      <c r="BM108" s="163"/>
      <c r="BN108" s="163"/>
      <c r="BO108" s="163"/>
      <c r="BP108" s="163"/>
      <c r="BQ108" s="163"/>
      <c r="BR108" s="163"/>
      <c r="BS108" s="163"/>
      <c r="BT108" s="163"/>
      <c r="BU108" s="163"/>
      <c r="BV108" s="163"/>
      <c r="BW108" s="163"/>
      <c r="BX108" s="163"/>
      <c r="BY108" s="163"/>
      <c r="BZ108" s="163"/>
      <c r="CA108" s="163"/>
      <c r="CB108" s="163"/>
      <c r="CC108" s="163"/>
      <c r="CD108" s="163"/>
      <c r="CE108" s="163"/>
      <c r="CF108" s="163"/>
      <c r="CG108" s="163"/>
      <c r="CH108" s="163"/>
      <c r="CI108" s="163"/>
      <c r="CJ108" s="163"/>
      <c r="CK108" s="163"/>
      <c r="CL108" s="163"/>
      <c r="CM108" s="163"/>
      <c r="CN108" s="163"/>
      <c r="CO108" s="163"/>
      <c r="CP108" s="163"/>
      <c r="CQ108" s="163"/>
      <c r="CR108" s="163"/>
      <c r="CS108" s="163"/>
      <c r="CT108" s="163"/>
      <c r="CU108" s="163"/>
      <c r="CV108" s="163"/>
      <c r="CW108" s="163"/>
      <c r="CX108" s="163"/>
      <c r="CY108" s="163"/>
      <c r="CZ108" s="163"/>
      <c r="DA108" s="163"/>
      <c r="DB108" s="163"/>
      <c r="DC108" s="163"/>
      <c r="DD108" s="163"/>
      <c r="DE108" s="163"/>
      <c r="DF108" s="163"/>
      <c r="DG108" s="163"/>
      <c r="DH108" s="163"/>
      <c r="DI108" s="163"/>
      <c r="DJ108" s="163"/>
      <c r="DK108" s="163"/>
      <c r="DL108" s="163"/>
      <c r="DM108" s="163"/>
      <c r="DN108" s="163"/>
      <c r="DO108" s="163"/>
      <c r="DP108" s="163"/>
      <c r="DQ108" s="163"/>
      <c r="DR108" s="163"/>
      <c r="DS108" s="163"/>
      <c r="DT108" s="163"/>
      <c r="DU108" s="163"/>
      <c r="DV108" s="163"/>
      <c r="DW108" s="163"/>
      <c r="DX108" s="163"/>
      <c r="DY108" s="163"/>
      <c r="DZ108" s="163"/>
      <c r="EA108" s="163"/>
      <c r="EB108" s="163"/>
      <c r="EC108" s="163"/>
      <c r="ED108" s="163"/>
      <c r="EE108" s="163"/>
      <c r="EF108" s="163"/>
      <c r="EG108" s="163"/>
      <c r="EH108" s="160">
        <f>IF([Chambre]*1='CHAMBRES FILLES 2e ETAGE'!$A$5,1,0)</f>
        <v>0</v>
      </c>
      <c r="EI108" s="161">
        <f>IF([Occurrence2]=0,0,SUM($EH$2:EH108))</f>
        <v>0</v>
      </c>
      <c r="EJ108" s="160">
        <f>IF([Chambre]*1='CHAMBRES FILLES 2e ETAGE'!$A$11,1,0)</f>
        <v>0</v>
      </c>
      <c r="EK108" s="160">
        <f>IF([Occurrence3]=0,0,SUM($EJ$2:EJ108))</f>
        <v>0</v>
      </c>
      <c r="EL108" s="160">
        <f>IF([Chambre]*1='CHAMBRES FILLES 2e ETAGE'!$A$17,1,0)</f>
        <v>0</v>
      </c>
      <c r="EM108" s="160">
        <f>IF([Occurrence4]=0,0,SUM($EL$2:EL108))</f>
        <v>0</v>
      </c>
      <c r="EN108" s="160">
        <f>IF([Chambre]*1='CHAMBRES FILLES 2e ETAGE'!$A$23,1,0)</f>
        <v>0</v>
      </c>
      <c r="EO108" s="160">
        <f>IF([Occurrence5]=0,0,SUM($EN$2:EN108))</f>
        <v>0</v>
      </c>
      <c r="EP108" s="160">
        <f>IF([Chambre]*1='CHAMBRES FILLES 2e ETAGE'!$A$29,1,0)</f>
        <v>0</v>
      </c>
      <c r="EQ108" s="160">
        <f>IF([Occurrence6]=0,0,SUM($EP$2:EP108))</f>
        <v>0</v>
      </c>
      <c r="ER108" s="160">
        <f>IF([Chambre]*1='CHAMBRES FILLES 2e ETAGE'!$A$35,1,0)</f>
        <v>0</v>
      </c>
      <c r="ES108" s="160">
        <f>IF([Occurrence7]=0,0,SUM($ER$2:ER108))</f>
        <v>0</v>
      </c>
      <c r="ET108" s="160">
        <f>IF([Chambre]*1='CHAMBRES FILLES 2e ETAGE'!$A$41,1,0)</f>
        <v>0</v>
      </c>
      <c r="EU108" s="160">
        <f>IF([Occurrence8]=0,0,SUM($ET$2:ET108))</f>
        <v>0</v>
      </c>
      <c r="EV108" s="160">
        <f>IF([Chambre]*1='CHAMBRES FILLES 2e ETAGE'!$A$47,1,0)</f>
        <v>0</v>
      </c>
      <c r="EW108" s="160">
        <f>IF([Occurrence9]=0,0,SUM($EV$2:EV108))</f>
        <v>0</v>
      </c>
      <c r="EX108" s="160">
        <f>IF([Chambre]*1='CHAMBRES FILLES 2e ETAGE'!$A$53,1,0)</f>
        <v>0</v>
      </c>
      <c r="EY108" s="160">
        <f>IF([Occurrence10]=0,0,SUM($EX$2:EX108))</f>
        <v>0</v>
      </c>
      <c r="EZ108" s="160">
        <f>IF([Chambre]*1='CHAMBRES FILLES 2e ETAGE'!$A$59,1,0)</f>
        <v>0</v>
      </c>
      <c r="FA108" s="160">
        <f>IF([Occurrence11]=0,0,SUM($EZ$2:EZ108))</f>
        <v>0</v>
      </c>
      <c r="FB108" s="160">
        <f>IF([Chambre]*1='CHAMBRES FILLES 2e ETAGE'!$A$65,1,0)</f>
        <v>0</v>
      </c>
      <c r="FC108" s="160">
        <f>IF([Occurrence12]=0,0,SUM($FB$2:FB108))</f>
        <v>0</v>
      </c>
      <c r="FD108" s="160">
        <f>IF([Chambre]*1='CHAMBRES FILLES 2e ETAGE'!$A$71,1,0)</f>
        <v>0</v>
      </c>
      <c r="FE108" s="160">
        <f>IF([Occurrence13]=0,0,SUM($FD$2:FD108))</f>
        <v>0</v>
      </c>
      <c r="FF108" s="160">
        <f>IF([Chambre]*1='CHAMBRES FILLES 2e ETAGE'!$A$77,1,0)</f>
        <v>0</v>
      </c>
      <c r="FG108" s="160">
        <f>IF([Occurrence14]=0,0,SUM($FF$2:FF108))</f>
        <v>0</v>
      </c>
      <c r="FH108" s="160">
        <f>IF([Chambre]*1='CHAMBRES FILLES 2e ETAGE'!$A$83,1,0)</f>
        <v>0</v>
      </c>
      <c r="FI108" s="160">
        <f>IF([Occurrence15]=0,0,SUM($FH$2:FH108))</f>
        <v>0</v>
      </c>
      <c r="FJ108" s="160">
        <f>IF([Chambre]*1='CHAMBRES FILLES 2e ETAGE'!$A$89,1,0)</f>
        <v>0</v>
      </c>
      <c r="FK108" s="160">
        <f>IF([Occurrence16]=0,0,SUM($FJ$2:FJ108))</f>
        <v>0</v>
      </c>
      <c r="FL108" s="160">
        <f>IF([Chambre]*1='CHAMBRES FILLES 2e ETAGE'!$A$95,1,0)</f>
        <v>0</v>
      </c>
      <c r="FM108" s="160">
        <f>IF([Occurrence17]=0,0,SUM($FL$2:FL108))</f>
        <v>0</v>
      </c>
      <c r="FN108" s="160">
        <f>IF([Chambre2]*1='CHAMBRES FILLES 1e ETAGE'!$A$5,1,0)</f>
        <v>0</v>
      </c>
      <c r="FO108" s="160">
        <f>IF([Occurrence18]=0,0,SUM($FN$2:FN108))</f>
        <v>0</v>
      </c>
      <c r="FP108" s="160">
        <f>IF([Chambre2]*1='CHAMBRES FILLES 1e ETAGE'!$A$11,1,0)</f>
        <v>0</v>
      </c>
      <c r="FQ108" s="160">
        <f>IF([Occurrence19]=0,0,SUM($FP$2:FP108))</f>
        <v>0</v>
      </c>
      <c r="FR108" s="160">
        <f>IF([Chambre2]*1='CHAMBRES FILLES 1e ETAGE'!$A$17,1,0)</f>
        <v>0</v>
      </c>
      <c r="FS108" s="160">
        <f>IF([Occurrence20]=0,0,SUM($FR$2:FR108))</f>
        <v>0</v>
      </c>
      <c r="FT108" s="160">
        <f>IF([Chambre2]*1='CHAMBRES FILLES 1e ETAGE'!$A$23,1,0)</f>
        <v>0</v>
      </c>
      <c r="FU108" s="160">
        <f>IF([Occurrence21]=0,0,SUM($FT$2:FT108))</f>
        <v>0</v>
      </c>
      <c r="FV108" s="160">
        <f>IF([Chambre2]*1='CHAMBRES FILLES 1e ETAGE'!$A$29,1,0)</f>
        <v>0</v>
      </c>
      <c r="FW108" s="160">
        <f>IF([Occurrence22]=0,0,SUM($FV$2:FV108))</f>
        <v>0</v>
      </c>
      <c r="FX108" s="160">
        <f>IF([Chambre2]*1='CHAMBRES FILLES 1e ETAGE'!$A$35,1,0)</f>
        <v>0</v>
      </c>
      <c r="FY108" s="160">
        <f>IF([Occurrence23]=0,0,SUM($FX$2:FX108))</f>
        <v>0</v>
      </c>
      <c r="FZ108" s="160">
        <f>IF([Chambre2]*1='CHAMBRES FILLES 1e ETAGE'!$A$41,1,0)</f>
        <v>0</v>
      </c>
      <c r="GA108" s="160">
        <f>IF([Occurrence24]=0,0,SUM($FZ$2:FZ108))</f>
        <v>0</v>
      </c>
      <c r="GB108" s="160">
        <f>IF([Chambre2]*1='CHAMBRES FILLES 1e ETAGE'!$A$47,1,0)</f>
        <v>0</v>
      </c>
      <c r="GC108" s="160">
        <f>IF([Occurrence25]=0,0,SUM($GB$2:GB108))</f>
        <v>0</v>
      </c>
      <c r="GD108" s="160">
        <f>IF([Chambre2]*1='CHAMBRES FILLES 1e ETAGE'!$A$53,1,0)</f>
        <v>0</v>
      </c>
      <c r="GE108" s="160">
        <f>IF([Occurrence26]=0,0,SUM($GD$2:GD108))</f>
        <v>0</v>
      </c>
      <c r="GF108" s="160">
        <f>IF([chambre4]*1='CHAMBRES GARCONS 1e ETAGE'!$A$5,1,0)</f>
        <v>0</v>
      </c>
      <c r="GG108" s="160">
        <f>IF([Occurrence27]=0,0,SUM($GF$2:GF108))</f>
        <v>0</v>
      </c>
      <c r="GH108" s="160">
        <f>IF([chambre4]*1='CHAMBRES GARCONS 1e ETAGE'!$A$11,1,0)</f>
        <v>0</v>
      </c>
      <c r="GI108" s="160">
        <f>IF([Occurrence28]=0,0,SUM($GH$2:GH108))</f>
        <v>0</v>
      </c>
      <c r="GJ108" s="160">
        <f>IF([chambre4]*1='CHAMBRES GARCONS 1e ETAGE'!$A$17,1,0)</f>
        <v>0</v>
      </c>
      <c r="GK108" s="160">
        <f>IF([Occurrence29]=0,0,SUM($GJ$2:GJ108))</f>
        <v>0</v>
      </c>
      <c r="GL108" s="160">
        <f>IF([chambre4]*1='CHAMBRES GARCONS 1e ETAGE'!$A$23,1,0)</f>
        <v>0</v>
      </c>
      <c r="GM108" s="160">
        <f>IF([Occurrence30]=0,0,SUM($GL$2:GL108))</f>
        <v>0</v>
      </c>
      <c r="GN108" s="160">
        <f>IF([chambre4]*1='CHAMBRES GARCONS 1e ETAGE'!$A$29,1,0)</f>
        <v>0</v>
      </c>
      <c r="GO108" s="160">
        <f>IF([Occurrence31]=0,0,SUM($GN$2:GN108))</f>
        <v>0</v>
      </c>
      <c r="GP108" s="160">
        <f>IF([chambre4]*1='CHAMBRES GARCONS 1e ETAGE'!$A$35,1,0)</f>
        <v>0</v>
      </c>
      <c r="GQ108" s="160">
        <f>IF([Occurrence32]=0,0,SUM($GP$2:GP108))</f>
        <v>0</v>
      </c>
      <c r="GR108" s="160">
        <f>IF([chambre3]*1='CHAMBRES GARCONS RDC'!$A$5,1,0)</f>
        <v>0</v>
      </c>
      <c r="GS108" s="160">
        <f>IF([Occurrence33]=0,0,SUM($GR$2:GR108))</f>
        <v>0</v>
      </c>
      <c r="GT108" s="160">
        <f>IF([chambre3]*1='CHAMBRES GARCONS RDC'!$A$11,1,0)</f>
        <v>0</v>
      </c>
      <c r="GU108" s="160">
        <f>IF([Occurrence34]=0,0,SUM($GT$2:GT108))</f>
        <v>0</v>
      </c>
      <c r="GV108" s="160">
        <f>IF([chambre3]*1='CHAMBRES GARCONS RDC'!$A$17,1,0)</f>
        <v>0</v>
      </c>
      <c r="GW108" s="160">
        <f>IF([Occurrence35]=0,0,SUM($GV$2:GV108))</f>
        <v>0</v>
      </c>
      <c r="GX108" s="160">
        <f>IF([chambre3]*1='CHAMBRES GARCONS RDC'!$A$23,1,0)</f>
        <v>0</v>
      </c>
      <c r="GY108" s="160">
        <f>IF([Occurrence36]=0,0,SUM($GX$2:GX108))</f>
        <v>0</v>
      </c>
      <c r="GZ108" s="160">
        <f>IF([chambre3]*1='CHAMBRES GARCONS RDC'!$A$29,1,0)</f>
        <v>0</v>
      </c>
      <c r="HA108" s="160">
        <f>IF([Occurrence37]=0,0,SUM($GZ$2:GZ108))</f>
        <v>0</v>
      </c>
      <c r="HB108" s="160">
        <f>IF([chambre3]*1='CHAMBRES GARCONS RDC'!$A$35,1,0)</f>
        <v>0</v>
      </c>
      <c r="HC108" s="160">
        <f>IF([Occurrence38]=0,0,SUM($HB$2:HB108))</f>
        <v>0</v>
      </c>
      <c r="HD108" s="160">
        <f>IF([chambre3]*1='CHAMBRES GARCONS RDC'!$A$41,1,0)</f>
        <v>0</v>
      </c>
      <c r="HE108" s="160">
        <f>IF([Occurrence39]=0,0,SUM($HD$2:HD108))</f>
        <v>0</v>
      </c>
      <c r="HF108" s="160">
        <f>IF([chambre3]*1='CHAMBRES GARCONS RDC'!$A$47,1,0)</f>
        <v>0</v>
      </c>
      <c r="HG108" s="160">
        <f>IF([Occurrence40]=0,0,SUM($HF$2:HF108))</f>
        <v>0</v>
      </c>
      <c r="HH108" s="160">
        <f>IF([chambre3]*1='CHAMBRES GARCONS RDC'!$A$53,1,0)</f>
        <v>0</v>
      </c>
      <c r="HI108" s="160">
        <f>IF([Occurrence41]=0,0,SUM($HH$2:HH108))</f>
        <v>0</v>
      </c>
      <c r="HJ108" s="160">
        <f>IF([chambre3]*1='CHAMBRES GARCONS RDC'!$A$59,1,0)</f>
        <v>0</v>
      </c>
      <c r="HK108" s="160">
        <f>IF([Occurrence42]=0,0,SUM($HJ$2:HJ108))</f>
        <v>0</v>
      </c>
      <c r="HL108" s="160">
        <f>IF([chambre3]*1='CHAMBRES GARCONS RDC'!$A$65,1,0)</f>
        <v>0</v>
      </c>
      <c r="HM108" s="160">
        <f>IF([Occurrence43]=0,0,SUM($HL$2:HL108))</f>
        <v>0</v>
      </c>
      <c r="HN108" s="160">
        <f>IF([chambre3]*1='CHAMBRES GARCONS RDC'!$A$71,1,0)</f>
        <v>0</v>
      </c>
      <c r="HO108" s="160">
        <f>IF([Occurrence44]=0,0,SUM($HN$2:HN108))</f>
        <v>0</v>
      </c>
      <c r="HP108" s="160">
        <f>IF([chambre3]*1='CHAMBRES GARCONS RDC'!$A$77,1,0)</f>
        <v>0</v>
      </c>
      <c r="HQ108" s="160">
        <f>IF([Occurrence45]=0,0,SUM($HP$2:HP108))</f>
        <v>0</v>
      </c>
      <c r="HR108" s="160">
        <f>IF([chambre3]*1='CHAMBRES GARCONS RDC'!$A$83,1,0)</f>
        <v>0</v>
      </c>
      <c r="HS108" s="160">
        <f>IF([Occurrence46]=0,0,SUM($HR$2:HR108))</f>
        <v>0</v>
      </c>
      <c r="HT108" s="160">
        <f>IF([chambre3]*1='CHAMBRES GARCONS RDC'!$A$89,1,0)</f>
        <v>0</v>
      </c>
      <c r="HU108" s="160">
        <f>IF([Occurrence47]=0,0,SUM($HT$2:HT108))</f>
        <v>0</v>
      </c>
      <c r="HV108" s="160">
        <f>IF([chambre3]*1='CHAMBRES GARCONS RDC'!$A$95,1,0)</f>
        <v>0</v>
      </c>
      <c r="HW108" s="160">
        <f>IF([Occurrence48]=0,0,SUM($HV$2:HV108))</f>
        <v>0</v>
      </c>
      <c r="HX108" s="160"/>
      <c r="HY108" s="160"/>
      <c r="HZ108" s="160">
        <f>IF([Classe]='Liste élève par classes'!$B$5,1,0)</f>
        <v>0</v>
      </c>
      <c r="IA108" s="160">
        <f>IF([Occurrence]=0,0,SUM($HZ$2:HZ108))</f>
        <v>0</v>
      </c>
      <c r="IB10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08" s="208"/>
    </row>
    <row r="109" spans="1:237">
      <c r="A109" t="s">
        <v>433</v>
      </c>
      <c r="B109" t="s">
        <v>434</v>
      </c>
      <c r="C109" s="158">
        <v>37359</v>
      </c>
      <c r="D109" s="62">
        <f t="shared" ca="1" si="1"/>
        <v>15</v>
      </c>
      <c r="E109" t="s">
        <v>2</v>
      </c>
      <c r="F109" s="159" t="s">
        <v>50</v>
      </c>
      <c r="G109" t="s">
        <v>45</v>
      </c>
      <c r="H109" s="160"/>
      <c r="I109" s="62"/>
      <c r="J109" s="62" t="s">
        <v>244</v>
      </c>
      <c r="K109" s="62"/>
      <c r="L109" s="61"/>
      <c r="M109">
        <v>147</v>
      </c>
      <c r="N109" s="62" t="s">
        <v>244</v>
      </c>
      <c r="O109" s="62" t="s">
        <v>244</v>
      </c>
      <c r="P109" s="62" t="s">
        <v>244</v>
      </c>
      <c r="Q109" s="62" t="s">
        <v>244</v>
      </c>
      <c r="R109" s="62" t="s">
        <v>244</v>
      </c>
      <c r="S109" s="191"/>
      <c r="T109" s="62" t="s">
        <v>244</v>
      </c>
      <c r="U109" s="61">
        <v>132</v>
      </c>
      <c r="V109" s="62" t="s">
        <v>244</v>
      </c>
      <c r="W109" s="62" t="s">
        <v>244</v>
      </c>
      <c r="X109" s="62" t="s">
        <v>244</v>
      </c>
      <c r="Y109" s="62" t="s">
        <v>244</v>
      </c>
      <c r="Z109" s="62" t="s">
        <v>244</v>
      </c>
      <c r="AA109" s="62" t="s">
        <v>244</v>
      </c>
      <c r="AB109" s="62" t="s">
        <v>244</v>
      </c>
      <c r="AC109" s="62" t="s">
        <v>244</v>
      </c>
      <c r="AD109" s="62" t="s">
        <v>244</v>
      </c>
      <c r="AE109" s="62" t="s">
        <v>244</v>
      </c>
      <c r="AF109" s="163" t="s">
        <v>244</v>
      </c>
      <c r="AG109" s="163" t="s">
        <v>244</v>
      </c>
      <c r="AH109" s="163" t="s">
        <v>244</v>
      </c>
      <c r="AI109" s="163"/>
      <c r="AJ109" s="163"/>
      <c r="AK109" s="163"/>
      <c r="AL109" s="163"/>
      <c r="AM109" s="163"/>
      <c r="AN109" s="163"/>
      <c r="AO109" s="163"/>
      <c r="AP109" s="163"/>
      <c r="AQ109" s="163"/>
      <c r="AR109" s="163"/>
      <c r="AS109" s="163"/>
      <c r="AT109" s="163"/>
      <c r="AU109" s="163"/>
      <c r="AV109" s="163"/>
      <c r="AW109" s="163"/>
      <c r="AX109" s="163"/>
      <c r="AY109" s="163"/>
      <c r="AZ109" s="163"/>
      <c r="BA109" s="163"/>
      <c r="BB109" s="163"/>
      <c r="BC109" s="163" t="b">
        <v>0</v>
      </c>
      <c r="BD109" s="163" t="b">
        <v>1</v>
      </c>
      <c r="BE109" s="163" t="b">
        <v>1</v>
      </c>
      <c r="BF109" s="163" t="b">
        <v>0</v>
      </c>
      <c r="BG109" s="164" t="b">
        <v>0</v>
      </c>
      <c r="BH109" s="163" t="b">
        <v>1</v>
      </c>
      <c r="BI109" s="163"/>
      <c r="BJ109" s="163"/>
      <c r="BK109" s="163"/>
      <c r="BL109" s="163"/>
      <c r="BM109" s="163"/>
      <c r="BN109" s="163"/>
      <c r="BO109" s="163"/>
      <c r="BP109" s="163"/>
      <c r="BQ109" s="163" t="b">
        <v>0</v>
      </c>
      <c r="BR109" s="163"/>
      <c r="BS109" s="163"/>
      <c r="BT109" s="163"/>
      <c r="BU109" s="163"/>
      <c r="BV109" s="163"/>
      <c r="BW109" s="163"/>
      <c r="BX109" s="163"/>
      <c r="BY109" s="163"/>
      <c r="BZ109" s="163"/>
      <c r="CA109" s="163"/>
      <c r="CB109" s="163"/>
      <c r="CC109" s="163"/>
      <c r="CD109" s="163"/>
      <c r="CE109" s="163"/>
      <c r="CF109" s="163"/>
      <c r="CG109" s="163"/>
      <c r="CH109" s="163"/>
      <c r="CI109" s="163"/>
      <c r="CJ109" s="163"/>
      <c r="CK109" s="163"/>
      <c r="CL109" s="163"/>
      <c r="CM109" s="163"/>
      <c r="CN109" s="163"/>
      <c r="CO109" s="163"/>
      <c r="CP109" s="163"/>
      <c r="CQ109" s="163"/>
      <c r="CR109" s="163"/>
      <c r="CS109" s="163"/>
      <c r="CT109" s="163"/>
      <c r="CU109" s="163"/>
      <c r="CV109" s="163"/>
      <c r="CW109" s="163"/>
      <c r="CX109" s="163"/>
      <c r="CY109" s="163"/>
      <c r="CZ109" s="163"/>
      <c r="DA109" s="163"/>
      <c r="DB109" s="163"/>
      <c r="DC109" s="163"/>
      <c r="DD109" s="163"/>
      <c r="DE109" s="163"/>
      <c r="DF109" s="163"/>
      <c r="DG109" s="208"/>
      <c r="DH109" s="163"/>
      <c r="DI109" s="163"/>
      <c r="DJ109" s="163"/>
      <c r="DK109" s="163"/>
      <c r="DL109" s="163"/>
      <c r="DM109" s="163"/>
      <c r="DN109" s="163"/>
      <c r="DO109" s="163"/>
      <c r="DP109" s="163"/>
      <c r="DQ109" s="163"/>
      <c r="DR109" s="163"/>
      <c r="DS109" s="163"/>
      <c r="DT109" s="163"/>
      <c r="DU109" s="163"/>
      <c r="DV109" s="163"/>
      <c r="DW109" s="163"/>
      <c r="DX109" s="163"/>
      <c r="DY109" s="163"/>
      <c r="DZ109" s="163"/>
      <c r="EA109" s="163"/>
      <c r="EB109" s="163"/>
      <c r="EC109" s="163"/>
      <c r="ED109" s="163"/>
      <c r="EE109" s="163"/>
      <c r="EF109" s="163"/>
      <c r="EG109" s="163"/>
      <c r="EH109" s="160">
        <f>IF([Chambre]*1='CHAMBRES FILLES 2e ETAGE'!$A$5,1,0)</f>
        <v>0</v>
      </c>
      <c r="EI109" s="161">
        <f>IF([Occurrence2]=0,0,SUM($EH$2:EH109))</f>
        <v>0</v>
      </c>
      <c r="EJ109" s="160">
        <f>IF([Chambre]*1='CHAMBRES FILLES 2e ETAGE'!$A$11,1,0)</f>
        <v>0</v>
      </c>
      <c r="EK109" s="160">
        <f>IF([Occurrence3]=0,0,SUM($EJ$2:EJ109))</f>
        <v>0</v>
      </c>
      <c r="EL109" s="160">
        <f>IF([Chambre]*1='CHAMBRES FILLES 2e ETAGE'!$A$17,1,0)</f>
        <v>0</v>
      </c>
      <c r="EM109" s="160">
        <f>IF([Occurrence4]=0,0,SUM($EL$2:EL109))</f>
        <v>0</v>
      </c>
      <c r="EN109" s="160">
        <f>IF([Chambre]*1='CHAMBRES FILLES 2e ETAGE'!$A$23,1,0)</f>
        <v>0</v>
      </c>
      <c r="EO109" s="160">
        <f>IF([Occurrence5]=0,0,SUM($EN$2:EN109))</f>
        <v>0</v>
      </c>
      <c r="EP109" s="160">
        <f>IF([Chambre]*1='CHAMBRES FILLES 2e ETAGE'!$A$29,1,0)</f>
        <v>0</v>
      </c>
      <c r="EQ109" s="160">
        <f>IF([Occurrence6]=0,0,SUM($EP$2:EP109))</f>
        <v>0</v>
      </c>
      <c r="ER109" s="160">
        <f>IF([Chambre]*1='CHAMBRES FILLES 2e ETAGE'!$A$35,1,0)</f>
        <v>0</v>
      </c>
      <c r="ES109" s="160">
        <f>IF([Occurrence7]=0,0,SUM($ER$2:ER109))</f>
        <v>0</v>
      </c>
      <c r="ET109" s="160">
        <f>IF([Chambre]*1='CHAMBRES FILLES 2e ETAGE'!$A$41,1,0)</f>
        <v>0</v>
      </c>
      <c r="EU109" s="160">
        <f>IF([Occurrence8]=0,0,SUM($ET$2:ET109))</f>
        <v>0</v>
      </c>
      <c r="EV109" s="160">
        <f>IF([Chambre]*1='CHAMBRES FILLES 2e ETAGE'!$A$47,1,0)</f>
        <v>0</v>
      </c>
      <c r="EW109" s="160">
        <f>IF([Occurrence9]=0,0,SUM($EV$2:EV109))</f>
        <v>0</v>
      </c>
      <c r="EX109" s="160">
        <f>IF([Chambre]*1='CHAMBRES FILLES 2e ETAGE'!$A$53,1,0)</f>
        <v>0</v>
      </c>
      <c r="EY109" s="160">
        <f>IF([Occurrence10]=0,0,SUM($EX$2:EX109))</f>
        <v>0</v>
      </c>
      <c r="EZ109" s="160">
        <f>IF([Chambre]*1='CHAMBRES FILLES 2e ETAGE'!$A$59,1,0)</f>
        <v>0</v>
      </c>
      <c r="FA109" s="160">
        <f>IF([Occurrence11]=0,0,SUM($EZ$2:EZ109))</f>
        <v>0</v>
      </c>
      <c r="FB109" s="160">
        <f>IF([Chambre]*1='CHAMBRES FILLES 2e ETAGE'!$A$65,1,0)</f>
        <v>0</v>
      </c>
      <c r="FC109" s="160">
        <f>IF([Occurrence12]=0,0,SUM($FB$2:FB109))</f>
        <v>0</v>
      </c>
      <c r="FD109" s="160">
        <f>IF([Chambre]*1='CHAMBRES FILLES 2e ETAGE'!$A$71,1,0)</f>
        <v>0</v>
      </c>
      <c r="FE109" s="160">
        <f>IF([Occurrence13]=0,0,SUM($FD$2:FD109))</f>
        <v>0</v>
      </c>
      <c r="FF109" s="160">
        <f>IF([Chambre]*1='CHAMBRES FILLES 2e ETAGE'!$A$77,1,0)</f>
        <v>0</v>
      </c>
      <c r="FG109" s="160">
        <f>IF([Occurrence14]=0,0,SUM($FF$2:FF109))</f>
        <v>0</v>
      </c>
      <c r="FH109" s="160">
        <f>IF([Chambre]*1='CHAMBRES FILLES 2e ETAGE'!$A$83,1,0)</f>
        <v>0</v>
      </c>
      <c r="FI109" s="160">
        <f>IF([Occurrence15]=0,0,SUM($FH$2:FH109))</f>
        <v>0</v>
      </c>
      <c r="FJ109" s="160">
        <f>IF([Chambre]*1='CHAMBRES FILLES 2e ETAGE'!$A$89,1,0)</f>
        <v>0</v>
      </c>
      <c r="FK109" s="160">
        <f>IF([Occurrence16]=0,0,SUM($FJ$2:FJ109))</f>
        <v>0</v>
      </c>
      <c r="FL109" s="160">
        <f>IF([Chambre]*1='CHAMBRES FILLES 2e ETAGE'!$A$95,1,0)</f>
        <v>0</v>
      </c>
      <c r="FM109" s="160">
        <f>IF([Occurrence17]=0,0,SUM($FL$2:FL109))</f>
        <v>0</v>
      </c>
      <c r="FN109" s="160">
        <f>IF([Chambre2]*1='CHAMBRES FILLES 1e ETAGE'!$A$5,1,0)</f>
        <v>1</v>
      </c>
      <c r="FO109" s="160">
        <f>IF([Occurrence18]=0,0,SUM($FN$2:FN109))</f>
        <v>3</v>
      </c>
      <c r="FP109" s="160">
        <f>IF([Chambre2]*1='CHAMBRES FILLES 1e ETAGE'!$A$11,1,0)</f>
        <v>0</v>
      </c>
      <c r="FQ109" s="160">
        <f>IF([Occurrence19]=0,0,SUM($FP$2:FP109))</f>
        <v>0</v>
      </c>
      <c r="FR109" s="160">
        <f>IF([Chambre2]*1='CHAMBRES FILLES 1e ETAGE'!$A$17,1,0)</f>
        <v>0</v>
      </c>
      <c r="FS109" s="160">
        <f>IF([Occurrence20]=0,0,SUM($FR$2:FR109))</f>
        <v>0</v>
      </c>
      <c r="FT109" s="160">
        <f>IF([Chambre2]*1='CHAMBRES FILLES 1e ETAGE'!$A$23,1,0)</f>
        <v>0</v>
      </c>
      <c r="FU109" s="160">
        <f>IF([Occurrence21]=0,0,SUM($FT$2:FT109))</f>
        <v>0</v>
      </c>
      <c r="FV109" s="160">
        <f>IF([Chambre2]*1='CHAMBRES FILLES 1e ETAGE'!$A$29,1,0)</f>
        <v>0</v>
      </c>
      <c r="FW109" s="160">
        <f>IF([Occurrence22]=0,0,SUM($FV$2:FV109))</f>
        <v>0</v>
      </c>
      <c r="FX109" s="160">
        <f>IF([Chambre2]*1='CHAMBRES FILLES 1e ETAGE'!$A$35,1,0)</f>
        <v>0</v>
      </c>
      <c r="FY109" s="160">
        <f>IF([Occurrence23]=0,0,SUM($FX$2:FX109))</f>
        <v>0</v>
      </c>
      <c r="FZ109" s="160">
        <f>IF([Chambre2]*1='CHAMBRES FILLES 1e ETAGE'!$A$41,1,0)</f>
        <v>0</v>
      </c>
      <c r="GA109" s="160">
        <f>IF([Occurrence24]=0,0,SUM($FZ$2:FZ109))</f>
        <v>0</v>
      </c>
      <c r="GB109" s="160">
        <f>IF([Chambre2]*1='CHAMBRES FILLES 1e ETAGE'!$A$47,1,0)</f>
        <v>0</v>
      </c>
      <c r="GC109" s="160">
        <f>IF([Occurrence25]=0,0,SUM($GB$2:GB109))</f>
        <v>0</v>
      </c>
      <c r="GD109" s="160">
        <f>IF([Chambre2]*1='CHAMBRES FILLES 1e ETAGE'!$A$53,1,0)</f>
        <v>0</v>
      </c>
      <c r="GE109" s="160">
        <f>IF([Occurrence26]=0,0,SUM($GD$2:GD109))</f>
        <v>0</v>
      </c>
      <c r="GF109" s="160">
        <f>IF([chambre4]*1='CHAMBRES GARCONS 1e ETAGE'!$A$5,1,0)</f>
        <v>0</v>
      </c>
      <c r="GG109" s="160">
        <f>IF([Occurrence27]=0,0,SUM($GF$2:GF109))</f>
        <v>0</v>
      </c>
      <c r="GH109" s="160">
        <f>IF([chambre4]*1='CHAMBRES GARCONS 1e ETAGE'!$A$11,1,0)</f>
        <v>0</v>
      </c>
      <c r="GI109" s="160">
        <f>IF([Occurrence28]=0,0,SUM($GH$2:GH109))</f>
        <v>0</v>
      </c>
      <c r="GJ109" s="160">
        <f>IF([chambre4]*1='CHAMBRES GARCONS 1e ETAGE'!$A$17,1,0)</f>
        <v>0</v>
      </c>
      <c r="GK109" s="160">
        <f>IF([Occurrence29]=0,0,SUM($GJ$2:GJ109))</f>
        <v>0</v>
      </c>
      <c r="GL109" s="160">
        <f>IF([chambre4]*1='CHAMBRES GARCONS 1e ETAGE'!$A$23,1,0)</f>
        <v>0</v>
      </c>
      <c r="GM109" s="160">
        <f>IF([Occurrence30]=0,0,SUM($GL$2:GL109))</f>
        <v>0</v>
      </c>
      <c r="GN109" s="160">
        <f>IF([chambre4]*1='CHAMBRES GARCONS 1e ETAGE'!$A$29,1,0)</f>
        <v>0</v>
      </c>
      <c r="GO109" s="160">
        <f>IF([Occurrence31]=0,0,SUM($GN$2:GN109))</f>
        <v>0</v>
      </c>
      <c r="GP109" s="160">
        <f>IF([chambre4]*1='CHAMBRES GARCONS 1e ETAGE'!$A$35,1,0)</f>
        <v>0</v>
      </c>
      <c r="GQ109" s="160">
        <f>IF([Occurrence32]=0,0,SUM($GP$2:GP109))</f>
        <v>0</v>
      </c>
      <c r="GR109" s="160">
        <f>IF([chambre3]*1='CHAMBRES GARCONS RDC'!$A$5,1,0)</f>
        <v>0</v>
      </c>
      <c r="GS109" s="160">
        <f>IF([Occurrence33]=0,0,SUM($GR$2:GR109))</f>
        <v>0</v>
      </c>
      <c r="GT109" s="160">
        <f>IF([chambre3]*1='CHAMBRES GARCONS RDC'!$A$11,1,0)</f>
        <v>0</v>
      </c>
      <c r="GU109" s="160">
        <f>IF([Occurrence34]=0,0,SUM($GT$2:GT109))</f>
        <v>0</v>
      </c>
      <c r="GV109" s="160">
        <f>IF([chambre3]*1='CHAMBRES GARCONS RDC'!$A$17,1,0)</f>
        <v>0</v>
      </c>
      <c r="GW109" s="160">
        <f>IF([Occurrence35]=0,0,SUM($GV$2:GV109))</f>
        <v>0</v>
      </c>
      <c r="GX109" s="160">
        <f>IF([chambre3]*1='CHAMBRES GARCONS RDC'!$A$23,1,0)</f>
        <v>0</v>
      </c>
      <c r="GY109" s="160">
        <f>IF([Occurrence36]=0,0,SUM($GX$2:GX109))</f>
        <v>0</v>
      </c>
      <c r="GZ109" s="160">
        <f>IF([chambre3]*1='CHAMBRES GARCONS RDC'!$A$29,1,0)</f>
        <v>0</v>
      </c>
      <c r="HA109" s="160">
        <f>IF([Occurrence37]=0,0,SUM($GZ$2:GZ109))</f>
        <v>0</v>
      </c>
      <c r="HB109" s="160">
        <f>IF([chambre3]*1='CHAMBRES GARCONS RDC'!$A$35,1,0)</f>
        <v>0</v>
      </c>
      <c r="HC109" s="160">
        <f>IF([Occurrence38]=0,0,SUM($HB$2:HB109))</f>
        <v>0</v>
      </c>
      <c r="HD109" s="160">
        <f>IF([chambre3]*1='CHAMBRES GARCONS RDC'!$A$41,1,0)</f>
        <v>0</v>
      </c>
      <c r="HE109" s="160">
        <f>IF([Occurrence39]=0,0,SUM($HD$2:HD109))</f>
        <v>0</v>
      </c>
      <c r="HF109" s="160">
        <f>IF([chambre3]*1='CHAMBRES GARCONS RDC'!$A$47,1,0)</f>
        <v>0</v>
      </c>
      <c r="HG109" s="160">
        <f>IF([Occurrence40]=0,0,SUM($HF$2:HF109))</f>
        <v>0</v>
      </c>
      <c r="HH109" s="160">
        <f>IF([chambre3]*1='CHAMBRES GARCONS RDC'!$A$53,1,0)</f>
        <v>0</v>
      </c>
      <c r="HI109" s="160">
        <f>IF([Occurrence41]=0,0,SUM($HH$2:HH109))</f>
        <v>0</v>
      </c>
      <c r="HJ109" s="160">
        <f>IF([chambre3]*1='CHAMBRES GARCONS RDC'!$A$59,1,0)</f>
        <v>0</v>
      </c>
      <c r="HK109" s="160">
        <f>IF([Occurrence42]=0,0,SUM($HJ$2:HJ109))</f>
        <v>0</v>
      </c>
      <c r="HL109" s="160">
        <f>IF([chambre3]*1='CHAMBRES GARCONS RDC'!$A$65,1,0)</f>
        <v>0</v>
      </c>
      <c r="HM109" s="160">
        <f>IF([Occurrence43]=0,0,SUM($HL$2:HL109))</f>
        <v>0</v>
      </c>
      <c r="HN109" s="160">
        <f>IF([chambre3]*1='CHAMBRES GARCONS RDC'!$A$71,1,0)</f>
        <v>0</v>
      </c>
      <c r="HO109" s="160">
        <f>IF([Occurrence44]=0,0,SUM($HN$2:HN109))</f>
        <v>0</v>
      </c>
      <c r="HP109" s="160">
        <f>IF([chambre3]*1='CHAMBRES GARCONS RDC'!$A$77,1,0)</f>
        <v>0</v>
      </c>
      <c r="HQ109" s="160">
        <f>IF([Occurrence45]=0,0,SUM($HP$2:HP109))</f>
        <v>0</v>
      </c>
      <c r="HR109" s="160">
        <f>IF([chambre3]*1='CHAMBRES GARCONS RDC'!$A$83,1,0)</f>
        <v>0</v>
      </c>
      <c r="HS109" s="160">
        <f>IF([Occurrence46]=0,0,SUM($HR$2:HR109))</f>
        <v>0</v>
      </c>
      <c r="HT109" s="160">
        <f>IF([chambre3]*1='CHAMBRES GARCONS RDC'!$A$89,1,0)</f>
        <v>0</v>
      </c>
      <c r="HU109" s="160">
        <f>IF([Occurrence47]=0,0,SUM($HT$2:HT109))</f>
        <v>0</v>
      </c>
      <c r="HV109" s="160">
        <f>IF([chambre3]*1='CHAMBRES GARCONS RDC'!$A$95,1,0)</f>
        <v>0</v>
      </c>
      <c r="HW109" s="160">
        <f>IF([Occurrence48]=0,0,SUM($HV$2:HV109))</f>
        <v>0</v>
      </c>
      <c r="HX109" s="160"/>
      <c r="HY109" s="160"/>
      <c r="HZ109" s="160">
        <f>IF([Classe]='Liste élève par classes'!$B$5,1,0)</f>
        <v>0</v>
      </c>
      <c r="IA109" s="160">
        <f>IF([Occurrence]=0,0,SUM($HZ$2:HZ109))</f>
        <v>0</v>
      </c>
      <c r="IB10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132</v>
      </c>
      <c r="IC109" s="208"/>
    </row>
    <row r="110" spans="1:237" ht="15.75">
      <c r="A110" t="s">
        <v>435</v>
      </c>
      <c r="B110" t="s">
        <v>367</v>
      </c>
      <c r="C110" s="158">
        <v>37206</v>
      </c>
      <c r="D110" s="62">
        <f t="shared" ca="1" si="1"/>
        <v>16</v>
      </c>
      <c r="E110" t="s">
        <v>14</v>
      </c>
      <c r="F110" s="159" t="s">
        <v>50</v>
      </c>
      <c r="G110" t="s">
        <v>45</v>
      </c>
      <c r="H110" s="160"/>
      <c r="I110" s="62"/>
      <c r="J110" s="167"/>
      <c r="K110" s="168"/>
      <c r="L110" s="61">
        <v>160</v>
      </c>
      <c r="M110">
        <v>178</v>
      </c>
      <c r="N110" s="62"/>
      <c r="O110" s="62"/>
      <c r="P110" s="62"/>
      <c r="Q110" s="62"/>
      <c r="R110" s="62"/>
      <c r="S110" s="191"/>
      <c r="T110" s="62"/>
      <c r="U110" s="61"/>
      <c r="V110" s="62"/>
      <c r="W110" s="62"/>
      <c r="X110" s="62"/>
      <c r="Y110" s="62"/>
      <c r="Z110" s="62"/>
      <c r="AA110" s="62"/>
      <c r="AB110" s="62"/>
      <c r="AC110" s="62"/>
      <c r="AD110" s="62"/>
      <c r="AE110" s="62"/>
      <c r="AF110" s="163"/>
      <c r="AG110" s="163"/>
      <c r="AH110" s="163"/>
      <c r="AI110" s="163"/>
      <c r="AJ110" s="163"/>
      <c r="AK110" s="163"/>
      <c r="AL110" s="163"/>
      <c r="AM110" s="163"/>
      <c r="AN110" s="163"/>
      <c r="AO110" s="163"/>
      <c r="AP110" s="163"/>
      <c r="AQ110" s="163"/>
      <c r="AR110" s="163"/>
      <c r="AS110" s="163"/>
      <c r="AT110" s="163"/>
      <c r="AU110" s="163"/>
      <c r="AV110" s="163"/>
      <c r="AW110" s="163"/>
      <c r="AX110" s="163"/>
      <c r="AY110" s="163"/>
      <c r="AZ110" s="163"/>
      <c r="BA110" s="163"/>
      <c r="BB110" s="163"/>
      <c r="BC110" s="163" t="b">
        <v>0</v>
      </c>
      <c r="BD110" s="163" t="b">
        <v>1</v>
      </c>
      <c r="BE110" s="163" t="b">
        <v>1</v>
      </c>
      <c r="BF110" s="163" t="b">
        <v>0</v>
      </c>
      <c r="BG110" s="164" t="b">
        <v>0</v>
      </c>
      <c r="BH110" s="163" t="b">
        <v>1</v>
      </c>
      <c r="BI110" s="163"/>
      <c r="BJ110" s="163"/>
      <c r="BK110" s="163"/>
      <c r="BL110" s="163"/>
      <c r="BM110" s="163"/>
      <c r="BN110" s="163"/>
      <c r="BO110" s="163"/>
      <c r="BP110" s="163"/>
      <c r="BQ110" s="163" t="b">
        <v>1</v>
      </c>
      <c r="BR110" s="163"/>
      <c r="BS110" s="163"/>
      <c r="BT110" s="163"/>
      <c r="BU110" s="163"/>
      <c r="BV110" s="163"/>
      <c r="BW110" s="163"/>
      <c r="BX110" s="163"/>
      <c r="BY110" s="163"/>
      <c r="BZ110" s="163"/>
      <c r="CA110" s="163"/>
      <c r="CB110" s="163"/>
      <c r="CC110" s="163"/>
      <c r="CD110" s="163"/>
      <c r="CE110" s="163"/>
      <c r="CF110" s="163"/>
      <c r="CG110" s="163"/>
      <c r="CH110" s="163"/>
      <c r="CI110" s="163"/>
      <c r="CJ110" s="163"/>
      <c r="CK110" s="163"/>
      <c r="CL110" s="163"/>
      <c r="CM110" s="163"/>
      <c r="CN110" s="163"/>
      <c r="CO110" s="163"/>
      <c r="CP110" s="163"/>
      <c r="CQ110" s="163"/>
      <c r="CR110" s="163"/>
      <c r="CS110" s="163"/>
      <c r="CT110" s="163"/>
      <c r="CU110" s="163"/>
      <c r="CV110" s="163"/>
      <c r="CW110" s="163"/>
      <c r="CX110" s="163"/>
      <c r="CY110" s="163"/>
      <c r="CZ110" s="163"/>
      <c r="DA110" s="163"/>
      <c r="DB110" s="163"/>
      <c r="DC110" s="163"/>
      <c r="DD110" s="163"/>
      <c r="DE110" s="163"/>
      <c r="DF110" s="163"/>
      <c r="DG110" s="208"/>
      <c r="DH110" s="163"/>
      <c r="DI110" s="163"/>
      <c r="DJ110" s="163"/>
      <c r="DK110" s="163"/>
      <c r="DL110" s="163"/>
      <c r="DM110" s="163"/>
      <c r="DN110" s="163"/>
      <c r="DO110" s="163"/>
      <c r="DP110" s="163"/>
      <c r="DQ110" s="163"/>
      <c r="DR110" s="163"/>
      <c r="DS110" s="163"/>
      <c r="DT110" s="163"/>
      <c r="DU110" s="163"/>
      <c r="DV110" s="163"/>
      <c r="DW110" s="163"/>
      <c r="DX110" s="163"/>
      <c r="DY110" s="163"/>
      <c r="DZ110" s="163"/>
      <c r="EA110" s="163"/>
      <c r="EB110" s="163"/>
      <c r="EC110" s="163"/>
      <c r="ED110" s="163"/>
      <c r="EE110" s="163"/>
      <c r="EF110" s="163"/>
      <c r="EG110" s="163"/>
      <c r="EH110" s="160">
        <f>IF([Chambre]*1='CHAMBRES FILLES 2e ETAGE'!$A$5,1,0)</f>
        <v>0</v>
      </c>
      <c r="EI110" s="161">
        <f>IF([Occurrence2]=0,0,SUM($EH$2:EH110))</f>
        <v>0</v>
      </c>
      <c r="EJ110" s="160">
        <f>IF([Chambre]*1='CHAMBRES FILLES 2e ETAGE'!$A$11,1,0)</f>
        <v>0</v>
      </c>
      <c r="EK110" s="160">
        <f>IF([Occurrence3]=0,0,SUM($EJ$2:EJ110))</f>
        <v>0</v>
      </c>
      <c r="EL110" s="160">
        <f>IF([Chambre]*1='CHAMBRES FILLES 2e ETAGE'!$A$17,1,0)</f>
        <v>1</v>
      </c>
      <c r="EM110" s="160">
        <f>IF([Occurrence4]=0,0,SUM($EL$2:EL110))</f>
        <v>2</v>
      </c>
      <c r="EN110" s="160">
        <f>IF([Chambre]*1='CHAMBRES FILLES 2e ETAGE'!$A$23,1,0)</f>
        <v>0</v>
      </c>
      <c r="EO110" s="160">
        <f>IF([Occurrence5]=0,0,SUM($EN$2:EN110))</f>
        <v>0</v>
      </c>
      <c r="EP110" s="160">
        <f>IF([Chambre]*1='CHAMBRES FILLES 2e ETAGE'!$A$29,1,0)</f>
        <v>0</v>
      </c>
      <c r="EQ110" s="160">
        <f>IF([Occurrence6]=0,0,SUM($EP$2:EP110))</f>
        <v>0</v>
      </c>
      <c r="ER110" s="160">
        <f>IF([Chambre]*1='CHAMBRES FILLES 2e ETAGE'!$A$35,1,0)</f>
        <v>0</v>
      </c>
      <c r="ES110" s="160">
        <f>IF([Occurrence7]=0,0,SUM($ER$2:ER110))</f>
        <v>0</v>
      </c>
      <c r="ET110" s="160">
        <f>IF([Chambre]*1='CHAMBRES FILLES 2e ETAGE'!$A$41,1,0)</f>
        <v>0</v>
      </c>
      <c r="EU110" s="160">
        <f>IF([Occurrence8]=0,0,SUM($ET$2:ET110))</f>
        <v>0</v>
      </c>
      <c r="EV110" s="160">
        <f>IF([Chambre]*1='CHAMBRES FILLES 2e ETAGE'!$A$47,1,0)</f>
        <v>0</v>
      </c>
      <c r="EW110" s="160">
        <f>IF([Occurrence9]=0,0,SUM($EV$2:EV110))</f>
        <v>0</v>
      </c>
      <c r="EX110" s="160">
        <f>IF([Chambre]*1='CHAMBRES FILLES 2e ETAGE'!$A$53,1,0)</f>
        <v>0</v>
      </c>
      <c r="EY110" s="160">
        <f>IF([Occurrence10]=0,0,SUM($EX$2:EX110))</f>
        <v>0</v>
      </c>
      <c r="EZ110" s="160">
        <f>IF([Chambre]*1='CHAMBRES FILLES 2e ETAGE'!$A$59,1,0)</f>
        <v>0</v>
      </c>
      <c r="FA110" s="160">
        <f>IF([Occurrence11]=0,0,SUM($EZ$2:EZ110))</f>
        <v>0</v>
      </c>
      <c r="FB110" s="160">
        <f>IF([Chambre]*1='CHAMBRES FILLES 2e ETAGE'!$A$65,1,0)</f>
        <v>0</v>
      </c>
      <c r="FC110" s="160">
        <f>IF([Occurrence12]=0,0,SUM($FB$2:FB110))</f>
        <v>0</v>
      </c>
      <c r="FD110" s="160">
        <f>IF([Chambre]*1='CHAMBRES FILLES 2e ETAGE'!$A$71,1,0)</f>
        <v>0</v>
      </c>
      <c r="FE110" s="160">
        <f>IF([Occurrence13]=0,0,SUM($FD$2:FD110))</f>
        <v>0</v>
      </c>
      <c r="FF110" s="160">
        <f>IF([Chambre]*1='CHAMBRES FILLES 2e ETAGE'!$A$77,1,0)</f>
        <v>0</v>
      </c>
      <c r="FG110" s="160">
        <f>IF([Occurrence14]=0,0,SUM($FF$2:FF110))</f>
        <v>0</v>
      </c>
      <c r="FH110" s="160">
        <f>IF([Chambre]*1='CHAMBRES FILLES 2e ETAGE'!$A$83,1,0)</f>
        <v>0</v>
      </c>
      <c r="FI110" s="160">
        <f>IF([Occurrence15]=0,0,SUM($FH$2:FH110))</f>
        <v>0</v>
      </c>
      <c r="FJ110" s="160">
        <f>IF([Chambre]*1='CHAMBRES FILLES 2e ETAGE'!$A$89,1,0)</f>
        <v>0</v>
      </c>
      <c r="FK110" s="160">
        <f>IF([Occurrence16]=0,0,SUM($FJ$2:FJ110))</f>
        <v>0</v>
      </c>
      <c r="FL110" s="160">
        <f>IF([Chambre]*1='CHAMBRES FILLES 2e ETAGE'!$A$95,1,0)</f>
        <v>0</v>
      </c>
      <c r="FM110" s="160">
        <f>IF([Occurrence17]=0,0,SUM($FL$2:FL110))</f>
        <v>0</v>
      </c>
      <c r="FN110" s="160">
        <f>IF([Chambre2]*1='CHAMBRES FILLES 1e ETAGE'!$A$5,1,0)</f>
        <v>0</v>
      </c>
      <c r="FO110" s="160">
        <f>IF([Occurrence18]=0,0,SUM($FN$2:FN110))</f>
        <v>0</v>
      </c>
      <c r="FP110" s="160">
        <f>IF([Chambre2]*1='CHAMBRES FILLES 1e ETAGE'!$A$11,1,0)</f>
        <v>0</v>
      </c>
      <c r="FQ110" s="160">
        <f>IF([Occurrence19]=0,0,SUM($FP$2:FP110))</f>
        <v>0</v>
      </c>
      <c r="FR110" s="160">
        <f>IF([Chambre2]*1='CHAMBRES FILLES 1e ETAGE'!$A$17,1,0)</f>
        <v>0</v>
      </c>
      <c r="FS110" s="160">
        <f>IF([Occurrence20]=0,0,SUM($FR$2:FR110))</f>
        <v>0</v>
      </c>
      <c r="FT110" s="160">
        <f>IF([Chambre2]*1='CHAMBRES FILLES 1e ETAGE'!$A$23,1,0)</f>
        <v>0</v>
      </c>
      <c r="FU110" s="160">
        <f>IF([Occurrence21]=0,0,SUM($FT$2:FT110))</f>
        <v>0</v>
      </c>
      <c r="FV110" s="160">
        <f>IF([Chambre2]*1='CHAMBRES FILLES 1e ETAGE'!$A$29,1,0)</f>
        <v>0</v>
      </c>
      <c r="FW110" s="160">
        <f>IF([Occurrence22]=0,0,SUM($FV$2:FV110))</f>
        <v>0</v>
      </c>
      <c r="FX110" s="160">
        <f>IF([Chambre2]*1='CHAMBRES FILLES 1e ETAGE'!$A$35,1,0)</f>
        <v>0</v>
      </c>
      <c r="FY110" s="160">
        <f>IF([Occurrence23]=0,0,SUM($FX$2:FX110))</f>
        <v>0</v>
      </c>
      <c r="FZ110" s="160">
        <f>IF([Chambre2]*1='CHAMBRES FILLES 1e ETAGE'!$A$41,1,0)</f>
        <v>0</v>
      </c>
      <c r="GA110" s="160">
        <f>IF([Occurrence24]=0,0,SUM($FZ$2:FZ110))</f>
        <v>0</v>
      </c>
      <c r="GB110" s="160">
        <f>IF([Chambre2]*1='CHAMBRES FILLES 1e ETAGE'!$A$47,1,0)</f>
        <v>0</v>
      </c>
      <c r="GC110" s="160">
        <f>IF([Occurrence25]=0,0,SUM($GB$2:GB110))</f>
        <v>0</v>
      </c>
      <c r="GD110" s="160">
        <f>IF([Chambre2]*1='CHAMBRES FILLES 1e ETAGE'!$A$53,1,0)</f>
        <v>0</v>
      </c>
      <c r="GE110" s="160">
        <f>IF([Occurrence26]=0,0,SUM($GD$2:GD110))</f>
        <v>0</v>
      </c>
      <c r="GF110" s="160">
        <f>IF([chambre4]*1='CHAMBRES GARCONS 1e ETAGE'!$A$5,1,0)</f>
        <v>0</v>
      </c>
      <c r="GG110" s="160">
        <f>IF([Occurrence27]=0,0,SUM($GF$2:GF110))</f>
        <v>0</v>
      </c>
      <c r="GH110" s="160">
        <f>IF([chambre4]*1='CHAMBRES GARCONS 1e ETAGE'!$A$11,1,0)</f>
        <v>0</v>
      </c>
      <c r="GI110" s="160">
        <f>IF([Occurrence28]=0,0,SUM($GH$2:GH110))</f>
        <v>0</v>
      </c>
      <c r="GJ110" s="160">
        <f>IF([chambre4]*1='CHAMBRES GARCONS 1e ETAGE'!$A$17,1,0)</f>
        <v>0</v>
      </c>
      <c r="GK110" s="160">
        <f>IF([Occurrence29]=0,0,SUM($GJ$2:GJ110))</f>
        <v>0</v>
      </c>
      <c r="GL110" s="160">
        <f>IF([chambre4]*1='CHAMBRES GARCONS 1e ETAGE'!$A$23,1,0)</f>
        <v>0</v>
      </c>
      <c r="GM110" s="160">
        <f>IF([Occurrence30]=0,0,SUM($GL$2:GL110))</f>
        <v>0</v>
      </c>
      <c r="GN110" s="160">
        <f>IF([chambre4]*1='CHAMBRES GARCONS 1e ETAGE'!$A$29,1,0)</f>
        <v>0</v>
      </c>
      <c r="GO110" s="160">
        <f>IF([Occurrence31]=0,0,SUM($GN$2:GN110))</f>
        <v>0</v>
      </c>
      <c r="GP110" s="160">
        <f>IF([chambre4]*1='CHAMBRES GARCONS 1e ETAGE'!$A$35,1,0)</f>
        <v>0</v>
      </c>
      <c r="GQ110" s="160">
        <f>IF([Occurrence32]=0,0,SUM($GP$2:GP110))</f>
        <v>0</v>
      </c>
      <c r="GR110" s="160">
        <f>IF([chambre3]*1='CHAMBRES GARCONS RDC'!$A$5,1,0)</f>
        <v>0</v>
      </c>
      <c r="GS110" s="160">
        <f>IF([Occurrence33]=0,0,SUM($GR$2:GR110))</f>
        <v>0</v>
      </c>
      <c r="GT110" s="160">
        <f>IF([chambre3]*1='CHAMBRES GARCONS RDC'!$A$11,1,0)</f>
        <v>0</v>
      </c>
      <c r="GU110" s="160">
        <f>IF([Occurrence34]=0,0,SUM($GT$2:GT110))</f>
        <v>0</v>
      </c>
      <c r="GV110" s="160">
        <f>IF([chambre3]*1='CHAMBRES GARCONS RDC'!$A$17,1,0)</f>
        <v>0</v>
      </c>
      <c r="GW110" s="160">
        <f>IF([Occurrence35]=0,0,SUM($GV$2:GV110))</f>
        <v>0</v>
      </c>
      <c r="GX110" s="160">
        <f>IF([chambre3]*1='CHAMBRES GARCONS RDC'!$A$23,1,0)</f>
        <v>0</v>
      </c>
      <c r="GY110" s="160">
        <f>IF([Occurrence36]=0,0,SUM($GX$2:GX110))</f>
        <v>0</v>
      </c>
      <c r="GZ110" s="160">
        <f>IF([chambre3]*1='CHAMBRES GARCONS RDC'!$A$29,1,0)</f>
        <v>0</v>
      </c>
      <c r="HA110" s="160">
        <f>IF([Occurrence37]=0,0,SUM($GZ$2:GZ110))</f>
        <v>0</v>
      </c>
      <c r="HB110" s="160">
        <f>IF([chambre3]*1='CHAMBRES GARCONS RDC'!$A$35,1,0)</f>
        <v>0</v>
      </c>
      <c r="HC110" s="160">
        <f>IF([Occurrence38]=0,0,SUM($HB$2:HB110))</f>
        <v>0</v>
      </c>
      <c r="HD110" s="160">
        <f>IF([chambre3]*1='CHAMBRES GARCONS RDC'!$A$41,1,0)</f>
        <v>0</v>
      </c>
      <c r="HE110" s="160">
        <f>IF([Occurrence39]=0,0,SUM($HD$2:HD110))</f>
        <v>0</v>
      </c>
      <c r="HF110" s="160">
        <f>IF([chambre3]*1='CHAMBRES GARCONS RDC'!$A$47,1,0)</f>
        <v>0</v>
      </c>
      <c r="HG110" s="160">
        <f>IF([Occurrence40]=0,0,SUM($HF$2:HF110))</f>
        <v>0</v>
      </c>
      <c r="HH110" s="160">
        <f>IF([chambre3]*1='CHAMBRES GARCONS RDC'!$A$53,1,0)</f>
        <v>0</v>
      </c>
      <c r="HI110" s="160">
        <f>IF([Occurrence41]=0,0,SUM($HH$2:HH110))</f>
        <v>0</v>
      </c>
      <c r="HJ110" s="160">
        <f>IF([chambre3]*1='CHAMBRES GARCONS RDC'!$A$59,1,0)</f>
        <v>0</v>
      </c>
      <c r="HK110" s="160">
        <f>IF([Occurrence42]=0,0,SUM($HJ$2:HJ110))</f>
        <v>0</v>
      </c>
      <c r="HL110" s="160">
        <f>IF([chambre3]*1='CHAMBRES GARCONS RDC'!$A$65,1,0)</f>
        <v>0</v>
      </c>
      <c r="HM110" s="160">
        <f>IF([Occurrence43]=0,0,SUM($HL$2:HL110))</f>
        <v>0</v>
      </c>
      <c r="HN110" s="160">
        <f>IF([chambre3]*1='CHAMBRES GARCONS RDC'!$A$71,1,0)</f>
        <v>0</v>
      </c>
      <c r="HO110" s="160">
        <f>IF([Occurrence44]=0,0,SUM($HN$2:HN110))</f>
        <v>0</v>
      </c>
      <c r="HP110" s="160">
        <f>IF([chambre3]*1='CHAMBRES GARCONS RDC'!$A$77,1,0)</f>
        <v>0</v>
      </c>
      <c r="HQ110" s="160">
        <f>IF([Occurrence45]=0,0,SUM($HP$2:HP110))</f>
        <v>0</v>
      </c>
      <c r="HR110" s="160">
        <f>IF([chambre3]*1='CHAMBRES GARCONS RDC'!$A$83,1,0)</f>
        <v>0</v>
      </c>
      <c r="HS110" s="160">
        <f>IF([Occurrence46]=0,0,SUM($HR$2:HR110))</f>
        <v>0</v>
      </c>
      <c r="HT110" s="160">
        <f>IF([chambre3]*1='CHAMBRES GARCONS RDC'!$A$89,1,0)</f>
        <v>0</v>
      </c>
      <c r="HU110" s="160">
        <f>IF([Occurrence47]=0,0,SUM($HT$2:HT110))</f>
        <v>0</v>
      </c>
      <c r="HV110" s="160">
        <f>IF([chambre3]*1='CHAMBRES GARCONS RDC'!$A$95,1,0)</f>
        <v>0</v>
      </c>
      <c r="HW110" s="160">
        <f>IF([Occurrence48]=0,0,SUM($HV$2:HV110))</f>
        <v>0</v>
      </c>
      <c r="HX110" s="160"/>
      <c r="HY110" s="160"/>
      <c r="HZ110" s="160">
        <f>IF([Classe]='Liste élève par classes'!$B$5,1,0)</f>
        <v>0</v>
      </c>
      <c r="IA110" s="160">
        <f>IF([Occurrence]=0,0,SUM($HZ$2:HZ110))</f>
        <v>0</v>
      </c>
      <c r="IB11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160</v>
      </c>
      <c r="IC110" s="208"/>
    </row>
    <row r="111" spans="1:237" ht="15.75">
      <c r="A111" t="s">
        <v>436</v>
      </c>
      <c r="B111" t="s">
        <v>437</v>
      </c>
      <c r="C111" s="158">
        <v>36761</v>
      </c>
      <c r="D111" s="62">
        <f t="shared" ca="1" si="1"/>
        <v>17</v>
      </c>
      <c r="E111" t="s">
        <v>14</v>
      </c>
      <c r="F111" s="159" t="s">
        <v>50</v>
      </c>
      <c r="G111" t="s">
        <v>40</v>
      </c>
      <c r="H111" s="160"/>
      <c r="I111" s="62"/>
      <c r="J111" s="6"/>
      <c r="K111" s="168"/>
      <c r="L111" s="160"/>
      <c r="M111">
        <v>179</v>
      </c>
      <c r="N111" s="161" t="s">
        <v>244</v>
      </c>
      <c r="O111" s="161" t="s">
        <v>244</v>
      </c>
      <c r="P111" s="161" t="s">
        <v>244</v>
      </c>
      <c r="Q111" s="161" t="s">
        <v>244</v>
      </c>
      <c r="R111" s="161" t="s">
        <v>244</v>
      </c>
      <c r="S111" s="190"/>
      <c r="T111" s="161" t="s">
        <v>244</v>
      </c>
      <c r="U111" s="160"/>
      <c r="V111" s="161" t="s">
        <v>244</v>
      </c>
      <c r="W111" s="161" t="s">
        <v>244</v>
      </c>
      <c r="X111" s="161" t="s">
        <v>244</v>
      </c>
      <c r="Y111" s="161" t="s">
        <v>244</v>
      </c>
      <c r="Z111" s="161" t="s">
        <v>244</v>
      </c>
      <c r="AA111" s="161" t="s">
        <v>244</v>
      </c>
      <c r="AB111" s="161" t="s">
        <v>244</v>
      </c>
      <c r="AC111" s="161" t="s">
        <v>244</v>
      </c>
      <c r="AD111" s="161" t="s">
        <v>244</v>
      </c>
      <c r="AE111" s="161" t="s">
        <v>244</v>
      </c>
      <c r="AF111" s="163" t="s">
        <v>244</v>
      </c>
      <c r="AG111" s="163" t="s">
        <v>244</v>
      </c>
      <c r="AH111" s="163" t="s">
        <v>244</v>
      </c>
      <c r="AI111" s="163"/>
      <c r="AJ111" s="163"/>
      <c r="AK111" s="163"/>
      <c r="AL111" s="163"/>
      <c r="AM111" s="163"/>
      <c r="AN111" s="163"/>
      <c r="AO111" s="163"/>
      <c r="AP111" s="163"/>
      <c r="AQ111" s="163"/>
      <c r="AR111" s="163"/>
      <c r="AS111" s="163"/>
      <c r="AT111" s="163"/>
      <c r="AU111" s="163"/>
      <c r="AV111" s="163"/>
      <c r="AW111" s="163"/>
      <c r="AX111" s="163"/>
      <c r="AY111" s="163"/>
      <c r="AZ111" s="163"/>
      <c r="BA111" s="163"/>
      <c r="BB111" s="163"/>
      <c r="BC111" s="163" t="b">
        <v>0</v>
      </c>
      <c r="BD111" s="163" t="b">
        <v>1</v>
      </c>
      <c r="BE111" s="163" t="b">
        <v>1</v>
      </c>
      <c r="BF111" s="163" t="b">
        <v>0</v>
      </c>
      <c r="BG111" s="164" t="b">
        <v>0</v>
      </c>
      <c r="BH111" s="163" t="b">
        <v>1</v>
      </c>
      <c r="BI111" s="163"/>
      <c r="BJ111" s="163"/>
      <c r="BK111" s="163"/>
      <c r="BL111" s="163"/>
      <c r="BM111" s="163"/>
      <c r="BN111" s="163"/>
      <c r="BO111" s="163"/>
      <c r="BP111" s="163"/>
      <c r="BQ111" s="163" t="b">
        <v>1</v>
      </c>
      <c r="BR111" s="163"/>
      <c r="BS111" s="163"/>
      <c r="BT111" s="163"/>
      <c r="BU111" s="163"/>
      <c r="BV111" s="163"/>
      <c r="BW111" s="163"/>
      <c r="BX111" s="163"/>
      <c r="BY111" s="163"/>
      <c r="BZ111" s="163"/>
      <c r="CA111" s="163"/>
      <c r="CB111" s="163"/>
      <c r="CC111" s="163"/>
      <c r="CD111" s="163"/>
      <c r="CE111" s="163"/>
      <c r="CF111" s="163"/>
      <c r="CG111" s="163"/>
      <c r="CH111" s="163"/>
      <c r="CI111" s="163"/>
      <c r="CJ111" s="163"/>
      <c r="CK111" s="163"/>
      <c r="CL111" s="163"/>
      <c r="CM111" s="163"/>
      <c r="CN111" s="163"/>
      <c r="CO111" s="163"/>
      <c r="CP111" s="163"/>
      <c r="CQ111" s="163"/>
      <c r="CR111" s="163"/>
      <c r="CS111" s="163"/>
      <c r="CT111" s="163"/>
      <c r="CU111" s="163"/>
      <c r="CV111" s="163"/>
      <c r="CW111" s="163"/>
      <c r="CX111" s="163"/>
      <c r="CY111" s="163"/>
      <c r="CZ111" s="163"/>
      <c r="DA111" s="163">
        <v>116</v>
      </c>
      <c r="DB111" s="163"/>
      <c r="DC111" s="163"/>
      <c r="DD111" s="163"/>
      <c r="DE111" s="163"/>
      <c r="DF111" s="163"/>
      <c r="DG111" s="208"/>
      <c r="DH111" s="163"/>
      <c r="DI111" s="163"/>
      <c r="DJ111" s="163"/>
      <c r="DK111" s="163"/>
      <c r="DL111" s="163"/>
      <c r="DM111" s="163"/>
      <c r="DN111" s="163"/>
      <c r="DO111" s="163"/>
      <c r="DP111" s="163"/>
      <c r="DQ111" s="163"/>
      <c r="DR111" s="163"/>
      <c r="DS111" s="163"/>
      <c r="DT111" s="163"/>
      <c r="DU111" s="163"/>
      <c r="DV111" s="163"/>
      <c r="DW111" s="163"/>
      <c r="DX111" s="163"/>
      <c r="DY111" s="163"/>
      <c r="DZ111" s="163"/>
      <c r="EA111" s="163"/>
      <c r="EB111" s="163"/>
      <c r="EC111" s="163"/>
      <c r="ED111" s="163"/>
      <c r="EE111" s="163"/>
      <c r="EF111" s="163"/>
      <c r="EG111" s="163"/>
      <c r="EH111" s="160">
        <f>IF([Chambre]*1='CHAMBRES FILLES 2e ETAGE'!$A$5,1,0)</f>
        <v>0</v>
      </c>
      <c r="EI111" s="161">
        <f>IF([Occurrence2]=0,0,SUM($EH$2:EH111))</f>
        <v>0</v>
      </c>
      <c r="EJ111" s="160">
        <f>IF([Chambre]*1='CHAMBRES FILLES 2e ETAGE'!$A$11,1,0)</f>
        <v>0</v>
      </c>
      <c r="EK111" s="160">
        <f>IF([Occurrence3]=0,0,SUM($EJ$2:EJ111))</f>
        <v>0</v>
      </c>
      <c r="EL111" s="160">
        <f>IF([Chambre]*1='CHAMBRES FILLES 2e ETAGE'!$A$17,1,0)</f>
        <v>0</v>
      </c>
      <c r="EM111" s="160">
        <f>IF([Occurrence4]=0,0,SUM($EL$2:EL111))</f>
        <v>0</v>
      </c>
      <c r="EN111" s="160">
        <f>IF([Chambre]*1='CHAMBRES FILLES 2e ETAGE'!$A$23,1,0)</f>
        <v>0</v>
      </c>
      <c r="EO111" s="160">
        <f>IF([Occurrence5]=0,0,SUM($EN$2:EN111))</f>
        <v>0</v>
      </c>
      <c r="EP111" s="160">
        <f>IF([Chambre]*1='CHAMBRES FILLES 2e ETAGE'!$A$29,1,0)</f>
        <v>0</v>
      </c>
      <c r="EQ111" s="160">
        <f>IF([Occurrence6]=0,0,SUM($EP$2:EP111))</f>
        <v>0</v>
      </c>
      <c r="ER111" s="160">
        <f>IF([Chambre]*1='CHAMBRES FILLES 2e ETAGE'!$A$35,1,0)</f>
        <v>0</v>
      </c>
      <c r="ES111" s="160">
        <f>IF([Occurrence7]=0,0,SUM($ER$2:ER111))</f>
        <v>0</v>
      </c>
      <c r="ET111" s="160">
        <f>IF([Chambre]*1='CHAMBRES FILLES 2e ETAGE'!$A$41,1,0)</f>
        <v>0</v>
      </c>
      <c r="EU111" s="160">
        <f>IF([Occurrence8]=0,0,SUM($ET$2:ET111))</f>
        <v>0</v>
      </c>
      <c r="EV111" s="160">
        <f>IF([Chambre]*1='CHAMBRES FILLES 2e ETAGE'!$A$47,1,0)</f>
        <v>0</v>
      </c>
      <c r="EW111" s="160">
        <f>IF([Occurrence9]=0,0,SUM($EV$2:EV111))</f>
        <v>0</v>
      </c>
      <c r="EX111" s="160">
        <f>IF([Chambre]*1='CHAMBRES FILLES 2e ETAGE'!$A$53,1,0)</f>
        <v>0</v>
      </c>
      <c r="EY111" s="160">
        <f>IF([Occurrence10]=0,0,SUM($EX$2:EX111))</f>
        <v>0</v>
      </c>
      <c r="EZ111" s="160">
        <f>IF([Chambre]*1='CHAMBRES FILLES 2e ETAGE'!$A$59,1,0)</f>
        <v>0</v>
      </c>
      <c r="FA111" s="160">
        <f>IF([Occurrence11]=0,0,SUM($EZ$2:EZ111))</f>
        <v>0</v>
      </c>
      <c r="FB111" s="160">
        <f>IF([Chambre]*1='CHAMBRES FILLES 2e ETAGE'!$A$65,1,0)</f>
        <v>0</v>
      </c>
      <c r="FC111" s="160">
        <f>IF([Occurrence12]=0,0,SUM($FB$2:FB111))</f>
        <v>0</v>
      </c>
      <c r="FD111" s="160">
        <f>IF([Chambre]*1='CHAMBRES FILLES 2e ETAGE'!$A$71,1,0)</f>
        <v>0</v>
      </c>
      <c r="FE111" s="160">
        <f>IF([Occurrence13]=0,0,SUM($FD$2:FD111))</f>
        <v>0</v>
      </c>
      <c r="FF111" s="160">
        <f>IF([Chambre]*1='CHAMBRES FILLES 2e ETAGE'!$A$77,1,0)</f>
        <v>0</v>
      </c>
      <c r="FG111" s="160">
        <f>IF([Occurrence14]=0,0,SUM($FF$2:FF111))</f>
        <v>0</v>
      </c>
      <c r="FH111" s="160">
        <f>IF([Chambre]*1='CHAMBRES FILLES 2e ETAGE'!$A$83,1,0)</f>
        <v>0</v>
      </c>
      <c r="FI111" s="160">
        <f>IF([Occurrence15]=0,0,SUM($FH$2:FH111))</f>
        <v>0</v>
      </c>
      <c r="FJ111" s="160">
        <f>IF([Chambre]*1='CHAMBRES FILLES 2e ETAGE'!$A$89,1,0)</f>
        <v>0</v>
      </c>
      <c r="FK111" s="160">
        <f>IF([Occurrence16]=0,0,SUM($FJ$2:FJ111))</f>
        <v>0</v>
      </c>
      <c r="FL111" s="160">
        <f>IF([Chambre]*1='CHAMBRES FILLES 2e ETAGE'!$A$95,1,0)</f>
        <v>0</v>
      </c>
      <c r="FM111" s="160">
        <f>IF([Occurrence17]=0,0,SUM($FL$2:FL111))</f>
        <v>0</v>
      </c>
      <c r="FN111" s="160">
        <f>IF([Chambre2]*1='CHAMBRES FILLES 1e ETAGE'!$A$5,1,0)</f>
        <v>0</v>
      </c>
      <c r="FO111" s="160">
        <f>IF([Occurrence18]=0,0,SUM($FN$2:FN111))</f>
        <v>0</v>
      </c>
      <c r="FP111" s="160">
        <f>IF([Chambre2]*1='CHAMBRES FILLES 1e ETAGE'!$A$11,1,0)</f>
        <v>0</v>
      </c>
      <c r="FQ111" s="160">
        <f>IF([Occurrence19]=0,0,SUM($FP$2:FP111))</f>
        <v>0</v>
      </c>
      <c r="FR111" s="160">
        <f>IF([Chambre2]*1='CHAMBRES FILLES 1e ETAGE'!$A$17,1,0)</f>
        <v>0</v>
      </c>
      <c r="FS111" s="160">
        <f>IF([Occurrence20]=0,0,SUM($FR$2:FR111))</f>
        <v>0</v>
      </c>
      <c r="FT111" s="160">
        <f>IF([Chambre2]*1='CHAMBRES FILLES 1e ETAGE'!$A$23,1,0)</f>
        <v>0</v>
      </c>
      <c r="FU111" s="160">
        <f>IF([Occurrence21]=0,0,SUM($FT$2:FT111))</f>
        <v>0</v>
      </c>
      <c r="FV111" s="160">
        <f>IF([Chambre2]*1='CHAMBRES FILLES 1e ETAGE'!$A$29,1,0)</f>
        <v>0</v>
      </c>
      <c r="FW111" s="160">
        <f>IF([Occurrence22]=0,0,SUM($FV$2:FV111))</f>
        <v>0</v>
      </c>
      <c r="FX111" s="160">
        <f>IF([Chambre2]*1='CHAMBRES FILLES 1e ETAGE'!$A$35,1,0)</f>
        <v>0</v>
      </c>
      <c r="FY111" s="160">
        <f>IF([Occurrence23]=0,0,SUM($FX$2:FX111))</f>
        <v>0</v>
      </c>
      <c r="FZ111" s="160">
        <f>IF([Chambre2]*1='CHAMBRES FILLES 1e ETAGE'!$A$41,1,0)</f>
        <v>0</v>
      </c>
      <c r="GA111" s="160">
        <f>IF([Occurrence24]=0,0,SUM($FZ$2:FZ111))</f>
        <v>0</v>
      </c>
      <c r="GB111" s="160">
        <f>IF([Chambre2]*1='CHAMBRES FILLES 1e ETAGE'!$A$47,1,0)</f>
        <v>0</v>
      </c>
      <c r="GC111" s="160">
        <f>IF([Occurrence25]=0,0,SUM($GB$2:GB111))</f>
        <v>0</v>
      </c>
      <c r="GD111" s="160">
        <f>IF([Chambre2]*1='CHAMBRES FILLES 1e ETAGE'!$A$53,1,0)</f>
        <v>0</v>
      </c>
      <c r="GE111" s="160">
        <f>IF([Occurrence26]=0,0,SUM($GD$2:GD111))</f>
        <v>0</v>
      </c>
      <c r="GF111" s="160">
        <f>IF([chambre4]*1='CHAMBRES GARCONS 1e ETAGE'!$A$5,1,0)</f>
        <v>0</v>
      </c>
      <c r="GG111" s="160">
        <f>IF([Occurrence27]=0,0,SUM($GF$2:GF111))</f>
        <v>0</v>
      </c>
      <c r="GH111" s="160">
        <f>IF([chambre4]*1='CHAMBRES GARCONS 1e ETAGE'!$A$11,1,0)</f>
        <v>0</v>
      </c>
      <c r="GI111" s="160">
        <f>IF([Occurrence28]=0,0,SUM($GH$2:GH111))</f>
        <v>0</v>
      </c>
      <c r="GJ111" s="160">
        <f>IF([chambre4]*1='CHAMBRES GARCONS 1e ETAGE'!$A$17,1,0)</f>
        <v>0</v>
      </c>
      <c r="GK111" s="160">
        <f>IF([Occurrence29]=0,0,SUM($GJ$2:GJ111))</f>
        <v>0</v>
      </c>
      <c r="GL111" s="160">
        <f>IF([chambre4]*1='CHAMBRES GARCONS 1e ETAGE'!$A$23,1,0)</f>
        <v>0</v>
      </c>
      <c r="GM111" s="160">
        <f>IF([Occurrence30]=0,0,SUM($GL$2:GL111))</f>
        <v>0</v>
      </c>
      <c r="GN111" s="160">
        <f>IF([chambre4]*1='CHAMBRES GARCONS 1e ETAGE'!$A$29,1,0)</f>
        <v>0</v>
      </c>
      <c r="GO111" s="160">
        <f>IF([Occurrence31]=0,0,SUM($GN$2:GN111))</f>
        <v>0</v>
      </c>
      <c r="GP111" s="160">
        <f>IF([chambre4]*1='CHAMBRES GARCONS 1e ETAGE'!$A$35,1,0)</f>
        <v>0</v>
      </c>
      <c r="GQ111" s="160">
        <f>IF([Occurrence32]=0,0,SUM($GP$2:GP111))</f>
        <v>0</v>
      </c>
      <c r="GR111" s="160">
        <f>IF([chambre3]*1='CHAMBRES GARCONS RDC'!$A$5,1,0)</f>
        <v>0</v>
      </c>
      <c r="GS111" s="160">
        <f>IF([Occurrence33]=0,0,SUM($GR$2:GR111))</f>
        <v>0</v>
      </c>
      <c r="GT111" s="160">
        <f>IF([chambre3]*1='CHAMBRES GARCONS RDC'!$A$11,1,0)</f>
        <v>0</v>
      </c>
      <c r="GU111" s="160">
        <f>IF([Occurrence34]=0,0,SUM($GT$2:GT111))</f>
        <v>0</v>
      </c>
      <c r="GV111" s="160">
        <f>IF([chambre3]*1='CHAMBRES GARCONS RDC'!$A$17,1,0)</f>
        <v>0</v>
      </c>
      <c r="GW111" s="160">
        <f>IF([Occurrence35]=0,0,SUM($GV$2:GV111))</f>
        <v>0</v>
      </c>
      <c r="GX111" s="160">
        <f>IF([chambre3]*1='CHAMBRES GARCONS RDC'!$A$23,1,0)</f>
        <v>0</v>
      </c>
      <c r="GY111" s="160">
        <f>IF([Occurrence36]=0,0,SUM($GX$2:GX111))</f>
        <v>0</v>
      </c>
      <c r="GZ111" s="160">
        <f>IF([chambre3]*1='CHAMBRES GARCONS RDC'!$A$29,1,0)</f>
        <v>0</v>
      </c>
      <c r="HA111" s="160">
        <f>IF([Occurrence37]=0,0,SUM($GZ$2:GZ111))</f>
        <v>0</v>
      </c>
      <c r="HB111" s="160">
        <f>IF([chambre3]*1='CHAMBRES GARCONS RDC'!$A$35,1,0)</f>
        <v>0</v>
      </c>
      <c r="HC111" s="160">
        <f>IF([Occurrence38]=0,0,SUM($HB$2:HB111))</f>
        <v>0</v>
      </c>
      <c r="HD111" s="160">
        <f>IF([chambre3]*1='CHAMBRES GARCONS RDC'!$A$41,1,0)</f>
        <v>0</v>
      </c>
      <c r="HE111" s="160">
        <f>IF([Occurrence39]=0,0,SUM($HD$2:HD111))</f>
        <v>0</v>
      </c>
      <c r="HF111" s="160">
        <f>IF([chambre3]*1='CHAMBRES GARCONS RDC'!$A$47,1,0)</f>
        <v>0</v>
      </c>
      <c r="HG111" s="160">
        <f>IF([Occurrence40]=0,0,SUM($HF$2:HF111))</f>
        <v>0</v>
      </c>
      <c r="HH111" s="160">
        <f>IF([chambre3]*1='CHAMBRES GARCONS RDC'!$A$53,1,0)</f>
        <v>0</v>
      </c>
      <c r="HI111" s="160">
        <f>IF([Occurrence41]=0,0,SUM($HH$2:HH111))</f>
        <v>0</v>
      </c>
      <c r="HJ111" s="160">
        <f>IF([chambre3]*1='CHAMBRES GARCONS RDC'!$A$59,1,0)</f>
        <v>0</v>
      </c>
      <c r="HK111" s="160">
        <f>IF([Occurrence42]=0,0,SUM($HJ$2:HJ111))</f>
        <v>0</v>
      </c>
      <c r="HL111" s="160">
        <f>IF([chambre3]*1='CHAMBRES GARCONS RDC'!$A$65,1,0)</f>
        <v>0</v>
      </c>
      <c r="HM111" s="160">
        <f>IF([Occurrence43]=0,0,SUM($HL$2:HL111))</f>
        <v>0</v>
      </c>
      <c r="HN111" s="160">
        <f>IF([chambre3]*1='CHAMBRES GARCONS RDC'!$A$71,1,0)</f>
        <v>0</v>
      </c>
      <c r="HO111" s="160">
        <f>IF([Occurrence44]=0,0,SUM($HN$2:HN111))</f>
        <v>0</v>
      </c>
      <c r="HP111" s="160">
        <f>IF([chambre3]*1='CHAMBRES GARCONS RDC'!$A$77,1,0)</f>
        <v>1</v>
      </c>
      <c r="HQ111" s="160">
        <f>IF([Occurrence45]=0,0,SUM($HP$2:HP111))</f>
        <v>1</v>
      </c>
      <c r="HR111" s="160">
        <f>IF([chambre3]*1='CHAMBRES GARCONS RDC'!$A$83,1,0)</f>
        <v>0</v>
      </c>
      <c r="HS111" s="160">
        <f>IF([Occurrence46]=0,0,SUM($HR$2:HR111))</f>
        <v>0</v>
      </c>
      <c r="HT111" s="160">
        <f>IF([chambre3]*1='CHAMBRES GARCONS RDC'!$A$89,1,0)</f>
        <v>0</v>
      </c>
      <c r="HU111" s="160">
        <f>IF([Occurrence47]=0,0,SUM($HT$2:HT111))</f>
        <v>0</v>
      </c>
      <c r="HV111" s="160">
        <f>IF([chambre3]*1='CHAMBRES GARCONS RDC'!$A$95,1,0)</f>
        <v>0</v>
      </c>
      <c r="HW111" s="160">
        <f>IF([Occurrence48]=0,0,SUM($HV$2:HV111))</f>
        <v>0</v>
      </c>
      <c r="HX111" s="160"/>
      <c r="HY111" s="160"/>
      <c r="HZ111" s="160">
        <f>IF([Classe]='Liste élève par classes'!$B$5,1,0)</f>
        <v>0</v>
      </c>
      <c r="IA111" s="160">
        <f>IF([Occurrence]=0,0,SUM($HZ$2:HZ111))</f>
        <v>0</v>
      </c>
      <c r="IB11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116</v>
      </c>
      <c r="IC111" s="208"/>
    </row>
    <row r="112" spans="1:237">
      <c r="A112" t="s">
        <v>438</v>
      </c>
      <c r="B112" t="s">
        <v>439</v>
      </c>
      <c r="C112" s="158">
        <v>36836</v>
      </c>
      <c r="D112" s="62">
        <f t="shared" ca="1" si="1"/>
        <v>17</v>
      </c>
      <c r="E112" t="s">
        <v>9</v>
      </c>
      <c r="F112" s="159" t="s">
        <v>46</v>
      </c>
      <c r="G112" t="s">
        <v>40</v>
      </c>
      <c r="H112" s="160"/>
      <c r="I112" s="161"/>
      <c r="J112" s="161"/>
      <c r="K112" s="161"/>
      <c r="L112" s="160"/>
      <c r="M112">
        <v>36</v>
      </c>
      <c r="N112" s="161"/>
      <c r="O112" s="161"/>
      <c r="P112" s="161"/>
      <c r="Q112" s="161"/>
      <c r="R112" s="161"/>
      <c r="S112" s="161"/>
      <c r="T112" s="161"/>
      <c r="U112" s="160"/>
      <c r="V112" s="161"/>
      <c r="W112" s="161"/>
      <c r="X112" s="161"/>
      <c r="Y112" s="161"/>
      <c r="Z112" s="161"/>
      <c r="AA112" s="161"/>
      <c r="AB112" s="161"/>
      <c r="AC112" s="161"/>
      <c r="AD112" s="161"/>
      <c r="AE112" s="161"/>
      <c r="AF112" s="163"/>
      <c r="AG112" s="163"/>
      <c r="AH112" s="163"/>
      <c r="AI112" s="163"/>
      <c r="AJ112" s="163"/>
      <c r="AK112" s="163"/>
      <c r="AL112" s="163"/>
      <c r="AM112" s="163"/>
      <c r="AN112" s="163"/>
      <c r="AO112" s="163"/>
      <c r="AP112" s="163"/>
      <c r="AQ112" s="163"/>
      <c r="AR112" s="163"/>
      <c r="AS112" s="163"/>
      <c r="AT112" s="163"/>
      <c r="AU112" s="163"/>
      <c r="AV112" s="163"/>
      <c r="AW112" s="163"/>
      <c r="AX112" s="163"/>
      <c r="AY112" s="163"/>
      <c r="AZ112" s="163"/>
      <c r="BA112" s="163"/>
      <c r="BB112" s="163"/>
      <c r="BC112" s="163"/>
      <c r="BD112" s="163"/>
      <c r="BE112" s="163"/>
      <c r="BF112" s="163"/>
      <c r="BG112" s="163"/>
      <c r="BH112" s="163"/>
      <c r="BI112" s="163"/>
      <c r="BJ112" s="163"/>
      <c r="BK112" s="163"/>
      <c r="BL112" s="163"/>
      <c r="BM112" s="163"/>
      <c r="BN112" s="163"/>
      <c r="BO112" s="163"/>
      <c r="BP112" s="163"/>
      <c r="BQ112" s="163"/>
      <c r="BR112" s="163"/>
      <c r="BS112" s="163"/>
      <c r="BT112" s="163"/>
      <c r="BU112" s="163"/>
      <c r="BV112" s="163"/>
      <c r="BW112" s="163"/>
      <c r="BX112" s="163"/>
      <c r="BY112" s="163"/>
      <c r="BZ112" s="163"/>
      <c r="CA112" s="163"/>
      <c r="CB112" s="163"/>
      <c r="CC112" s="163"/>
      <c r="CD112" s="163"/>
      <c r="CE112" s="163"/>
      <c r="CF112" s="163"/>
      <c r="CG112" s="163"/>
      <c r="CH112" s="163"/>
      <c r="CI112" s="163"/>
      <c r="CJ112" s="163"/>
      <c r="CK112" s="163"/>
      <c r="CL112" s="163"/>
      <c r="CM112" s="163"/>
      <c r="CN112" s="163"/>
      <c r="CO112" s="163"/>
      <c r="CP112" s="163"/>
      <c r="CQ112" s="163"/>
      <c r="CR112" s="163"/>
      <c r="CS112" s="163"/>
      <c r="CT112" s="163"/>
      <c r="CU112" s="163"/>
      <c r="CV112" s="163"/>
      <c r="CW112" s="163"/>
      <c r="CX112" s="163"/>
      <c r="CY112" s="163"/>
      <c r="CZ112" s="163"/>
      <c r="DA112" s="163"/>
      <c r="DB112" s="163"/>
      <c r="DC112" s="163"/>
      <c r="DD112" s="163"/>
      <c r="DE112" s="163"/>
      <c r="DF112" s="163"/>
      <c r="DG112" s="163"/>
      <c r="DH112" s="163"/>
      <c r="DI112" s="163"/>
      <c r="DJ112" s="163"/>
      <c r="DK112" s="163"/>
      <c r="DL112" s="163"/>
      <c r="DM112" s="163"/>
      <c r="DN112" s="163"/>
      <c r="DO112" s="163"/>
      <c r="DP112" s="163"/>
      <c r="DQ112" s="163"/>
      <c r="DR112" s="163"/>
      <c r="DS112" s="163"/>
      <c r="DT112" s="163"/>
      <c r="DU112" s="163"/>
      <c r="DV112" s="163"/>
      <c r="DW112" s="163"/>
      <c r="DX112" s="163"/>
      <c r="DY112" s="163"/>
      <c r="DZ112" s="163"/>
      <c r="EA112" s="163"/>
      <c r="EB112" s="163"/>
      <c r="EC112" s="163"/>
      <c r="ED112" s="163"/>
      <c r="EE112" s="163"/>
      <c r="EF112" s="163"/>
      <c r="EG112" s="163"/>
      <c r="EH112" s="160">
        <f>IF([Chambre]*1='CHAMBRES FILLES 2e ETAGE'!$A$5,1,0)</f>
        <v>0</v>
      </c>
      <c r="EI112" s="161">
        <f>IF([Occurrence2]=0,0,SUM($EH$2:EH112))</f>
        <v>0</v>
      </c>
      <c r="EJ112" s="160">
        <f>IF([Chambre]*1='CHAMBRES FILLES 2e ETAGE'!$A$11,1,0)</f>
        <v>0</v>
      </c>
      <c r="EK112" s="160">
        <f>IF([Occurrence3]=0,0,SUM($EJ$2:EJ112))</f>
        <v>0</v>
      </c>
      <c r="EL112" s="160">
        <f>IF([Chambre]*1='CHAMBRES FILLES 2e ETAGE'!$A$17,1,0)</f>
        <v>0</v>
      </c>
      <c r="EM112" s="160">
        <f>IF([Occurrence4]=0,0,SUM($EL$2:EL112))</f>
        <v>0</v>
      </c>
      <c r="EN112" s="160">
        <f>IF([Chambre]*1='CHAMBRES FILLES 2e ETAGE'!$A$23,1,0)</f>
        <v>0</v>
      </c>
      <c r="EO112" s="160">
        <f>IF([Occurrence5]=0,0,SUM($EN$2:EN112))</f>
        <v>0</v>
      </c>
      <c r="EP112" s="160">
        <f>IF([Chambre]*1='CHAMBRES FILLES 2e ETAGE'!$A$29,1,0)</f>
        <v>0</v>
      </c>
      <c r="EQ112" s="160">
        <f>IF([Occurrence6]=0,0,SUM($EP$2:EP112))</f>
        <v>0</v>
      </c>
      <c r="ER112" s="160">
        <f>IF([Chambre]*1='CHAMBRES FILLES 2e ETAGE'!$A$35,1,0)</f>
        <v>0</v>
      </c>
      <c r="ES112" s="160">
        <f>IF([Occurrence7]=0,0,SUM($ER$2:ER112))</f>
        <v>0</v>
      </c>
      <c r="ET112" s="160">
        <f>IF([Chambre]*1='CHAMBRES FILLES 2e ETAGE'!$A$41,1,0)</f>
        <v>0</v>
      </c>
      <c r="EU112" s="160">
        <f>IF([Occurrence8]=0,0,SUM($ET$2:ET112))</f>
        <v>0</v>
      </c>
      <c r="EV112" s="160">
        <f>IF([Chambre]*1='CHAMBRES FILLES 2e ETAGE'!$A$47,1,0)</f>
        <v>0</v>
      </c>
      <c r="EW112" s="160">
        <f>IF([Occurrence9]=0,0,SUM($EV$2:EV112))</f>
        <v>0</v>
      </c>
      <c r="EX112" s="160">
        <f>IF([Chambre]*1='CHAMBRES FILLES 2e ETAGE'!$A$53,1,0)</f>
        <v>0</v>
      </c>
      <c r="EY112" s="160">
        <f>IF([Occurrence10]=0,0,SUM($EX$2:EX112))</f>
        <v>0</v>
      </c>
      <c r="EZ112" s="160">
        <f>IF([Chambre]*1='CHAMBRES FILLES 2e ETAGE'!$A$59,1,0)</f>
        <v>0</v>
      </c>
      <c r="FA112" s="160">
        <f>IF([Occurrence11]=0,0,SUM($EZ$2:EZ112))</f>
        <v>0</v>
      </c>
      <c r="FB112" s="160">
        <f>IF([Chambre]*1='CHAMBRES FILLES 2e ETAGE'!$A$65,1,0)</f>
        <v>0</v>
      </c>
      <c r="FC112" s="160">
        <f>IF([Occurrence12]=0,0,SUM($FB$2:FB112))</f>
        <v>0</v>
      </c>
      <c r="FD112" s="160">
        <f>IF([Chambre]*1='CHAMBRES FILLES 2e ETAGE'!$A$71,1,0)</f>
        <v>0</v>
      </c>
      <c r="FE112" s="160">
        <f>IF([Occurrence13]=0,0,SUM($FD$2:FD112))</f>
        <v>0</v>
      </c>
      <c r="FF112" s="160">
        <f>IF([Chambre]*1='CHAMBRES FILLES 2e ETAGE'!$A$77,1,0)</f>
        <v>0</v>
      </c>
      <c r="FG112" s="160">
        <f>IF([Occurrence14]=0,0,SUM($FF$2:FF112))</f>
        <v>0</v>
      </c>
      <c r="FH112" s="160">
        <f>IF([Chambre]*1='CHAMBRES FILLES 2e ETAGE'!$A$83,1,0)</f>
        <v>0</v>
      </c>
      <c r="FI112" s="160">
        <f>IF([Occurrence15]=0,0,SUM($FH$2:FH112))</f>
        <v>0</v>
      </c>
      <c r="FJ112" s="160">
        <f>IF([Chambre]*1='CHAMBRES FILLES 2e ETAGE'!$A$89,1,0)</f>
        <v>0</v>
      </c>
      <c r="FK112" s="160">
        <f>IF([Occurrence16]=0,0,SUM($FJ$2:FJ112))</f>
        <v>0</v>
      </c>
      <c r="FL112" s="160">
        <f>IF([Chambre]*1='CHAMBRES FILLES 2e ETAGE'!$A$95,1,0)</f>
        <v>0</v>
      </c>
      <c r="FM112" s="160">
        <f>IF([Occurrence17]=0,0,SUM($FL$2:FL112))</f>
        <v>0</v>
      </c>
      <c r="FN112" s="160">
        <f>IF([Chambre2]*1='CHAMBRES FILLES 1e ETAGE'!$A$5,1,0)</f>
        <v>0</v>
      </c>
      <c r="FO112" s="160">
        <f>IF([Occurrence18]=0,0,SUM($FN$2:FN112))</f>
        <v>0</v>
      </c>
      <c r="FP112" s="160">
        <f>IF([Chambre2]*1='CHAMBRES FILLES 1e ETAGE'!$A$11,1,0)</f>
        <v>0</v>
      </c>
      <c r="FQ112" s="160">
        <f>IF([Occurrence19]=0,0,SUM($FP$2:FP112))</f>
        <v>0</v>
      </c>
      <c r="FR112" s="160">
        <f>IF([Chambre2]*1='CHAMBRES FILLES 1e ETAGE'!$A$17,1,0)</f>
        <v>0</v>
      </c>
      <c r="FS112" s="160">
        <f>IF([Occurrence20]=0,0,SUM($FR$2:FR112))</f>
        <v>0</v>
      </c>
      <c r="FT112" s="160">
        <f>IF([Chambre2]*1='CHAMBRES FILLES 1e ETAGE'!$A$23,1,0)</f>
        <v>0</v>
      </c>
      <c r="FU112" s="160">
        <f>IF([Occurrence21]=0,0,SUM($FT$2:FT112))</f>
        <v>0</v>
      </c>
      <c r="FV112" s="160">
        <f>IF([Chambre2]*1='CHAMBRES FILLES 1e ETAGE'!$A$29,1,0)</f>
        <v>0</v>
      </c>
      <c r="FW112" s="160">
        <f>IF([Occurrence22]=0,0,SUM($FV$2:FV112))</f>
        <v>0</v>
      </c>
      <c r="FX112" s="160">
        <f>IF([Chambre2]*1='CHAMBRES FILLES 1e ETAGE'!$A$35,1,0)</f>
        <v>0</v>
      </c>
      <c r="FY112" s="160">
        <f>IF([Occurrence23]=0,0,SUM($FX$2:FX112))</f>
        <v>0</v>
      </c>
      <c r="FZ112" s="160">
        <f>IF([Chambre2]*1='CHAMBRES FILLES 1e ETAGE'!$A$41,1,0)</f>
        <v>0</v>
      </c>
      <c r="GA112" s="160">
        <f>IF([Occurrence24]=0,0,SUM($FZ$2:FZ112))</f>
        <v>0</v>
      </c>
      <c r="GB112" s="160">
        <f>IF([Chambre2]*1='CHAMBRES FILLES 1e ETAGE'!$A$47,1,0)</f>
        <v>0</v>
      </c>
      <c r="GC112" s="160">
        <f>IF([Occurrence25]=0,0,SUM($GB$2:GB112))</f>
        <v>0</v>
      </c>
      <c r="GD112" s="160">
        <f>IF([Chambre2]*1='CHAMBRES FILLES 1e ETAGE'!$A$53,1,0)</f>
        <v>0</v>
      </c>
      <c r="GE112" s="160">
        <f>IF([Occurrence26]=0,0,SUM($GD$2:GD112))</f>
        <v>0</v>
      </c>
      <c r="GF112" s="160">
        <f>IF([chambre4]*1='CHAMBRES GARCONS 1e ETAGE'!$A$5,1,0)</f>
        <v>0</v>
      </c>
      <c r="GG112" s="160">
        <f>IF([Occurrence27]=0,0,SUM($GF$2:GF112))</f>
        <v>0</v>
      </c>
      <c r="GH112" s="160">
        <f>IF([chambre4]*1='CHAMBRES GARCONS 1e ETAGE'!$A$11,1,0)</f>
        <v>0</v>
      </c>
      <c r="GI112" s="160">
        <f>IF([Occurrence28]=0,0,SUM($GH$2:GH112))</f>
        <v>0</v>
      </c>
      <c r="GJ112" s="160">
        <f>IF([chambre4]*1='CHAMBRES GARCONS 1e ETAGE'!$A$17,1,0)</f>
        <v>0</v>
      </c>
      <c r="GK112" s="160">
        <f>IF([Occurrence29]=0,0,SUM($GJ$2:GJ112))</f>
        <v>0</v>
      </c>
      <c r="GL112" s="160">
        <f>IF([chambre4]*1='CHAMBRES GARCONS 1e ETAGE'!$A$23,1,0)</f>
        <v>0</v>
      </c>
      <c r="GM112" s="160">
        <f>IF([Occurrence30]=0,0,SUM($GL$2:GL112))</f>
        <v>0</v>
      </c>
      <c r="GN112" s="160">
        <f>IF([chambre4]*1='CHAMBRES GARCONS 1e ETAGE'!$A$29,1,0)</f>
        <v>0</v>
      </c>
      <c r="GO112" s="160">
        <f>IF([Occurrence31]=0,0,SUM($GN$2:GN112))</f>
        <v>0</v>
      </c>
      <c r="GP112" s="160">
        <f>IF([chambre4]*1='CHAMBRES GARCONS 1e ETAGE'!$A$35,1,0)</f>
        <v>0</v>
      </c>
      <c r="GQ112" s="160">
        <f>IF([Occurrence32]=0,0,SUM($GP$2:GP112))</f>
        <v>0</v>
      </c>
      <c r="GR112" s="160">
        <f>IF([chambre3]*1='CHAMBRES GARCONS RDC'!$A$5,1,0)</f>
        <v>0</v>
      </c>
      <c r="GS112" s="160">
        <f>IF([Occurrence33]=0,0,SUM($GR$2:GR112))</f>
        <v>0</v>
      </c>
      <c r="GT112" s="160">
        <f>IF([chambre3]*1='CHAMBRES GARCONS RDC'!$A$11,1,0)</f>
        <v>0</v>
      </c>
      <c r="GU112" s="160">
        <f>IF([Occurrence34]=0,0,SUM($GT$2:GT112))</f>
        <v>0</v>
      </c>
      <c r="GV112" s="160">
        <f>IF([chambre3]*1='CHAMBRES GARCONS RDC'!$A$17,1,0)</f>
        <v>0</v>
      </c>
      <c r="GW112" s="160">
        <f>IF([Occurrence35]=0,0,SUM($GV$2:GV112))</f>
        <v>0</v>
      </c>
      <c r="GX112" s="160">
        <f>IF([chambre3]*1='CHAMBRES GARCONS RDC'!$A$23,1,0)</f>
        <v>0</v>
      </c>
      <c r="GY112" s="160">
        <f>IF([Occurrence36]=0,0,SUM($GX$2:GX112))</f>
        <v>0</v>
      </c>
      <c r="GZ112" s="160">
        <f>IF([chambre3]*1='CHAMBRES GARCONS RDC'!$A$29,1,0)</f>
        <v>0</v>
      </c>
      <c r="HA112" s="160">
        <f>IF([Occurrence37]=0,0,SUM($GZ$2:GZ112))</f>
        <v>0</v>
      </c>
      <c r="HB112" s="160">
        <f>IF([chambre3]*1='CHAMBRES GARCONS RDC'!$A$35,1,0)</f>
        <v>0</v>
      </c>
      <c r="HC112" s="160">
        <f>IF([Occurrence38]=0,0,SUM($HB$2:HB112))</f>
        <v>0</v>
      </c>
      <c r="HD112" s="160">
        <f>IF([chambre3]*1='CHAMBRES GARCONS RDC'!$A$41,1,0)</f>
        <v>0</v>
      </c>
      <c r="HE112" s="160">
        <f>IF([Occurrence39]=0,0,SUM($HD$2:HD112))</f>
        <v>0</v>
      </c>
      <c r="HF112" s="160">
        <f>IF([chambre3]*1='CHAMBRES GARCONS RDC'!$A$47,1,0)</f>
        <v>0</v>
      </c>
      <c r="HG112" s="160">
        <f>IF([Occurrence40]=0,0,SUM($HF$2:HF112))</f>
        <v>0</v>
      </c>
      <c r="HH112" s="160">
        <f>IF([chambre3]*1='CHAMBRES GARCONS RDC'!$A$53,1,0)</f>
        <v>0</v>
      </c>
      <c r="HI112" s="160">
        <f>IF([Occurrence41]=0,0,SUM($HH$2:HH112))</f>
        <v>0</v>
      </c>
      <c r="HJ112" s="160">
        <f>IF([chambre3]*1='CHAMBRES GARCONS RDC'!$A$59,1,0)</f>
        <v>0</v>
      </c>
      <c r="HK112" s="160">
        <f>IF([Occurrence42]=0,0,SUM($HJ$2:HJ112))</f>
        <v>0</v>
      </c>
      <c r="HL112" s="160">
        <f>IF([chambre3]*1='CHAMBRES GARCONS RDC'!$A$65,1,0)</f>
        <v>0</v>
      </c>
      <c r="HM112" s="160">
        <f>IF([Occurrence43]=0,0,SUM($HL$2:HL112))</f>
        <v>0</v>
      </c>
      <c r="HN112" s="160">
        <f>IF([chambre3]*1='CHAMBRES GARCONS RDC'!$A$71,1,0)</f>
        <v>0</v>
      </c>
      <c r="HO112" s="160">
        <f>IF([Occurrence44]=0,0,SUM($HN$2:HN112))</f>
        <v>0</v>
      </c>
      <c r="HP112" s="160">
        <f>IF([chambre3]*1='CHAMBRES GARCONS RDC'!$A$77,1,0)</f>
        <v>0</v>
      </c>
      <c r="HQ112" s="160">
        <f>IF([Occurrence45]=0,0,SUM($HP$2:HP112))</f>
        <v>0</v>
      </c>
      <c r="HR112" s="160">
        <f>IF([chambre3]*1='CHAMBRES GARCONS RDC'!$A$83,1,0)</f>
        <v>0</v>
      </c>
      <c r="HS112" s="160">
        <f>IF([Occurrence46]=0,0,SUM($HR$2:HR112))</f>
        <v>0</v>
      </c>
      <c r="HT112" s="160">
        <f>IF([chambre3]*1='CHAMBRES GARCONS RDC'!$A$89,1,0)</f>
        <v>0</v>
      </c>
      <c r="HU112" s="160">
        <f>IF([Occurrence47]=0,0,SUM($HT$2:HT112))</f>
        <v>0</v>
      </c>
      <c r="HV112" s="160">
        <f>IF([chambre3]*1='CHAMBRES GARCONS RDC'!$A$95,1,0)</f>
        <v>0</v>
      </c>
      <c r="HW112" s="160">
        <f>IF([Occurrence48]=0,0,SUM($HV$2:HV112))</f>
        <v>0</v>
      </c>
      <c r="HX112" s="160"/>
      <c r="HY112" s="160"/>
      <c r="HZ112" s="160">
        <f>IF([Classe]='Liste élève par classes'!$B$5,1,0)</f>
        <v>0</v>
      </c>
      <c r="IA112" s="160">
        <f>IF([Occurrence]=0,0,SUM($HZ$2:HZ112))</f>
        <v>0</v>
      </c>
      <c r="IB11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12" s="208"/>
    </row>
    <row r="113" spans="1:237">
      <c r="A113" t="s">
        <v>440</v>
      </c>
      <c r="B113" t="s">
        <v>441</v>
      </c>
      <c r="C113" s="158">
        <v>36766</v>
      </c>
      <c r="D113" s="62">
        <f t="shared" ca="1" si="1"/>
        <v>17</v>
      </c>
      <c r="E113" t="s">
        <v>13</v>
      </c>
      <c r="F113" s="159" t="s">
        <v>46</v>
      </c>
      <c r="G113" t="s">
        <v>45</v>
      </c>
      <c r="H113" s="160"/>
      <c r="I113" s="161"/>
      <c r="J113" s="161"/>
      <c r="K113" s="161"/>
      <c r="L113" s="160"/>
      <c r="M113">
        <v>120</v>
      </c>
      <c r="N113" s="161"/>
      <c r="O113" s="161"/>
      <c r="P113" s="161"/>
      <c r="Q113" s="161"/>
      <c r="R113" s="161"/>
      <c r="S113" s="161"/>
      <c r="T113" s="161"/>
      <c r="U113" s="160"/>
      <c r="V113" s="161"/>
      <c r="W113" s="161"/>
      <c r="X113" s="161"/>
      <c r="Y113" s="161"/>
      <c r="Z113" s="161"/>
      <c r="AA113" s="161"/>
      <c r="AB113" s="161"/>
      <c r="AC113" s="161"/>
      <c r="AD113" s="161"/>
      <c r="AE113" s="161"/>
      <c r="AF113" s="163"/>
      <c r="AG113" s="163"/>
      <c r="AH113" s="163"/>
      <c r="AI113" s="163"/>
      <c r="AJ113" s="163"/>
      <c r="AK113" s="163"/>
      <c r="AL113" s="163"/>
      <c r="AM113" s="163"/>
      <c r="AN113" s="163"/>
      <c r="AO113" s="163"/>
      <c r="AP113" s="163"/>
      <c r="AQ113" s="163"/>
      <c r="AR113" s="163"/>
      <c r="AS113" s="163"/>
      <c r="AT113" s="163"/>
      <c r="AU113" s="163"/>
      <c r="AV113" s="163"/>
      <c r="AW113" s="163"/>
      <c r="AX113" s="163"/>
      <c r="AY113" s="163"/>
      <c r="AZ113" s="163"/>
      <c r="BA113" s="163"/>
      <c r="BB113" s="163"/>
      <c r="BC113" s="163"/>
      <c r="BD113" s="163"/>
      <c r="BE113" s="163"/>
      <c r="BF113" s="163"/>
      <c r="BG113" s="163"/>
      <c r="BH113" s="163"/>
      <c r="BI113" s="163"/>
      <c r="BJ113" s="163"/>
      <c r="BK113" s="163"/>
      <c r="BL113" s="163"/>
      <c r="BM113" s="163"/>
      <c r="BN113" s="163"/>
      <c r="BO113" s="163"/>
      <c r="BP113" s="163"/>
      <c r="BQ113" s="163"/>
      <c r="BR113" s="163"/>
      <c r="BS113" s="163"/>
      <c r="BT113" s="163"/>
      <c r="BU113" s="163"/>
      <c r="BV113" s="163"/>
      <c r="BW113" s="163"/>
      <c r="BX113" s="163"/>
      <c r="BY113" s="163"/>
      <c r="BZ113" s="163"/>
      <c r="CA113" s="163"/>
      <c r="CB113" s="163"/>
      <c r="CC113" s="163"/>
      <c r="CD113" s="163"/>
      <c r="CE113" s="163"/>
      <c r="CF113" s="163"/>
      <c r="CG113" s="163"/>
      <c r="CH113" s="163"/>
      <c r="CI113" s="163"/>
      <c r="CJ113" s="163"/>
      <c r="CK113" s="163"/>
      <c r="CL113" s="163"/>
      <c r="CM113" s="163"/>
      <c r="CN113" s="163"/>
      <c r="CO113" s="163"/>
      <c r="CP113" s="163"/>
      <c r="CQ113" s="163"/>
      <c r="CR113" s="163"/>
      <c r="CS113" s="163"/>
      <c r="CT113" s="163"/>
      <c r="CU113" s="163"/>
      <c r="CV113" s="163"/>
      <c r="CW113" s="163"/>
      <c r="CX113" s="163"/>
      <c r="CY113" s="163"/>
      <c r="CZ113" s="163"/>
      <c r="DA113" s="163"/>
      <c r="DB113" s="163"/>
      <c r="DC113" s="163"/>
      <c r="DD113" s="163"/>
      <c r="DE113" s="163"/>
      <c r="DF113" s="163"/>
      <c r="DG113" s="163"/>
      <c r="DH113" s="163"/>
      <c r="DI113" s="163"/>
      <c r="DJ113" s="163"/>
      <c r="DK113" s="163"/>
      <c r="DL113" s="163"/>
      <c r="DM113" s="163"/>
      <c r="DN113" s="163"/>
      <c r="DO113" s="163"/>
      <c r="DP113" s="163"/>
      <c r="DQ113" s="163"/>
      <c r="DR113" s="163"/>
      <c r="DS113" s="163"/>
      <c r="DT113" s="163"/>
      <c r="DU113" s="163"/>
      <c r="DV113" s="163"/>
      <c r="DW113" s="163"/>
      <c r="DX113" s="163"/>
      <c r="DY113" s="163"/>
      <c r="DZ113" s="163"/>
      <c r="EA113" s="163"/>
      <c r="EB113" s="163"/>
      <c r="EC113" s="163"/>
      <c r="ED113" s="163"/>
      <c r="EE113" s="163"/>
      <c r="EF113" s="163"/>
      <c r="EG113" s="163"/>
      <c r="EH113" s="160">
        <f>IF([Chambre]*1='CHAMBRES FILLES 2e ETAGE'!$A$5,1,0)</f>
        <v>0</v>
      </c>
      <c r="EI113" s="161">
        <f>IF([Occurrence2]=0,0,SUM($EH$2:EH113))</f>
        <v>0</v>
      </c>
      <c r="EJ113" s="160">
        <f>IF([Chambre]*1='CHAMBRES FILLES 2e ETAGE'!$A$11,1,0)</f>
        <v>0</v>
      </c>
      <c r="EK113" s="160">
        <f>IF([Occurrence3]=0,0,SUM($EJ$2:EJ113))</f>
        <v>0</v>
      </c>
      <c r="EL113" s="160">
        <f>IF([Chambre]*1='CHAMBRES FILLES 2e ETAGE'!$A$17,1,0)</f>
        <v>0</v>
      </c>
      <c r="EM113" s="160">
        <f>IF([Occurrence4]=0,0,SUM($EL$2:EL113))</f>
        <v>0</v>
      </c>
      <c r="EN113" s="160">
        <f>IF([Chambre]*1='CHAMBRES FILLES 2e ETAGE'!$A$23,1,0)</f>
        <v>0</v>
      </c>
      <c r="EO113" s="160">
        <f>IF([Occurrence5]=0,0,SUM($EN$2:EN113))</f>
        <v>0</v>
      </c>
      <c r="EP113" s="160">
        <f>IF([Chambre]*1='CHAMBRES FILLES 2e ETAGE'!$A$29,1,0)</f>
        <v>0</v>
      </c>
      <c r="EQ113" s="160">
        <f>IF([Occurrence6]=0,0,SUM($EP$2:EP113))</f>
        <v>0</v>
      </c>
      <c r="ER113" s="160">
        <f>IF([Chambre]*1='CHAMBRES FILLES 2e ETAGE'!$A$35,1,0)</f>
        <v>0</v>
      </c>
      <c r="ES113" s="160">
        <f>IF([Occurrence7]=0,0,SUM($ER$2:ER113))</f>
        <v>0</v>
      </c>
      <c r="ET113" s="160">
        <f>IF([Chambre]*1='CHAMBRES FILLES 2e ETAGE'!$A$41,1,0)</f>
        <v>0</v>
      </c>
      <c r="EU113" s="160">
        <f>IF([Occurrence8]=0,0,SUM($ET$2:ET113))</f>
        <v>0</v>
      </c>
      <c r="EV113" s="160">
        <f>IF([Chambre]*1='CHAMBRES FILLES 2e ETAGE'!$A$47,1,0)</f>
        <v>0</v>
      </c>
      <c r="EW113" s="160">
        <f>IF([Occurrence9]=0,0,SUM($EV$2:EV113))</f>
        <v>0</v>
      </c>
      <c r="EX113" s="160">
        <f>IF([Chambre]*1='CHAMBRES FILLES 2e ETAGE'!$A$53,1,0)</f>
        <v>0</v>
      </c>
      <c r="EY113" s="160">
        <f>IF([Occurrence10]=0,0,SUM($EX$2:EX113))</f>
        <v>0</v>
      </c>
      <c r="EZ113" s="160">
        <f>IF([Chambre]*1='CHAMBRES FILLES 2e ETAGE'!$A$59,1,0)</f>
        <v>0</v>
      </c>
      <c r="FA113" s="160">
        <f>IF([Occurrence11]=0,0,SUM($EZ$2:EZ113))</f>
        <v>0</v>
      </c>
      <c r="FB113" s="160">
        <f>IF([Chambre]*1='CHAMBRES FILLES 2e ETAGE'!$A$65,1,0)</f>
        <v>0</v>
      </c>
      <c r="FC113" s="160">
        <f>IF([Occurrence12]=0,0,SUM($FB$2:FB113))</f>
        <v>0</v>
      </c>
      <c r="FD113" s="160">
        <f>IF([Chambre]*1='CHAMBRES FILLES 2e ETAGE'!$A$71,1,0)</f>
        <v>0</v>
      </c>
      <c r="FE113" s="160">
        <f>IF([Occurrence13]=0,0,SUM($FD$2:FD113))</f>
        <v>0</v>
      </c>
      <c r="FF113" s="160">
        <f>IF([Chambre]*1='CHAMBRES FILLES 2e ETAGE'!$A$77,1,0)</f>
        <v>0</v>
      </c>
      <c r="FG113" s="160">
        <f>IF([Occurrence14]=0,0,SUM($FF$2:FF113))</f>
        <v>0</v>
      </c>
      <c r="FH113" s="160">
        <f>IF([Chambre]*1='CHAMBRES FILLES 2e ETAGE'!$A$83,1,0)</f>
        <v>0</v>
      </c>
      <c r="FI113" s="160">
        <f>IF([Occurrence15]=0,0,SUM($FH$2:FH113))</f>
        <v>0</v>
      </c>
      <c r="FJ113" s="160">
        <f>IF([Chambre]*1='CHAMBRES FILLES 2e ETAGE'!$A$89,1,0)</f>
        <v>0</v>
      </c>
      <c r="FK113" s="160">
        <f>IF([Occurrence16]=0,0,SUM($FJ$2:FJ113))</f>
        <v>0</v>
      </c>
      <c r="FL113" s="160">
        <f>IF([Chambre]*1='CHAMBRES FILLES 2e ETAGE'!$A$95,1,0)</f>
        <v>0</v>
      </c>
      <c r="FM113" s="160">
        <f>IF([Occurrence17]=0,0,SUM($FL$2:FL113))</f>
        <v>0</v>
      </c>
      <c r="FN113" s="160">
        <f>IF([Chambre2]*1='CHAMBRES FILLES 1e ETAGE'!$A$5,1,0)</f>
        <v>0</v>
      </c>
      <c r="FO113" s="160">
        <f>IF([Occurrence18]=0,0,SUM($FN$2:FN113))</f>
        <v>0</v>
      </c>
      <c r="FP113" s="160">
        <f>IF([Chambre2]*1='CHAMBRES FILLES 1e ETAGE'!$A$11,1,0)</f>
        <v>0</v>
      </c>
      <c r="FQ113" s="160">
        <f>IF([Occurrence19]=0,0,SUM($FP$2:FP113))</f>
        <v>0</v>
      </c>
      <c r="FR113" s="160">
        <f>IF([Chambre2]*1='CHAMBRES FILLES 1e ETAGE'!$A$17,1,0)</f>
        <v>0</v>
      </c>
      <c r="FS113" s="160">
        <f>IF([Occurrence20]=0,0,SUM($FR$2:FR113))</f>
        <v>0</v>
      </c>
      <c r="FT113" s="160">
        <f>IF([Chambre2]*1='CHAMBRES FILLES 1e ETAGE'!$A$23,1,0)</f>
        <v>0</v>
      </c>
      <c r="FU113" s="160">
        <f>IF([Occurrence21]=0,0,SUM($FT$2:FT113))</f>
        <v>0</v>
      </c>
      <c r="FV113" s="160">
        <f>IF([Chambre2]*1='CHAMBRES FILLES 1e ETAGE'!$A$29,1,0)</f>
        <v>0</v>
      </c>
      <c r="FW113" s="160">
        <f>IF([Occurrence22]=0,0,SUM($FV$2:FV113))</f>
        <v>0</v>
      </c>
      <c r="FX113" s="160">
        <f>IF([Chambre2]*1='CHAMBRES FILLES 1e ETAGE'!$A$35,1,0)</f>
        <v>0</v>
      </c>
      <c r="FY113" s="160">
        <f>IF([Occurrence23]=0,0,SUM($FX$2:FX113))</f>
        <v>0</v>
      </c>
      <c r="FZ113" s="160">
        <f>IF([Chambre2]*1='CHAMBRES FILLES 1e ETAGE'!$A$41,1,0)</f>
        <v>0</v>
      </c>
      <c r="GA113" s="160">
        <f>IF([Occurrence24]=0,0,SUM($FZ$2:FZ113))</f>
        <v>0</v>
      </c>
      <c r="GB113" s="160">
        <f>IF([Chambre2]*1='CHAMBRES FILLES 1e ETAGE'!$A$47,1,0)</f>
        <v>0</v>
      </c>
      <c r="GC113" s="160">
        <f>IF([Occurrence25]=0,0,SUM($GB$2:GB113))</f>
        <v>0</v>
      </c>
      <c r="GD113" s="160">
        <f>IF([Chambre2]*1='CHAMBRES FILLES 1e ETAGE'!$A$53,1,0)</f>
        <v>0</v>
      </c>
      <c r="GE113" s="160">
        <f>IF([Occurrence26]=0,0,SUM($GD$2:GD113))</f>
        <v>0</v>
      </c>
      <c r="GF113" s="160">
        <f>IF([chambre4]*1='CHAMBRES GARCONS 1e ETAGE'!$A$5,1,0)</f>
        <v>0</v>
      </c>
      <c r="GG113" s="160">
        <f>IF([Occurrence27]=0,0,SUM($GF$2:GF113))</f>
        <v>0</v>
      </c>
      <c r="GH113" s="160">
        <f>IF([chambre4]*1='CHAMBRES GARCONS 1e ETAGE'!$A$11,1,0)</f>
        <v>0</v>
      </c>
      <c r="GI113" s="160">
        <f>IF([Occurrence28]=0,0,SUM($GH$2:GH113))</f>
        <v>0</v>
      </c>
      <c r="GJ113" s="160">
        <f>IF([chambre4]*1='CHAMBRES GARCONS 1e ETAGE'!$A$17,1,0)</f>
        <v>0</v>
      </c>
      <c r="GK113" s="160">
        <f>IF([Occurrence29]=0,0,SUM($GJ$2:GJ113))</f>
        <v>0</v>
      </c>
      <c r="GL113" s="160">
        <f>IF([chambre4]*1='CHAMBRES GARCONS 1e ETAGE'!$A$23,1,0)</f>
        <v>0</v>
      </c>
      <c r="GM113" s="160">
        <f>IF([Occurrence30]=0,0,SUM($GL$2:GL113))</f>
        <v>0</v>
      </c>
      <c r="GN113" s="160">
        <f>IF([chambre4]*1='CHAMBRES GARCONS 1e ETAGE'!$A$29,1,0)</f>
        <v>0</v>
      </c>
      <c r="GO113" s="160">
        <f>IF([Occurrence31]=0,0,SUM($GN$2:GN113))</f>
        <v>0</v>
      </c>
      <c r="GP113" s="160">
        <f>IF([chambre4]*1='CHAMBRES GARCONS 1e ETAGE'!$A$35,1,0)</f>
        <v>0</v>
      </c>
      <c r="GQ113" s="160">
        <f>IF([Occurrence32]=0,0,SUM($GP$2:GP113))</f>
        <v>0</v>
      </c>
      <c r="GR113" s="160">
        <f>IF([chambre3]*1='CHAMBRES GARCONS RDC'!$A$5,1,0)</f>
        <v>0</v>
      </c>
      <c r="GS113" s="160">
        <f>IF([Occurrence33]=0,0,SUM($GR$2:GR113))</f>
        <v>0</v>
      </c>
      <c r="GT113" s="160">
        <f>IF([chambre3]*1='CHAMBRES GARCONS RDC'!$A$11,1,0)</f>
        <v>0</v>
      </c>
      <c r="GU113" s="160">
        <f>IF([Occurrence34]=0,0,SUM($GT$2:GT113))</f>
        <v>0</v>
      </c>
      <c r="GV113" s="160">
        <f>IF([chambre3]*1='CHAMBRES GARCONS RDC'!$A$17,1,0)</f>
        <v>0</v>
      </c>
      <c r="GW113" s="160">
        <f>IF([Occurrence35]=0,0,SUM($GV$2:GV113))</f>
        <v>0</v>
      </c>
      <c r="GX113" s="160">
        <f>IF([chambre3]*1='CHAMBRES GARCONS RDC'!$A$23,1,0)</f>
        <v>0</v>
      </c>
      <c r="GY113" s="160">
        <f>IF([Occurrence36]=0,0,SUM($GX$2:GX113))</f>
        <v>0</v>
      </c>
      <c r="GZ113" s="160">
        <f>IF([chambre3]*1='CHAMBRES GARCONS RDC'!$A$29,1,0)</f>
        <v>0</v>
      </c>
      <c r="HA113" s="160">
        <f>IF([Occurrence37]=0,0,SUM($GZ$2:GZ113))</f>
        <v>0</v>
      </c>
      <c r="HB113" s="160">
        <f>IF([chambre3]*1='CHAMBRES GARCONS RDC'!$A$35,1,0)</f>
        <v>0</v>
      </c>
      <c r="HC113" s="160">
        <f>IF([Occurrence38]=0,0,SUM($HB$2:HB113))</f>
        <v>0</v>
      </c>
      <c r="HD113" s="160">
        <f>IF([chambre3]*1='CHAMBRES GARCONS RDC'!$A$41,1,0)</f>
        <v>0</v>
      </c>
      <c r="HE113" s="160">
        <f>IF([Occurrence39]=0,0,SUM($HD$2:HD113))</f>
        <v>0</v>
      </c>
      <c r="HF113" s="160">
        <f>IF([chambre3]*1='CHAMBRES GARCONS RDC'!$A$47,1,0)</f>
        <v>0</v>
      </c>
      <c r="HG113" s="160">
        <f>IF([Occurrence40]=0,0,SUM($HF$2:HF113))</f>
        <v>0</v>
      </c>
      <c r="HH113" s="160">
        <f>IF([chambre3]*1='CHAMBRES GARCONS RDC'!$A$53,1,0)</f>
        <v>0</v>
      </c>
      <c r="HI113" s="160">
        <f>IF([Occurrence41]=0,0,SUM($HH$2:HH113))</f>
        <v>0</v>
      </c>
      <c r="HJ113" s="160">
        <f>IF([chambre3]*1='CHAMBRES GARCONS RDC'!$A$59,1,0)</f>
        <v>0</v>
      </c>
      <c r="HK113" s="160">
        <f>IF([Occurrence42]=0,0,SUM($HJ$2:HJ113))</f>
        <v>0</v>
      </c>
      <c r="HL113" s="160">
        <f>IF([chambre3]*1='CHAMBRES GARCONS RDC'!$A$65,1,0)</f>
        <v>0</v>
      </c>
      <c r="HM113" s="160">
        <f>IF([Occurrence43]=0,0,SUM($HL$2:HL113))</f>
        <v>0</v>
      </c>
      <c r="HN113" s="160">
        <f>IF([chambre3]*1='CHAMBRES GARCONS RDC'!$A$71,1,0)</f>
        <v>0</v>
      </c>
      <c r="HO113" s="160">
        <f>IF([Occurrence44]=0,0,SUM($HN$2:HN113))</f>
        <v>0</v>
      </c>
      <c r="HP113" s="160">
        <f>IF([chambre3]*1='CHAMBRES GARCONS RDC'!$A$77,1,0)</f>
        <v>0</v>
      </c>
      <c r="HQ113" s="160">
        <f>IF([Occurrence45]=0,0,SUM($HP$2:HP113))</f>
        <v>0</v>
      </c>
      <c r="HR113" s="160">
        <f>IF([chambre3]*1='CHAMBRES GARCONS RDC'!$A$83,1,0)</f>
        <v>0</v>
      </c>
      <c r="HS113" s="160">
        <f>IF([Occurrence46]=0,0,SUM($HR$2:HR113))</f>
        <v>0</v>
      </c>
      <c r="HT113" s="160">
        <f>IF([chambre3]*1='CHAMBRES GARCONS RDC'!$A$89,1,0)</f>
        <v>0</v>
      </c>
      <c r="HU113" s="160">
        <f>IF([Occurrence47]=0,0,SUM($HT$2:HT113))</f>
        <v>0</v>
      </c>
      <c r="HV113" s="160">
        <f>IF([chambre3]*1='CHAMBRES GARCONS RDC'!$A$95,1,0)</f>
        <v>0</v>
      </c>
      <c r="HW113" s="160">
        <f>IF([Occurrence48]=0,0,SUM($HV$2:HV113))</f>
        <v>0</v>
      </c>
      <c r="HX113" s="160"/>
      <c r="HY113" s="160"/>
      <c r="HZ113" s="160">
        <f>IF([Classe]='Liste élève par classes'!$B$5,1,0)</f>
        <v>0</v>
      </c>
      <c r="IA113" s="160">
        <f>IF([Occurrence]=0,0,SUM($HZ$2:HZ113))</f>
        <v>0</v>
      </c>
      <c r="IB11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13" s="208"/>
    </row>
    <row r="114" spans="1:237" ht="15.75">
      <c r="A114" t="s">
        <v>442</v>
      </c>
      <c r="B114" t="s">
        <v>443</v>
      </c>
      <c r="C114" s="158">
        <v>36556</v>
      </c>
      <c r="D114" s="62">
        <f t="shared" ca="1" si="1"/>
        <v>17</v>
      </c>
      <c r="E114" t="s">
        <v>14</v>
      </c>
      <c r="F114" s="159" t="s">
        <v>50</v>
      </c>
      <c r="G114" t="s">
        <v>45</v>
      </c>
      <c r="H114" s="160"/>
      <c r="I114" s="62"/>
      <c r="J114" s="167"/>
      <c r="K114" s="168"/>
      <c r="L114" s="160">
        <v>166</v>
      </c>
      <c r="M114">
        <v>180</v>
      </c>
      <c r="N114" s="161" t="s">
        <v>244</v>
      </c>
      <c r="O114" s="161" t="s">
        <v>244</v>
      </c>
      <c r="P114" s="161" t="s">
        <v>244</v>
      </c>
      <c r="Q114" s="161" t="s">
        <v>244</v>
      </c>
      <c r="R114" s="161" t="s">
        <v>244</v>
      </c>
      <c r="S114" s="190"/>
      <c r="T114" s="161" t="s">
        <v>244</v>
      </c>
      <c r="U114" s="160"/>
      <c r="V114" s="161" t="s">
        <v>244</v>
      </c>
      <c r="W114" s="161" t="s">
        <v>244</v>
      </c>
      <c r="X114" s="161" t="s">
        <v>244</v>
      </c>
      <c r="Y114" s="161" t="s">
        <v>244</v>
      </c>
      <c r="Z114" s="161" t="s">
        <v>244</v>
      </c>
      <c r="AA114" s="161" t="s">
        <v>244</v>
      </c>
      <c r="AB114" s="161" t="s">
        <v>244</v>
      </c>
      <c r="AC114" s="161" t="s">
        <v>244</v>
      </c>
      <c r="AD114" s="161" t="s">
        <v>244</v>
      </c>
      <c r="AE114" s="161" t="s">
        <v>244</v>
      </c>
      <c r="AF114" s="163" t="s">
        <v>244</v>
      </c>
      <c r="AG114" s="163" t="s">
        <v>244</v>
      </c>
      <c r="AH114" s="163" t="s">
        <v>244</v>
      </c>
      <c r="AI114" s="163"/>
      <c r="AJ114" s="163"/>
      <c r="AK114" s="163"/>
      <c r="AL114" s="163"/>
      <c r="AM114" s="163"/>
      <c r="AN114" s="163"/>
      <c r="AO114" s="163"/>
      <c r="AP114" s="163"/>
      <c r="AQ114" s="163"/>
      <c r="AR114" s="163"/>
      <c r="AS114" s="163"/>
      <c r="AT114" s="163"/>
      <c r="AU114" s="163"/>
      <c r="AV114" s="163"/>
      <c r="AW114" s="163"/>
      <c r="AX114" s="163"/>
      <c r="AY114" s="163"/>
      <c r="AZ114" s="163"/>
      <c r="BA114" s="163"/>
      <c r="BB114" s="163"/>
      <c r="BC114" s="163" t="b">
        <v>0</v>
      </c>
      <c r="BD114" s="163" t="b">
        <v>1</v>
      </c>
      <c r="BE114" s="163" t="b">
        <v>1</v>
      </c>
      <c r="BF114" s="163" t="b">
        <v>0</v>
      </c>
      <c r="BG114" s="164" t="b">
        <v>0</v>
      </c>
      <c r="BH114" s="163" t="b">
        <v>1</v>
      </c>
      <c r="BI114" s="163"/>
      <c r="BJ114" s="163"/>
      <c r="BK114" s="163"/>
      <c r="BL114" s="163"/>
      <c r="BM114" s="163"/>
      <c r="BN114" s="163"/>
      <c r="BO114" s="163"/>
      <c r="BP114" s="163"/>
      <c r="BQ114" s="163" t="b">
        <v>1</v>
      </c>
      <c r="BR114" s="163"/>
      <c r="BS114" s="163"/>
      <c r="BT114" s="163"/>
      <c r="BU114" s="163"/>
      <c r="BV114" s="163"/>
      <c r="BW114" s="163"/>
      <c r="BX114" s="163"/>
      <c r="BY114" s="163"/>
      <c r="BZ114" s="163"/>
      <c r="CA114" s="163"/>
      <c r="CB114" s="163"/>
      <c r="CC114" s="163"/>
      <c r="CD114" s="163"/>
      <c r="CE114" s="163"/>
      <c r="CF114" s="163"/>
      <c r="CG114" s="163"/>
      <c r="CH114" s="163"/>
      <c r="CI114" s="163"/>
      <c r="CJ114" s="163"/>
      <c r="CK114" s="163"/>
      <c r="CL114" s="163"/>
      <c r="CM114" s="163"/>
      <c r="CN114" s="163"/>
      <c r="CO114" s="163"/>
      <c r="CP114" s="163"/>
      <c r="CQ114" s="163"/>
      <c r="CR114" s="163"/>
      <c r="CS114" s="163"/>
      <c r="CT114" s="163"/>
      <c r="CU114" s="163"/>
      <c r="CV114" s="163"/>
      <c r="CW114" s="163"/>
      <c r="CX114" s="163"/>
      <c r="CY114" s="163"/>
      <c r="CZ114" s="163"/>
      <c r="DA114" s="163"/>
      <c r="DB114" s="163"/>
      <c r="DC114" s="163"/>
      <c r="DD114" s="163"/>
      <c r="DE114" s="163"/>
      <c r="DF114" s="163"/>
      <c r="DG114" s="208"/>
      <c r="DH114" s="163"/>
      <c r="DI114" s="163"/>
      <c r="DJ114" s="163"/>
      <c r="DK114" s="163"/>
      <c r="DL114" s="163"/>
      <c r="DM114" s="163"/>
      <c r="DN114" s="163"/>
      <c r="DO114" s="163"/>
      <c r="DP114" s="163"/>
      <c r="DQ114" s="163"/>
      <c r="DR114" s="163"/>
      <c r="DS114" s="163"/>
      <c r="DT114" s="163"/>
      <c r="DU114" s="163"/>
      <c r="DV114" s="163"/>
      <c r="DW114" s="163"/>
      <c r="DX114" s="163"/>
      <c r="DY114" s="163"/>
      <c r="DZ114" s="163"/>
      <c r="EA114" s="163"/>
      <c r="EB114" s="163"/>
      <c r="EC114" s="163"/>
      <c r="ED114" s="163"/>
      <c r="EE114" s="163"/>
      <c r="EF114" s="163"/>
      <c r="EG114" s="163"/>
      <c r="EH114" s="160">
        <f>IF([Chambre]*1='CHAMBRES FILLES 2e ETAGE'!$A$5,1,0)</f>
        <v>0</v>
      </c>
      <c r="EI114" s="161">
        <f>IF([Occurrence2]=0,0,SUM($EH$2:EH114))</f>
        <v>0</v>
      </c>
      <c r="EJ114" s="160">
        <f>IF([Chambre]*1='CHAMBRES FILLES 2e ETAGE'!$A$11,1,0)</f>
        <v>0</v>
      </c>
      <c r="EK114" s="160">
        <f>IF([Occurrence3]=0,0,SUM($EJ$2:EJ114))</f>
        <v>0</v>
      </c>
      <c r="EL114" s="160">
        <f>IF([Chambre]*1='CHAMBRES FILLES 2e ETAGE'!$A$17,1,0)</f>
        <v>0</v>
      </c>
      <c r="EM114" s="160">
        <f>IF([Occurrence4]=0,0,SUM($EL$2:EL114))</f>
        <v>0</v>
      </c>
      <c r="EN114" s="160">
        <f>IF([Chambre]*1='CHAMBRES FILLES 2e ETAGE'!$A$23,1,0)</f>
        <v>0</v>
      </c>
      <c r="EO114" s="160">
        <f>IF([Occurrence5]=0,0,SUM($EN$2:EN114))</f>
        <v>0</v>
      </c>
      <c r="EP114" s="160">
        <f>IF([Chambre]*1='CHAMBRES FILLES 2e ETAGE'!$A$29,1,0)</f>
        <v>0</v>
      </c>
      <c r="EQ114" s="160">
        <f>IF([Occurrence6]=0,0,SUM($EP$2:EP114))</f>
        <v>0</v>
      </c>
      <c r="ER114" s="160">
        <f>IF([Chambre]*1='CHAMBRES FILLES 2e ETAGE'!$A$35,1,0)</f>
        <v>1</v>
      </c>
      <c r="ES114" s="160">
        <f>IF([Occurrence7]=0,0,SUM($ER$2:ER114))</f>
        <v>2</v>
      </c>
      <c r="ET114" s="160">
        <f>IF([Chambre]*1='CHAMBRES FILLES 2e ETAGE'!$A$41,1,0)</f>
        <v>0</v>
      </c>
      <c r="EU114" s="160">
        <f>IF([Occurrence8]=0,0,SUM($ET$2:ET114))</f>
        <v>0</v>
      </c>
      <c r="EV114" s="160">
        <f>IF([Chambre]*1='CHAMBRES FILLES 2e ETAGE'!$A$47,1,0)</f>
        <v>0</v>
      </c>
      <c r="EW114" s="160">
        <f>IF([Occurrence9]=0,0,SUM($EV$2:EV114))</f>
        <v>0</v>
      </c>
      <c r="EX114" s="160">
        <f>IF([Chambre]*1='CHAMBRES FILLES 2e ETAGE'!$A$53,1,0)</f>
        <v>0</v>
      </c>
      <c r="EY114" s="160">
        <f>IF([Occurrence10]=0,0,SUM($EX$2:EX114))</f>
        <v>0</v>
      </c>
      <c r="EZ114" s="160">
        <f>IF([Chambre]*1='CHAMBRES FILLES 2e ETAGE'!$A$59,1,0)</f>
        <v>0</v>
      </c>
      <c r="FA114" s="160">
        <f>IF([Occurrence11]=0,0,SUM($EZ$2:EZ114))</f>
        <v>0</v>
      </c>
      <c r="FB114" s="160">
        <f>IF([Chambre]*1='CHAMBRES FILLES 2e ETAGE'!$A$65,1,0)</f>
        <v>0</v>
      </c>
      <c r="FC114" s="160">
        <f>IF([Occurrence12]=0,0,SUM($FB$2:FB114))</f>
        <v>0</v>
      </c>
      <c r="FD114" s="160">
        <f>IF([Chambre]*1='CHAMBRES FILLES 2e ETAGE'!$A$71,1,0)</f>
        <v>0</v>
      </c>
      <c r="FE114" s="160">
        <f>IF([Occurrence13]=0,0,SUM($FD$2:FD114))</f>
        <v>0</v>
      </c>
      <c r="FF114" s="160">
        <f>IF([Chambre]*1='CHAMBRES FILLES 2e ETAGE'!$A$77,1,0)</f>
        <v>0</v>
      </c>
      <c r="FG114" s="160">
        <f>IF([Occurrence14]=0,0,SUM($FF$2:FF114))</f>
        <v>0</v>
      </c>
      <c r="FH114" s="160">
        <f>IF([Chambre]*1='CHAMBRES FILLES 2e ETAGE'!$A$83,1,0)</f>
        <v>0</v>
      </c>
      <c r="FI114" s="160">
        <f>IF([Occurrence15]=0,0,SUM($FH$2:FH114))</f>
        <v>0</v>
      </c>
      <c r="FJ114" s="160">
        <f>IF([Chambre]*1='CHAMBRES FILLES 2e ETAGE'!$A$89,1,0)</f>
        <v>0</v>
      </c>
      <c r="FK114" s="160">
        <f>IF([Occurrence16]=0,0,SUM($FJ$2:FJ114))</f>
        <v>0</v>
      </c>
      <c r="FL114" s="160">
        <f>IF([Chambre]*1='CHAMBRES FILLES 2e ETAGE'!$A$95,1,0)</f>
        <v>0</v>
      </c>
      <c r="FM114" s="160">
        <f>IF([Occurrence17]=0,0,SUM($FL$2:FL114))</f>
        <v>0</v>
      </c>
      <c r="FN114" s="160">
        <f>IF([Chambre2]*1='CHAMBRES FILLES 1e ETAGE'!$A$5,1,0)</f>
        <v>0</v>
      </c>
      <c r="FO114" s="160">
        <f>IF([Occurrence18]=0,0,SUM($FN$2:FN114))</f>
        <v>0</v>
      </c>
      <c r="FP114" s="160">
        <f>IF([Chambre2]*1='CHAMBRES FILLES 1e ETAGE'!$A$11,1,0)</f>
        <v>0</v>
      </c>
      <c r="FQ114" s="160">
        <f>IF([Occurrence19]=0,0,SUM($FP$2:FP114))</f>
        <v>0</v>
      </c>
      <c r="FR114" s="160">
        <f>IF([Chambre2]*1='CHAMBRES FILLES 1e ETAGE'!$A$17,1,0)</f>
        <v>0</v>
      </c>
      <c r="FS114" s="160">
        <f>IF([Occurrence20]=0,0,SUM($FR$2:FR114))</f>
        <v>0</v>
      </c>
      <c r="FT114" s="160">
        <f>IF([Chambre2]*1='CHAMBRES FILLES 1e ETAGE'!$A$23,1,0)</f>
        <v>0</v>
      </c>
      <c r="FU114" s="160">
        <f>IF([Occurrence21]=0,0,SUM($FT$2:FT114))</f>
        <v>0</v>
      </c>
      <c r="FV114" s="160">
        <f>IF([Chambre2]*1='CHAMBRES FILLES 1e ETAGE'!$A$29,1,0)</f>
        <v>0</v>
      </c>
      <c r="FW114" s="160">
        <f>IF([Occurrence22]=0,0,SUM($FV$2:FV114))</f>
        <v>0</v>
      </c>
      <c r="FX114" s="160">
        <f>IF([Chambre2]*1='CHAMBRES FILLES 1e ETAGE'!$A$35,1,0)</f>
        <v>0</v>
      </c>
      <c r="FY114" s="160">
        <f>IF([Occurrence23]=0,0,SUM($FX$2:FX114))</f>
        <v>0</v>
      </c>
      <c r="FZ114" s="160">
        <f>IF([Chambre2]*1='CHAMBRES FILLES 1e ETAGE'!$A$41,1,0)</f>
        <v>0</v>
      </c>
      <c r="GA114" s="160">
        <f>IF([Occurrence24]=0,0,SUM($FZ$2:FZ114))</f>
        <v>0</v>
      </c>
      <c r="GB114" s="160">
        <f>IF([Chambre2]*1='CHAMBRES FILLES 1e ETAGE'!$A$47,1,0)</f>
        <v>0</v>
      </c>
      <c r="GC114" s="160">
        <f>IF([Occurrence25]=0,0,SUM($GB$2:GB114))</f>
        <v>0</v>
      </c>
      <c r="GD114" s="160">
        <f>IF([Chambre2]*1='CHAMBRES FILLES 1e ETAGE'!$A$53,1,0)</f>
        <v>0</v>
      </c>
      <c r="GE114" s="160">
        <f>IF([Occurrence26]=0,0,SUM($GD$2:GD114))</f>
        <v>0</v>
      </c>
      <c r="GF114" s="160">
        <f>IF([chambre4]*1='CHAMBRES GARCONS 1e ETAGE'!$A$5,1,0)</f>
        <v>0</v>
      </c>
      <c r="GG114" s="160">
        <f>IF([Occurrence27]=0,0,SUM($GF$2:GF114))</f>
        <v>0</v>
      </c>
      <c r="GH114" s="160">
        <f>IF([chambre4]*1='CHAMBRES GARCONS 1e ETAGE'!$A$11,1,0)</f>
        <v>0</v>
      </c>
      <c r="GI114" s="160">
        <f>IF([Occurrence28]=0,0,SUM($GH$2:GH114))</f>
        <v>0</v>
      </c>
      <c r="GJ114" s="160">
        <f>IF([chambre4]*1='CHAMBRES GARCONS 1e ETAGE'!$A$17,1,0)</f>
        <v>0</v>
      </c>
      <c r="GK114" s="160">
        <f>IF([Occurrence29]=0,0,SUM($GJ$2:GJ114))</f>
        <v>0</v>
      </c>
      <c r="GL114" s="160">
        <f>IF([chambre4]*1='CHAMBRES GARCONS 1e ETAGE'!$A$23,1,0)</f>
        <v>0</v>
      </c>
      <c r="GM114" s="160">
        <f>IF([Occurrence30]=0,0,SUM($GL$2:GL114))</f>
        <v>0</v>
      </c>
      <c r="GN114" s="160">
        <f>IF([chambre4]*1='CHAMBRES GARCONS 1e ETAGE'!$A$29,1,0)</f>
        <v>0</v>
      </c>
      <c r="GO114" s="160">
        <f>IF([Occurrence31]=0,0,SUM($GN$2:GN114))</f>
        <v>0</v>
      </c>
      <c r="GP114" s="160">
        <f>IF([chambre4]*1='CHAMBRES GARCONS 1e ETAGE'!$A$35,1,0)</f>
        <v>0</v>
      </c>
      <c r="GQ114" s="160">
        <f>IF([Occurrence32]=0,0,SUM($GP$2:GP114))</f>
        <v>0</v>
      </c>
      <c r="GR114" s="160">
        <f>IF([chambre3]*1='CHAMBRES GARCONS RDC'!$A$5,1,0)</f>
        <v>0</v>
      </c>
      <c r="GS114" s="160">
        <f>IF([Occurrence33]=0,0,SUM($GR$2:GR114))</f>
        <v>0</v>
      </c>
      <c r="GT114" s="160">
        <f>IF([chambre3]*1='CHAMBRES GARCONS RDC'!$A$11,1,0)</f>
        <v>0</v>
      </c>
      <c r="GU114" s="160">
        <f>IF([Occurrence34]=0,0,SUM($GT$2:GT114))</f>
        <v>0</v>
      </c>
      <c r="GV114" s="160">
        <f>IF([chambre3]*1='CHAMBRES GARCONS RDC'!$A$17,1,0)</f>
        <v>0</v>
      </c>
      <c r="GW114" s="160">
        <f>IF([Occurrence35]=0,0,SUM($GV$2:GV114))</f>
        <v>0</v>
      </c>
      <c r="GX114" s="160">
        <f>IF([chambre3]*1='CHAMBRES GARCONS RDC'!$A$23,1,0)</f>
        <v>0</v>
      </c>
      <c r="GY114" s="160">
        <f>IF([Occurrence36]=0,0,SUM($GX$2:GX114))</f>
        <v>0</v>
      </c>
      <c r="GZ114" s="160">
        <f>IF([chambre3]*1='CHAMBRES GARCONS RDC'!$A$29,1,0)</f>
        <v>0</v>
      </c>
      <c r="HA114" s="160">
        <f>IF([Occurrence37]=0,0,SUM($GZ$2:GZ114))</f>
        <v>0</v>
      </c>
      <c r="HB114" s="160">
        <f>IF([chambre3]*1='CHAMBRES GARCONS RDC'!$A$35,1,0)</f>
        <v>0</v>
      </c>
      <c r="HC114" s="160">
        <f>IF([Occurrence38]=0,0,SUM($HB$2:HB114))</f>
        <v>0</v>
      </c>
      <c r="HD114" s="160">
        <f>IF([chambre3]*1='CHAMBRES GARCONS RDC'!$A$41,1,0)</f>
        <v>0</v>
      </c>
      <c r="HE114" s="160">
        <f>IF([Occurrence39]=0,0,SUM($HD$2:HD114))</f>
        <v>0</v>
      </c>
      <c r="HF114" s="160">
        <f>IF([chambre3]*1='CHAMBRES GARCONS RDC'!$A$47,1,0)</f>
        <v>0</v>
      </c>
      <c r="HG114" s="160">
        <f>IF([Occurrence40]=0,0,SUM($HF$2:HF114))</f>
        <v>0</v>
      </c>
      <c r="HH114" s="160">
        <f>IF([chambre3]*1='CHAMBRES GARCONS RDC'!$A$53,1,0)</f>
        <v>0</v>
      </c>
      <c r="HI114" s="160">
        <f>IF([Occurrence41]=0,0,SUM($HH$2:HH114))</f>
        <v>0</v>
      </c>
      <c r="HJ114" s="160">
        <f>IF([chambre3]*1='CHAMBRES GARCONS RDC'!$A$59,1,0)</f>
        <v>0</v>
      </c>
      <c r="HK114" s="160">
        <f>IF([Occurrence42]=0,0,SUM($HJ$2:HJ114))</f>
        <v>0</v>
      </c>
      <c r="HL114" s="160">
        <f>IF([chambre3]*1='CHAMBRES GARCONS RDC'!$A$65,1,0)</f>
        <v>0</v>
      </c>
      <c r="HM114" s="160">
        <f>IF([Occurrence43]=0,0,SUM($HL$2:HL114))</f>
        <v>0</v>
      </c>
      <c r="HN114" s="160">
        <f>IF([chambre3]*1='CHAMBRES GARCONS RDC'!$A$71,1,0)</f>
        <v>0</v>
      </c>
      <c r="HO114" s="160">
        <f>IF([Occurrence44]=0,0,SUM($HN$2:HN114))</f>
        <v>0</v>
      </c>
      <c r="HP114" s="160">
        <f>IF([chambre3]*1='CHAMBRES GARCONS RDC'!$A$77,1,0)</f>
        <v>0</v>
      </c>
      <c r="HQ114" s="160">
        <f>IF([Occurrence45]=0,0,SUM($HP$2:HP114))</f>
        <v>0</v>
      </c>
      <c r="HR114" s="160">
        <f>IF([chambre3]*1='CHAMBRES GARCONS RDC'!$A$83,1,0)</f>
        <v>0</v>
      </c>
      <c r="HS114" s="160">
        <f>IF([Occurrence46]=0,0,SUM($HR$2:HR114))</f>
        <v>0</v>
      </c>
      <c r="HT114" s="160">
        <f>IF([chambre3]*1='CHAMBRES GARCONS RDC'!$A$89,1,0)</f>
        <v>0</v>
      </c>
      <c r="HU114" s="160">
        <f>IF([Occurrence47]=0,0,SUM($HT$2:HT114))</f>
        <v>0</v>
      </c>
      <c r="HV114" s="160">
        <f>IF([chambre3]*1='CHAMBRES GARCONS RDC'!$A$95,1,0)</f>
        <v>0</v>
      </c>
      <c r="HW114" s="160">
        <f>IF([Occurrence48]=0,0,SUM($HV$2:HV114))</f>
        <v>0</v>
      </c>
      <c r="HX114" s="160"/>
      <c r="HY114" s="160"/>
      <c r="HZ114" s="160">
        <f>IF([Classe]='Liste élève par classes'!$B$5,1,0)</f>
        <v>0</v>
      </c>
      <c r="IA114" s="160">
        <f>IF([Occurrence]=0,0,SUM($HZ$2:HZ114))</f>
        <v>0</v>
      </c>
      <c r="IB11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166</v>
      </c>
      <c r="IC114" s="208"/>
    </row>
    <row r="115" spans="1:237">
      <c r="A115" t="s">
        <v>444</v>
      </c>
      <c r="B115" t="s">
        <v>445</v>
      </c>
      <c r="C115" s="158">
        <v>37554</v>
      </c>
      <c r="D115" s="62">
        <f t="shared" ca="1" si="1"/>
        <v>15</v>
      </c>
      <c r="E115" t="s">
        <v>5</v>
      </c>
      <c r="F115" s="159" t="s">
        <v>50</v>
      </c>
      <c r="G115" t="s">
        <v>45</v>
      </c>
      <c r="H115" s="160"/>
      <c r="I115" s="62"/>
      <c r="J115" s="62"/>
      <c r="K115" s="62"/>
      <c r="L115" s="61">
        <v>169</v>
      </c>
      <c r="M115">
        <v>253</v>
      </c>
      <c r="N115" s="62"/>
      <c r="O115" s="62"/>
      <c r="P115" s="62"/>
      <c r="Q115" s="62"/>
      <c r="R115" s="62"/>
      <c r="S115" s="191"/>
      <c r="T115" s="62"/>
      <c r="U115" s="61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163"/>
      <c r="AG115" s="163"/>
      <c r="AH115" s="163"/>
      <c r="AI115" s="163"/>
      <c r="AJ115" s="163"/>
      <c r="AK115" s="163"/>
      <c r="AL115" s="163"/>
      <c r="AM115" s="163"/>
      <c r="AN115" s="163"/>
      <c r="AO115" s="163"/>
      <c r="AP115" s="163"/>
      <c r="AQ115" s="163"/>
      <c r="AR115" s="163"/>
      <c r="AS115" s="163"/>
      <c r="AT115" s="163"/>
      <c r="AU115" s="163"/>
      <c r="AV115" s="163"/>
      <c r="AW115" s="163"/>
      <c r="AX115" s="163"/>
      <c r="AY115" s="163"/>
      <c r="AZ115" s="163"/>
      <c r="BA115" s="163"/>
      <c r="BB115" s="163"/>
      <c r="BC115" s="163" t="b">
        <v>0</v>
      </c>
      <c r="BD115" s="163" t="b">
        <v>1</v>
      </c>
      <c r="BE115" s="163" t="b">
        <v>1</v>
      </c>
      <c r="BF115" s="163" t="b">
        <v>0</v>
      </c>
      <c r="BG115" s="164" t="b">
        <v>0</v>
      </c>
      <c r="BH115" s="163" t="b">
        <v>1</v>
      </c>
      <c r="BI115" s="163"/>
      <c r="BJ115" s="163"/>
      <c r="BK115" s="163"/>
      <c r="BL115" s="163"/>
      <c r="BM115" s="163"/>
      <c r="BN115" s="163"/>
      <c r="BO115" s="163"/>
      <c r="BP115" s="163"/>
      <c r="BQ115" s="163" t="b">
        <v>1</v>
      </c>
      <c r="BR115" s="163"/>
      <c r="BS115" s="163"/>
      <c r="BT115" s="163"/>
      <c r="BU115" s="163"/>
      <c r="BV115" s="163"/>
      <c r="BW115" s="163"/>
      <c r="BX115" s="163"/>
      <c r="BY115" s="163"/>
      <c r="BZ115" s="163"/>
      <c r="CA115" s="163"/>
      <c r="CB115" s="163"/>
      <c r="CC115" s="163"/>
      <c r="CD115" s="163"/>
      <c r="CE115" s="163"/>
      <c r="CF115" s="163"/>
      <c r="CG115" s="163"/>
      <c r="CH115" s="163"/>
      <c r="CI115" s="163"/>
      <c r="CJ115" s="163"/>
      <c r="CK115" s="163"/>
      <c r="CL115" s="163"/>
      <c r="CM115" s="163"/>
      <c r="CN115" s="163"/>
      <c r="CO115" s="163"/>
      <c r="CP115" s="163"/>
      <c r="CQ115" s="163"/>
      <c r="CR115" s="163"/>
      <c r="CS115" s="163"/>
      <c r="CT115" s="163"/>
      <c r="CU115" s="163"/>
      <c r="CV115" s="163"/>
      <c r="CW115" s="163"/>
      <c r="CX115" s="163"/>
      <c r="CY115" s="163"/>
      <c r="CZ115" s="163"/>
      <c r="DA115" s="163"/>
      <c r="DB115" s="163"/>
      <c r="DC115" s="163"/>
      <c r="DD115" s="163"/>
      <c r="DE115" s="163"/>
      <c r="DF115" s="163"/>
      <c r="DG115" s="208"/>
      <c r="DH115" s="163"/>
      <c r="DI115" s="163"/>
      <c r="DJ115" s="163"/>
      <c r="DK115" s="163"/>
      <c r="DL115" s="163"/>
      <c r="DM115" s="163"/>
      <c r="DN115" s="163"/>
      <c r="DO115" s="163"/>
      <c r="DP115" s="163"/>
      <c r="DQ115" s="163"/>
      <c r="DR115" s="163"/>
      <c r="DS115" s="163"/>
      <c r="DT115" s="163"/>
      <c r="DU115" s="163"/>
      <c r="DV115" s="163"/>
      <c r="DW115" s="163"/>
      <c r="DX115" s="163"/>
      <c r="DY115" s="163"/>
      <c r="DZ115" s="163"/>
      <c r="EA115" s="163"/>
      <c r="EB115" s="163"/>
      <c r="EC115" s="163"/>
      <c r="ED115" s="163"/>
      <c r="EE115" s="163"/>
      <c r="EF115" s="163"/>
      <c r="EG115" s="163"/>
      <c r="EH115" s="160">
        <f>IF([Chambre]*1='CHAMBRES FILLES 2e ETAGE'!$A$5,1,0)</f>
        <v>0</v>
      </c>
      <c r="EI115" s="161">
        <f>IF([Occurrence2]=0,0,SUM($EH$2:EH115))</f>
        <v>0</v>
      </c>
      <c r="EJ115" s="160">
        <f>IF([Chambre]*1='CHAMBRES FILLES 2e ETAGE'!$A$11,1,0)</f>
        <v>0</v>
      </c>
      <c r="EK115" s="160">
        <f>IF([Occurrence3]=0,0,SUM($EJ$2:EJ115))</f>
        <v>0</v>
      </c>
      <c r="EL115" s="160">
        <f>IF([Chambre]*1='CHAMBRES FILLES 2e ETAGE'!$A$17,1,0)</f>
        <v>0</v>
      </c>
      <c r="EM115" s="160">
        <f>IF([Occurrence4]=0,0,SUM($EL$2:EL115))</f>
        <v>0</v>
      </c>
      <c r="EN115" s="160">
        <f>IF([Chambre]*1='CHAMBRES FILLES 2e ETAGE'!$A$23,1,0)</f>
        <v>0</v>
      </c>
      <c r="EO115" s="160">
        <f>IF([Occurrence5]=0,0,SUM($EN$2:EN115))</f>
        <v>0</v>
      </c>
      <c r="EP115" s="160">
        <f>IF([Chambre]*1='CHAMBRES FILLES 2e ETAGE'!$A$29,1,0)</f>
        <v>0</v>
      </c>
      <c r="EQ115" s="160">
        <f>IF([Occurrence6]=0,0,SUM($EP$2:EP115))</f>
        <v>0</v>
      </c>
      <c r="ER115" s="160">
        <f>IF([Chambre]*1='CHAMBRES FILLES 2e ETAGE'!$A$35,1,0)</f>
        <v>0</v>
      </c>
      <c r="ES115" s="160">
        <f>IF([Occurrence7]=0,0,SUM($ER$2:ER115))</f>
        <v>0</v>
      </c>
      <c r="ET115" s="160">
        <f>IF([Chambre]*1='CHAMBRES FILLES 2e ETAGE'!$A$41,1,0)</f>
        <v>1</v>
      </c>
      <c r="EU115" s="160">
        <f>IF([Occurrence8]=0,0,SUM($ET$2:ET115))</f>
        <v>3</v>
      </c>
      <c r="EV115" s="160">
        <f>IF([Chambre]*1='CHAMBRES FILLES 2e ETAGE'!$A$47,1,0)</f>
        <v>0</v>
      </c>
      <c r="EW115" s="160">
        <f>IF([Occurrence9]=0,0,SUM($EV$2:EV115))</f>
        <v>0</v>
      </c>
      <c r="EX115" s="160">
        <f>IF([Chambre]*1='CHAMBRES FILLES 2e ETAGE'!$A$53,1,0)</f>
        <v>0</v>
      </c>
      <c r="EY115" s="160">
        <f>IF([Occurrence10]=0,0,SUM($EX$2:EX115))</f>
        <v>0</v>
      </c>
      <c r="EZ115" s="160">
        <f>IF([Chambre]*1='CHAMBRES FILLES 2e ETAGE'!$A$59,1,0)</f>
        <v>0</v>
      </c>
      <c r="FA115" s="160">
        <f>IF([Occurrence11]=0,0,SUM($EZ$2:EZ115))</f>
        <v>0</v>
      </c>
      <c r="FB115" s="160">
        <f>IF([Chambre]*1='CHAMBRES FILLES 2e ETAGE'!$A$65,1,0)</f>
        <v>0</v>
      </c>
      <c r="FC115" s="160">
        <f>IF([Occurrence12]=0,0,SUM($FB$2:FB115))</f>
        <v>0</v>
      </c>
      <c r="FD115" s="160">
        <f>IF([Chambre]*1='CHAMBRES FILLES 2e ETAGE'!$A$71,1,0)</f>
        <v>0</v>
      </c>
      <c r="FE115" s="160">
        <f>IF([Occurrence13]=0,0,SUM($FD$2:FD115))</f>
        <v>0</v>
      </c>
      <c r="FF115" s="160">
        <f>IF([Chambre]*1='CHAMBRES FILLES 2e ETAGE'!$A$77,1,0)</f>
        <v>0</v>
      </c>
      <c r="FG115" s="160">
        <f>IF([Occurrence14]=0,0,SUM($FF$2:FF115))</f>
        <v>0</v>
      </c>
      <c r="FH115" s="160">
        <f>IF([Chambre]*1='CHAMBRES FILLES 2e ETAGE'!$A$83,1,0)</f>
        <v>0</v>
      </c>
      <c r="FI115" s="160">
        <f>IF([Occurrence15]=0,0,SUM($FH$2:FH115))</f>
        <v>0</v>
      </c>
      <c r="FJ115" s="160">
        <f>IF([Chambre]*1='CHAMBRES FILLES 2e ETAGE'!$A$89,1,0)</f>
        <v>0</v>
      </c>
      <c r="FK115" s="160">
        <f>IF([Occurrence16]=0,0,SUM($FJ$2:FJ115))</f>
        <v>0</v>
      </c>
      <c r="FL115" s="160">
        <f>IF([Chambre]*1='CHAMBRES FILLES 2e ETAGE'!$A$95,1,0)</f>
        <v>0</v>
      </c>
      <c r="FM115" s="160">
        <f>IF([Occurrence17]=0,0,SUM($FL$2:FL115))</f>
        <v>0</v>
      </c>
      <c r="FN115" s="160">
        <f>IF([Chambre2]*1='CHAMBRES FILLES 1e ETAGE'!$A$5,1,0)</f>
        <v>0</v>
      </c>
      <c r="FO115" s="160">
        <f>IF([Occurrence18]=0,0,SUM($FN$2:FN115))</f>
        <v>0</v>
      </c>
      <c r="FP115" s="160">
        <f>IF([Chambre2]*1='CHAMBRES FILLES 1e ETAGE'!$A$11,1,0)</f>
        <v>0</v>
      </c>
      <c r="FQ115" s="160">
        <f>IF([Occurrence19]=0,0,SUM($FP$2:FP115))</f>
        <v>0</v>
      </c>
      <c r="FR115" s="160">
        <f>IF([Chambre2]*1='CHAMBRES FILLES 1e ETAGE'!$A$17,1,0)</f>
        <v>0</v>
      </c>
      <c r="FS115" s="160">
        <f>IF([Occurrence20]=0,0,SUM($FR$2:FR115))</f>
        <v>0</v>
      </c>
      <c r="FT115" s="160">
        <f>IF([Chambre2]*1='CHAMBRES FILLES 1e ETAGE'!$A$23,1,0)</f>
        <v>0</v>
      </c>
      <c r="FU115" s="160">
        <f>IF([Occurrence21]=0,0,SUM($FT$2:FT115))</f>
        <v>0</v>
      </c>
      <c r="FV115" s="160">
        <f>IF([Chambre2]*1='CHAMBRES FILLES 1e ETAGE'!$A$29,1,0)</f>
        <v>0</v>
      </c>
      <c r="FW115" s="160">
        <f>IF([Occurrence22]=0,0,SUM($FV$2:FV115))</f>
        <v>0</v>
      </c>
      <c r="FX115" s="160">
        <f>IF([Chambre2]*1='CHAMBRES FILLES 1e ETAGE'!$A$35,1,0)</f>
        <v>0</v>
      </c>
      <c r="FY115" s="160">
        <f>IF([Occurrence23]=0,0,SUM($FX$2:FX115))</f>
        <v>0</v>
      </c>
      <c r="FZ115" s="160">
        <f>IF([Chambre2]*1='CHAMBRES FILLES 1e ETAGE'!$A$41,1,0)</f>
        <v>0</v>
      </c>
      <c r="GA115" s="160">
        <f>IF([Occurrence24]=0,0,SUM($FZ$2:FZ115))</f>
        <v>0</v>
      </c>
      <c r="GB115" s="160">
        <f>IF([Chambre2]*1='CHAMBRES FILLES 1e ETAGE'!$A$47,1,0)</f>
        <v>0</v>
      </c>
      <c r="GC115" s="160">
        <f>IF([Occurrence25]=0,0,SUM($GB$2:GB115))</f>
        <v>0</v>
      </c>
      <c r="GD115" s="160">
        <f>IF([Chambre2]*1='CHAMBRES FILLES 1e ETAGE'!$A$53,1,0)</f>
        <v>0</v>
      </c>
      <c r="GE115" s="160">
        <f>IF([Occurrence26]=0,0,SUM($GD$2:GD115))</f>
        <v>0</v>
      </c>
      <c r="GF115" s="160">
        <f>IF([chambre4]*1='CHAMBRES GARCONS 1e ETAGE'!$A$5,1,0)</f>
        <v>0</v>
      </c>
      <c r="GG115" s="160">
        <f>IF([Occurrence27]=0,0,SUM($GF$2:GF115))</f>
        <v>0</v>
      </c>
      <c r="GH115" s="160">
        <f>IF([chambre4]*1='CHAMBRES GARCONS 1e ETAGE'!$A$11,1,0)</f>
        <v>0</v>
      </c>
      <c r="GI115" s="160">
        <f>IF([Occurrence28]=0,0,SUM($GH$2:GH115))</f>
        <v>0</v>
      </c>
      <c r="GJ115" s="160">
        <f>IF([chambre4]*1='CHAMBRES GARCONS 1e ETAGE'!$A$17,1,0)</f>
        <v>0</v>
      </c>
      <c r="GK115" s="160">
        <f>IF([Occurrence29]=0,0,SUM($GJ$2:GJ115))</f>
        <v>0</v>
      </c>
      <c r="GL115" s="160">
        <f>IF([chambre4]*1='CHAMBRES GARCONS 1e ETAGE'!$A$23,1,0)</f>
        <v>0</v>
      </c>
      <c r="GM115" s="160">
        <f>IF([Occurrence30]=0,0,SUM($GL$2:GL115))</f>
        <v>0</v>
      </c>
      <c r="GN115" s="160">
        <f>IF([chambre4]*1='CHAMBRES GARCONS 1e ETAGE'!$A$29,1,0)</f>
        <v>0</v>
      </c>
      <c r="GO115" s="160">
        <f>IF([Occurrence31]=0,0,SUM($GN$2:GN115))</f>
        <v>0</v>
      </c>
      <c r="GP115" s="160">
        <f>IF([chambre4]*1='CHAMBRES GARCONS 1e ETAGE'!$A$35,1,0)</f>
        <v>0</v>
      </c>
      <c r="GQ115" s="160">
        <f>IF([Occurrence32]=0,0,SUM($GP$2:GP115))</f>
        <v>0</v>
      </c>
      <c r="GR115" s="160">
        <f>IF([chambre3]*1='CHAMBRES GARCONS RDC'!$A$5,1,0)</f>
        <v>0</v>
      </c>
      <c r="GS115" s="160">
        <f>IF([Occurrence33]=0,0,SUM($GR$2:GR115))</f>
        <v>0</v>
      </c>
      <c r="GT115" s="160">
        <f>IF([chambre3]*1='CHAMBRES GARCONS RDC'!$A$11,1,0)</f>
        <v>0</v>
      </c>
      <c r="GU115" s="160">
        <f>IF([Occurrence34]=0,0,SUM($GT$2:GT115))</f>
        <v>0</v>
      </c>
      <c r="GV115" s="160">
        <f>IF([chambre3]*1='CHAMBRES GARCONS RDC'!$A$17,1,0)</f>
        <v>0</v>
      </c>
      <c r="GW115" s="160">
        <f>IF([Occurrence35]=0,0,SUM($GV$2:GV115))</f>
        <v>0</v>
      </c>
      <c r="GX115" s="160">
        <f>IF([chambre3]*1='CHAMBRES GARCONS RDC'!$A$23,1,0)</f>
        <v>0</v>
      </c>
      <c r="GY115" s="160">
        <f>IF([Occurrence36]=0,0,SUM($GX$2:GX115))</f>
        <v>0</v>
      </c>
      <c r="GZ115" s="160">
        <f>IF([chambre3]*1='CHAMBRES GARCONS RDC'!$A$29,1,0)</f>
        <v>0</v>
      </c>
      <c r="HA115" s="160">
        <f>IF([Occurrence37]=0,0,SUM($GZ$2:GZ115))</f>
        <v>0</v>
      </c>
      <c r="HB115" s="160">
        <f>IF([chambre3]*1='CHAMBRES GARCONS RDC'!$A$35,1,0)</f>
        <v>0</v>
      </c>
      <c r="HC115" s="160">
        <f>IF([Occurrence38]=0,0,SUM($HB$2:HB115))</f>
        <v>0</v>
      </c>
      <c r="HD115" s="160">
        <f>IF([chambre3]*1='CHAMBRES GARCONS RDC'!$A$41,1,0)</f>
        <v>0</v>
      </c>
      <c r="HE115" s="160">
        <f>IF([Occurrence39]=0,0,SUM($HD$2:HD115))</f>
        <v>0</v>
      </c>
      <c r="HF115" s="160">
        <f>IF([chambre3]*1='CHAMBRES GARCONS RDC'!$A$47,1,0)</f>
        <v>0</v>
      </c>
      <c r="HG115" s="160">
        <f>IF([Occurrence40]=0,0,SUM($HF$2:HF115))</f>
        <v>0</v>
      </c>
      <c r="HH115" s="160">
        <f>IF([chambre3]*1='CHAMBRES GARCONS RDC'!$A$53,1,0)</f>
        <v>0</v>
      </c>
      <c r="HI115" s="160">
        <f>IF([Occurrence41]=0,0,SUM($HH$2:HH115))</f>
        <v>0</v>
      </c>
      <c r="HJ115" s="160">
        <f>IF([chambre3]*1='CHAMBRES GARCONS RDC'!$A$59,1,0)</f>
        <v>0</v>
      </c>
      <c r="HK115" s="160">
        <f>IF([Occurrence42]=0,0,SUM($HJ$2:HJ115))</f>
        <v>0</v>
      </c>
      <c r="HL115" s="160">
        <f>IF([chambre3]*1='CHAMBRES GARCONS RDC'!$A$65,1,0)</f>
        <v>0</v>
      </c>
      <c r="HM115" s="160">
        <f>IF([Occurrence43]=0,0,SUM($HL$2:HL115))</f>
        <v>0</v>
      </c>
      <c r="HN115" s="160">
        <f>IF([chambre3]*1='CHAMBRES GARCONS RDC'!$A$71,1,0)</f>
        <v>0</v>
      </c>
      <c r="HO115" s="160">
        <f>IF([Occurrence44]=0,0,SUM($HN$2:HN115))</f>
        <v>0</v>
      </c>
      <c r="HP115" s="160">
        <f>IF([chambre3]*1='CHAMBRES GARCONS RDC'!$A$77,1,0)</f>
        <v>0</v>
      </c>
      <c r="HQ115" s="160">
        <f>IF([Occurrence45]=0,0,SUM($HP$2:HP115))</f>
        <v>0</v>
      </c>
      <c r="HR115" s="160">
        <f>IF([chambre3]*1='CHAMBRES GARCONS RDC'!$A$83,1,0)</f>
        <v>0</v>
      </c>
      <c r="HS115" s="160">
        <f>IF([Occurrence46]=0,0,SUM($HR$2:HR115))</f>
        <v>0</v>
      </c>
      <c r="HT115" s="160">
        <f>IF([chambre3]*1='CHAMBRES GARCONS RDC'!$A$89,1,0)</f>
        <v>0</v>
      </c>
      <c r="HU115" s="160">
        <f>IF([Occurrence47]=0,0,SUM($HT$2:HT115))</f>
        <v>0</v>
      </c>
      <c r="HV115" s="160">
        <f>IF([chambre3]*1='CHAMBRES GARCONS RDC'!$A$95,1,0)</f>
        <v>0</v>
      </c>
      <c r="HW115" s="160">
        <f>IF([Occurrence48]=0,0,SUM($HV$2:HV115))</f>
        <v>0</v>
      </c>
      <c r="HX115" s="160"/>
      <c r="HY115" s="160"/>
      <c r="HZ115" s="160">
        <f>IF([Classe]='Liste élève par classes'!$B$5,1,0)</f>
        <v>0</v>
      </c>
      <c r="IA115" s="160">
        <f>IF([Occurrence]=0,0,SUM($HZ$2:HZ115))</f>
        <v>0</v>
      </c>
      <c r="IB11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169</v>
      </c>
      <c r="IC115" s="208"/>
    </row>
    <row r="116" spans="1:237">
      <c r="A116" t="s">
        <v>446</v>
      </c>
      <c r="B116" t="s">
        <v>447</v>
      </c>
      <c r="C116" s="158">
        <v>37611</v>
      </c>
      <c r="D116" s="62">
        <f t="shared" ca="1" si="1"/>
        <v>14</v>
      </c>
      <c r="E116" t="s">
        <v>5</v>
      </c>
      <c r="F116" s="159" t="s">
        <v>50</v>
      </c>
      <c r="G116" t="s">
        <v>40</v>
      </c>
      <c r="H116" s="160"/>
      <c r="I116" s="62"/>
      <c r="J116" s="62" t="s">
        <v>244</v>
      </c>
      <c r="K116" s="62"/>
      <c r="L116" s="61"/>
      <c r="M116">
        <v>254</v>
      </c>
      <c r="N116" s="62" t="s">
        <v>244</v>
      </c>
      <c r="O116" s="62" t="s">
        <v>244</v>
      </c>
      <c r="P116" s="62" t="s">
        <v>244</v>
      </c>
      <c r="Q116" s="62" t="s">
        <v>244</v>
      </c>
      <c r="R116" s="62" t="s">
        <v>244</v>
      </c>
      <c r="S116" s="191"/>
      <c r="T116" s="62" t="s">
        <v>244</v>
      </c>
      <c r="U116" s="61"/>
      <c r="V116" s="62" t="s">
        <v>244</v>
      </c>
      <c r="W116" s="62" t="s">
        <v>244</v>
      </c>
      <c r="X116" s="62" t="s">
        <v>244</v>
      </c>
      <c r="Y116" s="62" t="s">
        <v>244</v>
      </c>
      <c r="Z116" s="62" t="s">
        <v>244</v>
      </c>
      <c r="AA116" s="62" t="s">
        <v>244</v>
      </c>
      <c r="AB116" s="62" t="s">
        <v>244</v>
      </c>
      <c r="AC116" s="62" t="s">
        <v>244</v>
      </c>
      <c r="AD116" s="62" t="s">
        <v>244</v>
      </c>
      <c r="AE116" s="62" t="s">
        <v>244</v>
      </c>
      <c r="AF116" s="163" t="s">
        <v>244</v>
      </c>
      <c r="AG116" s="163" t="s">
        <v>244</v>
      </c>
      <c r="AH116" s="163" t="s">
        <v>244</v>
      </c>
      <c r="AI116" s="163"/>
      <c r="AJ116" s="163"/>
      <c r="AK116" s="163"/>
      <c r="AL116" s="163"/>
      <c r="AM116" s="163"/>
      <c r="AN116" s="163"/>
      <c r="AO116" s="163"/>
      <c r="AP116" s="163"/>
      <c r="AQ116" s="163"/>
      <c r="AR116" s="163"/>
      <c r="AS116" s="163"/>
      <c r="AT116" s="163"/>
      <c r="AU116" s="163"/>
      <c r="AV116" s="163"/>
      <c r="AW116" s="163"/>
      <c r="AX116" s="163"/>
      <c r="AY116" s="163"/>
      <c r="AZ116" s="163"/>
      <c r="BA116" s="163"/>
      <c r="BB116" s="163"/>
      <c r="BC116" s="163" t="b">
        <v>0</v>
      </c>
      <c r="BD116" s="163" t="b">
        <v>1</v>
      </c>
      <c r="BE116" s="163" t="b">
        <v>1</v>
      </c>
      <c r="BF116" s="163" t="b">
        <v>0</v>
      </c>
      <c r="BG116" s="164" t="b">
        <v>0</v>
      </c>
      <c r="BH116" s="163" t="b">
        <v>1</v>
      </c>
      <c r="BI116" s="163"/>
      <c r="BJ116" s="163"/>
      <c r="BK116" s="163"/>
      <c r="BL116" s="163"/>
      <c r="BM116" s="163"/>
      <c r="BN116" s="163"/>
      <c r="BO116" s="163"/>
      <c r="BP116" s="163"/>
      <c r="BQ116" s="163" t="b">
        <v>0</v>
      </c>
      <c r="BR116" s="163"/>
      <c r="BS116" s="163"/>
      <c r="BT116" s="163"/>
      <c r="BU116" s="163"/>
      <c r="BV116" s="163"/>
      <c r="BW116" s="163"/>
      <c r="BX116" s="163"/>
      <c r="BY116" s="163"/>
      <c r="BZ116" s="163"/>
      <c r="CA116" s="163"/>
      <c r="CB116" s="163"/>
      <c r="CC116" s="163"/>
      <c r="CD116" s="163"/>
      <c r="CE116" s="163"/>
      <c r="CF116" s="163"/>
      <c r="CG116" s="163"/>
      <c r="CH116" s="163"/>
      <c r="CI116" s="163"/>
      <c r="CJ116" s="163"/>
      <c r="CK116" s="163"/>
      <c r="CL116" s="163"/>
      <c r="CM116" s="163"/>
      <c r="CN116" s="163"/>
      <c r="CO116" s="163"/>
      <c r="CP116" s="163"/>
      <c r="CQ116" s="163"/>
      <c r="CR116" s="163"/>
      <c r="CS116" s="163"/>
      <c r="CT116" s="163"/>
      <c r="CU116" s="163"/>
      <c r="CV116" s="163"/>
      <c r="CW116" s="163"/>
      <c r="CX116" s="163"/>
      <c r="CY116" s="163"/>
      <c r="CZ116" s="163"/>
      <c r="DA116" s="163">
        <v>111</v>
      </c>
      <c r="DB116" s="163"/>
      <c r="DC116" s="163"/>
      <c r="DD116" s="163"/>
      <c r="DE116" s="163"/>
      <c r="DF116" s="163"/>
      <c r="DG116" s="208"/>
      <c r="DH116" s="163"/>
      <c r="DI116" s="163"/>
      <c r="DJ116" s="163"/>
      <c r="DK116" s="163"/>
      <c r="DL116" s="163"/>
      <c r="DM116" s="163"/>
      <c r="DN116" s="163"/>
      <c r="DO116" s="163"/>
      <c r="DP116" s="163"/>
      <c r="DQ116" s="163"/>
      <c r="DR116" s="163"/>
      <c r="DS116" s="163"/>
      <c r="DT116" s="163"/>
      <c r="DU116" s="163"/>
      <c r="DV116" s="163"/>
      <c r="DW116" s="163"/>
      <c r="DX116" s="163"/>
      <c r="DY116" s="163"/>
      <c r="DZ116" s="163"/>
      <c r="EA116" s="163"/>
      <c r="EB116" s="163"/>
      <c r="EC116" s="163"/>
      <c r="ED116" s="163"/>
      <c r="EE116" s="163"/>
      <c r="EF116" s="163"/>
      <c r="EG116" s="163"/>
      <c r="EH116" s="160">
        <f>IF([Chambre]*1='CHAMBRES FILLES 2e ETAGE'!$A$5,1,0)</f>
        <v>0</v>
      </c>
      <c r="EI116" s="161">
        <f>IF([Occurrence2]=0,0,SUM($EH$2:EH116))</f>
        <v>0</v>
      </c>
      <c r="EJ116" s="160">
        <f>IF([Chambre]*1='CHAMBRES FILLES 2e ETAGE'!$A$11,1,0)</f>
        <v>0</v>
      </c>
      <c r="EK116" s="160">
        <f>IF([Occurrence3]=0,0,SUM($EJ$2:EJ116))</f>
        <v>0</v>
      </c>
      <c r="EL116" s="160">
        <f>IF([Chambre]*1='CHAMBRES FILLES 2e ETAGE'!$A$17,1,0)</f>
        <v>0</v>
      </c>
      <c r="EM116" s="160">
        <f>IF([Occurrence4]=0,0,SUM($EL$2:EL116))</f>
        <v>0</v>
      </c>
      <c r="EN116" s="160">
        <f>IF([Chambre]*1='CHAMBRES FILLES 2e ETAGE'!$A$23,1,0)</f>
        <v>0</v>
      </c>
      <c r="EO116" s="160">
        <f>IF([Occurrence5]=0,0,SUM($EN$2:EN116))</f>
        <v>0</v>
      </c>
      <c r="EP116" s="160">
        <f>IF([Chambre]*1='CHAMBRES FILLES 2e ETAGE'!$A$29,1,0)</f>
        <v>0</v>
      </c>
      <c r="EQ116" s="160">
        <f>IF([Occurrence6]=0,0,SUM($EP$2:EP116))</f>
        <v>0</v>
      </c>
      <c r="ER116" s="160">
        <f>IF([Chambre]*1='CHAMBRES FILLES 2e ETAGE'!$A$35,1,0)</f>
        <v>0</v>
      </c>
      <c r="ES116" s="160">
        <f>IF([Occurrence7]=0,0,SUM($ER$2:ER116))</f>
        <v>0</v>
      </c>
      <c r="ET116" s="160">
        <f>IF([Chambre]*1='CHAMBRES FILLES 2e ETAGE'!$A$41,1,0)</f>
        <v>0</v>
      </c>
      <c r="EU116" s="160">
        <f>IF([Occurrence8]=0,0,SUM($ET$2:ET116))</f>
        <v>0</v>
      </c>
      <c r="EV116" s="160">
        <f>IF([Chambre]*1='CHAMBRES FILLES 2e ETAGE'!$A$47,1,0)</f>
        <v>0</v>
      </c>
      <c r="EW116" s="160">
        <f>IF([Occurrence9]=0,0,SUM($EV$2:EV116))</f>
        <v>0</v>
      </c>
      <c r="EX116" s="160">
        <f>IF([Chambre]*1='CHAMBRES FILLES 2e ETAGE'!$A$53,1,0)</f>
        <v>0</v>
      </c>
      <c r="EY116" s="160">
        <f>IF([Occurrence10]=0,0,SUM($EX$2:EX116))</f>
        <v>0</v>
      </c>
      <c r="EZ116" s="160">
        <f>IF([Chambre]*1='CHAMBRES FILLES 2e ETAGE'!$A$59,1,0)</f>
        <v>0</v>
      </c>
      <c r="FA116" s="160">
        <f>IF([Occurrence11]=0,0,SUM($EZ$2:EZ116))</f>
        <v>0</v>
      </c>
      <c r="FB116" s="160">
        <f>IF([Chambre]*1='CHAMBRES FILLES 2e ETAGE'!$A$65,1,0)</f>
        <v>0</v>
      </c>
      <c r="FC116" s="160">
        <f>IF([Occurrence12]=0,0,SUM($FB$2:FB116))</f>
        <v>0</v>
      </c>
      <c r="FD116" s="160">
        <f>IF([Chambre]*1='CHAMBRES FILLES 2e ETAGE'!$A$71,1,0)</f>
        <v>0</v>
      </c>
      <c r="FE116" s="160">
        <f>IF([Occurrence13]=0,0,SUM($FD$2:FD116))</f>
        <v>0</v>
      </c>
      <c r="FF116" s="160">
        <f>IF([Chambre]*1='CHAMBRES FILLES 2e ETAGE'!$A$77,1,0)</f>
        <v>0</v>
      </c>
      <c r="FG116" s="160">
        <f>IF([Occurrence14]=0,0,SUM($FF$2:FF116))</f>
        <v>0</v>
      </c>
      <c r="FH116" s="160">
        <f>IF([Chambre]*1='CHAMBRES FILLES 2e ETAGE'!$A$83,1,0)</f>
        <v>0</v>
      </c>
      <c r="FI116" s="160">
        <f>IF([Occurrence15]=0,0,SUM($FH$2:FH116))</f>
        <v>0</v>
      </c>
      <c r="FJ116" s="160">
        <f>IF([Chambre]*1='CHAMBRES FILLES 2e ETAGE'!$A$89,1,0)</f>
        <v>0</v>
      </c>
      <c r="FK116" s="160">
        <f>IF([Occurrence16]=0,0,SUM($FJ$2:FJ116))</f>
        <v>0</v>
      </c>
      <c r="FL116" s="160">
        <f>IF([Chambre]*1='CHAMBRES FILLES 2e ETAGE'!$A$95,1,0)</f>
        <v>0</v>
      </c>
      <c r="FM116" s="160">
        <f>IF([Occurrence17]=0,0,SUM($FL$2:FL116))</f>
        <v>0</v>
      </c>
      <c r="FN116" s="160">
        <f>IF([Chambre2]*1='CHAMBRES FILLES 1e ETAGE'!$A$5,1,0)</f>
        <v>0</v>
      </c>
      <c r="FO116" s="160">
        <f>IF([Occurrence18]=0,0,SUM($FN$2:FN116))</f>
        <v>0</v>
      </c>
      <c r="FP116" s="160">
        <f>IF([Chambre2]*1='CHAMBRES FILLES 1e ETAGE'!$A$11,1,0)</f>
        <v>0</v>
      </c>
      <c r="FQ116" s="160">
        <f>IF([Occurrence19]=0,0,SUM($FP$2:FP116))</f>
        <v>0</v>
      </c>
      <c r="FR116" s="160">
        <f>IF([Chambre2]*1='CHAMBRES FILLES 1e ETAGE'!$A$17,1,0)</f>
        <v>0</v>
      </c>
      <c r="FS116" s="160">
        <f>IF([Occurrence20]=0,0,SUM($FR$2:FR116))</f>
        <v>0</v>
      </c>
      <c r="FT116" s="160">
        <f>IF([Chambre2]*1='CHAMBRES FILLES 1e ETAGE'!$A$23,1,0)</f>
        <v>0</v>
      </c>
      <c r="FU116" s="160">
        <f>IF([Occurrence21]=0,0,SUM($FT$2:FT116))</f>
        <v>0</v>
      </c>
      <c r="FV116" s="160">
        <f>IF([Chambre2]*1='CHAMBRES FILLES 1e ETAGE'!$A$29,1,0)</f>
        <v>0</v>
      </c>
      <c r="FW116" s="160">
        <f>IF([Occurrence22]=0,0,SUM($FV$2:FV116))</f>
        <v>0</v>
      </c>
      <c r="FX116" s="160">
        <f>IF([Chambre2]*1='CHAMBRES FILLES 1e ETAGE'!$A$35,1,0)</f>
        <v>0</v>
      </c>
      <c r="FY116" s="160">
        <f>IF([Occurrence23]=0,0,SUM($FX$2:FX116))</f>
        <v>0</v>
      </c>
      <c r="FZ116" s="160">
        <f>IF([Chambre2]*1='CHAMBRES FILLES 1e ETAGE'!$A$41,1,0)</f>
        <v>0</v>
      </c>
      <c r="GA116" s="160">
        <f>IF([Occurrence24]=0,0,SUM($FZ$2:FZ116))</f>
        <v>0</v>
      </c>
      <c r="GB116" s="160">
        <f>IF([Chambre2]*1='CHAMBRES FILLES 1e ETAGE'!$A$47,1,0)</f>
        <v>0</v>
      </c>
      <c r="GC116" s="160">
        <f>IF([Occurrence25]=0,0,SUM($GB$2:GB116))</f>
        <v>0</v>
      </c>
      <c r="GD116" s="160">
        <f>IF([Chambre2]*1='CHAMBRES FILLES 1e ETAGE'!$A$53,1,0)</f>
        <v>0</v>
      </c>
      <c r="GE116" s="160">
        <f>IF([Occurrence26]=0,0,SUM($GD$2:GD116))</f>
        <v>0</v>
      </c>
      <c r="GF116" s="160">
        <f>IF([chambre4]*1='CHAMBRES GARCONS 1e ETAGE'!$A$5,1,0)</f>
        <v>0</v>
      </c>
      <c r="GG116" s="160">
        <f>IF([Occurrence27]=0,0,SUM($GF$2:GF116))</f>
        <v>0</v>
      </c>
      <c r="GH116" s="160">
        <f>IF([chambre4]*1='CHAMBRES GARCONS 1e ETAGE'!$A$11,1,0)</f>
        <v>0</v>
      </c>
      <c r="GI116" s="160">
        <f>IF([Occurrence28]=0,0,SUM($GH$2:GH116))</f>
        <v>0</v>
      </c>
      <c r="GJ116" s="160">
        <f>IF([chambre4]*1='CHAMBRES GARCONS 1e ETAGE'!$A$17,1,0)</f>
        <v>0</v>
      </c>
      <c r="GK116" s="160">
        <f>IF([Occurrence29]=0,0,SUM($GJ$2:GJ116))</f>
        <v>0</v>
      </c>
      <c r="GL116" s="160">
        <f>IF([chambre4]*1='CHAMBRES GARCONS 1e ETAGE'!$A$23,1,0)</f>
        <v>0</v>
      </c>
      <c r="GM116" s="160">
        <f>IF([Occurrence30]=0,0,SUM($GL$2:GL116))</f>
        <v>0</v>
      </c>
      <c r="GN116" s="160">
        <f>IF([chambre4]*1='CHAMBRES GARCONS 1e ETAGE'!$A$29,1,0)</f>
        <v>0</v>
      </c>
      <c r="GO116" s="160">
        <f>IF([Occurrence31]=0,0,SUM($GN$2:GN116))</f>
        <v>0</v>
      </c>
      <c r="GP116" s="160">
        <f>IF([chambre4]*1='CHAMBRES GARCONS 1e ETAGE'!$A$35,1,0)</f>
        <v>0</v>
      </c>
      <c r="GQ116" s="160">
        <f>IF([Occurrence32]=0,0,SUM($GP$2:GP116))</f>
        <v>0</v>
      </c>
      <c r="GR116" s="160">
        <f>IF([chambre3]*1='CHAMBRES GARCONS RDC'!$A$5,1,0)</f>
        <v>0</v>
      </c>
      <c r="GS116" s="160">
        <f>IF([Occurrence33]=0,0,SUM($GR$2:GR116))</f>
        <v>0</v>
      </c>
      <c r="GT116" s="160">
        <f>IF([chambre3]*1='CHAMBRES GARCONS RDC'!$A$11,1,0)</f>
        <v>0</v>
      </c>
      <c r="GU116" s="160">
        <f>IF([Occurrence34]=0,0,SUM($GT$2:GT116))</f>
        <v>0</v>
      </c>
      <c r="GV116" s="160">
        <f>IF([chambre3]*1='CHAMBRES GARCONS RDC'!$A$17,1,0)</f>
        <v>0</v>
      </c>
      <c r="GW116" s="160">
        <f>IF([Occurrence35]=0,0,SUM($GV$2:GV116))</f>
        <v>0</v>
      </c>
      <c r="GX116" s="160">
        <f>IF([chambre3]*1='CHAMBRES GARCONS RDC'!$A$23,1,0)</f>
        <v>0</v>
      </c>
      <c r="GY116" s="160">
        <f>IF([Occurrence36]=0,0,SUM($GX$2:GX116))</f>
        <v>0</v>
      </c>
      <c r="GZ116" s="160">
        <f>IF([chambre3]*1='CHAMBRES GARCONS RDC'!$A$29,1,0)</f>
        <v>0</v>
      </c>
      <c r="HA116" s="160">
        <f>IF([Occurrence37]=0,0,SUM($GZ$2:GZ116))</f>
        <v>0</v>
      </c>
      <c r="HB116" s="160">
        <f>IF([chambre3]*1='CHAMBRES GARCONS RDC'!$A$35,1,0)</f>
        <v>0</v>
      </c>
      <c r="HC116" s="160">
        <f>IF([Occurrence38]=0,0,SUM($HB$2:HB116))</f>
        <v>0</v>
      </c>
      <c r="HD116" s="160">
        <f>IF([chambre3]*1='CHAMBRES GARCONS RDC'!$A$41,1,0)</f>
        <v>0</v>
      </c>
      <c r="HE116" s="160">
        <f>IF([Occurrence39]=0,0,SUM($HD$2:HD116))</f>
        <v>0</v>
      </c>
      <c r="HF116" s="160">
        <f>IF([chambre3]*1='CHAMBRES GARCONS RDC'!$A$47,1,0)</f>
        <v>0</v>
      </c>
      <c r="HG116" s="160">
        <f>IF([Occurrence40]=0,0,SUM($HF$2:HF116))</f>
        <v>0</v>
      </c>
      <c r="HH116" s="160">
        <f>IF([chambre3]*1='CHAMBRES GARCONS RDC'!$A$53,1,0)</f>
        <v>0</v>
      </c>
      <c r="HI116" s="160">
        <f>IF([Occurrence41]=0,0,SUM($HH$2:HH116))</f>
        <v>0</v>
      </c>
      <c r="HJ116" s="160">
        <f>IF([chambre3]*1='CHAMBRES GARCONS RDC'!$A$59,1,0)</f>
        <v>1</v>
      </c>
      <c r="HK116" s="160">
        <f>IF([Occurrence42]=0,0,SUM($HJ$2:HJ116))</f>
        <v>1</v>
      </c>
      <c r="HL116" s="160">
        <f>IF([chambre3]*1='CHAMBRES GARCONS RDC'!$A$65,1,0)</f>
        <v>0</v>
      </c>
      <c r="HM116" s="160">
        <f>IF([Occurrence43]=0,0,SUM($HL$2:HL116))</f>
        <v>0</v>
      </c>
      <c r="HN116" s="160">
        <f>IF([chambre3]*1='CHAMBRES GARCONS RDC'!$A$71,1,0)</f>
        <v>0</v>
      </c>
      <c r="HO116" s="160">
        <f>IF([Occurrence44]=0,0,SUM($HN$2:HN116))</f>
        <v>0</v>
      </c>
      <c r="HP116" s="160">
        <f>IF([chambre3]*1='CHAMBRES GARCONS RDC'!$A$77,1,0)</f>
        <v>0</v>
      </c>
      <c r="HQ116" s="160">
        <f>IF([Occurrence45]=0,0,SUM($HP$2:HP116))</f>
        <v>0</v>
      </c>
      <c r="HR116" s="160">
        <f>IF([chambre3]*1='CHAMBRES GARCONS RDC'!$A$83,1,0)</f>
        <v>0</v>
      </c>
      <c r="HS116" s="160">
        <f>IF([Occurrence46]=0,0,SUM($HR$2:HR116))</f>
        <v>0</v>
      </c>
      <c r="HT116" s="160">
        <f>IF([chambre3]*1='CHAMBRES GARCONS RDC'!$A$89,1,0)</f>
        <v>0</v>
      </c>
      <c r="HU116" s="160">
        <f>IF([Occurrence47]=0,0,SUM($HT$2:HT116))</f>
        <v>0</v>
      </c>
      <c r="HV116" s="160">
        <f>IF([chambre3]*1='CHAMBRES GARCONS RDC'!$A$95,1,0)</f>
        <v>0</v>
      </c>
      <c r="HW116" s="160">
        <f>IF([Occurrence48]=0,0,SUM($HV$2:HV116))</f>
        <v>0</v>
      </c>
      <c r="HX116" s="160"/>
      <c r="HY116" s="160"/>
      <c r="HZ116" s="160">
        <f>IF([Classe]='Liste élève par classes'!$B$5,1,0)</f>
        <v>0</v>
      </c>
      <c r="IA116" s="160">
        <f>IF([Occurrence]=0,0,SUM($HZ$2:HZ116))</f>
        <v>0</v>
      </c>
      <c r="IB11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111</v>
      </c>
      <c r="IC116" s="208"/>
    </row>
    <row r="117" spans="1:237">
      <c r="A117" t="s">
        <v>448</v>
      </c>
      <c r="B117" t="s">
        <v>449</v>
      </c>
      <c r="C117" s="158">
        <v>35885</v>
      </c>
      <c r="D117" s="62">
        <f t="shared" ca="1" si="1"/>
        <v>19</v>
      </c>
      <c r="E117" t="s">
        <v>3</v>
      </c>
      <c r="F117" s="165" t="s">
        <v>46</v>
      </c>
      <c r="G117" t="s">
        <v>45</v>
      </c>
      <c r="H117" s="160"/>
      <c r="I117" s="62"/>
      <c r="J117" s="62" t="s">
        <v>244</v>
      </c>
      <c r="K117" s="62"/>
      <c r="L117" s="61"/>
      <c r="M117" s="62"/>
      <c r="N117" s="62" t="s">
        <v>244</v>
      </c>
      <c r="O117" s="62" t="s">
        <v>244</v>
      </c>
      <c r="P117" s="62" t="s">
        <v>244</v>
      </c>
      <c r="Q117" s="62" t="s">
        <v>244</v>
      </c>
      <c r="R117" s="62" t="s">
        <v>244</v>
      </c>
      <c r="S117" s="62"/>
      <c r="T117" s="62" t="s">
        <v>244</v>
      </c>
      <c r="U117" s="61"/>
      <c r="V117" s="62" t="s">
        <v>244</v>
      </c>
      <c r="W117" s="62" t="s">
        <v>244</v>
      </c>
      <c r="X117" s="62" t="s">
        <v>244</v>
      </c>
      <c r="Y117" s="62" t="s">
        <v>244</v>
      </c>
      <c r="Z117" s="62" t="s">
        <v>244</v>
      </c>
      <c r="AA117" s="62" t="s">
        <v>244</v>
      </c>
      <c r="AB117" s="62" t="s">
        <v>244</v>
      </c>
      <c r="AC117" s="62" t="s">
        <v>244</v>
      </c>
      <c r="AD117" s="62" t="s">
        <v>244</v>
      </c>
      <c r="AE117" s="62" t="s">
        <v>244</v>
      </c>
      <c r="AF117" s="163" t="s">
        <v>244</v>
      </c>
      <c r="AG117" s="163" t="s">
        <v>244</v>
      </c>
      <c r="AH117" s="163" t="s">
        <v>244</v>
      </c>
      <c r="AI117" s="163"/>
      <c r="AJ117" s="163"/>
      <c r="AK117" s="163"/>
      <c r="AL117" s="163"/>
      <c r="AM117" s="163"/>
      <c r="AN117" s="163"/>
      <c r="AO117" s="163"/>
      <c r="AP117" s="163"/>
      <c r="AQ117" s="163"/>
      <c r="AR117" s="163"/>
      <c r="AS117" s="163"/>
      <c r="AT117" s="163"/>
      <c r="AU117" s="163"/>
      <c r="AV117" s="163"/>
      <c r="AW117" s="163"/>
      <c r="AX117" s="163"/>
      <c r="AY117" s="163"/>
      <c r="AZ117" s="163"/>
      <c r="BA117" s="163"/>
      <c r="BB117" s="163"/>
      <c r="BC117" s="163" t="b">
        <v>0</v>
      </c>
      <c r="BD117" s="163" t="b">
        <v>0</v>
      </c>
      <c r="BE117" s="163" t="b">
        <v>0</v>
      </c>
      <c r="BF117" s="163" t="b">
        <v>0</v>
      </c>
      <c r="BG117" s="163" t="b">
        <v>0</v>
      </c>
      <c r="BH117" s="163" t="b">
        <v>0</v>
      </c>
      <c r="BI117" s="163" t="b">
        <v>1</v>
      </c>
      <c r="BJ117" s="163" t="b">
        <v>0</v>
      </c>
      <c r="BK117" s="163" t="b">
        <v>0</v>
      </c>
      <c r="BL117" s="163" t="b">
        <v>0</v>
      </c>
      <c r="BM117" s="163"/>
      <c r="BN117" s="163"/>
      <c r="BO117" s="163"/>
      <c r="BP117" s="163"/>
      <c r="BQ117" s="163"/>
      <c r="BR117" s="163"/>
      <c r="BS117" s="163"/>
      <c r="BT117" s="163"/>
      <c r="BU117" s="163"/>
      <c r="BV117" s="163"/>
      <c r="BW117" s="163"/>
      <c r="BX117" s="163"/>
      <c r="BY117" s="163"/>
      <c r="BZ117" s="163"/>
      <c r="CA117" s="163"/>
      <c r="CB117" s="163"/>
      <c r="CC117" s="163"/>
      <c r="CD117" s="163"/>
      <c r="CE117" s="163"/>
      <c r="CF117" s="163"/>
      <c r="CG117" s="163"/>
      <c r="CH117" s="163"/>
      <c r="CI117" s="163"/>
      <c r="CJ117" s="163"/>
      <c r="CK117" s="163"/>
      <c r="CL117" s="163"/>
      <c r="CM117" s="163"/>
      <c r="CN117" s="163"/>
      <c r="CO117" s="163"/>
      <c r="CP117" s="163"/>
      <c r="CQ117" s="163"/>
      <c r="CR117" s="163"/>
      <c r="CS117" s="163"/>
      <c r="CT117" s="163"/>
      <c r="CU117" s="163"/>
      <c r="CV117" s="163"/>
      <c r="CW117" s="163"/>
      <c r="CX117" s="163"/>
      <c r="CY117" s="163"/>
      <c r="CZ117" s="163"/>
      <c r="DA117" s="163"/>
      <c r="DB117" s="163"/>
      <c r="DC117" s="163"/>
      <c r="DD117" s="163"/>
      <c r="DE117" s="163"/>
      <c r="DF117" s="163"/>
      <c r="DG117" s="163"/>
      <c r="DH117" s="163"/>
      <c r="DI117" s="163"/>
      <c r="DJ117" s="163"/>
      <c r="DK117" s="163"/>
      <c r="DL117" s="163"/>
      <c r="DM117" s="163"/>
      <c r="DN117" s="163"/>
      <c r="DO117" s="163"/>
      <c r="DP117" s="163"/>
      <c r="DQ117" s="163"/>
      <c r="DR117" s="163"/>
      <c r="DS117" s="163"/>
      <c r="DT117" s="163"/>
      <c r="DU117" s="163"/>
      <c r="DV117" s="163"/>
      <c r="DW117" s="163"/>
      <c r="DX117" s="163"/>
      <c r="DY117" s="163"/>
      <c r="DZ117" s="163"/>
      <c r="EA117" s="163"/>
      <c r="EB117" s="163"/>
      <c r="EC117" s="163"/>
      <c r="ED117" s="163"/>
      <c r="EE117" s="163"/>
      <c r="EF117" s="163"/>
      <c r="EG117" s="163"/>
      <c r="EH117" s="160">
        <f>IF([Chambre]*1='CHAMBRES FILLES 2e ETAGE'!$A$5,1,0)</f>
        <v>0</v>
      </c>
      <c r="EI117" s="161">
        <f>IF([Occurrence2]=0,0,SUM($EH$2:EH117))</f>
        <v>0</v>
      </c>
      <c r="EJ117" s="160">
        <f>IF([Chambre]*1='CHAMBRES FILLES 2e ETAGE'!$A$11,1,0)</f>
        <v>0</v>
      </c>
      <c r="EK117" s="160">
        <f>IF([Occurrence3]=0,0,SUM($EJ$2:EJ117))</f>
        <v>0</v>
      </c>
      <c r="EL117" s="160">
        <f>IF([Chambre]*1='CHAMBRES FILLES 2e ETAGE'!$A$17,1,0)</f>
        <v>0</v>
      </c>
      <c r="EM117" s="160">
        <f>IF([Occurrence4]=0,0,SUM($EL$2:EL117))</f>
        <v>0</v>
      </c>
      <c r="EN117" s="160">
        <f>IF([Chambre]*1='CHAMBRES FILLES 2e ETAGE'!$A$23,1,0)</f>
        <v>0</v>
      </c>
      <c r="EO117" s="160">
        <f>IF([Occurrence5]=0,0,SUM($EN$2:EN117))</f>
        <v>0</v>
      </c>
      <c r="EP117" s="160">
        <f>IF([Chambre]*1='CHAMBRES FILLES 2e ETAGE'!$A$29,1,0)</f>
        <v>0</v>
      </c>
      <c r="EQ117" s="160">
        <f>IF([Occurrence6]=0,0,SUM($EP$2:EP117))</f>
        <v>0</v>
      </c>
      <c r="ER117" s="160">
        <f>IF([Chambre]*1='CHAMBRES FILLES 2e ETAGE'!$A$35,1,0)</f>
        <v>0</v>
      </c>
      <c r="ES117" s="160">
        <f>IF([Occurrence7]=0,0,SUM($ER$2:ER117))</f>
        <v>0</v>
      </c>
      <c r="ET117" s="160">
        <f>IF([Chambre]*1='CHAMBRES FILLES 2e ETAGE'!$A$41,1,0)</f>
        <v>0</v>
      </c>
      <c r="EU117" s="160">
        <f>IF([Occurrence8]=0,0,SUM($ET$2:ET117))</f>
        <v>0</v>
      </c>
      <c r="EV117" s="160">
        <f>IF([Chambre]*1='CHAMBRES FILLES 2e ETAGE'!$A$47,1,0)</f>
        <v>0</v>
      </c>
      <c r="EW117" s="160">
        <f>IF([Occurrence9]=0,0,SUM($EV$2:EV117))</f>
        <v>0</v>
      </c>
      <c r="EX117" s="160">
        <f>IF([Chambre]*1='CHAMBRES FILLES 2e ETAGE'!$A$53,1,0)</f>
        <v>0</v>
      </c>
      <c r="EY117" s="160">
        <f>IF([Occurrence10]=0,0,SUM($EX$2:EX117))</f>
        <v>0</v>
      </c>
      <c r="EZ117" s="160">
        <f>IF([Chambre]*1='CHAMBRES FILLES 2e ETAGE'!$A$59,1,0)</f>
        <v>0</v>
      </c>
      <c r="FA117" s="160">
        <f>IF([Occurrence11]=0,0,SUM($EZ$2:EZ117))</f>
        <v>0</v>
      </c>
      <c r="FB117" s="160">
        <f>IF([Chambre]*1='CHAMBRES FILLES 2e ETAGE'!$A$65,1,0)</f>
        <v>0</v>
      </c>
      <c r="FC117" s="160">
        <f>IF([Occurrence12]=0,0,SUM($FB$2:FB117))</f>
        <v>0</v>
      </c>
      <c r="FD117" s="160">
        <f>IF([Chambre]*1='CHAMBRES FILLES 2e ETAGE'!$A$71,1,0)</f>
        <v>0</v>
      </c>
      <c r="FE117" s="160">
        <f>IF([Occurrence13]=0,0,SUM($FD$2:FD117))</f>
        <v>0</v>
      </c>
      <c r="FF117" s="160">
        <f>IF([Chambre]*1='CHAMBRES FILLES 2e ETAGE'!$A$77,1,0)</f>
        <v>0</v>
      </c>
      <c r="FG117" s="160">
        <f>IF([Occurrence14]=0,0,SUM($FF$2:FF117))</f>
        <v>0</v>
      </c>
      <c r="FH117" s="160">
        <f>IF([Chambre]*1='CHAMBRES FILLES 2e ETAGE'!$A$83,1,0)</f>
        <v>0</v>
      </c>
      <c r="FI117" s="160">
        <f>IF([Occurrence15]=0,0,SUM($FH$2:FH117))</f>
        <v>0</v>
      </c>
      <c r="FJ117" s="160">
        <f>IF([Chambre]*1='CHAMBRES FILLES 2e ETAGE'!$A$89,1,0)</f>
        <v>0</v>
      </c>
      <c r="FK117" s="160">
        <f>IF([Occurrence16]=0,0,SUM($FJ$2:FJ117))</f>
        <v>0</v>
      </c>
      <c r="FL117" s="160">
        <f>IF([Chambre]*1='CHAMBRES FILLES 2e ETAGE'!$A$95,1,0)</f>
        <v>0</v>
      </c>
      <c r="FM117" s="160">
        <f>IF([Occurrence17]=0,0,SUM($FL$2:FL117))</f>
        <v>0</v>
      </c>
      <c r="FN117" s="160">
        <f>IF([Chambre2]*1='CHAMBRES FILLES 1e ETAGE'!$A$5,1,0)</f>
        <v>0</v>
      </c>
      <c r="FO117" s="160">
        <f>IF([Occurrence18]=0,0,SUM($FN$2:FN117))</f>
        <v>0</v>
      </c>
      <c r="FP117" s="160">
        <f>IF([Chambre2]*1='CHAMBRES FILLES 1e ETAGE'!$A$11,1,0)</f>
        <v>0</v>
      </c>
      <c r="FQ117" s="160">
        <f>IF([Occurrence19]=0,0,SUM($FP$2:FP117))</f>
        <v>0</v>
      </c>
      <c r="FR117" s="160">
        <f>IF([Chambre2]*1='CHAMBRES FILLES 1e ETAGE'!$A$17,1,0)</f>
        <v>0</v>
      </c>
      <c r="FS117" s="160">
        <f>IF([Occurrence20]=0,0,SUM($FR$2:FR117))</f>
        <v>0</v>
      </c>
      <c r="FT117" s="160">
        <f>IF([Chambre2]*1='CHAMBRES FILLES 1e ETAGE'!$A$23,1,0)</f>
        <v>0</v>
      </c>
      <c r="FU117" s="160">
        <f>IF([Occurrence21]=0,0,SUM($FT$2:FT117))</f>
        <v>0</v>
      </c>
      <c r="FV117" s="160">
        <f>IF([Chambre2]*1='CHAMBRES FILLES 1e ETAGE'!$A$29,1,0)</f>
        <v>0</v>
      </c>
      <c r="FW117" s="160">
        <f>IF([Occurrence22]=0,0,SUM($FV$2:FV117))</f>
        <v>0</v>
      </c>
      <c r="FX117" s="160">
        <f>IF([Chambre2]*1='CHAMBRES FILLES 1e ETAGE'!$A$35,1,0)</f>
        <v>0</v>
      </c>
      <c r="FY117" s="160">
        <f>IF([Occurrence23]=0,0,SUM($FX$2:FX117))</f>
        <v>0</v>
      </c>
      <c r="FZ117" s="160">
        <f>IF([Chambre2]*1='CHAMBRES FILLES 1e ETAGE'!$A$41,1,0)</f>
        <v>0</v>
      </c>
      <c r="GA117" s="160">
        <f>IF([Occurrence24]=0,0,SUM($FZ$2:FZ117))</f>
        <v>0</v>
      </c>
      <c r="GB117" s="160">
        <f>IF([Chambre2]*1='CHAMBRES FILLES 1e ETAGE'!$A$47,1,0)</f>
        <v>0</v>
      </c>
      <c r="GC117" s="160">
        <f>IF([Occurrence25]=0,0,SUM($GB$2:GB117))</f>
        <v>0</v>
      </c>
      <c r="GD117" s="160">
        <f>IF([Chambre2]*1='CHAMBRES FILLES 1e ETAGE'!$A$53,1,0)</f>
        <v>0</v>
      </c>
      <c r="GE117" s="160">
        <f>IF([Occurrence26]=0,0,SUM($GD$2:GD117))</f>
        <v>0</v>
      </c>
      <c r="GF117" s="160">
        <f>IF([chambre4]*1='CHAMBRES GARCONS 1e ETAGE'!$A$5,1,0)</f>
        <v>0</v>
      </c>
      <c r="GG117" s="160">
        <f>IF([Occurrence27]=0,0,SUM($GF$2:GF117))</f>
        <v>0</v>
      </c>
      <c r="GH117" s="160">
        <f>IF([chambre4]*1='CHAMBRES GARCONS 1e ETAGE'!$A$11,1,0)</f>
        <v>0</v>
      </c>
      <c r="GI117" s="160">
        <f>IF([Occurrence28]=0,0,SUM($GH$2:GH117))</f>
        <v>0</v>
      </c>
      <c r="GJ117" s="160">
        <f>IF([chambre4]*1='CHAMBRES GARCONS 1e ETAGE'!$A$17,1,0)</f>
        <v>0</v>
      </c>
      <c r="GK117" s="160">
        <f>IF([Occurrence29]=0,0,SUM($GJ$2:GJ117))</f>
        <v>0</v>
      </c>
      <c r="GL117" s="160">
        <f>IF([chambre4]*1='CHAMBRES GARCONS 1e ETAGE'!$A$23,1,0)</f>
        <v>0</v>
      </c>
      <c r="GM117" s="160">
        <f>IF([Occurrence30]=0,0,SUM($GL$2:GL117))</f>
        <v>0</v>
      </c>
      <c r="GN117" s="160">
        <f>IF([chambre4]*1='CHAMBRES GARCONS 1e ETAGE'!$A$29,1,0)</f>
        <v>0</v>
      </c>
      <c r="GO117" s="160">
        <f>IF([Occurrence31]=0,0,SUM($GN$2:GN117))</f>
        <v>0</v>
      </c>
      <c r="GP117" s="160">
        <f>IF([chambre4]*1='CHAMBRES GARCONS 1e ETAGE'!$A$35,1,0)</f>
        <v>0</v>
      </c>
      <c r="GQ117" s="160">
        <f>IF([Occurrence32]=0,0,SUM($GP$2:GP117))</f>
        <v>0</v>
      </c>
      <c r="GR117" s="160">
        <f>IF([chambre3]*1='CHAMBRES GARCONS RDC'!$A$5,1,0)</f>
        <v>0</v>
      </c>
      <c r="GS117" s="160">
        <f>IF([Occurrence33]=0,0,SUM($GR$2:GR117))</f>
        <v>0</v>
      </c>
      <c r="GT117" s="160">
        <f>IF([chambre3]*1='CHAMBRES GARCONS RDC'!$A$11,1,0)</f>
        <v>0</v>
      </c>
      <c r="GU117" s="160">
        <f>IF([Occurrence34]=0,0,SUM($GT$2:GT117))</f>
        <v>0</v>
      </c>
      <c r="GV117" s="160">
        <f>IF([chambre3]*1='CHAMBRES GARCONS RDC'!$A$17,1,0)</f>
        <v>0</v>
      </c>
      <c r="GW117" s="160">
        <f>IF([Occurrence35]=0,0,SUM($GV$2:GV117))</f>
        <v>0</v>
      </c>
      <c r="GX117" s="160">
        <f>IF([chambre3]*1='CHAMBRES GARCONS RDC'!$A$23,1,0)</f>
        <v>0</v>
      </c>
      <c r="GY117" s="160">
        <f>IF([Occurrence36]=0,0,SUM($GX$2:GX117))</f>
        <v>0</v>
      </c>
      <c r="GZ117" s="160">
        <f>IF([chambre3]*1='CHAMBRES GARCONS RDC'!$A$29,1,0)</f>
        <v>0</v>
      </c>
      <c r="HA117" s="160">
        <f>IF([Occurrence37]=0,0,SUM($GZ$2:GZ117))</f>
        <v>0</v>
      </c>
      <c r="HB117" s="160">
        <f>IF([chambre3]*1='CHAMBRES GARCONS RDC'!$A$35,1,0)</f>
        <v>0</v>
      </c>
      <c r="HC117" s="160">
        <f>IF([Occurrence38]=0,0,SUM($HB$2:HB117))</f>
        <v>0</v>
      </c>
      <c r="HD117" s="160">
        <f>IF([chambre3]*1='CHAMBRES GARCONS RDC'!$A$41,1,0)</f>
        <v>0</v>
      </c>
      <c r="HE117" s="160">
        <f>IF([Occurrence39]=0,0,SUM($HD$2:HD117))</f>
        <v>0</v>
      </c>
      <c r="HF117" s="160">
        <f>IF([chambre3]*1='CHAMBRES GARCONS RDC'!$A$47,1,0)</f>
        <v>0</v>
      </c>
      <c r="HG117" s="160">
        <f>IF([Occurrence40]=0,0,SUM($HF$2:HF117))</f>
        <v>0</v>
      </c>
      <c r="HH117" s="160">
        <f>IF([chambre3]*1='CHAMBRES GARCONS RDC'!$A$53,1,0)</f>
        <v>0</v>
      </c>
      <c r="HI117" s="160">
        <f>IF([Occurrence41]=0,0,SUM($HH$2:HH117))</f>
        <v>0</v>
      </c>
      <c r="HJ117" s="160">
        <f>IF([chambre3]*1='CHAMBRES GARCONS RDC'!$A$59,1,0)</f>
        <v>0</v>
      </c>
      <c r="HK117" s="160">
        <f>IF([Occurrence42]=0,0,SUM($HJ$2:HJ117))</f>
        <v>0</v>
      </c>
      <c r="HL117" s="160">
        <f>IF([chambre3]*1='CHAMBRES GARCONS RDC'!$A$65,1,0)</f>
        <v>0</v>
      </c>
      <c r="HM117" s="160">
        <f>IF([Occurrence43]=0,0,SUM($HL$2:HL117))</f>
        <v>0</v>
      </c>
      <c r="HN117" s="160">
        <f>IF([chambre3]*1='CHAMBRES GARCONS RDC'!$A$71,1,0)</f>
        <v>0</v>
      </c>
      <c r="HO117" s="160">
        <f>IF([Occurrence44]=0,0,SUM($HN$2:HN117))</f>
        <v>0</v>
      </c>
      <c r="HP117" s="160">
        <f>IF([chambre3]*1='CHAMBRES GARCONS RDC'!$A$77,1,0)</f>
        <v>0</v>
      </c>
      <c r="HQ117" s="160">
        <f>IF([Occurrence45]=0,0,SUM($HP$2:HP117))</f>
        <v>0</v>
      </c>
      <c r="HR117" s="160">
        <f>IF([chambre3]*1='CHAMBRES GARCONS RDC'!$A$83,1,0)</f>
        <v>0</v>
      </c>
      <c r="HS117" s="160">
        <f>IF([Occurrence46]=0,0,SUM($HR$2:HR117))</f>
        <v>0</v>
      </c>
      <c r="HT117" s="160">
        <f>IF([chambre3]*1='CHAMBRES GARCONS RDC'!$A$89,1,0)</f>
        <v>0</v>
      </c>
      <c r="HU117" s="160">
        <f>IF([Occurrence47]=0,0,SUM($HT$2:HT117))</f>
        <v>0</v>
      </c>
      <c r="HV117" s="160">
        <f>IF([chambre3]*1='CHAMBRES GARCONS RDC'!$A$95,1,0)</f>
        <v>0</v>
      </c>
      <c r="HW117" s="160">
        <f>IF([Occurrence48]=0,0,SUM($HV$2:HV117))</f>
        <v>0</v>
      </c>
      <c r="HX117" s="160"/>
      <c r="HY117" s="160"/>
      <c r="HZ117" s="160">
        <f>IF([Classe]='Liste élève par classes'!$B$5,1,0)</f>
        <v>0</v>
      </c>
      <c r="IA117" s="160">
        <f>IF([Occurrence]=0,0,SUM($HZ$2:HZ117))</f>
        <v>0</v>
      </c>
      <c r="IB11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17" s="208"/>
    </row>
    <row r="118" spans="1:237">
      <c r="A118" t="s">
        <v>450</v>
      </c>
      <c r="B118" t="s">
        <v>451</v>
      </c>
      <c r="C118" s="158">
        <v>36830</v>
      </c>
      <c r="D118" s="62">
        <f t="shared" ca="1" si="1"/>
        <v>17</v>
      </c>
      <c r="E118" t="s">
        <v>13</v>
      </c>
      <c r="F118" s="159" t="s">
        <v>46</v>
      </c>
      <c r="G118" t="s">
        <v>45</v>
      </c>
      <c r="H118" s="160"/>
      <c r="I118" s="161"/>
      <c r="J118" s="161"/>
      <c r="K118" s="161"/>
      <c r="L118" s="160"/>
      <c r="M118">
        <v>121</v>
      </c>
      <c r="N118" s="161"/>
      <c r="O118" s="161"/>
      <c r="P118" s="161"/>
      <c r="Q118" s="161"/>
      <c r="R118" s="161"/>
      <c r="S118" s="161"/>
      <c r="T118" s="161"/>
      <c r="U118" s="160"/>
      <c r="V118" s="161"/>
      <c r="W118" s="161"/>
      <c r="X118" s="161"/>
      <c r="Y118" s="161"/>
      <c r="Z118" s="161"/>
      <c r="AA118" s="161"/>
      <c r="AB118" s="161"/>
      <c r="AC118" s="161"/>
      <c r="AD118" s="161"/>
      <c r="AE118" s="161"/>
      <c r="AF118" s="163"/>
      <c r="AG118" s="163"/>
      <c r="AH118" s="163"/>
      <c r="AI118" s="163"/>
      <c r="AJ118" s="163"/>
      <c r="AK118" s="163"/>
      <c r="AL118" s="163"/>
      <c r="AM118" s="163"/>
      <c r="AN118" s="163"/>
      <c r="AO118" s="163"/>
      <c r="AP118" s="163"/>
      <c r="AQ118" s="163"/>
      <c r="AR118" s="163"/>
      <c r="AS118" s="163"/>
      <c r="AT118" s="163"/>
      <c r="AU118" s="163"/>
      <c r="AV118" s="163"/>
      <c r="AW118" s="163"/>
      <c r="AX118" s="163"/>
      <c r="AY118" s="163"/>
      <c r="AZ118" s="163"/>
      <c r="BA118" s="163"/>
      <c r="BB118" s="163"/>
      <c r="BC118" s="163"/>
      <c r="BD118" s="163"/>
      <c r="BE118" s="163"/>
      <c r="BF118" s="163"/>
      <c r="BG118" s="163"/>
      <c r="BH118" s="163"/>
      <c r="BI118" s="163"/>
      <c r="BJ118" s="163"/>
      <c r="BK118" s="163"/>
      <c r="BL118" s="163"/>
      <c r="BM118" s="163"/>
      <c r="BN118" s="163"/>
      <c r="BO118" s="163"/>
      <c r="BP118" s="163"/>
      <c r="BQ118" s="163"/>
      <c r="BR118" s="163"/>
      <c r="BS118" s="163"/>
      <c r="BT118" s="163"/>
      <c r="BU118" s="163"/>
      <c r="BV118" s="163"/>
      <c r="BW118" s="163"/>
      <c r="BX118" s="163"/>
      <c r="BY118" s="163"/>
      <c r="BZ118" s="163"/>
      <c r="CA118" s="163"/>
      <c r="CB118" s="163"/>
      <c r="CC118" s="163"/>
      <c r="CD118" s="163"/>
      <c r="CE118" s="163"/>
      <c r="CF118" s="163"/>
      <c r="CG118" s="163"/>
      <c r="CH118" s="163"/>
      <c r="CI118" s="163"/>
      <c r="CJ118" s="163"/>
      <c r="CK118" s="163"/>
      <c r="CL118" s="163"/>
      <c r="CM118" s="163"/>
      <c r="CN118" s="163"/>
      <c r="CO118" s="163"/>
      <c r="CP118" s="163"/>
      <c r="CQ118" s="163"/>
      <c r="CR118" s="163"/>
      <c r="CS118" s="163"/>
      <c r="CT118" s="163"/>
      <c r="CU118" s="163"/>
      <c r="CV118" s="163"/>
      <c r="CW118" s="163"/>
      <c r="CX118" s="163"/>
      <c r="CY118" s="163"/>
      <c r="CZ118" s="163"/>
      <c r="DA118" s="163"/>
      <c r="DB118" s="163"/>
      <c r="DC118" s="163"/>
      <c r="DD118" s="163"/>
      <c r="DE118" s="163"/>
      <c r="DF118" s="163"/>
      <c r="DG118" s="163"/>
      <c r="DH118" s="163"/>
      <c r="DI118" s="163"/>
      <c r="DJ118" s="163"/>
      <c r="DK118" s="163"/>
      <c r="DL118" s="163"/>
      <c r="DM118" s="163"/>
      <c r="DN118" s="163"/>
      <c r="DO118" s="163"/>
      <c r="DP118" s="163"/>
      <c r="DQ118" s="163"/>
      <c r="DR118" s="163"/>
      <c r="DS118" s="163"/>
      <c r="DT118" s="163"/>
      <c r="DU118" s="163"/>
      <c r="DV118" s="163"/>
      <c r="DW118" s="163"/>
      <c r="DX118" s="163"/>
      <c r="DY118" s="163"/>
      <c r="DZ118" s="163"/>
      <c r="EA118" s="163"/>
      <c r="EB118" s="163"/>
      <c r="EC118" s="163"/>
      <c r="ED118" s="163"/>
      <c r="EE118" s="163"/>
      <c r="EF118" s="163"/>
      <c r="EG118" s="163"/>
      <c r="EH118" s="160">
        <f>IF([Chambre]*1='CHAMBRES FILLES 2e ETAGE'!$A$5,1,0)</f>
        <v>0</v>
      </c>
      <c r="EI118" s="161">
        <f>IF([Occurrence2]=0,0,SUM($EH$2:EH118))</f>
        <v>0</v>
      </c>
      <c r="EJ118" s="160">
        <f>IF([Chambre]*1='CHAMBRES FILLES 2e ETAGE'!$A$11,1,0)</f>
        <v>0</v>
      </c>
      <c r="EK118" s="160">
        <f>IF([Occurrence3]=0,0,SUM($EJ$2:EJ118))</f>
        <v>0</v>
      </c>
      <c r="EL118" s="160">
        <f>IF([Chambre]*1='CHAMBRES FILLES 2e ETAGE'!$A$17,1,0)</f>
        <v>0</v>
      </c>
      <c r="EM118" s="160">
        <f>IF([Occurrence4]=0,0,SUM($EL$2:EL118))</f>
        <v>0</v>
      </c>
      <c r="EN118" s="160">
        <f>IF([Chambre]*1='CHAMBRES FILLES 2e ETAGE'!$A$23,1,0)</f>
        <v>0</v>
      </c>
      <c r="EO118" s="160">
        <f>IF([Occurrence5]=0,0,SUM($EN$2:EN118))</f>
        <v>0</v>
      </c>
      <c r="EP118" s="160">
        <f>IF([Chambre]*1='CHAMBRES FILLES 2e ETAGE'!$A$29,1,0)</f>
        <v>0</v>
      </c>
      <c r="EQ118" s="160">
        <f>IF([Occurrence6]=0,0,SUM($EP$2:EP118))</f>
        <v>0</v>
      </c>
      <c r="ER118" s="160">
        <f>IF([Chambre]*1='CHAMBRES FILLES 2e ETAGE'!$A$35,1,0)</f>
        <v>0</v>
      </c>
      <c r="ES118" s="160">
        <f>IF([Occurrence7]=0,0,SUM($ER$2:ER118))</f>
        <v>0</v>
      </c>
      <c r="ET118" s="160">
        <f>IF([Chambre]*1='CHAMBRES FILLES 2e ETAGE'!$A$41,1,0)</f>
        <v>0</v>
      </c>
      <c r="EU118" s="160">
        <f>IF([Occurrence8]=0,0,SUM($ET$2:ET118))</f>
        <v>0</v>
      </c>
      <c r="EV118" s="160">
        <f>IF([Chambre]*1='CHAMBRES FILLES 2e ETAGE'!$A$47,1,0)</f>
        <v>0</v>
      </c>
      <c r="EW118" s="160">
        <f>IF([Occurrence9]=0,0,SUM($EV$2:EV118))</f>
        <v>0</v>
      </c>
      <c r="EX118" s="160">
        <f>IF([Chambre]*1='CHAMBRES FILLES 2e ETAGE'!$A$53,1,0)</f>
        <v>0</v>
      </c>
      <c r="EY118" s="160">
        <f>IF([Occurrence10]=0,0,SUM($EX$2:EX118))</f>
        <v>0</v>
      </c>
      <c r="EZ118" s="160">
        <f>IF([Chambre]*1='CHAMBRES FILLES 2e ETAGE'!$A$59,1,0)</f>
        <v>0</v>
      </c>
      <c r="FA118" s="160">
        <f>IF([Occurrence11]=0,0,SUM($EZ$2:EZ118))</f>
        <v>0</v>
      </c>
      <c r="FB118" s="160">
        <f>IF([Chambre]*1='CHAMBRES FILLES 2e ETAGE'!$A$65,1,0)</f>
        <v>0</v>
      </c>
      <c r="FC118" s="160">
        <f>IF([Occurrence12]=0,0,SUM($FB$2:FB118))</f>
        <v>0</v>
      </c>
      <c r="FD118" s="160">
        <f>IF([Chambre]*1='CHAMBRES FILLES 2e ETAGE'!$A$71,1,0)</f>
        <v>0</v>
      </c>
      <c r="FE118" s="160">
        <f>IF([Occurrence13]=0,0,SUM($FD$2:FD118))</f>
        <v>0</v>
      </c>
      <c r="FF118" s="160">
        <f>IF([Chambre]*1='CHAMBRES FILLES 2e ETAGE'!$A$77,1,0)</f>
        <v>0</v>
      </c>
      <c r="FG118" s="160">
        <f>IF([Occurrence14]=0,0,SUM($FF$2:FF118))</f>
        <v>0</v>
      </c>
      <c r="FH118" s="160">
        <f>IF([Chambre]*1='CHAMBRES FILLES 2e ETAGE'!$A$83,1,0)</f>
        <v>0</v>
      </c>
      <c r="FI118" s="160">
        <f>IF([Occurrence15]=0,0,SUM($FH$2:FH118))</f>
        <v>0</v>
      </c>
      <c r="FJ118" s="160">
        <f>IF([Chambre]*1='CHAMBRES FILLES 2e ETAGE'!$A$89,1,0)</f>
        <v>0</v>
      </c>
      <c r="FK118" s="160">
        <f>IF([Occurrence16]=0,0,SUM($FJ$2:FJ118))</f>
        <v>0</v>
      </c>
      <c r="FL118" s="160">
        <f>IF([Chambre]*1='CHAMBRES FILLES 2e ETAGE'!$A$95,1,0)</f>
        <v>0</v>
      </c>
      <c r="FM118" s="160">
        <f>IF([Occurrence17]=0,0,SUM($FL$2:FL118))</f>
        <v>0</v>
      </c>
      <c r="FN118" s="160">
        <f>IF([Chambre2]*1='CHAMBRES FILLES 1e ETAGE'!$A$5,1,0)</f>
        <v>0</v>
      </c>
      <c r="FO118" s="160">
        <f>IF([Occurrence18]=0,0,SUM($FN$2:FN118))</f>
        <v>0</v>
      </c>
      <c r="FP118" s="160">
        <f>IF([Chambre2]*1='CHAMBRES FILLES 1e ETAGE'!$A$11,1,0)</f>
        <v>0</v>
      </c>
      <c r="FQ118" s="160">
        <f>IF([Occurrence19]=0,0,SUM($FP$2:FP118))</f>
        <v>0</v>
      </c>
      <c r="FR118" s="160">
        <f>IF([Chambre2]*1='CHAMBRES FILLES 1e ETAGE'!$A$17,1,0)</f>
        <v>0</v>
      </c>
      <c r="FS118" s="160">
        <f>IF([Occurrence20]=0,0,SUM($FR$2:FR118))</f>
        <v>0</v>
      </c>
      <c r="FT118" s="160">
        <f>IF([Chambre2]*1='CHAMBRES FILLES 1e ETAGE'!$A$23,1,0)</f>
        <v>0</v>
      </c>
      <c r="FU118" s="160">
        <f>IF([Occurrence21]=0,0,SUM($FT$2:FT118))</f>
        <v>0</v>
      </c>
      <c r="FV118" s="160">
        <f>IF([Chambre2]*1='CHAMBRES FILLES 1e ETAGE'!$A$29,1,0)</f>
        <v>0</v>
      </c>
      <c r="FW118" s="160">
        <f>IF([Occurrence22]=0,0,SUM($FV$2:FV118))</f>
        <v>0</v>
      </c>
      <c r="FX118" s="160">
        <f>IF([Chambre2]*1='CHAMBRES FILLES 1e ETAGE'!$A$35,1,0)</f>
        <v>0</v>
      </c>
      <c r="FY118" s="160">
        <f>IF([Occurrence23]=0,0,SUM($FX$2:FX118))</f>
        <v>0</v>
      </c>
      <c r="FZ118" s="160">
        <f>IF([Chambre2]*1='CHAMBRES FILLES 1e ETAGE'!$A$41,1,0)</f>
        <v>0</v>
      </c>
      <c r="GA118" s="160">
        <f>IF([Occurrence24]=0,0,SUM($FZ$2:FZ118))</f>
        <v>0</v>
      </c>
      <c r="GB118" s="160">
        <f>IF([Chambre2]*1='CHAMBRES FILLES 1e ETAGE'!$A$47,1,0)</f>
        <v>0</v>
      </c>
      <c r="GC118" s="160">
        <f>IF([Occurrence25]=0,0,SUM($GB$2:GB118))</f>
        <v>0</v>
      </c>
      <c r="GD118" s="160">
        <f>IF([Chambre2]*1='CHAMBRES FILLES 1e ETAGE'!$A$53,1,0)</f>
        <v>0</v>
      </c>
      <c r="GE118" s="160">
        <f>IF([Occurrence26]=0,0,SUM($GD$2:GD118))</f>
        <v>0</v>
      </c>
      <c r="GF118" s="160">
        <f>IF([chambre4]*1='CHAMBRES GARCONS 1e ETAGE'!$A$5,1,0)</f>
        <v>0</v>
      </c>
      <c r="GG118" s="160">
        <f>IF([Occurrence27]=0,0,SUM($GF$2:GF118))</f>
        <v>0</v>
      </c>
      <c r="GH118" s="160">
        <f>IF([chambre4]*1='CHAMBRES GARCONS 1e ETAGE'!$A$11,1,0)</f>
        <v>0</v>
      </c>
      <c r="GI118" s="160">
        <f>IF([Occurrence28]=0,0,SUM($GH$2:GH118))</f>
        <v>0</v>
      </c>
      <c r="GJ118" s="160">
        <f>IF([chambre4]*1='CHAMBRES GARCONS 1e ETAGE'!$A$17,1,0)</f>
        <v>0</v>
      </c>
      <c r="GK118" s="160">
        <f>IF([Occurrence29]=0,0,SUM($GJ$2:GJ118))</f>
        <v>0</v>
      </c>
      <c r="GL118" s="160">
        <f>IF([chambre4]*1='CHAMBRES GARCONS 1e ETAGE'!$A$23,1,0)</f>
        <v>0</v>
      </c>
      <c r="GM118" s="160">
        <f>IF([Occurrence30]=0,0,SUM($GL$2:GL118))</f>
        <v>0</v>
      </c>
      <c r="GN118" s="160">
        <f>IF([chambre4]*1='CHAMBRES GARCONS 1e ETAGE'!$A$29,1,0)</f>
        <v>0</v>
      </c>
      <c r="GO118" s="160">
        <f>IF([Occurrence31]=0,0,SUM($GN$2:GN118))</f>
        <v>0</v>
      </c>
      <c r="GP118" s="160">
        <f>IF([chambre4]*1='CHAMBRES GARCONS 1e ETAGE'!$A$35,1,0)</f>
        <v>0</v>
      </c>
      <c r="GQ118" s="160">
        <f>IF([Occurrence32]=0,0,SUM($GP$2:GP118))</f>
        <v>0</v>
      </c>
      <c r="GR118" s="160">
        <f>IF([chambre3]*1='CHAMBRES GARCONS RDC'!$A$5,1,0)</f>
        <v>0</v>
      </c>
      <c r="GS118" s="160">
        <f>IF([Occurrence33]=0,0,SUM($GR$2:GR118))</f>
        <v>0</v>
      </c>
      <c r="GT118" s="160">
        <f>IF([chambre3]*1='CHAMBRES GARCONS RDC'!$A$11,1,0)</f>
        <v>0</v>
      </c>
      <c r="GU118" s="160">
        <f>IF([Occurrence34]=0,0,SUM($GT$2:GT118))</f>
        <v>0</v>
      </c>
      <c r="GV118" s="160">
        <f>IF([chambre3]*1='CHAMBRES GARCONS RDC'!$A$17,1,0)</f>
        <v>0</v>
      </c>
      <c r="GW118" s="160">
        <f>IF([Occurrence35]=0,0,SUM($GV$2:GV118))</f>
        <v>0</v>
      </c>
      <c r="GX118" s="160">
        <f>IF([chambre3]*1='CHAMBRES GARCONS RDC'!$A$23,1,0)</f>
        <v>0</v>
      </c>
      <c r="GY118" s="160">
        <f>IF([Occurrence36]=0,0,SUM($GX$2:GX118))</f>
        <v>0</v>
      </c>
      <c r="GZ118" s="160">
        <f>IF([chambre3]*1='CHAMBRES GARCONS RDC'!$A$29,1,0)</f>
        <v>0</v>
      </c>
      <c r="HA118" s="160">
        <f>IF([Occurrence37]=0,0,SUM($GZ$2:GZ118))</f>
        <v>0</v>
      </c>
      <c r="HB118" s="160">
        <f>IF([chambre3]*1='CHAMBRES GARCONS RDC'!$A$35,1,0)</f>
        <v>0</v>
      </c>
      <c r="HC118" s="160">
        <f>IF([Occurrence38]=0,0,SUM($HB$2:HB118))</f>
        <v>0</v>
      </c>
      <c r="HD118" s="160">
        <f>IF([chambre3]*1='CHAMBRES GARCONS RDC'!$A$41,1,0)</f>
        <v>0</v>
      </c>
      <c r="HE118" s="160">
        <f>IF([Occurrence39]=0,0,SUM($HD$2:HD118))</f>
        <v>0</v>
      </c>
      <c r="HF118" s="160">
        <f>IF([chambre3]*1='CHAMBRES GARCONS RDC'!$A$47,1,0)</f>
        <v>0</v>
      </c>
      <c r="HG118" s="160">
        <f>IF([Occurrence40]=0,0,SUM($HF$2:HF118))</f>
        <v>0</v>
      </c>
      <c r="HH118" s="160">
        <f>IF([chambre3]*1='CHAMBRES GARCONS RDC'!$A$53,1,0)</f>
        <v>0</v>
      </c>
      <c r="HI118" s="160">
        <f>IF([Occurrence41]=0,0,SUM($HH$2:HH118))</f>
        <v>0</v>
      </c>
      <c r="HJ118" s="160">
        <f>IF([chambre3]*1='CHAMBRES GARCONS RDC'!$A$59,1,0)</f>
        <v>0</v>
      </c>
      <c r="HK118" s="160">
        <f>IF([Occurrence42]=0,0,SUM($HJ$2:HJ118))</f>
        <v>0</v>
      </c>
      <c r="HL118" s="160">
        <f>IF([chambre3]*1='CHAMBRES GARCONS RDC'!$A$65,1,0)</f>
        <v>0</v>
      </c>
      <c r="HM118" s="160">
        <f>IF([Occurrence43]=0,0,SUM($HL$2:HL118))</f>
        <v>0</v>
      </c>
      <c r="HN118" s="160">
        <f>IF([chambre3]*1='CHAMBRES GARCONS RDC'!$A$71,1,0)</f>
        <v>0</v>
      </c>
      <c r="HO118" s="160">
        <f>IF([Occurrence44]=0,0,SUM($HN$2:HN118))</f>
        <v>0</v>
      </c>
      <c r="HP118" s="160">
        <f>IF([chambre3]*1='CHAMBRES GARCONS RDC'!$A$77,1,0)</f>
        <v>0</v>
      </c>
      <c r="HQ118" s="160">
        <f>IF([Occurrence45]=0,0,SUM($HP$2:HP118))</f>
        <v>0</v>
      </c>
      <c r="HR118" s="160">
        <f>IF([chambre3]*1='CHAMBRES GARCONS RDC'!$A$83,1,0)</f>
        <v>0</v>
      </c>
      <c r="HS118" s="160">
        <f>IF([Occurrence46]=0,0,SUM($HR$2:HR118))</f>
        <v>0</v>
      </c>
      <c r="HT118" s="160">
        <f>IF([chambre3]*1='CHAMBRES GARCONS RDC'!$A$89,1,0)</f>
        <v>0</v>
      </c>
      <c r="HU118" s="160">
        <f>IF([Occurrence47]=0,0,SUM($HT$2:HT118))</f>
        <v>0</v>
      </c>
      <c r="HV118" s="160">
        <f>IF([chambre3]*1='CHAMBRES GARCONS RDC'!$A$95,1,0)</f>
        <v>0</v>
      </c>
      <c r="HW118" s="160">
        <f>IF([Occurrence48]=0,0,SUM($HV$2:HV118))</f>
        <v>0</v>
      </c>
      <c r="HX118" s="160"/>
      <c r="HY118" s="160"/>
      <c r="HZ118" s="160">
        <f>IF([Classe]='Liste élève par classes'!$B$5,1,0)</f>
        <v>0</v>
      </c>
      <c r="IA118" s="160">
        <f>IF([Occurrence]=0,0,SUM($HZ$2:HZ118))</f>
        <v>0</v>
      </c>
      <c r="IB11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18" s="208"/>
    </row>
    <row r="119" spans="1:237">
      <c r="A119" t="s">
        <v>452</v>
      </c>
      <c r="B119" t="s">
        <v>367</v>
      </c>
      <c r="C119" s="158">
        <v>36511</v>
      </c>
      <c r="D119" s="62">
        <f t="shared" ca="1" si="1"/>
        <v>17</v>
      </c>
      <c r="E119" t="s">
        <v>3</v>
      </c>
      <c r="F119" s="165" t="s">
        <v>46</v>
      </c>
      <c r="G119" t="s">
        <v>45</v>
      </c>
      <c r="H119" s="160"/>
      <c r="I119" s="62"/>
      <c r="J119" s="62" t="s">
        <v>244</v>
      </c>
      <c r="K119" s="62"/>
      <c r="L119" s="61"/>
      <c r="M119" s="62"/>
      <c r="N119" s="62" t="s">
        <v>244</v>
      </c>
      <c r="O119" s="62" t="s">
        <v>244</v>
      </c>
      <c r="P119" s="62" t="s">
        <v>244</v>
      </c>
      <c r="Q119" s="62" t="s">
        <v>244</v>
      </c>
      <c r="R119" s="62" t="s">
        <v>244</v>
      </c>
      <c r="S119" s="62"/>
      <c r="T119" s="62" t="s">
        <v>244</v>
      </c>
      <c r="U119" s="61"/>
      <c r="V119" s="62" t="s">
        <v>244</v>
      </c>
      <c r="W119" s="62" t="s">
        <v>244</v>
      </c>
      <c r="X119" s="62" t="s">
        <v>244</v>
      </c>
      <c r="Y119" s="62" t="s">
        <v>244</v>
      </c>
      <c r="Z119" s="62" t="s">
        <v>244</v>
      </c>
      <c r="AA119" s="62" t="s">
        <v>244</v>
      </c>
      <c r="AB119" s="62" t="s">
        <v>244</v>
      </c>
      <c r="AC119" s="62" t="s">
        <v>244</v>
      </c>
      <c r="AD119" s="62" t="s">
        <v>244</v>
      </c>
      <c r="AE119" s="62" t="s">
        <v>244</v>
      </c>
      <c r="AF119" s="163" t="s">
        <v>244</v>
      </c>
      <c r="AG119" s="163" t="s">
        <v>244</v>
      </c>
      <c r="AH119" s="163" t="s">
        <v>244</v>
      </c>
      <c r="AI119" s="163"/>
      <c r="AJ119" s="163"/>
      <c r="AK119" s="163"/>
      <c r="AL119" s="163"/>
      <c r="AM119" s="163"/>
      <c r="AN119" s="163"/>
      <c r="AO119" s="163"/>
      <c r="AP119" s="163"/>
      <c r="AQ119" s="163"/>
      <c r="AR119" s="163"/>
      <c r="AS119" s="163"/>
      <c r="AT119" s="163"/>
      <c r="AU119" s="163"/>
      <c r="AV119" s="163"/>
      <c r="AW119" s="163"/>
      <c r="AX119" s="163"/>
      <c r="AY119" s="163"/>
      <c r="AZ119" s="163"/>
      <c r="BA119" s="163"/>
      <c r="BB119" s="163"/>
      <c r="BC119" s="163" t="b">
        <v>0</v>
      </c>
      <c r="BD119" s="163" t="b">
        <v>0</v>
      </c>
      <c r="BE119" s="163" t="b">
        <v>0</v>
      </c>
      <c r="BF119" s="163" t="b">
        <v>0</v>
      </c>
      <c r="BG119" s="163" t="b">
        <v>0</v>
      </c>
      <c r="BH119" s="163" t="b">
        <v>0</v>
      </c>
      <c r="BI119" s="163" t="b">
        <v>1</v>
      </c>
      <c r="BJ119" s="163" t="b">
        <v>0</v>
      </c>
      <c r="BK119" s="163" t="b">
        <v>0</v>
      </c>
      <c r="BL119" s="163" t="b">
        <v>0</v>
      </c>
      <c r="BM119" s="163"/>
      <c r="BN119" s="163"/>
      <c r="BO119" s="163"/>
      <c r="BP119" s="163"/>
      <c r="BQ119" s="163"/>
      <c r="BR119" s="163"/>
      <c r="BS119" s="163"/>
      <c r="BT119" s="163"/>
      <c r="BU119" s="163"/>
      <c r="BV119" s="163"/>
      <c r="BW119" s="163"/>
      <c r="BX119" s="163"/>
      <c r="BY119" s="163"/>
      <c r="BZ119" s="163"/>
      <c r="CA119" s="163"/>
      <c r="CB119" s="163"/>
      <c r="CC119" s="163"/>
      <c r="CD119" s="163"/>
      <c r="CE119" s="163"/>
      <c r="CF119" s="163"/>
      <c r="CG119" s="163"/>
      <c r="CH119" s="163"/>
      <c r="CI119" s="163"/>
      <c r="CJ119" s="163"/>
      <c r="CK119" s="163"/>
      <c r="CL119" s="163"/>
      <c r="CM119" s="163"/>
      <c r="CN119" s="163"/>
      <c r="CO119" s="163"/>
      <c r="CP119" s="163"/>
      <c r="CQ119" s="163"/>
      <c r="CR119" s="163"/>
      <c r="CS119" s="163"/>
      <c r="CT119" s="163"/>
      <c r="CU119" s="163"/>
      <c r="CV119" s="163"/>
      <c r="CW119" s="163"/>
      <c r="CX119" s="163"/>
      <c r="CY119" s="163"/>
      <c r="CZ119" s="163"/>
      <c r="DA119" s="163"/>
      <c r="DB119" s="163"/>
      <c r="DC119" s="163"/>
      <c r="DD119" s="163"/>
      <c r="DE119" s="163"/>
      <c r="DF119" s="163"/>
      <c r="DG119" s="163"/>
      <c r="DH119" s="163"/>
      <c r="DI119" s="163"/>
      <c r="DJ119" s="163"/>
      <c r="DK119" s="163"/>
      <c r="DL119" s="163"/>
      <c r="DM119" s="163"/>
      <c r="DN119" s="163"/>
      <c r="DO119" s="163"/>
      <c r="DP119" s="163"/>
      <c r="DQ119" s="163"/>
      <c r="DR119" s="163"/>
      <c r="DS119" s="163"/>
      <c r="DT119" s="163"/>
      <c r="DU119" s="163"/>
      <c r="DV119" s="163"/>
      <c r="DW119" s="163"/>
      <c r="DX119" s="163"/>
      <c r="DY119" s="163"/>
      <c r="DZ119" s="163"/>
      <c r="EA119" s="163"/>
      <c r="EB119" s="163"/>
      <c r="EC119" s="163"/>
      <c r="ED119" s="163"/>
      <c r="EE119" s="163"/>
      <c r="EF119" s="163"/>
      <c r="EG119" s="163"/>
      <c r="EH119" s="160">
        <f>IF([Chambre]*1='CHAMBRES FILLES 2e ETAGE'!$A$5,1,0)</f>
        <v>0</v>
      </c>
      <c r="EI119" s="161">
        <f>IF([Occurrence2]=0,0,SUM($EH$2:EH119))</f>
        <v>0</v>
      </c>
      <c r="EJ119" s="160">
        <f>IF([Chambre]*1='CHAMBRES FILLES 2e ETAGE'!$A$11,1,0)</f>
        <v>0</v>
      </c>
      <c r="EK119" s="160">
        <f>IF([Occurrence3]=0,0,SUM($EJ$2:EJ119))</f>
        <v>0</v>
      </c>
      <c r="EL119" s="160">
        <f>IF([Chambre]*1='CHAMBRES FILLES 2e ETAGE'!$A$17,1,0)</f>
        <v>0</v>
      </c>
      <c r="EM119" s="160">
        <f>IF([Occurrence4]=0,0,SUM($EL$2:EL119))</f>
        <v>0</v>
      </c>
      <c r="EN119" s="160">
        <f>IF([Chambre]*1='CHAMBRES FILLES 2e ETAGE'!$A$23,1,0)</f>
        <v>0</v>
      </c>
      <c r="EO119" s="160">
        <f>IF([Occurrence5]=0,0,SUM($EN$2:EN119))</f>
        <v>0</v>
      </c>
      <c r="EP119" s="160">
        <f>IF([Chambre]*1='CHAMBRES FILLES 2e ETAGE'!$A$29,1,0)</f>
        <v>0</v>
      </c>
      <c r="EQ119" s="160">
        <f>IF([Occurrence6]=0,0,SUM($EP$2:EP119))</f>
        <v>0</v>
      </c>
      <c r="ER119" s="160">
        <f>IF([Chambre]*1='CHAMBRES FILLES 2e ETAGE'!$A$35,1,0)</f>
        <v>0</v>
      </c>
      <c r="ES119" s="160">
        <f>IF([Occurrence7]=0,0,SUM($ER$2:ER119))</f>
        <v>0</v>
      </c>
      <c r="ET119" s="160">
        <f>IF([Chambre]*1='CHAMBRES FILLES 2e ETAGE'!$A$41,1,0)</f>
        <v>0</v>
      </c>
      <c r="EU119" s="160">
        <f>IF([Occurrence8]=0,0,SUM($ET$2:ET119))</f>
        <v>0</v>
      </c>
      <c r="EV119" s="160">
        <f>IF([Chambre]*1='CHAMBRES FILLES 2e ETAGE'!$A$47,1,0)</f>
        <v>0</v>
      </c>
      <c r="EW119" s="160">
        <f>IF([Occurrence9]=0,0,SUM($EV$2:EV119))</f>
        <v>0</v>
      </c>
      <c r="EX119" s="160">
        <f>IF([Chambre]*1='CHAMBRES FILLES 2e ETAGE'!$A$53,1,0)</f>
        <v>0</v>
      </c>
      <c r="EY119" s="160">
        <f>IF([Occurrence10]=0,0,SUM($EX$2:EX119))</f>
        <v>0</v>
      </c>
      <c r="EZ119" s="160">
        <f>IF([Chambre]*1='CHAMBRES FILLES 2e ETAGE'!$A$59,1,0)</f>
        <v>0</v>
      </c>
      <c r="FA119" s="160">
        <f>IF([Occurrence11]=0,0,SUM($EZ$2:EZ119))</f>
        <v>0</v>
      </c>
      <c r="FB119" s="160">
        <f>IF([Chambre]*1='CHAMBRES FILLES 2e ETAGE'!$A$65,1,0)</f>
        <v>0</v>
      </c>
      <c r="FC119" s="160">
        <f>IF([Occurrence12]=0,0,SUM($FB$2:FB119))</f>
        <v>0</v>
      </c>
      <c r="FD119" s="160">
        <f>IF([Chambre]*1='CHAMBRES FILLES 2e ETAGE'!$A$71,1,0)</f>
        <v>0</v>
      </c>
      <c r="FE119" s="160">
        <f>IF([Occurrence13]=0,0,SUM($FD$2:FD119))</f>
        <v>0</v>
      </c>
      <c r="FF119" s="160">
        <f>IF([Chambre]*1='CHAMBRES FILLES 2e ETAGE'!$A$77,1,0)</f>
        <v>0</v>
      </c>
      <c r="FG119" s="160">
        <f>IF([Occurrence14]=0,0,SUM($FF$2:FF119))</f>
        <v>0</v>
      </c>
      <c r="FH119" s="160">
        <f>IF([Chambre]*1='CHAMBRES FILLES 2e ETAGE'!$A$83,1,0)</f>
        <v>0</v>
      </c>
      <c r="FI119" s="160">
        <f>IF([Occurrence15]=0,0,SUM($FH$2:FH119))</f>
        <v>0</v>
      </c>
      <c r="FJ119" s="160">
        <f>IF([Chambre]*1='CHAMBRES FILLES 2e ETAGE'!$A$89,1,0)</f>
        <v>0</v>
      </c>
      <c r="FK119" s="160">
        <f>IF([Occurrence16]=0,0,SUM($FJ$2:FJ119))</f>
        <v>0</v>
      </c>
      <c r="FL119" s="160">
        <f>IF([Chambre]*1='CHAMBRES FILLES 2e ETAGE'!$A$95,1,0)</f>
        <v>0</v>
      </c>
      <c r="FM119" s="160">
        <f>IF([Occurrence17]=0,0,SUM($FL$2:FL119))</f>
        <v>0</v>
      </c>
      <c r="FN119" s="160">
        <f>IF([Chambre2]*1='CHAMBRES FILLES 1e ETAGE'!$A$5,1,0)</f>
        <v>0</v>
      </c>
      <c r="FO119" s="160">
        <f>IF([Occurrence18]=0,0,SUM($FN$2:FN119))</f>
        <v>0</v>
      </c>
      <c r="FP119" s="160">
        <f>IF([Chambre2]*1='CHAMBRES FILLES 1e ETAGE'!$A$11,1,0)</f>
        <v>0</v>
      </c>
      <c r="FQ119" s="160">
        <f>IF([Occurrence19]=0,0,SUM($FP$2:FP119))</f>
        <v>0</v>
      </c>
      <c r="FR119" s="160">
        <f>IF([Chambre2]*1='CHAMBRES FILLES 1e ETAGE'!$A$17,1,0)</f>
        <v>0</v>
      </c>
      <c r="FS119" s="160">
        <f>IF([Occurrence20]=0,0,SUM($FR$2:FR119))</f>
        <v>0</v>
      </c>
      <c r="FT119" s="160">
        <f>IF([Chambre2]*1='CHAMBRES FILLES 1e ETAGE'!$A$23,1,0)</f>
        <v>0</v>
      </c>
      <c r="FU119" s="160">
        <f>IF([Occurrence21]=0,0,SUM($FT$2:FT119))</f>
        <v>0</v>
      </c>
      <c r="FV119" s="160">
        <f>IF([Chambre2]*1='CHAMBRES FILLES 1e ETAGE'!$A$29,1,0)</f>
        <v>0</v>
      </c>
      <c r="FW119" s="160">
        <f>IF([Occurrence22]=0,0,SUM($FV$2:FV119))</f>
        <v>0</v>
      </c>
      <c r="FX119" s="160">
        <f>IF([Chambre2]*1='CHAMBRES FILLES 1e ETAGE'!$A$35,1,0)</f>
        <v>0</v>
      </c>
      <c r="FY119" s="160">
        <f>IF([Occurrence23]=0,0,SUM($FX$2:FX119))</f>
        <v>0</v>
      </c>
      <c r="FZ119" s="160">
        <f>IF([Chambre2]*1='CHAMBRES FILLES 1e ETAGE'!$A$41,1,0)</f>
        <v>0</v>
      </c>
      <c r="GA119" s="160">
        <f>IF([Occurrence24]=0,0,SUM($FZ$2:FZ119))</f>
        <v>0</v>
      </c>
      <c r="GB119" s="160">
        <f>IF([Chambre2]*1='CHAMBRES FILLES 1e ETAGE'!$A$47,1,0)</f>
        <v>0</v>
      </c>
      <c r="GC119" s="160">
        <f>IF([Occurrence25]=0,0,SUM($GB$2:GB119))</f>
        <v>0</v>
      </c>
      <c r="GD119" s="160">
        <f>IF([Chambre2]*1='CHAMBRES FILLES 1e ETAGE'!$A$53,1,0)</f>
        <v>0</v>
      </c>
      <c r="GE119" s="160">
        <f>IF([Occurrence26]=0,0,SUM($GD$2:GD119))</f>
        <v>0</v>
      </c>
      <c r="GF119" s="160">
        <f>IF([chambre4]*1='CHAMBRES GARCONS 1e ETAGE'!$A$5,1,0)</f>
        <v>0</v>
      </c>
      <c r="GG119" s="160">
        <f>IF([Occurrence27]=0,0,SUM($GF$2:GF119))</f>
        <v>0</v>
      </c>
      <c r="GH119" s="160">
        <f>IF([chambre4]*1='CHAMBRES GARCONS 1e ETAGE'!$A$11,1,0)</f>
        <v>0</v>
      </c>
      <c r="GI119" s="160">
        <f>IF([Occurrence28]=0,0,SUM($GH$2:GH119))</f>
        <v>0</v>
      </c>
      <c r="GJ119" s="160">
        <f>IF([chambre4]*1='CHAMBRES GARCONS 1e ETAGE'!$A$17,1,0)</f>
        <v>0</v>
      </c>
      <c r="GK119" s="160">
        <f>IF([Occurrence29]=0,0,SUM($GJ$2:GJ119))</f>
        <v>0</v>
      </c>
      <c r="GL119" s="160">
        <f>IF([chambre4]*1='CHAMBRES GARCONS 1e ETAGE'!$A$23,1,0)</f>
        <v>0</v>
      </c>
      <c r="GM119" s="160">
        <f>IF([Occurrence30]=0,0,SUM($GL$2:GL119))</f>
        <v>0</v>
      </c>
      <c r="GN119" s="160">
        <f>IF([chambre4]*1='CHAMBRES GARCONS 1e ETAGE'!$A$29,1,0)</f>
        <v>0</v>
      </c>
      <c r="GO119" s="160">
        <f>IF([Occurrence31]=0,0,SUM($GN$2:GN119))</f>
        <v>0</v>
      </c>
      <c r="GP119" s="160">
        <f>IF([chambre4]*1='CHAMBRES GARCONS 1e ETAGE'!$A$35,1,0)</f>
        <v>0</v>
      </c>
      <c r="GQ119" s="160">
        <f>IF([Occurrence32]=0,0,SUM($GP$2:GP119))</f>
        <v>0</v>
      </c>
      <c r="GR119" s="160">
        <f>IF([chambre3]*1='CHAMBRES GARCONS RDC'!$A$5,1,0)</f>
        <v>0</v>
      </c>
      <c r="GS119" s="160">
        <f>IF([Occurrence33]=0,0,SUM($GR$2:GR119))</f>
        <v>0</v>
      </c>
      <c r="GT119" s="160">
        <f>IF([chambre3]*1='CHAMBRES GARCONS RDC'!$A$11,1,0)</f>
        <v>0</v>
      </c>
      <c r="GU119" s="160">
        <f>IF([Occurrence34]=0,0,SUM($GT$2:GT119))</f>
        <v>0</v>
      </c>
      <c r="GV119" s="160">
        <f>IF([chambre3]*1='CHAMBRES GARCONS RDC'!$A$17,1,0)</f>
        <v>0</v>
      </c>
      <c r="GW119" s="160">
        <f>IF([Occurrence35]=0,0,SUM($GV$2:GV119))</f>
        <v>0</v>
      </c>
      <c r="GX119" s="160">
        <f>IF([chambre3]*1='CHAMBRES GARCONS RDC'!$A$23,1,0)</f>
        <v>0</v>
      </c>
      <c r="GY119" s="160">
        <f>IF([Occurrence36]=0,0,SUM($GX$2:GX119))</f>
        <v>0</v>
      </c>
      <c r="GZ119" s="160">
        <f>IF([chambre3]*1='CHAMBRES GARCONS RDC'!$A$29,1,0)</f>
        <v>0</v>
      </c>
      <c r="HA119" s="160">
        <f>IF([Occurrence37]=0,0,SUM($GZ$2:GZ119))</f>
        <v>0</v>
      </c>
      <c r="HB119" s="160">
        <f>IF([chambre3]*1='CHAMBRES GARCONS RDC'!$A$35,1,0)</f>
        <v>0</v>
      </c>
      <c r="HC119" s="160">
        <f>IF([Occurrence38]=0,0,SUM($HB$2:HB119))</f>
        <v>0</v>
      </c>
      <c r="HD119" s="160">
        <f>IF([chambre3]*1='CHAMBRES GARCONS RDC'!$A$41,1,0)</f>
        <v>0</v>
      </c>
      <c r="HE119" s="160">
        <f>IF([Occurrence39]=0,0,SUM($HD$2:HD119))</f>
        <v>0</v>
      </c>
      <c r="HF119" s="160">
        <f>IF([chambre3]*1='CHAMBRES GARCONS RDC'!$A$47,1,0)</f>
        <v>0</v>
      </c>
      <c r="HG119" s="160">
        <f>IF([Occurrence40]=0,0,SUM($HF$2:HF119))</f>
        <v>0</v>
      </c>
      <c r="HH119" s="160">
        <f>IF([chambre3]*1='CHAMBRES GARCONS RDC'!$A$53,1,0)</f>
        <v>0</v>
      </c>
      <c r="HI119" s="160">
        <f>IF([Occurrence41]=0,0,SUM($HH$2:HH119))</f>
        <v>0</v>
      </c>
      <c r="HJ119" s="160">
        <f>IF([chambre3]*1='CHAMBRES GARCONS RDC'!$A$59,1,0)</f>
        <v>0</v>
      </c>
      <c r="HK119" s="160">
        <f>IF([Occurrence42]=0,0,SUM($HJ$2:HJ119))</f>
        <v>0</v>
      </c>
      <c r="HL119" s="160">
        <f>IF([chambre3]*1='CHAMBRES GARCONS RDC'!$A$65,1,0)</f>
        <v>0</v>
      </c>
      <c r="HM119" s="160">
        <f>IF([Occurrence43]=0,0,SUM($HL$2:HL119))</f>
        <v>0</v>
      </c>
      <c r="HN119" s="160">
        <f>IF([chambre3]*1='CHAMBRES GARCONS RDC'!$A$71,1,0)</f>
        <v>0</v>
      </c>
      <c r="HO119" s="160">
        <f>IF([Occurrence44]=0,0,SUM($HN$2:HN119))</f>
        <v>0</v>
      </c>
      <c r="HP119" s="160">
        <f>IF([chambre3]*1='CHAMBRES GARCONS RDC'!$A$77,1,0)</f>
        <v>0</v>
      </c>
      <c r="HQ119" s="160">
        <f>IF([Occurrence45]=0,0,SUM($HP$2:HP119))</f>
        <v>0</v>
      </c>
      <c r="HR119" s="160">
        <f>IF([chambre3]*1='CHAMBRES GARCONS RDC'!$A$83,1,0)</f>
        <v>0</v>
      </c>
      <c r="HS119" s="160">
        <f>IF([Occurrence46]=0,0,SUM($HR$2:HR119))</f>
        <v>0</v>
      </c>
      <c r="HT119" s="160">
        <f>IF([chambre3]*1='CHAMBRES GARCONS RDC'!$A$89,1,0)</f>
        <v>0</v>
      </c>
      <c r="HU119" s="160">
        <f>IF([Occurrence47]=0,0,SUM($HT$2:HT119))</f>
        <v>0</v>
      </c>
      <c r="HV119" s="160">
        <f>IF([chambre3]*1='CHAMBRES GARCONS RDC'!$A$95,1,0)</f>
        <v>0</v>
      </c>
      <c r="HW119" s="160">
        <f>IF([Occurrence48]=0,0,SUM($HV$2:HV119))</f>
        <v>0</v>
      </c>
      <c r="HX119" s="160"/>
      <c r="HY119" s="160"/>
      <c r="HZ119" s="160">
        <f>IF([Classe]='Liste élève par classes'!$B$5,1,0)</f>
        <v>0</v>
      </c>
      <c r="IA119" s="160">
        <f>IF([Occurrence]=0,0,SUM($HZ$2:HZ119))</f>
        <v>0</v>
      </c>
      <c r="IB11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19" s="208"/>
    </row>
    <row r="120" spans="1:237">
      <c r="A120" t="s">
        <v>453</v>
      </c>
      <c r="B120" t="s">
        <v>261</v>
      </c>
      <c r="C120" s="158" t="s">
        <v>788</v>
      </c>
      <c r="D120" s="62" t="s">
        <v>713</v>
      </c>
      <c r="E120" t="s">
        <v>0</v>
      </c>
      <c r="F120" s="159" t="s">
        <v>50</v>
      </c>
      <c r="G120" t="s">
        <v>40</v>
      </c>
      <c r="H120" s="160"/>
      <c r="I120" s="161"/>
      <c r="J120" s="161"/>
      <c r="K120" s="161"/>
      <c r="L120" s="160"/>
      <c r="M120" t="s">
        <v>789</v>
      </c>
      <c r="N120" s="161"/>
      <c r="O120" s="161"/>
      <c r="P120" s="161"/>
      <c r="Q120" s="161"/>
      <c r="R120" s="161"/>
      <c r="S120" s="190"/>
      <c r="T120" s="161"/>
      <c r="U120" s="160"/>
      <c r="V120" s="161"/>
      <c r="W120" s="161"/>
      <c r="X120" s="161"/>
      <c r="Y120" s="161"/>
      <c r="Z120" s="161"/>
      <c r="AA120" s="161"/>
      <c r="AB120" s="161"/>
      <c r="AC120" s="161"/>
      <c r="AD120" s="161"/>
      <c r="AE120" s="161"/>
      <c r="AF120" s="163"/>
      <c r="AG120" s="163"/>
      <c r="AH120" s="163"/>
      <c r="AI120" s="163" t="b">
        <v>0</v>
      </c>
      <c r="AJ120" s="163" t="b">
        <v>0</v>
      </c>
      <c r="AK120" s="163" t="b">
        <v>0</v>
      </c>
      <c r="AL120" s="163" t="b">
        <v>0</v>
      </c>
      <c r="AM120" s="163" t="b">
        <v>0</v>
      </c>
      <c r="AN120" s="163" t="b">
        <v>0</v>
      </c>
      <c r="AO120" s="163" t="b">
        <v>0</v>
      </c>
      <c r="AP120" s="163" t="b">
        <v>0</v>
      </c>
      <c r="AQ120" s="163" t="b">
        <v>0</v>
      </c>
      <c r="AR120" s="163" t="b">
        <v>0</v>
      </c>
      <c r="AS120" s="163" t="b">
        <v>0</v>
      </c>
      <c r="AT120" s="163" t="b">
        <v>0</v>
      </c>
      <c r="AU120" s="163" t="b">
        <v>0</v>
      </c>
      <c r="AV120" s="163" t="b">
        <v>0</v>
      </c>
      <c r="AW120" s="163" t="b">
        <v>0</v>
      </c>
      <c r="AX120" s="163" t="b">
        <v>0</v>
      </c>
      <c r="AY120" s="163" t="b">
        <v>0</v>
      </c>
      <c r="AZ120" s="163" t="b">
        <v>0</v>
      </c>
      <c r="BA120" s="163" t="b">
        <v>0</v>
      </c>
      <c r="BB120" s="163" t="b">
        <v>0</v>
      </c>
      <c r="BC120" s="163" t="b">
        <v>0</v>
      </c>
      <c r="BD120" s="163" t="b">
        <v>1</v>
      </c>
      <c r="BE120" s="163" t="b">
        <v>1</v>
      </c>
      <c r="BF120" s="163" t="b">
        <v>0</v>
      </c>
      <c r="BG120" s="164" t="b">
        <v>0</v>
      </c>
      <c r="BH120" s="163" t="b">
        <v>1</v>
      </c>
      <c r="BI120" s="163" t="b">
        <v>0</v>
      </c>
      <c r="BJ120" s="163" t="b">
        <v>0</v>
      </c>
      <c r="BK120" s="163" t="b">
        <v>0</v>
      </c>
      <c r="BL120" s="163" t="b">
        <v>0</v>
      </c>
      <c r="BM120" s="163"/>
      <c r="BN120" s="163" t="b">
        <v>0</v>
      </c>
      <c r="BO120" s="163" t="b">
        <v>0</v>
      </c>
      <c r="BP120" s="163"/>
      <c r="BQ120" s="163" t="b">
        <v>1</v>
      </c>
      <c r="BR120" s="163" t="b">
        <v>0</v>
      </c>
      <c r="BS120" s="163"/>
      <c r="BT120" s="163" t="b">
        <v>0</v>
      </c>
      <c r="BU120" s="163" t="b">
        <v>0</v>
      </c>
      <c r="BV120" s="163"/>
      <c r="BW120" s="163" t="b">
        <v>0</v>
      </c>
      <c r="BX120" s="163" t="b">
        <v>0</v>
      </c>
      <c r="BY120" s="163"/>
      <c r="BZ120" s="163" t="b">
        <v>0</v>
      </c>
      <c r="CA120" s="163" t="b">
        <v>0</v>
      </c>
      <c r="CB120" s="163"/>
      <c r="CC120" s="163" t="b">
        <v>0</v>
      </c>
      <c r="CD120" s="163" t="b">
        <v>0</v>
      </c>
      <c r="CE120" s="163"/>
      <c r="CF120" s="163" t="b">
        <v>0</v>
      </c>
      <c r="CG120" s="163" t="b">
        <v>0</v>
      </c>
      <c r="CH120" s="163"/>
      <c r="CI120" s="163" t="b">
        <v>0</v>
      </c>
      <c r="CJ120" s="163" t="b">
        <v>0</v>
      </c>
      <c r="CK120" s="163"/>
      <c r="CL120" s="163" t="b">
        <v>0</v>
      </c>
      <c r="CM120" s="163" t="b">
        <v>0</v>
      </c>
      <c r="CN120" s="163"/>
      <c r="CO120" s="163" t="b">
        <v>0</v>
      </c>
      <c r="CP120" s="163" t="b">
        <v>0</v>
      </c>
      <c r="CQ120" s="163"/>
      <c r="CR120" s="163" t="b">
        <v>0</v>
      </c>
      <c r="CS120" s="163" t="b">
        <v>0</v>
      </c>
      <c r="CT120" s="163" t="b">
        <v>0</v>
      </c>
      <c r="CU120" s="163" t="b">
        <v>0</v>
      </c>
      <c r="CV120" s="163"/>
      <c r="CW120" s="163" t="b">
        <v>0</v>
      </c>
      <c r="CX120" s="163" t="b">
        <v>0</v>
      </c>
      <c r="CY120" s="163" t="b">
        <v>0</v>
      </c>
      <c r="CZ120" s="163" t="b">
        <v>0</v>
      </c>
      <c r="DA120" s="163" t="s">
        <v>787</v>
      </c>
      <c r="DB120" s="163"/>
      <c r="DC120" s="163"/>
      <c r="DD120" s="163"/>
      <c r="DE120" s="163"/>
      <c r="DF120" s="163"/>
      <c r="DG120" s="208"/>
      <c r="DH120" s="163"/>
      <c r="DI120" s="163"/>
      <c r="DJ120" s="163"/>
      <c r="DK120" s="163"/>
      <c r="DL120" s="163"/>
      <c r="DM120" s="163" t="b">
        <v>0</v>
      </c>
      <c r="DN120" s="163" t="b">
        <v>0</v>
      </c>
      <c r="DO120" s="163" t="b">
        <v>0</v>
      </c>
      <c r="DP120" s="163" t="b">
        <v>0</v>
      </c>
      <c r="DQ120" s="163" t="b">
        <v>0</v>
      </c>
      <c r="DR120" s="163" t="b">
        <v>0</v>
      </c>
      <c r="DS120" s="163" t="b">
        <v>0</v>
      </c>
      <c r="DT120" s="163" t="b">
        <v>0</v>
      </c>
      <c r="DU120" s="163" t="b">
        <v>0</v>
      </c>
      <c r="DV120" s="163" t="b">
        <v>0</v>
      </c>
      <c r="DW120" s="163" t="b">
        <v>0</v>
      </c>
      <c r="DX120" s="163" t="b">
        <v>0</v>
      </c>
      <c r="DY120" s="163" t="b">
        <v>0</v>
      </c>
      <c r="DZ120" s="163" t="b">
        <v>0</v>
      </c>
      <c r="EA120" s="163" t="b">
        <v>0</v>
      </c>
      <c r="EB120" s="163" t="b">
        <v>0</v>
      </c>
      <c r="EC120" s="163" t="b">
        <v>0</v>
      </c>
      <c r="ED120" s="163" t="b">
        <v>0</v>
      </c>
      <c r="EE120" s="163" t="b">
        <v>0</v>
      </c>
      <c r="EF120" s="163" t="b">
        <v>0</v>
      </c>
      <c r="EG120" s="163"/>
      <c r="EH120" s="160">
        <f>IF([Chambre]*1='CHAMBRES FILLES 2e ETAGE'!$A$5,1,0)</f>
        <v>0</v>
      </c>
      <c r="EI120" s="161">
        <f>IF([Occurrence2]=0,0,SUM($EH$2:EH120))</f>
        <v>0</v>
      </c>
      <c r="EJ120" s="160">
        <f>IF([Chambre]*1='CHAMBRES FILLES 2e ETAGE'!$A$11,1,0)</f>
        <v>0</v>
      </c>
      <c r="EK120" s="160">
        <f>IF([Occurrence3]=0,0,SUM($EJ$2:EJ120))</f>
        <v>0</v>
      </c>
      <c r="EL120" s="160">
        <f>IF([Chambre]*1='CHAMBRES FILLES 2e ETAGE'!$A$17,1,0)</f>
        <v>0</v>
      </c>
      <c r="EM120" s="160">
        <f>IF([Occurrence4]=0,0,SUM($EL$2:EL120))</f>
        <v>0</v>
      </c>
      <c r="EN120" s="160">
        <f>IF([Chambre]*1='CHAMBRES FILLES 2e ETAGE'!$A$23,1,0)</f>
        <v>0</v>
      </c>
      <c r="EO120" s="160">
        <f>IF([Occurrence5]=0,0,SUM($EN$2:EN120))</f>
        <v>0</v>
      </c>
      <c r="EP120" s="160">
        <f>IF([Chambre]*1='CHAMBRES FILLES 2e ETAGE'!$A$29,1,0)</f>
        <v>0</v>
      </c>
      <c r="EQ120" s="160">
        <f>IF([Occurrence6]=0,0,SUM($EP$2:EP120))</f>
        <v>0</v>
      </c>
      <c r="ER120" s="160">
        <f>IF([Chambre]*1='CHAMBRES FILLES 2e ETAGE'!$A$35,1,0)</f>
        <v>0</v>
      </c>
      <c r="ES120" s="160">
        <f>IF([Occurrence7]=0,0,SUM($ER$2:ER120))</f>
        <v>0</v>
      </c>
      <c r="ET120" s="160">
        <f>IF([Chambre]*1='CHAMBRES FILLES 2e ETAGE'!$A$41,1,0)</f>
        <v>0</v>
      </c>
      <c r="EU120" s="160">
        <f>IF([Occurrence8]=0,0,SUM($ET$2:ET120))</f>
        <v>0</v>
      </c>
      <c r="EV120" s="160">
        <f>IF([Chambre]*1='CHAMBRES FILLES 2e ETAGE'!$A$47,1,0)</f>
        <v>0</v>
      </c>
      <c r="EW120" s="160">
        <f>IF([Occurrence9]=0,0,SUM($EV$2:EV120))</f>
        <v>0</v>
      </c>
      <c r="EX120" s="160">
        <f>IF([Chambre]*1='CHAMBRES FILLES 2e ETAGE'!$A$53,1,0)</f>
        <v>0</v>
      </c>
      <c r="EY120" s="160">
        <f>IF([Occurrence10]=0,0,SUM($EX$2:EX120))</f>
        <v>0</v>
      </c>
      <c r="EZ120" s="160">
        <f>IF([Chambre]*1='CHAMBRES FILLES 2e ETAGE'!$A$59,1,0)</f>
        <v>0</v>
      </c>
      <c r="FA120" s="160">
        <f>IF([Occurrence11]=0,0,SUM($EZ$2:EZ120))</f>
        <v>0</v>
      </c>
      <c r="FB120" s="160">
        <f>IF([Chambre]*1='CHAMBRES FILLES 2e ETAGE'!$A$65,1,0)</f>
        <v>0</v>
      </c>
      <c r="FC120" s="160">
        <f>IF([Occurrence12]=0,0,SUM($FB$2:FB120))</f>
        <v>0</v>
      </c>
      <c r="FD120" s="160">
        <f>IF([Chambre]*1='CHAMBRES FILLES 2e ETAGE'!$A$71,1,0)</f>
        <v>0</v>
      </c>
      <c r="FE120" s="160">
        <f>IF([Occurrence13]=0,0,SUM($FD$2:FD120))</f>
        <v>0</v>
      </c>
      <c r="FF120" s="160">
        <f>IF([Chambre]*1='CHAMBRES FILLES 2e ETAGE'!$A$77,1,0)</f>
        <v>0</v>
      </c>
      <c r="FG120" s="160">
        <f>IF([Occurrence14]=0,0,SUM($FF$2:FF120))</f>
        <v>0</v>
      </c>
      <c r="FH120" s="160">
        <f>IF([Chambre]*1='CHAMBRES FILLES 2e ETAGE'!$A$83,1,0)</f>
        <v>0</v>
      </c>
      <c r="FI120" s="160">
        <f>IF([Occurrence15]=0,0,SUM($FH$2:FH120))</f>
        <v>0</v>
      </c>
      <c r="FJ120" s="160">
        <f>IF([Chambre]*1='CHAMBRES FILLES 2e ETAGE'!$A$89,1,0)</f>
        <v>0</v>
      </c>
      <c r="FK120" s="160">
        <f>IF([Occurrence16]=0,0,SUM($FJ$2:FJ120))</f>
        <v>0</v>
      </c>
      <c r="FL120" s="160">
        <f>IF([Chambre]*1='CHAMBRES FILLES 2e ETAGE'!$A$95,1,0)</f>
        <v>0</v>
      </c>
      <c r="FM120" s="160">
        <f>IF([Occurrence17]=0,0,SUM($FL$2:FL120))</f>
        <v>0</v>
      </c>
      <c r="FN120" s="160">
        <f>IF([Chambre2]*1='CHAMBRES FILLES 1e ETAGE'!$A$5,1,0)</f>
        <v>0</v>
      </c>
      <c r="FO120" s="160">
        <f>IF([Occurrence18]=0,0,SUM($FN$2:FN120))</f>
        <v>0</v>
      </c>
      <c r="FP120" s="160">
        <f>IF([Chambre2]*1='CHAMBRES FILLES 1e ETAGE'!$A$11,1,0)</f>
        <v>0</v>
      </c>
      <c r="FQ120" s="160">
        <f>IF([Occurrence19]=0,0,SUM($FP$2:FP120))</f>
        <v>0</v>
      </c>
      <c r="FR120" s="160">
        <f>IF([Chambre2]*1='CHAMBRES FILLES 1e ETAGE'!$A$17,1,0)</f>
        <v>0</v>
      </c>
      <c r="FS120" s="160">
        <f>IF([Occurrence20]=0,0,SUM($FR$2:FR120))</f>
        <v>0</v>
      </c>
      <c r="FT120" s="160">
        <f>IF([Chambre2]*1='CHAMBRES FILLES 1e ETAGE'!$A$23,1,0)</f>
        <v>0</v>
      </c>
      <c r="FU120" s="160">
        <f>IF([Occurrence21]=0,0,SUM($FT$2:FT120))</f>
        <v>0</v>
      </c>
      <c r="FV120" s="160">
        <f>IF([Chambre2]*1='CHAMBRES FILLES 1e ETAGE'!$A$29,1,0)</f>
        <v>0</v>
      </c>
      <c r="FW120" s="160">
        <f>IF([Occurrence22]=0,0,SUM($FV$2:FV120))</f>
        <v>0</v>
      </c>
      <c r="FX120" s="160">
        <f>IF([Chambre2]*1='CHAMBRES FILLES 1e ETAGE'!$A$35,1,0)</f>
        <v>0</v>
      </c>
      <c r="FY120" s="160">
        <f>IF([Occurrence23]=0,0,SUM($FX$2:FX120))</f>
        <v>0</v>
      </c>
      <c r="FZ120" s="160">
        <f>IF([Chambre2]*1='CHAMBRES FILLES 1e ETAGE'!$A$41,1,0)</f>
        <v>0</v>
      </c>
      <c r="GA120" s="160">
        <f>IF([Occurrence24]=0,0,SUM($FZ$2:FZ120))</f>
        <v>0</v>
      </c>
      <c r="GB120" s="160">
        <f>IF([Chambre2]*1='CHAMBRES FILLES 1e ETAGE'!$A$47,1,0)</f>
        <v>0</v>
      </c>
      <c r="GC120" s="160">
        <f>IF([Occurrence25]=0,0,SUM($GB$2:GB120))</f>
        <v>0</v>
      </c>
      <c r="GD120" s="160">
        <f>IF([Chambre2]*1='CHAMBRES FILLES 1e ETAGE'!$A$53,1,0)</f>
        <v>0</v>
      </c>
      <c r="GE120" s="160">
        <f>IF([Occurrence26]=0,0,SUM($GD$2:GD120))</f>
        <v>0</v>
      </c>
      <c r="GF120" s="160">
        <f>IF([chambre4]*1='CHAMBRES GARCONS 1e ETAGE'!$A$5,1,0)</f>
        <v>0</v>
      </c>
      <c r="GG120" s="160">
        <f>IF([Occurrence27]=0,0,SUM($GF$2:GF120))</f>
        <v>0</v>
      </c>
      <c r="GH120" s="160">
        <f>IF([chambre4]*1='CHAMBRES GARCONS 1e ETAGE'!$A$11,1,0)</f>
        <v>0</v>
      </c>
      <c r="GI120" s="160">
        <f>IF([Occurrence28]=0,0,SUM($GH$2:GH120))</f>
        <v>0</v>
      </c>
      <c r="GJ120" s="160">
        <f>IF([chambre4]*1='CHAMBRES GARCONS 1e ETAGE'!$A$17,1,0)</f>
        <v>0</v>
      </c>
      <c r="GK120" s="160">
        <f>IF([Occurrence29]=0,0,SUM($GJ$2:GJ120))</f>
        <v>0</v>
      </c>
      <c r="GL120" s="160">
        <f>IF([chambre4]*1='CHAMBRES GARCONS 1e ETAGE'!$A$23,1,0)</f>
        <v>0</v>
      </c>
      <c r="GM120" s="160">
        <f>IF([Occurrence30]=0,0,SUM($GL$2:GL120))</f>
        <v>0</v>
      </c>
      <c r="GN120" s="160">
        <f>IF([chambre4]*1='CHAMBRES GARCONS 1e ETAGE'!$A$29,1,0)</f>
        <v>0</v>
      </c>
      <c r="GO120" s="160">
        <f>IF([Occurrence31]=0,0,SUM($GN$2:GN120))</f>
        <v>0</v>
      </c>
      <c r="GP120" s="160">
        <f>IF([chambre4]*1='CHAMBRES GARCONS 1e ETAGE'!$A$35,1,0)</f>
        <v>0</v>
      </c>
      <c r="GQ120" s="160">
        <f>IF([Occurrence32]=0,0,SUM($GP$2:GP120))</f>
        <v>0</v>
      </c>
      <c r="GR120" s="160">
        <f>IF([chambre3]*1='CHAMBRES GARCONS RDC'!$A$5,1,0)</f>
        <v>0</v>
      </c>
      <c r="GS120" s="160">
        <f>IF([Occurrence33]=0,0,SUM($GR$2:GR120))</f>
        <v>0</v>
      </c>
      <c r="GT120" s="160">
        <f>IF([chambre3]*1='CHAMBRES GARCONS RDC'!$A$11,1,0)</f>
        <v>0</v>
      </c>
      <c r="GU120" s="160">
        <f>IF([Occurrence34]=0,0,SUM($GT$2:GT120))</f>
        <v>0</v>
      </c>
      <c r="GV120" s="160">
        <f>IF([chambre3]*1='CHAMBRES GARCONS RDC'!$A$17,1,0)</f>
        <v>0</v>
      </c>
      <c r="GW120" s="160">
        <f>IF([Occurrence35]=0,0,SUM($GV$2:GV120))</f>
        <v>0</v>
      </c>
      <c r="GX120" s="160">
        <f>IF([chambre3]*1='CHAMBRES GARCONS RDC'!$A$23,1,0)</f>
        <v>0</v>
      </c>
      <c r="GY120" s="160">
        <f>IF([Occurrence36]=0,0,SUM($GX$2:GX120))</f>
        <v>0</v>
      </c>
      <c r="GZ120" s="160">
        <f>IF([chambre3]*1='CHAMBRES GARCONS RDC'!$A$29,1,0)</f>
        <v>0</v>
      </c>
      <c r="HA120" s="160">
        <f>IF([Occurrence37]=0,0,SUM($GZ$2:GZ120))</f>
        <v>0</v>
      </c>
      <c r="HB120" s="160">
        <f>IF([chambre3]*1='CHAMBRES GARCONS RDC'!$A$35,1,0)</f>
        <v>0</v>
      </c>
      <c r="HC120" s="160">
        <f>IF([Occurrence38]=0,0,SUM($HB$2:HB120))</f>
        <v>0</v>
      </c>
      <c r="HD120" s="160">
        <f>IF([chambre3]*1='CHAMBRES GARCONS RDC'!$A$41,1,0)</f>
        <v>0</v>
      </c>
      <c r="HE120" s="160">
        <f>IF([Occurrence39]=0,0,SUM($HD$2:HD120))</f>
        <v>0</v>
      </c>
      <c r="HF120" s="160">
        <f>IF([chambre3]*1='CHAMBRES GARCONS RDC'!$A$47,1,0)</f>
        <v>0</v>
      </c>
      <c r="HG120" s="160">
        <f>IF([Occurrence40]=0,0,SUM($HF$2:HF120))</f>
        <v>0</v>
      </c>
      <c r="HH120" s="160">
        <f>IF([chambre3]*1='CHAMBRES GARCONS RDC'!$A$53,1,0)</f>
        <v>0</v>
      </c>
      <c r="HI120" s="160">
        <f>IF([Occurrence41]=0,0,SUM($HH$2:HH120))</f>
        <v>0</v>
      </c>
      <c r="HJ120" s="160">
        <f>IF([chambre3]*1='CHAMBRES GARCONS RDC'!$A$59,1,0)</f>
        <v>0</v>
      </c>
      <c r="HK120" s="160">
        <f>IF([Occurrence42]=0,0,SUM($HJ$2:HJ120))</f>
        <v>0</v>
      </c>
      <c r="HL120" s="160">
        <f>IF([chambre3]*1='CHAMBRES GARCONS RDC'!$A$65,1,0)</f>
        <v>0</v>
      </c>
      <c r="HM120" s="160">
        <f>IF([Occurrence43]=0,0,SUM($HL$2:HL120))</f>
        <v>0</v>
      </c>
      <c r="HN120" s="160">
        <f>IF([chambre3]*1='CHAMBRES GARCONS RDC'!$A$71,1,0)</f>
        <v>0</v>
      </c>
      <c r="HO120" s="160">
        <f>IF([Occurrence44]=0,0,SUM($HN$2:HN120))</f>
        <v>0</v>
      </c>
      <c r="HP120" s="160">
        <f>IF([chambre3]*1='CHAMBRES GARCONS RDC'!$A$77,1,0)</f>
        <v>0</v>
      </c>
      <c r="HQ120" s="160">
        <f>IF([Occurrence45]=0,0,SUM($HP$2:HP120))</f>
        <v>0</v>
      </c>
      <c r="HR120" s="160">
        <f>IF([chambre3]*1='CHAMBRES GARCONS RDC'!$A$83,1,0)</f>
        <v>1</v>
      </c>
      <c r="HS120" s="160">
        <f>IF([Occurrence46]=0,0,SUM($HR$2:HR120))</f>
        <v>3</v>
      </c>
      <c r="HT120" s="160">
        <f>IF([chambre3]*1='CHAMBRES GARCONS RDC'!$A$89,1,0)</f>
        <v>0</v>
      </c>
      <c r="HU120" s="160">
        <f>IF([Occurrence47]=0,0,SUM($HT$2:HT120))</f>
        <v>0</v>
      </c>
      <c r="HV120" s="160">
        <f>IF([chambre3]*1='CHAMBRES GARCONS RDC'!$A$95,1,0)</f>
        <v>0</v>
      </c>
      <c r="HW120" s="160">
        <f>IF([Occurrence48]=0,0,SUM($HV$2:HV120))</f>
        <v>0</v>
      </c>
      <c r="HX120" s="160"/>
      <c r="HY120" s="160"/>
      <c r="HZ120" s="160">
        <f>IF([Classe]='Liste élève par classes'!$B$5,1,0)</f>
        <v>0</v>
      </c>
      <c r="IA120" s="160">
        <f>IF([Occurrence]=0,0,SUM($HZ$2:HZ120))</f>
        <v>0</v>
      </c>
      <c r="IB12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126</v>
      </c>
      <c r="IC120" s="208"/>
    </row>
    <row r="121" spans="1:237">
      <c r="A121" t="s">
        <v>454</v>
      </c>
      <c r="B121" t="s">
        <v>455</v>
      </c>
      <c r="C121" s="158">
        <v>36004</v>
      </c>
      <c r="D121" s="62">
        <f t="shared" ca="1" si="1"/>
        <v>19</v>
      </c>
      <c r="E121" t="s">
        <v>10</v>
      </c>
      <c r="F121" s="159" t="s">
        <v>50</v>
      </c>
      <c r="G121" t="s">
        <v>40</v>
      </c>
      <c r="H121" s="160"/>
      <c r="I121" s="62"/>
      <c r="J121" s="62"/>
      <c r="K121" s="62"/>
      <c r="L121" s="61"/>
      <c r="M121">
        <v>192</v>
      </c>
      <c r="N121" s="62"/>
      <c r="O121" s="62"/>
      <c r="P121" s="62"/>
      <c r="Q121" s="62"/>
      <c r="R121" s="62"/>
      <c r="S121" s="191"/>
      <c r="T121" s="62"/>
      <c r="U121" s="61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163"/>
      <c r="AG121" s="163"/>
      <c r="AH121" s="163"/>
      <c r="AI121" s="163"/>
      <c r="AJ121" s="163"/>
      <c r="AK121" s="163"/>
      <c r="AL121" s="163"/>
      <c r="AM121" s="163"/>
      <c r="AN121" s="163"/>
      <c r="AO121" s="163"/>
      <c r="AP121" s="163"/>
      <c r="AQ121" s="163"/>
      <c r="AR121" s="163"/>
      <c r="AS121" s="163"/>
      <c r="AT121" s="163"/>
      <c r="AU121" s="163"/>
      <c r="AV121" s="163"/>
      <c r="AW121" s="163"/>
      <c r="AX121" s="163"/>
      <c r="AY121" s="163"/>
      <c r="AZ121" s="163"/>
      <c r="BA121" s="163"/>
      <c r="BB121" s="163"/>
      <c r="BC121" s="163" t="b">
        <v>0</v>
      </c>
      <c r="BD121" s="163" t="b">
        <v>1</v>
      </c>
      <c r="BE121" s="163" t="b">
        <v>1</v>
      </c>
      <c r="BF121" s="163" t="b">
        <v>0</v>
      </c>
      <c r="BG121" s="164" t="b">
        <v>0</v>
      </c>
      <c r="BH121" s="163" t="b">
        <v>1</v>
      </c>
      <c r="BI121" s="163"/>
      <c r="BJ121" s="163"/>
      <c r="BK121" s="163"/>
      <c r="BL121" s="163"/>
      <c r="BM121" s="163"/>
      <c r="BN121" s="163"/>
      <c r="BO121" s="163"/>
      <c r="BP121" s="163"/>
      <c r="BQ121" s="163" t="b">
        <v>1</v>
      </c>
      <c r="BR121" s="163"/>
      <c r="BS121" s="163"/>
      <c r="BT121" s="163"/>
      <c r="BU121" s="163"/>
      <c r="BV121" s="163"/>
      <c r="BW121" s="163"/>
      <c r="BX121" s="163"/>
      <c r="BY121" s="163"/>
      <c r="BZ121" s="163"/>
      <c r="CA121" s="163"/>
      <c r="CB121" s="163"/>
      <c r="CC121" s="163"/>
      <c r="CD121" s="163"/>
      <c r="CE121" s="163"/>
      <c r="CF121" s="163"/>
      <c r="CG121" s="163"/>
      <c r="CH121" s="163"/>
      <c r="CI121" s="163"/>
      <c r="CJ121" s="163"/>
      <c r="CK121" s="163"/>
      <c r="CL121" s="163"/>
      <c r="CM121" s="163"/>
      <c r="CN121" s="163"/>
      <c r="CO121" s="163"/>
      <c r="CP121" s="163"/>
      <c r="CQ121" s="163"/>
      <c r="CR121" s="163"/>
      <c r="CS121" s="163"/>
      <c r="CT121" s="163"/>
      <c r="CU121" s="163"/>
      <c r="CV121" s="163"/>
      <c r="CW121" s="163"/>
      <c r="CX121" s="163"/>
      <c r="CY121" s="163"/>
      <c r="CZ121" s="163"/>
      <c r="DA121" s="163">
        <v>117</v>
      </c>
      <c r="DB121" s="163"/>
      <c r="DC121" s="163"/>
      <c r="DD121" s="163"/>
      <c r="DE121" s="163"/>
      <c r="DF121" s="163"/>
      <c r="DG121" s="208"/>
      <c r="DH121" s="163"/>
      <c r="DI121" s="163"/>
      <c r="DJ121" s="163"/>
      <c r="DK121" s="163"/>
      <c r="DL121" s="163"/>
      <c r="DM121" s="163"/>
      <c r="DN121" s="163"/>
      <c r="DO121" s="163"/>
      <c r="DP121" s="163"/>
      <c r="DQ121" s="163"/>
      <c r="DR121" s="163"/>
      <c r="DS121" s="163"/>
      <c r="DT121" s="163"/>
      <c r="DU121" s="163"/>
      <c r="DV121" s="163"/>
      <c r="DW121" s="163"/>
      <c r="DX121" s="163"/>
      <c r="DY121" s="163"/>
      <c r="DZ121" s="163"/>
      <c r="EA121" s="163"/>
      <c r="EB121" s="163"/>
      <c r="EC121" s="163"/>
      <c r="ED121" s="163"/>
      <c r="EE121" s="163"/>
      <c r="EF121" s="163"/>
      <c r="EG121" s="163"/>
      <c r="EH121" s="160">
        <f>IF([Chambre]*1='CHAMBRES FILLES 2e ETAGE'!$A$5,1,0)</f>
        <v>0</v>
      </c>
      <c r="EI121" s="161">
        <f>IF([Occurrence2]=0,0,SUM($EH$2:EH121))</f>
        <v>0</v>
      </c>
      <c r="EJ121" s="160">
        <f>IF([Chambre]*1='CHAMBRES FILLES 2e ETAGE'!$A$11,1,0)</f>
        <v>0</v>
      </c>
      <c r="EK121" s="160">
        <f>IF([Occurrence3]=0,0,SUM($EJ$2:EJ121))</f>
        <v>0</v>
      </c>
      <c r="EL121" s="160">
        <f>IF([Chambre]*1='CHAMBRES FILLES 2e ETAGE'!$A$17,1,0)</f>
        <v>0</v>
      </c>
      <c r="EM121" s="160">
        <f>IF([Occurrence4]=0,0,SUM($EL$2:EL121))</f>
        <v>0</v>
      </c>
      <c r="EN121" s="160">
        <f>IF([Chambre]*1='CHAMBRES FILLES 2e ETAGE'!$A$23,1,0)</f>
        <v>0</v>
      </c>
      <c r="EO121" s="160">
        <f>IF([Occurrence5]=0,0,SUM($EN$2:EN121))</f>
        <v>0</v>
      </c>
      <c r="EP121" s="160">
        <f>IF([Chambre]*1='CHAMBRES FILLES 2e ETAGE'!$A$29,1,0)</f>
        <v>0</v>
      </c>
      <c r="EQ121" s="160">
        <f>IF([Occurrence6]=0,0,SUM($EP$2:EP121))</f>
        <v>0</v>
      </c>
      <c r="ER121" s="160">
        <f>IF([Chambre]*1='CHAMBRES FILLES 2e ETAGE'!$A$35,1,0)</f>
        <v>0</v>
      </c>
      <c r="ES121" s="160">
        <f>IF([Occurrence7]=0,0,SUM($ER$2:ER121))</f>
        <v>0</v>
      </c>
      <c r="ET121" s="160">
        <f>IF([Chambre]*1='CHAMBRES FILLES 2e ETAGE'!$A$41,1,0)</f>
        <v>0</v>
      </c>
      <c r="EU121" s="160">
        <f>IF([Occurrence8]=0,0,SUM($ET$2:ET121))</f>
        <v>0</v>
      </c>
      <c r="EV121" s="160">
        <f>IF([Chambre]*1='CHAMBRES FILLES 2e ETAGE'!$A$47,1,0)</f>
        <v>0</v>
      </c>
      <c r="EW121" s="160">
        <f>IF([Occurrence9]=0,0,SUM($EV$2:EV121))</f>
        <v>0</v>
      </c>
      <c r="EX121" s="160">
        <f>IF([Chambre]*1='CHAMBRES FILLES 2e ETAGE'!$A$53,1,0)</f>
        <v>0</v>
      </c>
      <c r="EY121" s="160">
        <f>IF([Occurrence10]=0,0,SUM($EX$2:EX121))</f>
        <v>0</v>
      </c>
      <c r="EZ121" s="160">
        <f>IF([Chambre]*1='CHAMBRES FILLES 2e ETAGE'!$A$59,1,0)</f>
        <v>0</v>
      </c>
      <c r="FA121" s="160">
        <f>IF([Occurrence11]=0,0,SUM($EZ$2:EZ121))</f>
        <v>0</v>
      </c>
      <c r="FB121" s="160">
        <f>IF([Chambre]*1='CHAMBRES FILLES 2e ETAGE'!$A$65,1,0)</f>
        <v>0</v>
      </c>
      <c r="FC121" s="160">
        <f>IF([Occurrence12]=0,0,SUM($FB$2:FB121))</f>
        <v>0</v>
      </c>
      <c r="FD121" s="160">
        <f>IF([Chambre]*1='CHAMBRES FILLES 2e ETAGE'!$A$71,1,0)</f>
        <v>0</v>
      </c>
      <c r="FE121" s="160">
        <f>IF([Occurrence13]=0,0,SUM($FD$2:FD121))</f>
        <v>0</v>
      </c>
      <c r="FF121" s="160">
        <f>IF([Chambre]*1='CHAMBRES FILLES 2e ETAGE'!$A$77,1,0)</f>
        <v>0</v>
      </c>
      <c r="FG121" s="160">
        <f>IF([Occurrence14]=0,0,SUM($FF$2:FF121))</f>
        <v>0</v>
      </c>
      <c r="FH121" s="160">
        <f>IF([Chambre]*1='CHAMBRES FILLES 2e ETAGE'!$A$83,1,0)</f>
        <v>0</v>
      </c>
      <c r="FI121" s="160">
        <f>IF([Occurrence15]=0,0,SUM($FH$2:FH121))</f>
        <v>0</v>
      </c>
      <c r="FJ121" s="160">
        <f>IF([Chambre]*1='CHAMBRES FILLES 2e ETAGE'!$A$89,1,0)</f>
        <v>0</v>
      </c>
      <c r="FK121" s="160">
        <f>IF([Occurrence16]=0,0,SUM($FJ$2:FJ121))</f>
        <v>0</v>
      </c>
      <c r="FL121" s="160">
        <f>IF([Chambre]*1='CHAMBRES FILLES 2e ETAGE'!$A$95,1,0)</f>
        <v>0</v>
      </c>
      <c r="FM121" s="160">
        <f>IF([Occurrence17]=0,0,SUM($FL$2:FL121))</f>
        <v>0</v>
      </c>
      <c r="FN121" s="160">
        <f>IF([Chambre2]*1='CHAMBRES FILLES 1e ETAGE'!$A$5,1,0)</f>
        <v>0</v>
      </c>
      <c r="FO121" s="160">
        <f>IF([Occurrence18]=0,0,SUM($FN$2:FN121))</f>
        <v>0</v>
      </c>
      <c r="FP121" s="160">
        <f>IF([Chambre2]*1='CHAMBRES FILLES 1e ETAGE'!$A$11,1,0)</f>
        <v>0</v>
      </c>
      <c r="FQ121" s="160">
        <f>IF([Occurrence19]=0,0,SUM($FP$2:FP121))</f>
        <v>0</v>
      </c>
      <c r="FR121" s="160">
        <f>IF([Chambre2]*1='CHAMBRES FILLES 1e ETAGE'!$A$17,1,0)</f>
        <v>0</v>
      </c>
      <c r="FS121" s="160">
        <f>IF([Occurrence20]=0,0,SUM($FR$2:FR121))</f>
        <v>0</v>
      </c>
      <c r="FT121" s="160">
        <f>IF([Chambre2]*1='CHAMBRES FILLES 1e ETAGE'!$A$23,1,0)</f>
        <v>0</v>
      </c>
      <c r="FU121" s="160">
        <f>IF([Occurrence21]=0,0,SUM($FT$2:FT121))</f>
        <v>0</v>
      </c>
      <c r="FV121" s="160">
        <f>IF([Chambre2]*1='CHAMBRES FILLES 1e ETAGE'!$A$29,1,0)</f>
        <v>0</v>
      </c>
      <c r="FW121" s="160">
        <f>IF([Occurrence22]=0,0,SUM($FV$2:FV121))</f>
        <v>0</v>
      </c>
      <c r="FX121" s="160">
        <f>IF([Chambre2]*1='CHAMBRES FILLES 1e ETAGE'!$A$35,1,0)</f>
        <v>0</v>
      </c>
      <c r="FY121" s="160">
        <f>IF([Occurrence23]=0,0,SUM($FX$2:FX121))</f>
        <v>0</v>
      </c>
      <c r="FZ121" s="160">
        <f>IF([Chambre2]*1='CHAMBRES FILLES 1e ETAGE'!$A$41,1,0)</f>
        <v>0</v>
      </c>
      <c r="GA121" s="160">
        <f>IF([Occurrence24]=0,0,SUM($FZ$2:FZ121))</f>
        <v>0</v>
      </c>
      <c r="GB121" s="160">
        <f>IF([Chambre2]*1='CHAMBRES FILLES 1e ETAGE'!$A$47,1,0)</f>
        <v>0</v>
      </c>
      <c r="GC121" s="160">
        <f>IF([Occurrence25]=0,0,SUM($GB$2:GB121))</f>
        <v>0</v>
      </c>
      <c r="GD121" s="160">
        <f>IF([Chambre2]*1='CHAMBRES FILLES 1e ETAGE'!$A$53,1,0)</f>
        <v>0</v>
      </c>
      <c r="GE121" s="160">
        <f>IF([Occurrence26]=0,0,SUM($GD$2:GD121))</f>
        <v>0</v>
      </c>
      <c r="GF121" s="160">
        <f>IF([chambre4]*1='CHAMBRES GARCONS 1e ETAGE'!$A$5,1,0)</f>
        <v>0</v>
      </c>
      <c r="GG121" s="160">
        <f>IF([Occurrence27]=0,0,SUM($GF$2:GF121))</f>
        <v>0</v>
      </c>
      <c r="GH121" s="160">
        <f>IF([chambre4]*1='CHAMBRES GARCONS 1e ETAGE'!$A$11,1,0)</f>
        <v>0</v>
      </c>
      <c r="GI121" s="160">
        <f>IF([Occurrence28]=0,0,SUM($GH$2:GH121))</f>
        <v>0</v>
      </c>
      <c r="GJ121" s="160">
        <f>IF([chambre4]*1='CHAMBRES GARCONS 1e ETAGE'!$A$17,1,0)</f>
        <v>0</v>
      </c>
      <c r="GK121" s="160">
        <f>IF([Occurrence29]=0,0,SUM($GJ$2:GJ121))</f>
        <v>0</v>
      </c>
      <c r="GL121" s="160">
        <f>IF([chambre4]*1='CHAMBRES GARCONS 1e ETAGE'!$A$23,1,0)</f>
        <v>0</v>
      </c>
      <c r="GM121" s="160">
        <f>IF([Occurrence30]=0,0,SUM($GL$2:GL121))</f>
        <v>0</v>
      </c>
      <c r="GN121" s="160">
        <f>IF([chambre4]*1='CHAMBRES GARCONS 1e ETAGE'!$A$29,1,0)</f>
        <v>0</v>
      </c>
      <c r="GO121" s="160">
        <f>IF([Occurrence31]=0,0,SUM($GN$2:GN121))</f>
        <v>0</v>
      </c>
      <c r="GP121" s="160">
        <f>IF([chambre4]*1='CHAMBRES GARCONS 1e ETAGE'!$A$35,1,0)</f>
        <v>0</v>
      </c>
      <c r="GQ121" s="160">
        <f>IF([Occurrence32]=0,0,SUM($GP$2:GP121))</f>
        <v>0</v>
      </c>
      <c r="GR121" s="160">
        <f>IF([chambre3]*1='CHAMBRES GARCONS RDC'!$A$5,1,0)</f>
        <v>0</v>
      </c>
      <c r="GS121" s="160">
        <f>IF([Occurrence33]=0,0,SUM($GR$2:GR121))</f>
        <v>0</v>
      </c>
      <c r="GT121" s="160">
        <f>IF([chambre3]*1='CHAMBRES GARCONS RDC'!$A$11,1,0)</f>
        <v>0</v>
      </c>
      <c r="GU121" s="160">
        <f>IF([Occurrence34]=0,0,SUM($GT$2:GT121))</f>
        <v>0</v>
      </c>
      <c r="GV121" s="160">
        <f>IF([chambre3]*1='CHAMBRES GARCONS RDC'!$A$17,1,0)</f>
        <v>0</v>
      </c>
      <c r="GW121" s="160">
        <f>IF([Occurrence35]=0,0,SUM($GV$2:GV121))</f>
        <v>0</v>
      </c>
      <c r="GX121" s="160">
        <f>IF([chambre3]*1='CHAMBRES GARCONS RDC'!$A$23,1,0)</f>
        <v>0</v>
      </c>
      <c r="GY121" s="160">
        <f>IF([Occurrence36]=0,0,SUM($GX$2:GX121))</f>
        <v>0</v>
      </c>
      <c r="GZ121" s="160">
        <f>IF([chambre3]*1='CHAMBRES GARCONS RDC'!$A$29,1,0)</f>
        <v>0</v>
      </c>
      <c r="HA121" s="160">
        <f>IF([Occurrence37]=0,0,SUM($GZ$2:GZ121))</f>
        <v>0</v>
      </c>
      <c r="HB121" s="160">
        <f>IF([chambre3]*1='CHAMBRES GARCONS RDC'!$A$35,1,0)</f>
        <v>0</v>
      </c>
      <c r="HC121" s="160">
        <f>IF([Occurrence38]=0,0,SUM($HB$2:HB121))</f>
        <v>0</v>
      </c>
      <c r="HD121" s="160">
        <f>IF([chambre3]*1='CHAMBRES GARCONS RDC'!$A$41,1,0)</f>
        <v>0</v>
      </c>
      <c r="HE121" s="160">
        <f>IF([Occurrence39]=0,0,SUM($HD$2:HD121))</f>
        <v>0</v>
      </c>
      <c r="HF121" s="160">
        <f>IF([chambre3]*1='CHAMBRES GARCONS RDC'!$A$47,1,0)</f>
        <v>0</v>
      </c>
      <c r="HG121" s="160">
        <f>IF([Occurrence40]=0,0,SUM($HF$2:HF121))</f>
        <v>0</v>
      </c>
      <c r="HH121" s="160">
        <f>IF([chambre3]*1='CHAMBRES GARCONS RDC'!$A$53,1,0)</f>
        <v>1</v>
      </c>
      <c r="HI121" s="160">
        <f>IF([Occurrence41]=0,0,SUM($HH$2:HH121))</f>
        <v>2</v>
      </c>
      <c r="HJ121" s="160">
        <f>IF([chambre3]*1='CHAMBRES GARCONS RDC'!$A$59,1,0)</f>
        <v>0</v>
      </c>
      <c r="HK121" s="160">
        <f>IF([Occurrence42]=0,0,SUM($HJ$2:HJ121))</f>
        <v>0</v>
      </c>
      <c r="HL121" s="160">
        <f>IF([chambre3]*1='CHAMBRES GARCONS RDC'!$A$65,1,0)</f>
        <v>0</v>
      </c>
      <c r="HM121" s="160">
        <f>IF([Occurrence43]=0,0,SUM($HL$2:HL121))</f>
        <v>0</v>
      </c>
      <c r="HN121" s="160">
        <f>IF([chambre3]*1='CHAMBRES GARCONS RDC'!$A$71,1,0)</f>
        <v>0</v>
      </c>
      <c r="HO121" s="160">
        <f>IF([Occurrence44]=0,0,SUM($HN$2:HN121))</f>
        <v>0</v>
      </c>
      <c r="HP121" s="160">
        <f>IF([chambre3]*1='CHAMBRES GARCONS RDC'!$A$77,1,0)</f>
        <v>0</v>
      </c>
      <c r="HQ121" s="160">
        <f>IF([Occurrence45]=0,0,SUM($HP$2:HP121))</f>
        <v>0</v>
      </c>
      <c r="HR121" s="160">
        <f>IF([chambre3]*1='CHAMBRES GARCONS RDC'!$A$83,1,0)</f>
        <v>0</v>
      </c>
      <c r="HS121" s="160">
        <f>IF([Occurrence46]=0,0,SUM($HR$2:HR121))</f>
        <v>0</v>
      </c>
      <c r="HT121" s="160">
        <f>IF([chambre3]*1='CHAMBRES GARCONS RDC'!$A$89,1,0)</f>
        <v>0</v>
      </c>
      <c r="HU121" s="160">
        <f>IF([Occurrence47]=0,0,SUM($HT$2:HT121))</f>
        <v>0</v>
      </c>
      <c r="HV121" s="160">
        <f>IF([chambre3]*1='CHAMBRES GARCONS RDC'!$A$95,1,0)</f>
        <v>0</v>
      </c>
      <c r="HW121" s="160">
        <f>IF([Occurrence48]=0,0,SUM($HV$2:HV121))</f>
        <v>0</v>
      </c>
      <c r="HX121" s="160"/>
      <c r="HY121" s="160"/>
      <c r="HZ121" s="160">
        <f>IF([Classe]='Liste élève par classes'!$B$5,1,0)</f>
        <v>0</v>
      </c>
      <c r="IA121" s="160">
        <f>IF([Occurrence]=0,0,SUM($HZ$2:HZ121))</f>
        <v>0</v>
      </c>
      <c r="IB12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117</v>
      </c>
      <c r="IC121" s="208"/>
    </row>
    <row r="122" spans="1:237">
      <c r="A122" t="s">
        <v>456</v>
      </c>
      <c r="B122" t="s">
        <v>457</v>
      </c>
      <c r="C122" s="158">
        <v>37316</v>
      </c>
      <c r="D122" s="62">
        <f t="shared" ca="1" si="1"/>
        <v>15</v>
      </c>
      <c r="E122" t="s">
        <v>7</v>
      </c>
      <c r="F122" s="159" t="s">
        <v>46</v>
      </c>
      <c r="G122" t="s">
        <v>45</v>
      </c>
      <c r="H122" s="160"/>
      <c r="I122" s="62"/>
      <c r="J122" s="62"/>
      <c r="K122" s="62"/>
      <c r="L122" s="61"/>
      <c r="M122">
        <v>94</v>
      </c>
      <c r="N122" s="62"/>
      <c r="O122" s="62"/>
      <c r="P122" s="62"/>
      <c r="Q122" s="62"/>
      <c r="R122" s="62"/>
      <c r="S122" s="62"/>
      <c r="T122" s="62"/>
      <c r="U122" s="61"/>
      <c r="V122" s="62"/>
      <c r="W122" s="62"/>
      <c r="X122" s="62"/>
      <c r="Y122" s="62"/>
      <c r="Z122" s="62"/>
      <c r="AA122" s="62"/>
      <c r="AB122" s="62"/>
      <c r="AC122" s="62"/>
      <c r="AD122" s="62"/>
      <c r="AE122" s="62"/>
      <c r="AF122" s="163"/>
      <c r="AG122" s="163"/>
      <c r="AH122" s="163"/>
      <c r="AI122" s="163"/>
      <c r="AJ122" s="163"/>
      <c r="AK122" s="163"/>
      <c r="AL122" s="163"/>
      <c r="AM122" s="163"/>
      <c r="AN122" s="163"/>
      <c r="AO122" s="163"/>
      <c r="AP122" s="163"/>
      <c r="AQ122" s="163"/>
      <c r="AR122" s="163"/>
      <c r="AS122" s="163"/>
      <c r="AT122" s="163"/>
      <c r="AU122" s="163"/>
      <c r="AV122" s="163"/>
      <c r="AW122" s="163"/>
      <c r="AX122" s="163"/>
      <c r="AY122" s="163"/>
      <c r="AZ122" s="163"/>
      <c r="BA122" s="163"/>
      <c r="BB122" s="163"/>
      <c r="BC122" s="163"/>
      <c r="BD122" s="163"/>
      <c r="BE122" s="163"/>
      <c r="BF122" s="163"/>
      <c r="BG122" s="163"/>
      <c r="BH122" s="163"/>
      <c r="BI122" s="163"/>
      <c r="BJ122" s="163"/>
      <c r="BK122" s="163"/>
      <c r="BL122" s="163"/>
      <c r="BM122" s="163"/>
      <c r="BN122" s="163"/>
      <c r="BO122" s="163"/>
      <c r="BP122" s="163"/>
      <c r="BQ122" s="163"/>
      <c r="BR122" s="163"/>
      <c r="BS122" s="163"/>
      <c r="BT122" s="163"/>
      <c r="BU122" s="163"/>
      <c r="BV122" s="163"/>
      <c r="BW122" s="163"/>
      <c r="BX122" s="163"/>
      <c r="BY122" s="163"/>
      <c r="BZ122" s="163"/>
      <c r="CA122" s="163"/>
      <c r="CB122" s="163"/>
      <c r="CC122" s="163"/>
      <c r="CD122" s="163"/>
      <c r="CE122" s="163"/>
      <c r="CF122" s="163"/>
      <c r="CG122" s="163"/>
      <c r="CH122" s="163"/>
      <c r="CI122" s="163"/>
      <c r="CJ122" s="163"/>
      <c r="CK122" s="163"/>
      <c r="CL122" s="163"/>
      <c r="CM122" s="163"/>
      <c r="CN122" s="163"/>
      <c r="CO122" s="163"/>
      <c r="CP122" s="163"/>
      <c r="CQ122" s="163"/>
      <c r="CR122" s="163"/>
      <c r="CS122" s="163"/>
      <c r="CT122" s="163"/>
      <c r="CU122" s="163"/>
      <c r="CV122" s="163"/>
      <c r="CW122" s="163"/>
      <c r="CX122" s="163"/>
      <c r="CY122" s="163"/>
      <c r="CZ122" s="163"/>
      <c r="DA122" s="163"/>
      <c r="DB122" s="163"/>
      <c r="DC122" s="163"/>
      <c r="DD122" s="163"/>
      <c r="DE122" s="163"/>
      <c r="DF122" s="163"/>
      <c r="DG122" s="163"/>
      <c r="DH122" s="163"/>
      <c r="DI122" s="163"/>
      <c r="DJ122" s="163"/>
      <c r="DK122" s="163"/>
      <c r="DL122" s="163"/>
      <c r="DM122" s="163"/>
      <c r="DN122" s="163"/>
      <c r="DO122" s="163"/>
      <c r="DP122" s="163"/>
      <c r="DQ122" s="163"/>
      <c r="DR122" s="163"/>
      <c r="DS122" s="163"/>
      <c r="DT122" s="163"/>
      <c r="DU122" s="163"/>
      <c r="DV122" s="163"/>
      <c r="DW122" s="163"/>
      <c r="DX122" s="163"/>
      <c r="DY122" s="163"/>
      <c r="DZ122" s="163"/>
      <c r="EA122" s="163"/>
      <c r="EB122" s="163"/>
      <c r="EC122" s="163"/>
      <c r="ED122" s="163"/>
      <c r="EE122" s="163"/>
      <c r="EF122" s="163"/>
      <c r="EG122" s="163"/>
      <c r="EH122" s="160">
        <f>IF([Chambre]*1='CHAMBRES FILLES 2e ETAGE'!$A$5,1,0)</f>
        <v>0</v>
      </c>
      <c r="EI122" s="161">
        <f>IF([Occurrence2]=0,0,SUM($EH$2:EH122))</f>
        <v>0</v>
      </c>
      <c r="EJ122" s="160">
        <f>IF([Chambre]*1='CHAMBRES FILLES 2e ETAGE'!$A$11,1,0)</f>
        <v>0</v>
      </c>
      <c r="EK122" s="160">
        <f>IF([Occurrence3]=0,0,SUM($EJ$2:EJ122))</f>
        <v>0</v>
      </c>
      <c r="EL122" s="160">
        <f>IF([Chambre]*1='CHAMBRES FILLES 2e ETAGE'!$A$17,1,0)</f>
        <v>0</v>
      </c>
      <c r="EM122" s="160">
        <f>IF([Occurrence4]=0,0,SUM($EL$2:EL122))</f>
        <v>0</v>
      </c>
      <c r="EN122" s="160">
        <f>IF([Chambre]*1='CHAMBRES FILLES 2e ETAGE'!$A$23,1,0)</f>
        <v>0</v>
      </c>
      <c r="EO122" s="160">
        <f>IF([Occurrence5]=0,0,SUM($EN$2:EN122))</f>
        <v>0</v>
      </c>
      <c r="EP122" s="160">
        <f>IF([Chambre]*1='CHAMBRES FILLES 2e ETAGE'!$A$29,1,0)</f>
        <v>0</v>
      </c>
      <c r="EQ122" s="160">
        <f>IF([Occurrence6]=0,0,SUM($EP$2:EP122))</f>
        <v>0</v>
      </c>
      <c r="ER122" s="160">
        <f>IF([Chambre]*1='CHAMBRES FILLES 2e ETAGE'!$A$35,1,0)</f>
        <v>0</v>
      </c>
      <c r="ES122" s="160">
        <f>IF([Occurrence7]=0,0,SUM($ER$2:ER122))</f>
        <v>0</v>
      </c>
      <c r="ET122" s="160">
        <f>IF([Chambre]*1='CHAMBRES FILLES 2e ETAGE'!$A$41,1,0)</f>
        <v>0</v>
      </c>
      <c r="EU122" s="160">
        <f>IF([Occurrence8]=0,0,SUM($ET$2:ET122))</f>
        <v>0</v>
      </c>
      <c r="EV122" s="160">
        <f>IF([Chambre]*1='CHAMBRES FILLES 2e ETAGE'!$A$47,1,0)</f>
        <v>0</v>
      </c>
      <c r="EW122" s="160">
        <f>IF([Occurrence9]=0,0,SUM($EV$2:EV122))</f>
        <v>0</v>
      </c>
      <c r="EX122" s="160">
        <f>IF([Chambre]*1='CHAMBRES FILLES 2e ETAGE'!$A$53,1,0)</f>
        <v>0</v>
      </c>
      <c r="EY122" s="160">
        <f>IF([Occurrence10]=0,0,SUM($EX$2:EX122))</f>
        <v>0</v>
      </c>
      <c r="EZ122" s="160">
        <f>IF([Chambre]*1='CHAMBRES FILLES 2e ETAGE'!$A$59,1,0)</f>
        <v>0</v>
      </c>
      <c r="FA122" s="160">
        <f>IF([Occurrence11]=0,0,SUM($EZ$2:EZ122))</f>
        <v>0</v>
      </c>
      <c r="FB122" s="160">
        <f>IF([Chambre]*1='CHAMBRES FILLES 2e ETAGE'!$A$65,1,0)</f>
        <v>0</v>
      </c>
      <c r="FC122" s="160">
        <f>IF([Occurrence12]=0,0,SUM($FB$2:FB122))</f>
        <v>0</v>
      </c>
      <c r="FD122" s="160">
        <f>IF([Chambre]*1='CHAMBRES FILLES 2e ETAGE'!$A$71,1,0)</f>
        <v>0</v>
      </c>
      <c r="FE122" s="160">
        <f>IF([Occurrence13]=0,0,SUM($FD$2:FD122))</f>
        <v>0</v>
      </c>
      <c r="FF122" s="160">
        <f>IF([Chambre]*1='CHAMBRES FILLES 2e ETAGE'!$A$77,1,0)</f>
        <v>0</v>
      </c>
      <c r="FG122" s="160">
        <f>IF([Occurrence14]=0,0,SUM($FF$2:FF122))</f>
        <v>0</v>
      </c>
      <c r="FH122" s="160">
        <f>IF([Chambre]*1='CHAMBRES FILLES 2e ETAGE'!$A$83,1,0)</f>
        <v>0</v>
      </c>
      <c r="FI122" s="160">
        <f>IF([Occurrence15]=0,0,SUM($FH$2:FH122))</f>
        <v>0</v>
      </c>
      <c r="FJ122" s="160">
        <f>IF([Chambre]*1='CHAMBRES FILLES 2e ETAGE'!$A$89,1,0)</f>
        <v>0</v>
      </c>
      <c r="FK122" s="160">
        <f>IF([Occurrence16]=0,0,SUM($FJ$2:FJ122))</f>
        <v>0</v>
      </c>
      <c r="FL122" s="160">
        <f>IF([Chambre]*1='CHAMBRES FILLES 2e ETAGE'!$A$95,1,0)</f>
        <v>0</v>
      </c>
      <c r="FM122" s="160">
        <f>IF([Occurrence17]=0,0,SUM($FL$2:FL122))</f>
        <v>0</v>
      </c>
      <c r="FN122" s="160">
        <f>IF([Chambre2]*1='CHAMBRES FILLES 1e ETAGE'!$A$5,1,0)</f>
        <v>0</v>
      </c>
      <c r="FO122" s="160">
        <f>IF([Occurrence18]=0,0,SUM($FN$2:FN122))</f>
        <v>0</v>
      </c>
      <c r="FP122" s="160">
        <f>IF([Chambre2]*1='CHAMBRES FILLES 1e ETAGE'!$A$11,1,0)</f>
        <v>0</v>
      </c>
      <c r="FQ122" s="160">
        <f>IF([Occurrence19]=0,0,SUM($FP$2:FP122))</f>
        <v>0</v>
      </c>
      <c r="FR122" s="160">
        <f>IF([Chambre2]*1='CHAMBRES FILLES 1e ETAGE'!$A$17,1,0)</f>
        <v>0</v>
      </c>
      <c r="FS122" s="160">
        <f>IF([Occurrence20]=0,0,SUM($FR$2:FR122))</f>
        <v>0</v>
      </c>
      <c r="FT122" s="160">
        <f>IF([Chambre2]*1='CHAMBRES FILLES 1e ETAGE'!$A$23,1,0)</f>
        <v>0</v>
      </c>
      <c r="FU122" s="160">
        <f>IF([Occurrence21]=0,0,SUM($FT$2:FT122))</f>
        <v>0</v>
      </c>
      <c r="FV122" s="160">
        <f>IF([Chambre2]*1='CHAMBRES FILLES 1e ETAGE'!$A$29,1,0)</f>
        <v>0</v>
      </c>
      <c r="FW122" s="160">
        <f>IF([Occurrence22]=0,0,SUM($FV$2:FV122))</f>
        <v>0</v>
      </c>
      <c r="FX122" s="160">
        <f>IF([Chambre2]*1='CHAMBRES FILLES 1e ETAGE'!$A$35,1,0)</f>
        <v>0</v>
      </c>
      <c r="FY122" s="160">
        <f>IF([Occurrence23]=0,0,SUM($FX$2:FX122))</f>
        <v>0</v>
      </c>
      <c r="FZ122" s="160">
        <f>IF([Chambre2]*1='CHAMBRES FILLES 1e ETAGE'!$A$41,1,0)</f>
        <v>0</v>
      </c>
      <c r="GA122" s="160">
        <f>IF([Occurrence24]=0,0,SUM($FZ$2:FZ122))</f>
        <v>0</v>
      </c>
      <c r="GB122" s="160">
        <f>IF([Chambre2]*1='CHAMBRES FILLES 1e ETAGE'!$A$47,1,0)</f>
        <v>0</v>
      </c>
      <c r="GC122" s="160">
        <f>IF([Occurrence25]=0,0,SUM($GB$2:GB122))</f>
        <v>0</v>
      </c>
      <c r="GD122" s="160">
        <f>IF([Chambre2]*1='CHAMBRES FILLES 1e ETAGE'!$A$53,1,0)</f>
        <v>0</v>
      </c>
      <c r="GE122" s="160">
        <f>IF([Occurrence26]=0,0,SUM($GD$2:GD122))</f>
        <v>0</v>
      </c>
      <c r="GF122" s="160">
        <f>IF([chambre4]*1='CHAMBRES GARCONS 1e ETAGE'!$A$5,1,0)</f>
        <v>0</v>
      </c>
      <c r="GG122" s="160">
        <f>IF([Occurrence27]=0,0,SUM($GF$2:GF122))</f>
        <v>0</v>
      </c>
      <c r="GH122" s="160">
        <f>IF([chambre4]*1='CHAMBRES GARCONS 1e ETAGE'!$A$11,1,0)</f>
        <v>0</v>
      </c>
      <c r="GI122" s="160">
        <f>IF([Occurrence28]=0,0,SUM($GH$2:GH122))</f>
        <v>0</v>
      </c>
      <c r="GJ122" s="160">
        <f>IF([chambre4]*1='CHAMBRES GARCONS 1e ETAGE'!$A$17,1,0)</f>
        <v>0</v>
      </c>
      <c r="GK122" s="160">
        <f>IF([Occurrence29]=0,0,SUM($GJ$2:GJ122))</f>
        <v>0</v>
      </c>
      <c r="GL122" s="160">
        <f>IF([chambre4]*1='CHAMBRES GARCONS 1e ETAGE'!$A$23,1,0)</f>
        <v>0</v>
      </c>
      <c r="GM122" s="160">
        <f>IF([Occurrence30]=0,0,SUM($GL$2:GL122))</f>
        <v>0</v>
      </c>
      <c r="GN122" s="160">
        <f>IF([chambre4]*1='CHAMBRES GARCONS 1e ETAGE'!$A$29,1,0)</f>
        <v>0</v>
      </c>
      <c r="GO122" s="160">
        <f>IF([Occurrence31]=0,0,SUM($GN$2:GN122))</f>
        <v>0</v>
      </c>
      <c r="GP122" s="160">
        <f>IF([chambre4]*1='CHAMBRES GARCONS 1e ETAGE'!$A$35,1,0)</f>
        <v>0</v>
      </c>
      <c r="GQ122" s="160">
        <f>IF([Occurrence32]=0,0,SUM($GP$2:GP122))</f>
        <v>0</v>
      </c>
      <c r="GR122" s="160">
        <f>IF([chambre3]*1='CHAMBRES GARCONS RDC'!$A$5,1,0)</f>
        <v>0</v>
      </c>
      <c r="GS122" s="160">
        <f>IF([Occurrence33]=0,0,SUM($GR$2:GR122))</f>
        <v>0</v>
      </c>
      <c r="GT122" s="160">
        <f>IF([chambre3]*1='CHAMBRES GARCONS RDC'!$A$11,1,0)</f>
        <v>0</v>
      </c>
      <c r="GU122" s="160">
        <f>IF([Occurrence34]=0,0,SUM($GT$2:GT122))</f>
        <v>0</v>
      </c>
      <c r="GV122" s="160">
        <f>IF([chambre3]*1='CHAMBRES GARCONS RDC'!$A$17,1,0)</f>
        <v>0</v>
      </c>
      <c r="GW122" s="160">
        <f>IF([Occurrence35]=0,0,SUM($GV$2:GV122))</f>
        <v>0</v>
      </c>
      <c r="GX122" s="160">
        <f>IF([chambre3]*1='CHAMBRES GARCONS RDC'!$A$23,1,0)</f>
        <v>0</v>
      </c>
      <c r="GY122" s="160">
        <f>IF([Occurrence36]=0,0,SUM($GX$2:GX122))</f>
        <v>0</v>
      </c>
      <c r="GZ122" s="160">
        <f>IF([chambre3]*1='CHAMBRES GARCONS RDC'!$A$29,1,0)</f>
        <v>0</v>
      </c>
      <c r="HA122" s="160">
        <f>IF([Occurrence37]=0,0,SUM($GZ$2:GZ122))</f>
        <v>0</v>
      </c>
      <c r="HB122" s="160">
        <f>IF([chambre3]*1='CHAMBRES GARCONS RDC'!$A$35,1,0)</f>
        <v>0</v>
      </c>
      <c r="HC122" s="160">
        <f>IF([Occurrence38]=0,0,SUM($HB$2:HB122))</f>
        <v>0</v>
      </c>
      <c r="HD122" s="160">
        <f>IF([chambre3]*1='CHAMBRES GARCONS RDC'!$A$41,1,0)</f>
        <v>0</v>
      </c>
      <c r="HE122" s="160">
        <f>IF([Occurrence39]=0,0,SUM($HD$2:HD122))</f>
        <v>0</v>
      </c>
      <c r="HF122" s="160">
        <f>IF([chambre3]*1='CHAMBRES GARCONS RDC'!$A$47,1,0)</f>
        <v>0</v>
      </c>
      <c r="HG122" s="160">
        <f>IF([Occurrence40]=0,0,SUM($HF$2:HF122))</f>
        <v>0</v>
      </c>
      <c r="HH122" s="160">
        <f>IF([chambre3]*1='CHAMBRES GARCONS RDC'!$A$53,1,0)</f>
        <v>0</v>
      </c>
      <c r="HI122" s="160">
        <f>IF([Occurrence41]=0,0,SUM($HH$2:HH122))</f>
        <v>0</v>
      </c>
      <c r="HJ122" s="160">
        <f>IF([chambre3]*1='CHAMBRES GARCONS RDC'!$A$59,1,0)</f>
        <v>0</v>
      </c>
      <c r="HK122" s="160">
        <f>IF([Occurrence42]=0,0,SUM($HJ$2:HJ122))</f>
        <v>0</v>
      </c>
      <c r="HL122" s="160">
        <f>IF([chambre3]*1='CHAMBRES GARCONS RDC'!$A$65,1,0)</f>
        <v>0</v>
      </c>
      <c r="HM122" s="160">
        <f>IF([Occurrence43]=0,0,SUM($HL$2:HL122))</f>
        <v>0</v>
      </c>
      <c r="HN122" s="160">
        <f>IF([chambre3]*1='CHAMBRES GARCONS RDC'!$A$71,1,0)</f>
        <v>0</v>
      </c>
      <c r="HO122" s="160">
        <f>IF([Occurrence44]=0,0,SUM($HN$2:HN122))</f>
        <v>0</v>
      </c>
      <c r="HP122" s="160">
        <f>IF([chambre3]*1='CHAMBRES GARCONS RDC'!$A$77,1,0)</f>
        <v>0</v>
      </c>
      <c r="HQ122" s="160">
        <f>IF([Occurrence45]=0,0,SUM($HP$2:HP122))</f>
        <v>0</v>
      </c>
      <c r="HR122" s="160">
        <f>IF([chambre3]*1='CHAMBRES GARCONS RDC'!$A$83,1,0)</f>
        <v>0</v>
      </c>
      <c r="HS122" s="160">
        <f>IF([Occurrence46]=0,0,SUM($HR$2:HR122))</f>
        <v>0</v>
      </c>
      <c r="HT122" s="160">
        <f>IF([chambre3]*1='CHAMBRES GARCONS RDC'!$A$89,1,0)</f>
        <v>0</v>
      </c>
      <c r="HU122" s="160">
        <f>IF([Occurrence47]=0,0,SUM($HT$2:HT122))</f>
        <v>0</v>
      </c>
      <c r="HV122" s="160">
        <f>IF([chambre3]*1='CHAMBRES GARCONS RDC'!$A$95,1,0)</f>
        <v>0</v>
      </c>
      <c r="HW122" s="160">
        <f>IF([Occurrence48]=0,0,SUM($HV$2:HV122))</f>
        <v>0</v>
      </c>
      <c r="HX122" s="160"/>
      <c r="HY122" s="160"/>
      <c r="HZ122" s="160">
        <f>IF([Classe]='Liste élève par classes'!$B$5,1,0)</f>
        <v>0</v>
      </c>
      <c r="IA122" s="160">
        <f>IF([Occurrence]=0,0,SUM($HZ$2:HZ122))</f>
        <v>0</v>
      </c>
      <c r="IB12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22" s="208"/>
    </row>
    <row r="123" spans="1:237">
      <c r="A123" t="s">
        <v>458</v>
      </c>
      <c r="B123" t="s">
        <v>459</v>
      </c>
      <c r="C123" s="158">
        <v>35930</v>
      </c>
      <c r="D123" s="62">
        <f t="shared" ca="1" si="1"/>
        <v>19</v>
      </c>
      <c r="E123" t="s">
        <v>1</v>
      </c>
      <c r="F123" s="159" t="s">
        <v>50</v>
      </c>
      <c r="G123" t="s">
        <v>40</v>
      </c>
      <c r="H123" s="160"/>
      <c r="I123" s="161"/>
      <c r="J123" s="161"/>
      <c r="K123" s="161"/>
      <c r="L123" s="160"/>
      <c r="M123">
        <v>228</v>
      </c>
      <c r="N123" s="161"/>
      <c r="O123" s="161"/>
      <c r="P123" s="161"/>
      <c r="Q123" s="161"/>
      <c r="R123" s="161"/>
      <c r="S123" s="190"/>
      <c r="T123" s="161"/>
      <c r="U123" s="160"/>
      <c r="V123" s="161"/>
      <c r="W123" s="161"/>
      <c r="X123" s="161"/>
      <c r="Y123" s="161"/>
      <c r="Z123" s="161"/>
      <c r="AA123" s="161"/>
      <c r="AB123" s="161"/>
      <c r="AC123" s="161"/>
      <c r="AD123" s="161"/>
      <c r="AE123" s="161"/>
      <c r="AF123" s="163"/>
      <c r="AG123" s="163"/>
      <c r="AH123" s="163"/>
      <c r="AI123" s="163"/>
      <c r="AJ123" s="163"/>
      <c r="AK123" s="163"/>
      <c r="AL123" s="163"/>
      <c r="AM123" s="163"/>
      <c r="AN123" s="163"/>
      <c r="AO123" s="163"/>
      <c r="AP123" s="163"/>
      <c r="AQ123" s="163"/>
      <c r="AR123" s="163"/>
      <c r="AS123" s="163"/>
      <c r="AT123" s="163"/>
      <c r="AU123" s="163"/>
      <c r="AV123" s="163"/>
      <c r="AW123" s="163"/>
      <c r="AX123" s="163"/>
      <c r="AY123" s="163"/>
      <c r="AZ123" s="163"/>
      <c r="BA123" s="163"/>
      <c r="BB123" s="163"/>
      <c r="BC123" s="163" t="b">
        <v>0</v>
      </c>
      <c r="BD123" s="163" t="b">
        <v>1</v>
      </c>
      <c r="BE123" s="163" t="b">
        <v>1</v>
      </c>
      <c r="BF123" s="163" t="b">
        <v>0</v>
      </c>
      <c r="BG123" s="164" t="b">
        <v>0</v>
      </c>
      <c r="BH123" s="163" t="b">
        <v>1</v>
      </c>
      <c r="BI123" s="163"/>
      <c r="BJ123" s="163"/>
      <c r="BK123" s="163"/>
      <c r="BL123" s="163"/>
      <c r="BM123" s="163"/>
      <c r="BN123" s="163"/>
      <c r="BO123" s="163"/>
      <c r="BP123" s="163"/>
      <c r="BQ123" s="163" t="b">
        <v>0</v>
      </c>
      <c r="BR123" s="163"/>
      <c r="BS123" s="163"/>
      <c r="BT123" s="163"/>
      <c r="BU123" s="163"/>
      <c r="BV123" s="163"/>
      <c r="BW123" s="163"/>
      <c r="BX123" s="163"/>
      <c r="BY123" s="163"/>
      <c r="BZ123" s="163"/>
      <c r="CA123" s="163"/>
      <c r="CB123" s="163"/>
      <c r="CC123" s="163"/>
      <c r="CD123" s="163"/>
      <c r="CE123" s="163"/>
      <c r="CF123" s="163"/>
      <c r="CG123" s="163"/>
      <c r="CH123" s="163"/>
      <c r="CI123" s="163"/>
      <c r="CJ123" s="163"/>
      <c r="CK123" s="163"/>
      <c r="CL123" s="163"/>
      <c r="CM123" s="163"/>
      <c r="CN123" s="163"/>
      <c r="CO123" s="163"/>
      <c r="CP123" s="163"/>
      <c r="CQ123" s="163"/>
      <c r="CR123" s="163"/>
      <c r="CS123" s="163"/>
      <c r="CT123" s="163"/>
      <c r="CU123" s="163"/>
      <c r="CV123" s="163"/>
      <c r="CW123" s="163"/>
      <c r="CX123" s="163"/>
      <c r="CY123" s="163"/>
      <c r="CZ123" s="163"/>
      <c r="DA123" s="163">
        <v>127</v>
      </c>
      <c r="DB123" s="163"/>
      <c r="DC123" s="163"/>
      <c r="DD123" s="163"/>
      <c r="DE123" s="163"/>
      <c r="DF123" s="163"/>
      <c r="DG123" s="208"/>
      <c r="DH123" s="163"/>
      <c r="DI123" s="163"/>
      <c r="DJ123" s="163"/>
      <c r="DK123" s="163"/>
      <c r="DL123" s="163"/>
      <c r="DM123" s="163"/>
      <c r="DN123" s="163"/>
      <c r="DO123" s="163"/>
      <c r="DP123" s="163"/>
      <c r="DQ123" s="163"/>
      <c r="DR123" s="163"/>
      <c r="DS123" s="163"/>
      <c r="DT123" s="163"/>
      <c r="DU123" s="163"/>
      <c r="DV123" s="163"/>
      <c r="DW123" s="163"/>
      <c r="DX123" s="163"/>
      <c r="DY123" s="163"/>
      <c r="DZ123" s="163"/>
      <c r="EA123" s="163"/>
      <c r="EB123" s="163"/>
      <c r="EC123" s="163"/>
      <c r="ED123" s="163"/>
      <c r="EE123" s="163"/>
      <c r="EF123" s="163"/>
      <c r="EG123" s="163"/>
      <c r="EH123" s="160">
        <f>IF([Chambre]*1='CHAMBRES FILLES 2e ETAGE'!$A$5,1,0)</f>
        <v>0</v>
      </c>
      <c r="EI123" s="161">
        <f>IF([Occurrence2]=0,0,SUM($EH$2:EH123))</f>
        <v>0</v>
      </c>
      <c r="EJ123" s="160">
        <f>IF([Chambre]*1='CHAMBRES FILLES 2e ETAGE'!$A$11,1,0)</f>
        <v>0</v>
      </c>
      <c r="EK123" s="160">
        <f>IF([Occurrence3]=0,0,SUM($EJ$2:EJ123))</f>
        <v>0</v>
      </c>
      <c r="EL123" s="160">
        <f>IF([Chambre]*1='CHAMBRES FILLES 2e ETAGE'!$A$17,1,0)</f>
        <v>0</v>
      </c>
      <c r="EM123" s="160">
        <f>IF([Occurrence4]=0,0,SUM($EL$2:EL123))</f>
        <v>0</v>
      </c>
      <c r="EN123" s="160">
        <f>IF([Chambre]*1='CHAMBRES FILLES 2e ETAGE'!$A$23,1,0)</f>
        <v>0</v>
      </c>
      <c r="EO123" s="160">
        <f>IF([Occurrence5]=0,0,SUM($EN$2:EN123))</f>
        <v>0</v>
      </c>
      <c r="EP123" s="160">
        <f>IF([Chambre]*1='CHAMBRES FILLES 2e ETAGE'!$A$29,1,0)</f>
        <v>0</v>
      </c>
      <c r="EQ123" s="160">
        <f>IF([Occurrence6]=0,0,SUM($EP$2:EP123))</f>
        <v>0</v>
      </c>
      <c r="ER123" s="160">
        <f>IF([Chambre]*1='CHAMBRES FILLES 2e ETAGE'!$A$35,1,0)</f>
        <v>0</v>
      </c>
      <c r="ES123" s="160">
        <f>IF([Occurrence7]=0,0,SUM($ER$2:ER123))</f>
        <v>0</v>
      </c>
      <c r="ET123" s="160">
        <f>IF([Chambre]*1='CHAMBRES FILLES 2e ETAGE'!$A$41,1,0)</f>
        <v>0</v>
      </c>
      <c r="EU123" s="160">
        <f>IF([Occurrence8]=0,0,SUM($ET$2:ET123))</f>
        <v>0</v>
      </c>
      <c r="EV123" s="160">
        <f>IF([Chambre]*1='CHAMBRES FILLES 2e ETAGE'!$A$47,1,0)</f>
        <v>0</v>
      </c>
      <c r="EW123" s="160">
        <f>IF([Occurrence9]=0,0,SUM($EV$2:EV123))</f>
        <v>0</v>
      </c>
      <c r="EX123" s="160">
        <f>IF([Chambre]*1='CHAMBRES FILLES 2e ETAGE'!$A$53,1,0)</f>
        <v>0</v>
      </c>
      <c r="EY123" s="160">
        <f>IF([Occurrence10]=0,0,SUM($EX$2:EX123))</f>
        <v>0</v>
      </c>
      <c r="EZ123" s="160">
        <f>IF([Chambre]*1='CHAMBRES FILLES 2e ETAGE'!$A$59,1,0)</f>
        <v>0</v>
      </c>
      <c r="FA123" s="160">
        <f>IF([Occurrence11]=0,0,SUM($EZ$2:EZ123))</f>
        <v>0</v>
      </c>
      <c r="FB123" s="160">
        <f>IF([Chambre]*1='CHAMBRES FILLES 2e ETAGE'!$A$65,1,0)</f>
        <v>0</v>
      </c>
      <c r="FC123" s="160">
        <f>IF([Occurrence12]=0,0,SUM($FB$2:FB123))</f>
        <v>0</v>
      </c>
      <c r="FD123" s="160">
        <f>IF([Chambre]*1='CHAMBRES FILLES 2e ETAGE'!$A$71,1,0)</f>
        <v>0</v>
      </c>
      <c r="FE123" s="160">
        <f>IF([Occurrence13]=0,0,SUM($FD$2:FD123))</f>
        <v>0</v>
      </c>
      <c r="FF123" s="160">
        <f>IF([Chambre]*1='CHAMBRES FILLES 2e ETAGE'!$A$77,1,0)</f>
        <v>0</v>
      </c>
      <c r="FG123" s="160">
        <f>IF([Occurrence14]=0,0,SUM($FF$2:FF123))</f>
        <v>0</v>
      </c>
      <c r="FH123" s="160">
        <f>IF([Chambre]*1='CHAMBRES FILLES 2e ETAGE'!$A$83,1,0)</f>
        <v>0</v>
      </c>
      <c r="FI123" s="160">
        <f>IF([Occurrence15]=0,0,SUM($FH$2:FH123))</f>
        <v>0</v>
      </c>
      <c r="FJ123" s="160">
        <f>IF([Chambre]*1='CHAMBRES FILLES 2e ETAGE'!$A$89,1,0)</f>
        <v>0</v>
      </c>
      <c r="FK123" s="160">
        <f>IF([Occurrence16]=0,0,SUM($FJ$2:FJ123))</f>
        <v>0</v>
      </c>
      <c r="FL123" s="160">
        <f>IF([Chambre]*1='CHAMBRES FILLES 2e ETAGE'!$A$95,1,0)</f>
        <v>0</v>
      </c>
      <c r="FM123" s="160">
        <f>IF([Occurrence17]=0,0,SUM($FL$2:FL123))</f>
        <v>0</v>
      </c>
      <c r="FN123" s="160">
        <f>IF([Chambre2]*1='CHAMBRES FILLES 1e ETAGE'!$A$5,1,0)</f>
        <v>0</v>
      </c>
      <c r="FO123" s="160">
        <f>IF([Occurrence18]=0,0,SUM($FN$2:FN123))</f>
        <v>0</v>
      </c>
      <c r="FP123" s="160">
        <f>IF([Chambre2]*1='CHAMBRES FILLES 1e ETAGE'!$A$11,1,0)</f>
        <v>0</v>
      </c>
      <c r="FQ123" s="160">
        <f>IF([Occurrence19]=0,0,SUM($FP$2:FP123))</f>
        <v>0</v>
      </c>
      <c r="FR123" s="160">
        <f>IF([Chambre2]*1='CHAMBRES FILLES 1e ETAGE'!$A$17,1,0)</f>
        <v>0</v>
      </c>
      <c r="FS123" s="160">
        <f>IF([Occurrence20]=0,0,SUM($FR$2:FR123))</f>
        <v>0</v>
      </c>
      <c r="FT123" s="160">
        <f>IF([Chambre2]*1='CHAMBRES FILLES 1e ETAGE'!$A$23,1,0)</f>
        <v>0</v>
      </c>
      <c r="FU123" s="160">
        <f>IF([Occurrence21]=0,0,SUM($FT$2:FT123))</f>
        <v>0</v>
      </c>
      <c r="FV123" s="160">
        <f>IF([Chambre2]*1='CHAMBRES FILLES 1e ETAGE'!$A$29,1,0)</f>
        <v>0</v>
      </c>
      <c r="FW123" s="160">
        <f>IF([Occurrence22]=0,0,SUM($FV$2:FV123))</f>
        <v>0</v>
      </c>
      <c r="FX123" s="160">
        <f>IF([Chambre2]*1='CHAMBRES FILLES 1e ETAGE'!$A$35,1,0)</f>
        <v>0</v>
      </c>
      <c r="FY123" s="160">
        <f>IF([Occurrence23]=0,0,SUM($FX$2:FX123))</f>
        <v>0</v>
      </c>
      <c r="FZ123" s="160">
        <f>IF([Chambre2]*1='CHAMBRES FILLES 1e ETAGE'!$A$41,1,0)</f>
        <v>0</v>
      </c>
      <c r="GA123" s="160">
        <f>IF([Occurrence24]=0,0,SUM($FZ$2:FZ123))</f>
        <v>0</v>
      </c>
      <c r="GB123" s="160">
        <f>IF([Chambre2]*1='CHAMBRES FILLES 1e ETAGE'!$A$47,1,0)</f>
        <v>0</v>
      </c>
      <c r="GC123" s="160">
        <f>IF([Occurrence25]=0,0,SUM($GB$2:GB123))</f>
        <v>0</v>
      </c>
      <c r="GD123" s="160">
        <f>IF([Chambre2]*1='CHAMBRES FILLES 1e ETAGE'!$A$53,1,0)</f>
        <v>0</v>
      </c>
      <c r="GE123" s="160">
        <f>IF([Occurrence26]=0,0,SUM($GD$2:GD123))</f>
        <v>0</v>
      </c>
      <c r="GF123" s="160">
        <f>IF([chambre4]*1='CHAMBRES GARCONS 1e ETAGE'!$A$5,1,0)</f>
        <v>0</v>
      </c>
      <c r="GG123" s="160">
        <f>IF([Occurrence27]=0,0,SUM($GF$2:GF123))</f>
        <v>0</v>
      </c>
      <c r="GH123" s="160">
        <f>IF([chambre4]*1='CHAMBRES GARCONS 1e ETAGE'!$A$11,1,0)</f>
        <v>0</v>
      </c>
      <c r="GI123" s="160">
        <f>IF([Occurrence28]=0,0,SUM($GH$2:GH123))</f>
        <v>0</v>
      </c>
      <c r="GJ123" s="160">
        <f>IF([chambre4]*1='CHAMBRES GARCONS 1e ETAGE'!$A$17,1,0)</f>
        <v>0</v>
      </c>
      <c r="GK123" s="160">
        <f>IF([Occurrence29]=0,0,SUM($GJ$2:GJ123))</f>
        <v>0</v>
      </c>
      <c r="GL123" s="160">
        <f>IF([chambre4]*1='CHAMBRES GARCONS 1e ETAGE'!$A$23,1,0)</f>
        <v>0</v>
      </c>
      <c r="GM123" s="160">
        <f>IF([Occurrence30]=0,0,SUM($GL$2:GL123))</f>
        <v>0</v>
      </c>
      <c r="GN123" s="160">
        <f>IF([chambre4]*1='CHAMBRES GARCONS 1e ETAGE'!$A$29,1,0)</f>
        <v>0</v>
      </c>
      <c r="GO123" s="160">
        <f>IF([Occurrence31]=0,0,SUM($GN$2:GN123))</f>
        <v>0</v>
      </c>
      <c r="GP123" s="160">
        <f>IF([chambre4]*1='CHAMBRES GARCONS 1e ETAGE'!$A$35,1,0)</f>
        <v>0</v>
      </c>
      <c r="GQ123" s="160">
        <f>IF([Occurrence32]=0,0,SUM($GP$2:GP123))</f>
        <v>0</v>
      </c>
      <c r="GR123" s="160">
        <f>IF([chambre3]*1='CHAMBRES GARCONS RDC'!$A$5,1,0)</f>
        <v>0</v>
      </c>
      <c r="GS123" s="160">
        <f>IF([Occurrence33]=0,0,SUM($GR$2:GR123))</f>
        <v>0</v>
      </c>
      <c r="GT123" s="160">
        <f>IF([chambre3]*1='CHAMBRES GARCONS RDC'!$A$11,1,0)</f>
        <v>0</v>
      </c>
      <c r="GU123" s="160">
        <f>IF([Occurrence34]=0,0,SUM($GT$2:GT123))</f>
        <v>0</v>
      </c>
      <c r="GV123" s="160">
        <f>IF([chambre3]*1='CHAMBRES GARCONS RDC'!$A$17,1,0)</f>
        <v>0</v>
      </c>
      <c r="GW123" s="160">
        <f>IF([Occurrence35]=0,0,SUM($GV$2:GV123))</f>
        <v>0</v>
      </c>
      <c r="GX123" s="160">
        <f>IF([chambre3]*1='CHAMBRES GARCONS RDC'!$A$23,1,0)</f>
        <v>0</v>
      </c>
      <c r="GY123" s="160">
        <f>IF([Occurrence36]=0,0,SUM($GX$2:GX123))</f>
        <v>0</v>
      </c>
      <c r="GZ123" s="160">
        <f>IF([chambre3]*1='CHAMBRES GARCONS RDC'!$A$29,1,0)</f>
        <v>0</v>
      </c>
      <c r="HA123" s="160">
        <f>IF([Occurrence37]=0,0,SUM($GZ$2:GZ123))</f>
        <v>0</v>
      </c>
      <c r="HB123" s="160">
        <f>IF([chambre3]*1='CHAMBRES GARCONS RDC'!$A$35,1,0)</f>
        <v>0</v>
      </c>
      <c r="HC123" s="160">
        <f>IF([Occurrence38]=0,0,SUM($HB$2:HB123))</f>
        <v>0</v>
      </c>
      <c r="HD123" s="160">
        <f>IF([chambre3]*1='CHAMBRES GARCONS RDC'!$A$41,1,0)</f>
        <v>0</v>
      </c>
      <c r="HE123" s="160">
        <f>IF([Occurrence39]=0,0,SUM($HD$2:HD123))</f>
        <v>0</v>
      </c>
      <c r="HF123" s="160">
        <f>IF([chambre3]*1='CHAMBRES GARCONS RDC'!$A$47,1,0)</f>
        <v>0</v>
      </c>
      <c r="HG123" s="160">
        <f>IF([Occurrence40]=0,0,SUM($HF$2:HF123))</f>
        <v>0</v>
      </c>
      <c r="HH123" s="160">
        <f>IF([chambre3]*1='CHAMBRES GARCONS RDC'!$A$53,1,0)</f>
        <v>0</v>
      </c>
      <c r="HI123" s="160">
        <f>IF([Occurrence41]=0,0,SUM($HH$2:HH123))</f>
        <v>0</v>
      </c>
      <c r="HJ123" s="160">
        <f>IF([chambre3]*1='CHAMBRES GARCONS RDC'!$A$59,1,0)</f>
        <v>0</v>
      </c>
      <c r="HK123" s="160">
        <f>IF([Occurrence42]=0,0,SUM($HJ$2:HJ123))</f>
        <v>0</v>
      </c>
      <c r="HL123" s="160">
        <f>IF([chambre3]*1='CHAMBRES GARCONS RDC'!$A$65,1,0)</f>
        <v>0</v>
      </c>
      <c r="HM123" s="160">
        <f>IF([Occurrence43]=0,0,SUM($HL$2:HL123))</f>
        <v>0</v>
      </c>
      <c r="HN123" s="160">
        <f>IF([chambre3]*1='CHAMBRES GARCONS RDC'!$A$71,1,0)</f>
        <v>0</v>
      </c>
      <c r="HO123" s="160">
        <f>IF([Occurrence44]=0,0,SUM($HN$2:HN123))</f>
        <v>0</v>
      </c>
      <c r="HP123" s="160">
        <f>IF([chambre3]*1='CHAMBRES GARCONS RDC'!$A$77,1,0)</f>
        <v>0</v>
      </c>
      <c r="HQ123" s="160">
        <f>IF([Occurrence45]=0,0,SUM($HP$2:HP123))</f>
        <v>0</v>
      </c>
      <c r="HR123" s="160">
        <f>IF([chambre3]*1='CHAMBRES GARCONS RDC'!$A$83,1,0)</f>
        <v>0</v>
      </c>
      <c r="HS123" s="160">
        <f>IF([Occurrence46]=0,0,SUM($HR$2:HR123))</f>
        <v>0</v>
      </c>
      <c r="HT123" s="160">
        <f>IF([chambre3]*1='CHAMBRES GARCONS RDC'!$A$89,1,0)</f>
        <v>1</v>
      </c>
      <c r="HU123" s="160">
        <f>IF([Occurrence47]=0,0,SUM($HT$2:HT123))</f>
        <v>2</v>
      </c>
      <c r="HV123" s="160">
        <f>IF([chambre3]*1='CHAMBRES GARCONS RDC'!$A$95,1,0)</f>
        <v>0</v>
      </c>
      <c r="HW123" s="160">
        <f>IF([Occurrence48]=0,0,SUM($HV$2:HV123))</f>
        <v>0</v>
      </c>
      <c r="HX123" s="160"/>
      <c r="HY123" s="160"/>
      <c r="HZ123" s="160">
        <f>IF([Classe]='Liste élève par classes'!$B$5,1,0)</f>
        <v>0</v>
      </c>
      <c r="IA123" s="160">
        <f>IF([Occurrence]=0,0,SUM($HZ$2:HZ123))</f>
        <v>0</v>
      </c>
      <c r="IB12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127</v>
      </c>
      <c r="IC123" s="208"/>
    </row>
    <row r="124" spans="1:237">
      <c r="A124" t="s">
        <v>460</v>
      </c>
      <c r="B124" t="s">
        <v>461</v>
      </c>
      <c r="C124" s="158">
        <v>37313</v>
      </c>
      <c r="D124" s="62">
        <f t="shared" ca="1" si="1"/>
        <v>15</v>
      </c>
      <c r="E124" t="s">
        <v>11</v>
      </c>
      <c r="F124" s="159" t="s">
        <v>50</v>
      </c>
      <c r="G124" t="s">
        <v>45</v>
      </c>
      <c r="H124" s="160"/>
      <c r="I124" s="62"/>
      <c r="J124" s="62"/>
      <c r="K124" s="62"/>
      <c r="L124" s="61">
        <v>158</v>
      </c>
      <c r="M124">
        <v>163</v>
      </c>
      <c r="N124" s="62"/>
      <c r="O124" s="62"/>
      <c r="P124" s="62"/>
      <c r="Q124" s="62"/>
      <c r="R124" s="62"/>
      <c r="S124" s="191"/>
      <c r="T124" s="62"/>
      <c r="U124" s="61"/>
      <c r="V124" s="62"/>
      <c r="W124" s="62"/>
      <c r="X124" s="62"/>
      <c r="Y124" s="62"/>
      <c r="Z124" s="62"/>
      <c r="AA124" s="62"/>
      <c r="AB124" s="62"/>
      <c r="AC124" s="62"/>
      <c r="AD124" s="62"/>
      <c r="AE124" s="62"/>
      <c r="AF124" s="163"/>
      <c r="AG124" s="163"/>
      <c r="AH124" s="163"/>
      <c r="AI124" s="163"/>
      <c r="AJ124" s="163"/>
      <c r="AK124" s="163"/>
      <c r="AL124" s="163"/>
      <c r="AM124" s="163"/>
      <c r="AN124" s="163"/>
      <c r="AO124" s="163"/>
      <c r="AP124" s="163"/>
      <c r="AQ124" s="163"/>
      <c r="AR124" s="163"/>
      <c r="AS124" s="163"/>
      <c r="AT124" s="163"/>
      <c r="AU124" s="163"/>
      <c r="AV124" s="163"/>
      <c r="AW124" s="163"/>
      <c r="AX124" s="163"/>
      <c r="AY124" s="163"/>
      <c r="AZ124" s="163"/>
      <c r="BA124" s="163"/>
      <c r="BB124" s="163"/>
      <c r="BC124" s="163" t="b">
        <v>0</v>
      </c>
      <c r="BD124" s="163" t="b">
        <v>1</v>
      </c>
      <c r="BE124" s="163" t="b">
        <v>1</v>
      </c>
      <c r="BF124" s="163" t="b">
        <v>0</v>
      </c>
      <c r="BG124" s="164" t="b">
        <v>0</v>
      </c>
      <c r="BH124" s="163" t="b">
        <v>1</v>
      </c>
      <c r="BI124" s="163"/>
      <c r="BJ124" s="163"/>
      <c r="BK124" s="163"/>
      <c r="BL124" s="163"/>
      <c r="BM124" s="163"/>
      <c r="BN124" s="163"/>
      <c r="BO124" s="163"/>
      <c r="BP124" s="163"/>
      <c r="BQ124" s="163" t="b">
        <v>1</v>
      </c>
      <c r="BR124" s="163"/>
      <c r="BS124" s="163"/>
      <c r="BT124" s="163"/>
      <c r="BU124" s="163"/>
      <c r="BV124" s="163"/>
      <c r="BW124" s="163"/>
      <c r="BX124" s="163"/>
      <c r="BY124" s="163"/>
      <c r="BZ124" s="163"/>
      <c r="CA124" s="163"/>
      <c r="CB124" s="163"/>
      <c r="CC124" s="163"/>
      <c r="CD124" s="163"/>
      <c r="CE124" s="163"/>
      <c r="CF124" s="163"/>
      <c r="CG124" s="163"/>
      <c r="CH124" s="163"/>
      <c r="CI124" s="163"/>
      <c r="CJ124" s="163"/>
      <c r="CK124" s="163"/>
      <c r="CL124" s="163"/>
      <c r="CM124" s="163"/>
      <c r="CN124" s="163"/>
      <c r="CO124" s="163"/>
      <c r="CP124" s="163"/>
      <c r="CQ124" s="163"/>
      <c r="CR124" s="163"/>
      <c r="CS124" s="163"/>
      <c r="CT124" s="163"/>
      <c r="CU124" s="163"/>
      <c r="CV124" s="163"/>
      <c r="CW124" s="163"/>
      <c r="CX124" s="163"/>
      <c r="CY124" s="163"/>
      <c r="CZ124" s="163"/>
      <c r="DA124" s="163"/>
      <c r="DB124" s="163"/>
      <c r="DC124" s="163"/>
      <c r="DD124" s="163"/>
      <c r="DE124" s="163"/>
      <c r="DF124" s="163"/>
      <c r="DG124" s="208"/>
      <c r="DH124" s="163"/>
      <c r="DI124" s="163"/>
      <c r="DJ124" s="163"/>
      <c r="DK124" s="163"/>
      <c r="DL124" s="163"/>
      <c r="DM124" s="163"/>
      <c r="DN124" s="163"/>
      <c r="DO124" s="163"/>
      <c r="DP124" s="163"/>
      <c r="DQ124" s="163"/>
      <c r="DR124" s="163"/>
      <c r="DS124" s="163"/>
      <c r="DT124" s="163"/>
      <c r="DU124" s="163"/>
      <c r="DV124" s="163"/>
      <c r="DW124" s="163"/>
      <c r="DX124" s="163"/>
      <c r="DY124" s="163"/>
      <c r="DZ124" s="163"/>
      <c r="EA124" s="163"/>
      <c r="EB124" s="163"/>
      <c r="EC124" s="163"/>
      <c r="ED124" s="163"/>
      <c r="EE124" s="163"/>
      <c r="EF124" s="163"/>
      <c r="EG124" s="163"/>
      <c r="EH124" s="160">
        <f>IF([Chambre]*1='CHAMBRES FILLES 2e ETAGE'!$A$5,1,0)</f>
        <v>1</v>
      </c>
      <c r="EI124" s="161">
        <f>IF([Occurrence2]=0,0,SUM($EH$2:EH124))</f>
        <v>4</v>
      </c>
      <c r="EJ124" s="160">
        <f>IF([Chambre]*1='CHAMBRES FILLES 2e ETAGE'!$A$11,1,0)</f>
        <v>0</v>
      </c>
      <c r="EK124" s="160">
        <f>IF([Occurrence3]=0,0,SUM($EJ$2:EJ124))</f>
        <v>0</v>
      </c>
      <c r="EL124" s="160">
        <f>IF([Chambre]*1='CHAMBRES FILLES 2e ETAGE'!$A$17,1,0)</f>
        <v>0</v>
      </c>
      <c r="EM124" s="160">
        <f>IF([Occurrence4]=0,0,SUM($EL$2:EL124))</f>
        <v>0</v>
      </c>
      <c r="EN124" s="160">
        <f>IF([Chambre]*1='CHAMBRES FILLES 2e ETAGE'!$A$23,1,0)</f>
        <v>0</v>
      </c>
      <c r="EO124" s="160">
        <f>IF([Occurrence5]=0,0,SUM($EN$2:EN124))</f>
        <v>0</v>
      </c>
      <c r="EP124" s="160">
        <f>IF([Chambre]*1='CHAMBRES FILLES 2e ETAGE'!$A$29,1,0)</f>
        <v>0</v>
      </c>
      <c r="EQ124" s="160">
        <f>IF([Occurrence6]=0,0,SUM($EP$2:EP124))</f>
        <v>0</v>
      </c>
      <c r="ER124" s="160">
        <f>IF([Chambre]*1='CHAMBRES FILLES 2e ETAGE'!$A$35,1,0)</f>
        <v>0</v>
      </c>
      <c r="ES124" s="160">
        <f>IF([Occurrence7]=0,0,SUM($ER$2:ER124))</f>
        <v>0</v>
      </c>
      <c r="ET124" s="160">
        <f>IF([Chambre]*1='CHAMBRES FILLES 2e ETAGE'!$A$41,1,0)</f>
        <v>0</v>
      </c>
      <c r="EU124" s="160">
        <f>IF([Occurrence8]=0,0,SUM($ET$2:ET124))</f>
        <v>0</v>
      </c>
      <c r="EV124" s="160">
        <f>IF([Chambre]*1='CHAMBRES FILLES 2e ETAGE'!$A$47,1,0)</f>
        <v>0</v>
      </c>
      <c r="EW124" s="160">
        <f>IF([Occurrence9]=0,0,SUM($EV$2:EV124))</f>
        <v>0</v>
      </c>
      <c r="EX124" s="160">
        <f>IF([Chambre]*1='CHAMBRES FILLES 2e ETAGE'!$A$53,1,0)</f>
        <v>0</v>
      </c>
      <c r="EY124" s="160">
        <f>IF([Occurrence10]=0,0,SUM($EX$2:EX124))</f>
        <v>0</v>
      </c>
      <c r="EZ124" s="160">
        <f>IF([Chambre]*1='CHAMBRES FILLES 2e ETAGE'!$A$59,1,0)</f>
        <v>0</v>
      </c>
      <c r="FA124" s="160">
        <f>IF([Occurrence11]=0,0,SUM($EZ$2:EZ124))</f>
        <v>0</v>
      </c>
      <c r="FB124" s="160">
        <f>IF([Chambre]*1='CHAMBRES FILLES 2e ETAGE'!$A$65,1,0)</f>
        <v>0</v>
      </c>
      <c r="FC124" s="160">
        <f>IF([Occurrence12]=0,0,SUM($FB$2:FB124))</f>
        <v>0</v>
      </c>
      <c r="FD124" s="160">
        <f>IF([Chambre]*1='CHAMBRES FILLES 2e ETAGE'!$A$71,1,0)</f>
        <v>0</v>
      </c>
      <c r="FE124" s="160">
        <f>IF([Occurrence13]=0,0,SUM($FD$2:FD124))</f>
        <v>0</v>
      </c>
      <c r="FF124" s="160">
        <f>IF([Chambre]*1='CHAMBRES FILLES 2e ETAGE'!$A$77,1,0)</f>
        <v>0</v>
      </c>
      <c r="FG124" s="160">
        <f>IF([Occurrence14]=0,0,SUM($FF$2:FF124))</f>
        <v>0</v>
      </c>
      <c r="FH124" s="160">
        <f>IF([Chambre]*1='CHAMBRES FILLES 2e ETAGE'!$A$83,1,0)</f>
        <v>0</v>
      </c>
      <c r="FI124" s="160">
        <f>IF([Occurrence15]=0,0,SUM($FH$2:FH124))</f>
        <v>0</v>
      </c>
      <c r="FJ124" s="160">
        <f>IF([Chambre]*1='CHAMBRES FILLES 2e ETAGE'!$A$89,1,0)</f>
        <v>0</v>
      </c>
      <c r="FK124" s="160">
        <f>IF([Occurrence16]=0,0,SUM($FJ$2:FJ124))</f>
        <v>0</v>
      </c>
      <c r="FL124" s="160">
        <f>IF([Chambre]*1='CHAMBRES FILLES 2e ETAGE'!$A$95,1,0)</f>
        <v>0</v>
      </c>
      <c r="FM124" s="160">
        <f>IF([Occurrence17]=0,0,SUM($FL$2:FL124))</f>
        <v>0</v>
      </c>
      <c r="FN124" s="160">
        <f>IF([Chambre2]*1='CHAMBRES FILLES 1e ETAGE'!$A$5,1,0)</f>
        <v>0</v>
      </c>
      <c r="FO124" s="160">
        <f>IF([Occurrence18]=0,0,SUM($FN$2:FN124))</f>
        <v>0</v>
      </c>
      <c r="FP124" s="160">
        <f>IF([Chambre2]*1='CHAMBRES FILLES 1e ETAGE'!$A$11,1,0)</f>
        <v>0</v>
      </c>
      <c r="FQ124" s="160">
        <f>IF([Occurrence19]=0,0,SUM($FP$2:FP124))</f>
        <v>0</v>
      </c>
      <c r="FR124" s="160">
        <f>IF([Chambre2]*1='CHAMBRES FILLES 1e ETAGE'!$A$17,1,0)</f>
        <v>0</v>
      </c>
      <c r="FS124" s="160">
        <f>IF([Occurrence20]=0,0,SUM($FR$2:FR124))</f>
        <v>0</v>
      </c>
      <c r="FT124" s="160">
        <f>IF([Chambre2]*1='CHAMBRES FILLES 1e ETAGE'!$A$23,1,0)</f>
        <v>0</v>
      </c>
      <c r="FU124" s="160">
        <f>IF([Occurrence21]=0,0,SUM($FT$2:FT124))</f>
        <v>0</v>
      </c>
      <c r="FV124" s="160">
        <f>IF([Chambre2]*1='CHAMBRES FILLES 1e ETAGE'!$A$29,1,0)</f>
        <v>0</v>
      </c>
      <c r="FW124" s="160">
        <f>IF([Occurrence22]=0,0,SUM($FV$2:FV124))</f>
        <v>0</v>
      </c>
      <c r="FX124" s="160">
        <f>IF([Chambre2]*1='CHAMBRES FILLES 1e ETAGE'!$A$35,1,0)</f>
        <v>0</v>
      </c>
      <c r="FY124" s="160">
        <f>IF([Occurrence23]=0,0,SUM($FX$2:FX124))</f>
        <v>0</v>
      </c>
      <c r="FZ124" s="160">
        <f>IF([Chambre2]*1='CHAMBRES FILLES 1e ETAGE'!$A$41,1,0)</f>
        <v>0</v>
      </c>
      <c r="GA124" s="160">
        <f>IF([Occurrence24]=0,0,SUM($FZ$2:FZ124))</f>
        <v>0</v>
      </c>
      <c r="GB124" s="160">
        <f>IF([Chambre2]*1='CHAMBRES FILLES 1e ETAGE'!$A$47,1,0)</f>
        <v>0</v>
      </c>
      <c r="GC124" s="160">
        <f>IF([Occurrence25]=0,0,SUM($GB$2:GB124))</f>
        <v>0</v>
      </c>
      <c r="GD124" s="160">
        <f>IF([Chambre2]*1='CHAMBRES FILLES 1e ETAGE'!$A$53,1,0)</f>
        <v>0</v>
      </c>
      <c r="GE124" s="160">
        <f>IF([Occurrence26]=0,0,SUM($GD$2:GD124))</f>
        <v>0</v>
      </c>
      <c r="GF124" s="160">
        <f>IF([chambre4]*1='CHAMBRES GARCONS 1e ETAGE'!$A$5,1,0)</f>
        <v>0</v>
      </c>
      <c r="GG124" s="160">
        <f>IF([Occurrence27]=0,0,SUM($GF$2:GF124))</f>
        <v>0</v>
      </c>
      <c r="GH124" s="160">
        <f>IF([chambre4]*1='CHAMBRES GARCONS 1e ETAGE'!$A$11,1,0)</f>
        <v>0</v>
      </c>
      <c r="GI124" s="160">
        <f>IF([Occurrence28]=0,0,SUM($GH$2:GH124))</f>
        <v>0</v>
      </c>
      <c r="GJ124" s="160">
        <f>IF([chambre4]*1='CHAMBRES GARCONS 1e ETAGE'!$A$17,1,0)</f>
        <v>0</v>
      </c>
      <c r="GK124" s="160">
        <f>IF([Occurrence29]=0,0,SUM($GJ$2:GJ124))</f>
        <v>0</v>
      </c>
      <c r="GL124" s="160">
        <f>IF([chambre4]*1='CHAMBRES GARCONS 1e ETAGE'!$A$23,1,0)</f>
        <v>0</v>
      </c>
      <c r="GM124" s="160">
        <f>IF([Occurrence30]=0,0,SUM($GL$2:GL124))</f>
        <v>0</v>
      </c>
      <c r="GN124" s="160">
        <f>IF([chambre4]*1='CHAMBRES GARCONS 1e ETAGE'!$A$29,1,0)</f>
        <v>0</v>
      </c>
      <c r="GO124" s="160">
        <f>IF([Occurrence31]=0,0,SUM($GN$2:GN124))</f>
        <v>0</v>
      </c>
      <c r="GP124" s="160">
        <f>IF([chambre4]*1='CHAMBRES GARCONS 1e ETAGE'!$A$35,1,0)</f>
        <v>0</v>
      </c>
      <c r="GQ124" s="160">
        <f>IF([Occurrence32]=0,0,SUM($GP$2:GP124))</f>
        <v>0</v>
      </c>
      <c r="GR124" s="160">
        <f>IF([chambre3]*1='CHAMBRES GARCONS RDC'!$A$5,1,0)</f>
        <v>0</v>
      </c>
      <c r="GS124" s="160">
        <f>IF([Occurrence33]=0,0,SUM($GR$2:GR124))</f>
        <v>0</v>
      </c>
      <c r="GT124" s="160">
        <f>IF([chambre3]*1='CHAMBRES GARCONS RDC'!$A$11,1,0)</f>
        <v>0</v>
      </c>
      <c r="GU124" s="160">
        <f>IF([Occurrence34]=0,0,SUM($GT$2:GT124))</f>
        <v>0</v>
      </c>
      <c r="GV124" s="160">
        <f>IF([chambre3]*1='CHAMBRES GARCONS RDC'!$A$17,1,0)</f>
        <v>0</v>
      </c>
      <c r="GW124" s="160">
        <f>IF([Occurrence35]=0,0,SUM($GV$2:GV124))</f>
        <v>0</v>
      </c>
      <c r="GX124" s="160">
        <f>IF([chambre3]*1='CHAMBRES GARCONS RDC'!$A$23,1,0)</f>
        <v>0</v>
      </c>
      <c r="GY124" s="160">
        <f>IF([Occurrence36]=0,0,SUM($GX$2:GX124))</f>
        <v>0</v>
      </c>
      <c r="GZ124" s="160">
        <f>IF([chambre3]*1='CHAMBRES GARCONS RDC'!$A$29,1,0)</f>
        <v>0</v>
      </c>
      <c r="HA124" s="160">
        <f>IF([Occurrence37]=0,0,SUM($GZ$2:GZ124))</f>
        <v>0</v>
      </c>
      <c r="HB124" s="160">
        <f>IF([chambre3]*1='CHAMBRES GARCONS RDC'!$A$35,1,0)</f>
        <v>0</v>
      </c>
      <c r="HC124" s="160">
        <f>IF([Occurrence38]=0,0,SUM($HB$2:HB124))</f>
        <v>0</v>
      </c>
      <c r="HD124" s="160">
        <f>IF([chambre3]*1='CHAMBRES GARCONS RDC'!$A$41,1,0)</f>
        <v>0</v>
      </c>
      <c r="HE124" s="160">
        <f>IF([Occurrence39]=0,0,SUM($HD$2:HD124))</f>
        <v>0</v>
      </c>
      <c r="HF124" s="160">
        <f>IF([chambre3]*1='CHAMBRES GARCONS RDC'!$A$47,1,0)</f>
        <v>0</v>
      </c>
      <c r="HG124" s="160">
        <f>IF([Occurrence40]=0,0,SUM($HF$2:HF124))</f>
        <v>0</v>
      </c>
      <c r="HH124" s="160">
        <f>IF([chambre3]*1='CHAMBRES GARCONS RDC'!$A$53,1,0)</f>
        <v>0</v>
      </c>
      <c r="HI124" s="160">
        <f>IF([Occurrence41]=0,0,SUM($HH$2:HH124))</f>
        <v>0</v>
      </c>
      <c r="HJ124" s="160">
        <f>IF([chambre3]*1='CHAMBRES GARCONS RDC'!$A$59,1,0)</f>
        <v>0</v>
      </c>
      <c r="HK124" s="160">
        <f>IF([Occurrence42]=0,0,SUM($HJ$2:HJ124))</f>
        <v>0</v>
      </c>
      <c r="HL124" s="160">
        <f>IF([chambre3]*1='CHAMBRES GARCONS RDC'!$A$65,1,0)</f>
        <v>0</v>
      </c>
      <c r="HM124" s="160">
        <f>IF([Occurrence43]=0,0,SUM($HL$2:HL124))</f>
        <v>0</v>
      </c>
      <c r="HN124" s="160">
        <f>IF([chambre3]*1='CHAMBRES GARCONS RDC'!$A$71,1,0)</f>
        <v>0</v>
      </c>
      <c r="HO124" s="160">
        <f>IF([Occurrence44]=0,0,SUM($HN$2:HN124))</f>
        <v>0</v>
      </c>
      <c r="HP124" s="160">
        <f>IF([chambre3]*1='CHAMBRES GARCONS RDC'!$A$77,1,0)</f>
        <v>0</v>
      </c>
      <c r="HQ124" s="160">
        <f>IF([Occurrence45]=0,0,SUM($HP$2:HP124))</f>
        <v>0</v>
      </c>
      <c r="HR124" s="160">
        <f>IF([chambre3]*1='CHAMBRES GARCONS RDC'!$A$83,1,0)</f>
        <v>0</v>
      </c>
      <c r="HS124" s="160">
        <f>IF([Occurrence46]=0,0,SUM($HR$2:HR124))</f>
        <v>0</v>
      </c>
      <c r="HT124" s="160">
        <f>IF([chambre3]*1='CHAMBRES GARCONS RDC'!$A$89,1,0)</f>
        <v>0</v>
      </c>
      <c r="HU124" s="160">
        <f>IF([Occurrence47]=0,0,SUM($HT$2:HT124))</f>
        <v>0</v>
      </c>
      <c r="HV124" s="160">
        <f>IF([chambre3]*1='CHAMBRES GARCONS RDC'!$A$95,1,0)</f>
        <v>0</v>
      </c>
      <c r="HW124" s="160">
        <f>IF([Occurrence48]=0,0,SUM($HV$2:HV124))</f>
        <v>0</v>
      </c>
      <c r="HX124" s="160"/>
      <c r="HY124" s="160"/>
      <c r="HZ124" s="160">
        <f>IF([Classe]='Liste élève par classes'!$B$5,1,0)</f>
        <v>0</v>
      </c>
      <c r="IA124" s="160">
        <f>IF([Occurrence]=0,0,SUM($HZ$2:HZ124))</f>
        <v>0</v>
      </c>
      <c r="IB12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158</v>
      </c>
      <c r="IC124" s="208"/>
    </row>
    <row r="125" spans="1:237">
      <c r="A125" t="s">
        <v>462</v>
      </c>
      <c r="B125" t="s">
        <v>261</v>
      </c>
      <c r="C125" s="158" t="s">
        <v>718</v>
      </c>
      <c r="D125" s="62" t="s">
        <v>711</v>
      </c>
      <c r="E125" t="s">
        <v>12</v>
      </c>
      <c r="F125" s="159" t="s">
        <v>50</v>
      </c>
      <c r="G125" t="s">
        <v>40</v>
      </c>
      <c r="H125" s="160" t="s">
        <v>244</v>
      </c>
      <c r="I125" s="62" t="s">
        <v>244</v>
      </c>
      <c r="J125" s="62" t="s">
        <v>244</v>
      </c>
      <c r="K125" s="62" t="s">
        <v>244</v>
      </c>
      <c r="L125" s="61"/>
      <c r="M125" t="s">
        <v>719</v>
      </c>
      <c r="N125" s="62" t="s">
        <v>244</v>
      </c>
      <c r="O125" s="62" t="s">
        <v>244</v>
      </c>
      <c r="P125" s="62" t="s">
        <v>244</v>
      </c>
      <c r="Q125" s="62" t="s">
        <v>244</v>
      </c>
      <c r="R125" s="62" t="s">
        <v>244</v>
      </c>
      <c r="S125" s="62"/>
      <c r="T125" s="62" t="s">
        <v>244</v>
      </c>
      <c r="U125" s="61"/>
      <c r="V125" s="62" t="s">
        <v>244</v>
      </c>
      <c r="W125" s="62" t="s">
        <v>244</v>
      </c>
      <c r="X125" s="62" t="s">
        <v>244</v>
      </c>
      <c r="Y125" s="62" t="s">
        <v>244</v>
      </c>
      <c r="Z125" s="62" t="s">
        <v>244</v>
      </c>
      <c r="AA125" s="62" t="s">
        <v>244</v>
      </c>
      <c r="AB125" s="62" t="s">
        <v>244</v>
      </c>
      <c r="AC125" s="62" t="s">
        <v>244</v>
      </c>
      <c r="AD125" s="62" t="s">
        <v>244</v>
      </c>
      <c r="AE125" s="62" t="s">
        <v>244</v>
      </c>
      <c r="AF125" s="163" t="s">
        <v>244</v>
      </c>
      <c r="AG125" s="163" t="s">
        <v>244</v>
      </c>
      <c r="AH125" s="163" t="s">
        <v>244</v>
      </c>
      <c r="AI125" s="163" t="b">
        <v>0</v>
      </c>
      <c r="AJ125" s="163" t="b">
        <v>0</v>
      </c>
      <c r="AK125" s="163" t="b">
        <v>0</v>
      </c>
      <c r="AL125" s="163" t="b">
        <v>0</v>
      </c>
      <c r="AM125" s="163" t="b">
        <v>0</v>
      </c>
      <c r="AN125" s="163" t="b">
        <v>0</v>
      </c>
      <c r="AO125" s="163" t="b">
        <v>0</v>
      </c>
      <c r="AP125" s="163" t="b">
        <v>0</v>
      </c>
      <c r="AQ125" s="163" t="b">
        <v>0</v>
      </c>
      <c r="AR125" s="163" t="b">
        <v>0</v>
      </c>
      <c r="AS125" s="163" t="b">
        <v>0</v>
      </c>
      <c r="AT125" s="163" t="b">
        <v>0</v>
      </c>
      <c r="AU125" s="163" t="b">
        <v>0</v>
      </c>
      <c r="AV125" s="163" t="b">
        <v>0</v>
      </c>
      <c r="AW125" s="163" t="b">
        <v>0</v>
      </c>
      <c r="AX125" s="163" t="b">
        <v>0</v>
      </c>
      <c r="AY125" s="163" t="b">
        <v>0</v>
      </c>
      <c r="AZ125" s="163" t="b">
        <v>0</v>
      </c>
      <c r="BA125" s="163" t="b">
        <v>0</v>
      </c>
      <c r="BB125" s="163" t="b">
        <v>0</v>
      </c>
      <c r="BC125" s="164" t="b">
        <v>1</v>
      </c>
      <c r="BD125" s="163" t="b">
        <v>0</v>
      </c>
      <c r="BE125" s="163" t="b">
        <v>0</v>
      </c>
      <c r="BF125" s="163" t="b">
        <v>1</v>
      </c>
      <c r="BG125" s="164" t="b">
        <v>0</v>
      </c>
      <c r="BH125" s="164" t="b">
        <v>1</v>
      </c>
      <c r="BI125" s="163" t="b">
        <v>0</v>
      </c>
      <c r="BJ125" s="163" t="b">
        <v>1</v>
      </c>
      <c r="BK125" s="163" t="b">
        <v>1</v>
      </c>
      <c r="BL125" s="163" t="b">
        <v>0</v>
      </c>
      <c r="BM125" s="163" t="s">
        <v>244</v>
      </c>
      <c r="BN125" s="163" t="b">
        <v>0</v>
      </c>
      <c r="BO125" s="163" t="b">
        <v>0</v>
      </c>
      <c r="BP125" s="163" t="s">
        <v>244</v>
      </c>
      <c r="BQ125" s="163" t="b">
        <v>1</v>
      </c>
      <c r="BR125" s="163" t="b">
        <v>0</v>
      </c>
      <c r="BS125" s="163" t="s">
        <v>244</v>
      </c>
      <c r="BT125" s="163" t="b">
        <v>0</v>
      </c>
      <c r="BU125" s="163" t="b">
        <v>0</v>
      </c>
      <c r="BV125" s="163" t="s">
        <v>244</v>
      </c>
      <c r="BW125" s="163" t="b">
        <v>0</v>
      </c>
      <c r="BX125" s="163" t="b">
        <v>0</v>
      </c>
      <c r="BY125" s="163" t="s">
        <v>244</v>
      </c>
      <c r="BZ125" s="163" t="b">
        <v>0</v>
      </c>
      <c r="CA125" s="163" t="b">
        <v>0</v>
      </c>
      <c r="CB125" s="163" t="s">
        <v>244</v>
      </c>
      <c r="CC125" s="163" t="b">
        <v>0</v>
      </c>
      <c r="CD125" s="163" t="b">
        <v>0</v>
      </c>
      <c r="CE125" s="163" t="s">
        <v>244</v>
      </c>
      <c r="CF125" s="163" t="b">
        <v>0</v>
      </c>
      <c r="CG125" s="163" t="b">
        <v>0</v>
      </c>
      <c r="CH125" s="163" t="s">
        <v>244</v>
      </c>
      <c r="CI125" s="163" t="b">
        <v>0</v>
      </c>
      <c r="CJ125" s="163" t="b">
        <v>0</v>
      </c>
      <c r="CK125" s="163" t="s">
        <v>244</v>
      </c>
      <c r="CL125" s="163" t="b">
        <v>0</v>
      </c>
      <c r="CM125" s="163" t="b">
        <v>0</v>
      </c>
      <c r="CN125" s="163" t="s">
        <v>244</v>
      </c>
      <c r="CO125" s="163" t="b">
        <v>0</v>
      </c>
      <c r="CP125" s="163" t="b">
        <v>0</v>
      </c>
      <c r="CQ125" s="163" t="s">
        <v>244</v>
      </c>
      <c r="CR125" s="163" t="b">
        <v>0</v>
      </c>
      <c r="CS125" s="163" t="b">
        <v>0</v>
      </c>
      <c r="CT125" s="163" t="b">
        <v>0</v>
      </c>
      <c r="CU125" s="163" t="b">
        <v>0</v>
      </c>
      <c r="CV125" s="163" t="s">
        <v>244</v>
      </c>
      <c r="CW125" s="163" t="b">
        <v>0</v>
      </c>
      <c r="CX125" s="163" t="b">
        <v>0</v>
      </c>
      <c r="CY125" s="163" t="b">
        <v>0</v>
      </c>
      <c r="CZ125" s="163" t="b">
        <v>0</v>
      </c>
      <c r="DA125" s="163">
        <v>105</v>
      </c>
      <c r="DB125" s="163" t="s">
        <v>244</v>
      </c>
      <c r="DC125" s="163" t="s">
        <v>244</v>
      </c>
      <c r="DD125" s="163" t="s">
        <v>244</v>
      </c>
      <c r="DE125" s="163" t="s">
        <v>244</v>
      </c>
      <c r="DF125" s="163" t="s">
        <v>244</v>
      </c>
      <c r="DG125" s="208"/>
      <c r="DH125" s="163" t="s">
        <v>244</v>
      </c>
      <c r="DI125" s="163" t="s">
        <v>244</v>
      </c>
      <c r="DJ125" s="163" t="s">
        <v>244</v>
      </c>
      <c r="DK125" s="163" t="s">
        <v>244</v>
      </c>
      <c r="DL125" s="163" t="s">
        <v>244</v>
      </c>
      <c r="DM125" s="163" t="b">
        <v>0</v>
      </c>
      <c r="DN125" s="163" t="b">
        <v>0</v>
      </c>
      <c r="DO125" s="163" t="b">
        <v>0</v>
      </c>
      <c r="DP125" s="163" t="b">
        <v>0</v>
      </c>
      <c r="DQ125" s="163" t="b">
        <v>0</v>
      </c>
      <c r="DR125" s="163" t="b">
        <v>0</v>
      </c>
      <c r="DS125" s="163" t="b">
        <v>0</v>
      </c>
      <c r="DT125" s="163" t="b">
        <v>0</v>
      </c>
      <c r="DU125" s="163" t="b">
        <v>0</v>
      </c>
      <c r="DV125" s="163" t="b">
        <v>0</v>
      </c>
      <c r="DW125" s="163" t="b">
        <v>0</v>
      </c>
      <c r="DX125" s="163" t="b">
        <v>0</v>
      </c>
      <c r="DY125" s="163" t="b">
        <v>0</v>
      </c>
      <c r="DZ125" s="163" t="b">
        <v>0</v>
      </c>
      <c r="EA125" s="163" t="b">
        <v>0</v>
      </c>
      <c r="EB125" s="163" t="b">
        <v>0</v>
      </c>
      <c r="EC125" s="163" t="b">
        <v>0</v>
      </c>
      <c r="ED125" s="163" t="b">
        <v>0</v>
      </c>
      <c r="EE125" s="163" t="b">
        <v>0</v>
      </c>
      <c r="EF125" s="163" t="b">
        <v>0</v>
      </c>
      <c r="EG125" s="163" t="s">
        <v>244</v>
      </c>
      <c r="EH125" s="160">
        <f>IF([Chambre]*1='CHAMBRES FILLES 2e ETAGE'!$A$5,1,0)</f>
        <v>0</v>
      </c>
      <c r="EI125" s="161">
        <f>IF([Occurrence2]=0,0,SUM($EH$2:EH125))</f>
        <v>0</v>
      </c>
      <c r="EJ125" s="160">
        <f>IF([Chambre]*1='CHAMBRES FILLES 2e ETAGE'!$A$11,1,0)</f>
        <v>0</v>
      </c>
      <c r="EK125" s="160">
        <f>IF([Occurrence3]=0,0,SUM($EJ$2:EJ125))</f>
        <v>0</v>
      </c>
      <c r="EL125" s="160">
        <f>IF([Chambre]*1='CHAMBRES FILLES 2e ETAGE'!$A$17,1,0)</f>
        <v>0</v>
      </c>
      <c r="EM125" s="160">
        <f>IF([Occurrence4]=0,0,SUM($EL$2:EL125))</f>
        <v>0</v>
      </c>
      <c r="EN125" s="160">
        <f>IF([Chambre]*1='CHAMBRES FILLES 2e ETAGE'!$A$23,1,0)</f>
        <v>0</v>
      </c>
      <c r="EO125" s="160">
        <f>IF([Occurrence5]=0,0,SUM($EN$2:EN125))</f>
        <v>0</v>
      </c>
      <c r="EP125" s="160">
        <f>IF([Chambre]*1='CHAMBRES FILLES 2e ETAGE'!$A$29,1,0)</f>
        <v>0</v>
      </c>
      <c r="EQ125" s="160">
        <f>IF([Occurrence6]=0,0,SUM($EP$2:EP125))</f>
        <v>0</v>
      </c>
      <c r="ER125" s="160">
        <f>IF([Chambre]*1='CHAMBRES FILLES 2e ETAGE'!$A$35,1,0)</f>
        <v>0</v>
      </c>
      <c r="ES125" s="160">
        <f>IF([Occurrence7]=0,0,SUM($ER$2:ER125))</f>
        <v>0</v>
      </c>
      <c r="ET125" s="160">
        <f>IF([Chambre]*1='CHAMBRES FILLES 2e ETAGE'!$A$41,1,0)</f>
        <v>0</v>
      </c>
      <c r="EU125" s="160">
        <f>IF([Occurrence8]=0,0,SUM($ET$2:ET125))</f>
        <v>0</v>
      </c>
      <c r="EV125" s="160">
        <f>IF([Chambre]*1='CHAMBRES FILLES 2e ETAGE'!$A$47,1,0)</f>
        <v>0</v>
      </c>
      <c r="EW125" s="160">
        <f>IF([Occurrence9]=0,0,SUM($EV$2:EV125))</f>
        <v>0</v>
      </c>
      <c r="EX125" s="160">
        <f>IF([Chambre]*1='CHAMBRES FILLES 2e ETAGE'!$A$53,1,0)</f>
        <v>0</v>
      </c>
      <c r="EY125" s="160">
        <f>IF([Occurrence10]=0,0,SUM($EX$2:EX125))</f>
        <v>0</v>
      </c>
      <c r="EZ125" s="160">
        <f>IF([Chambre]*1='CHAMBRES FILLES 2e ETAGE'!$A$59,1,0)</f>
        <v>0</v>
      </c>
      <c r="FA125" s="160">
        <f>IF([Occurrence11]=0,0,SUM($EZ$2:EZ125))</f>
        <v>0</v>
      </c>
      <c r="FB125" s="160">
        <f>IF([Chambre]*1='CHAMBRES FILLES 2e ETAGE'!$A$65,1,0)</f>
        <v>0</v>
      </c>
      <c r="FC125" s="160">
        <f>IF([Occurrence12]=0,0,SUM($FB$2:FB125))</f>
        <v>0</v>
      </c>
      <c r="FD125" s="160">
        <f>IF([Chambre]*1='CHAMBRES FILLES 2e ETAGE'!$A$71,1,0)</f>
        <v>0</v>
      </c>
      <c r="FE125" s="160">
        <f>IF([Occurrence13]=0,0,SUM($FD$2:FD125))</f>
        <v>0</v>
      </c>
      <c r="FF125" s="160">
        <f>IF([Chambre]*1='CHAMBRES FILLES 2e ETAGE'!$A$77,1,0)</f>
        <v>0</v>
      </c>
      <c r="FG125" s="160">
        <f>IF([Occurrence14]=0,0,SUM($FF$2:FF125))</f>
        <v>0</v>
      </c>
      <c r="FH125" s="160">
        <f>IF([Chambre]*1='CHAMBRES FILLES 2e ETAGE'!$A$83,1,0)</f>
        <v>0</v>
      </c>
      <c r="FI125" s="160">
        <f>IF([Occurrence15]=0,0,SUM($FH$2:FH125))</f>
        <v>0</v>
      </c>
      <c r="FJ125" s="160">
        <f>IF([Chambre]*1='CHAMBRES FILLES 2e ETAGE'!$A$89,1,0)</f>
        <v>0</v>
      </c>
      <c r="FK125" s="160">
        <f>IF([Occurrence16]=0,0,SUM($FJ$2:FJ125))</f>
        <v>0</v>
      </c>
      <c r="FL125" s="160">
        <f>IF([Chambre]*1='CHAMBRES FILLES 2e ETAGE'!$A$95,1,0)</f>
        <v>0</v>
      </c>
      <c r="FM125" s="160">
        <f>IF([Occurrence17]=0,0,SUM($FL$2:FL125))</f>
        <v>0</v>
      </c>
      <c r="FN125" s="160">
        <f>IF([Chambre2]*1='CHAMBRES FILLES 1e ETAGE'!$A$5,1,0)</f>
        <v>0</v>
      </c>
      <c r="FO125" s="160">
        <f>IF([Occurrence18]=0,0,SUM($FN$2:FN125))</f>
        <v>0</v>
      </c>
      <c r="FP125" s="160">
        <f>IF([Chambre2]*1='CHAMBRES FILLES 1e ETAGE'!$A$11,1,0)</f>
        <v>0</v>
      </c>
      <c r="FQ125" s="160">
        <f>IF([Occurrence19]=0,0,SUM($FP$2:FP125))</f>
        <v>0</v>
      </c>
      <c r="FR125" s="160">
        <f>IF([Chambre2]*1='CHAMBRES FILLES 1e ETAGE'!$A$17,1,0)</f>
        <v>0</v>
      </c>
      <c r="FS125" s="160">
        <f>IF([Occurrence20]=0,0,SUM($FR$2:FR125))</f>
        <v>0</v>
      </c>
      <c r="FT125" s="160">
        <f>IF([Chambre2]*1='CHAMBRES FILLES 1e ETAGE'!$A$23,1,0)</f>
        <v>0</v>
      </c>
      <c r="FU125" s="160">
        <f>IF([Occurrence21]=0,0,SUM($FT$2:FT125))</f>
        <v>0</v>
      </c>
      <c r="FV125" s="160">
        <f>IF([Chambre2]*1='CHAMBRES FILLES 1e ETAGE'!$A$29,1,0)</f>
        <v>0</v>
      </c>
      <c r="FW125" s="160">
        <f>IF([Occurrence22]=0,0,SUM($FV$2:FV125))</f>
        <v>0</v>
      </c>
      <c r="FX125" s="160">
        <f>IF([Chambre2]*1='CHAMBRES FILLES 1e ETAGE'!$A$35,1,0)</f>
        <v>0</v>
      </c>
      <c r="FY125" s="160">
        <f>IF([Occurrence23]=0,0,SUM($FX$2:FX125))</f>
        <v>0</v>
      </c>
      <c r="FZ125" s="160">
        <f>IF([Chambre2]*1='CHAMBRES FILLES 1e ETAGE'!$A$41,1,0)</f>
        <v>0</v>
      </c>
      <c r="GA125" s="160">
        <f>IF([Occurrence24]=0,0,SUM($FZ$2:FZ125))</f>
        <v>0</v>
      </c>
      <c r="GB125" s="160">
        <f>IF([Chambre2]*1='CHAMBRES FILLES 1e ETAGE'!$A$47,1,0)</f>
        <v>0</v>
      </c>
      <c r="GC125" s="160">
        <f>IF([Occurrence25]=0,0,SUM($GB$2:GB125))</f>
        <v>0</v>
      </c>
      <c r="GD125" s="160">
        <f>IF([Chambre2]*1='CHAMBRES FILLES 1e ETAGE'!$A$53,1,0)</f>
        <v>0</v>
      </c>
      <c r="GE125" s="160">
        <f>IF([Occurrence26]=0,0,SUM($GD$2:GD125))</f>
        <v>0</v>
      </c>
      <c r="GF125" s="160">
        <f>IF([chambre4]*1='CHAMBRES GARCONS 1e ETAGE'!$A$5,1,0)</f>
        <v>0</v>
      </c>
      <c r="GG125" s="160">
        <f>IF([Occurrence27]=0,0,SUM($GF$2:GF125))</f>
        <v>0</v>
      </c>
      <c r="GH125" s="160">
        <f>IF([chambre4]*1='CHAMBRES GARCONS 1e ETAGE'!$A$11,1,0)</f>
        <v>0</v>
      </c>
      <c r="GI125" s="160">
        <f>IF([Occurrence28]=0,0,SUM($GH$2:GH125))</f>
        <v>0</v>
      </c>
      <c r="GJ125" s="160">
        <f>IF([chambre4]*1='CHAMBRES GARCONS 1e ETAGE'!$A$17,1,0)</f>
        <v>0</v>
      </c>
      <c r="GK125" s="160">
        <f>IF([Occurrence29]=0,0,SUM($GJ$2:GJ125))</f>
        <v>0</v>
      </c>
      <c r="GL125" s="160">
        <f>IF([chambre4]*1='CHAMBRES GARCONS 1e ETAGE'!$A$23,1,0)</f>
        <v>0</v>
      </c>
      <c r="GM125" s="160">
        <f>IF([Occurrence30]=0,0,SUM($GL$2:GL125))</f>
        <v>0</v>
      </c>
      <c r="GN125" s="160">
        <f>IF([chambre4]*1='CHAMBRES GARCONS 1e ETAGE'!$A$29,1,0)</f>
        <v>0</v>
      </c>
      <c r="GO125" s="160">
        <f>IF([Occurrence31]=0,0,SUM($GN$2:GN125))</f>
        <v>0</v>
      </c>
      <c r="GP125" s="160">
        <f>IF([chambre4]*1='CHAMBRES GARCONS 1e ETAGE'!$A$35,1,0)</f>
        <v>0</v>
      </c>
      <c r="GQ125" s="160">
        <f>IF([Occurrence32]=0,0,SUM($GP$2:GP125))</f>
        <v>0</v>
      </c>
      <c r="GR125" s="160">
        <f>IF([chambre3]*1='CHAMBRES GARCONS RDC'!$A$5,1,0)</f>
        <v>1</v>
      </c>
      <c r="GS125" s="160">
        <f>IF([Occurrence33]=0,0,SUM($GR$2:GR125))</f>
        <v>3</v>
      </c>
      <c r="GT125" s="160">
        <f>IF([chambre3]*1='CHAMBRES GARCONS RDC'!$A$11,1,0)</f>
        <v>0</v>
      </c>
      <c r="GU125" s="160">
        <f>IF([Occurrence34]=0,0,SUM($GT$2:GT125))</f>
        <v>0</v>
      </c>
      <c r="GV125" s="160">
        <f>IF([chambre3]*1='CHAMBRES GARCONS RDC'!$A$17,1,0)</f>
        <v>0</v>
      </c>
      <c r="GW125" s="160">
        <f>IF([Occurrence35]=0,0,SUM($GV$2:GV125))</f>
        <v>0</v>
      </c>
      <c r="GX125" s="160">
        <f>IF([chambre3]*1='CHAMBRES GARCONS RDC'!$A$23,1,0)</f>
        <v>0</v>
      </c>
      <c r="GY125" s="160">
        <f>IF([Occurrence36]=0,0,SUM($GX$2:GX125))</f>
        <v>0</v>
      </c>
      <c r="GZ125" s="160">
        <f>IF([chambre3]*1='CHAMBRES GARCONS RDC'!$A$29,1,0)</f>
        <v>0</v>
      </c>
      <c r="HA125" s="160">
        <f>IF([Occurrence37]=0,0,SUM($GZ$2:GZ125))</f>
        <v>0</v>
      </c>
      <c r="HB125" s="160">
        <f>IF([chambre3]*1='CHAMBRES GARCONS RDC'!$A$35,1,0)</f>
        <v>0</v>
      </c>
      <c r="HC125" s="160">
        <f>IF([Occurrence38]=0,0,SUM($HB$2:HB125))</f>
        <v>0</v>
      </c>
      <c r="HD125" s="160">
        <f>IF([chambre3]*1='CHAMBRES GARCONS RDC'!$A$41,1,0)</f>
        <v>0</v>
      </c>
      <c r="HE125" s="160">
        <f>IF([Occurrence39]=0,0,SUM($HD$2:HD125))</f>
        <v>0</v>
      </c>
      <c r="HF125" s="160">
        <f>IF([chambre3]*1='CHAMBRES GARCONS RDC'!$A$47,1,0)</f>
        <v>0</v>
      </c>
      <c r="HG125" s="160">
        <f>IF([Occurrence40]=0,0,SUM($HF$2:HF125))</f>
        <v>0</v>
      </c>
      <c r="HH125" s="160">
        <f>IF([chambre3]*1='CHAMBRES GARCONS RDC'!$A$53,1,0)</f>
        <v>0</v>
      </c>
      <c r="HI125" s="160">
        <f>IF([Occurrence41]=0,0,SUM($HH$2:HH125))</f>
        <v>0</v>
      </c>
      <c r="HJ125" s="160">
        <f>IF([chambre3]*1='CHAMBRES GARCONS RDC'!$A$59,1,0)</f>
        <v>0</v>
      </c>
      <c r="HK125" s="160">
        <f>IF([Occurrence42]=0,0,SUM($HJ$2:HJ125))</f>
        <v>0</v>
      </c>
      <c r="HL125" s="160">
        <f>IF([chambre3]*1='CHAMBRES GARCONS RDC'!$A$65,1,0)</f>
        <v>0</v>
      </c>
      <c r="HM125" s="160">
        <f>IF([Occurrence43]=0,0,SUM($HL$2:HL125))</f>
        <v>0</v>
      </c>
      <c r="HN125" s="160">
        <f>IF([chambre3]*1='CHAMBRES GARCONS RDC'!$A$71,1,0)</f>
        <v>0</v>
      </c>
      <c r="HO125" s="160">
        <f>IF([Occurrence44]=0,0,SUM($HN$2:HN125))</f>
        <v>0</v>
      </c>
      <c r="HP125" s="160">
        <f>IF([chambre3]*1='CHAMBRES GARCONS RDC'!$A$77,1,0)</f>
        <v>0</v>
      </c>
      <c r="HQ125" s="160">
        <f>IF([Occurrence45]=0,0,SUM($HP$2:HP125))</f>
        <v>0</v>
      </c>
      <c r="HR125" s="160">
        <f>IF([chambre3]*1='CHAMBRES GARCONS RDC'!$A$83,1,0)</f>
        <v>0</v>
      </c>
      <c r="HS125" s="160">
        <f>IF([Occurrence46]=0,0,SUM($HR$2:HR125))</f>
        <v>0</v>
      </c>
      <c r="HT125" s="160">
        <f>IF([chambre3]*1='CHAMBRES GARCONS RDC'!$A$89,1,0)</f>
        <v>0</v>
      </c>
      <c r="HU125" s="160">
        <f>IF([Occurrence47]=0,0,SUM($HT$2:HT125))</f>
        <v>0</v>
      </c>
      <c r="HV125" s="160">
        <f>IF([chambre3]*1='CHAMBRES GARCONS RDC'!$A$95,1,0)</f>
        <v>0</v>
      </c>
      <c r="HW125" s="160">
        <f>IF([Occurrence48]=0,0,SUM($HV$2:HV125))</f>
        <v>0</v>
      </c>
      <c r="HX125" s="160"/>
      <c r="HY125" s="160"/>
      <c r="HZ125" s="160">
        <f>IF([Classe]='Liste élève par classes'!$B$5,1,0)</f>
        <v>0</v>
      </c>
      <c r="IA125" s="160">
        <f>IF([Occurrence]=0,0,SUM($HZ$2:HZ125))</f>
        <v>0</v>
      </c>
      <c r="IB12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105</v>
      </c>
      <c r="IC125" s="208"/>
    </row>
    <row r="126" spans="1:237">
      <c r="A126" t="s">
        <v>463</v>
      </c>
      <c r="B126" t="s">
        <v>412</v>
      </c>
      <c r="C126" s="158">
        <v>36742</v>
      </c>
      <c r="D126" s="62">
        <f t="shared" ca="1" si="1"/>
        <v>17</v>
      </c>
      <c r="E126" t="s">
        <v>10</v>
      </c>
      <c r="F126" s="159" t="s">
        <v>50</v>
      </c>
      <c r="G126" t="s">
        <v>45</v>
      </c>
      <c r="H126" s="160"/>
      <c r="I126" s="62"/>
      <c r="J126" s="161" t="s">
        <v>244</v>
      </c>
      <c r="K126" s="161"/>
      <c r="L126" s="160"/>
      <c r="M126">
        <v>193</v>
      </c>
      <c r="N126" s="161" t="s">
        <v>244</v>
      </c>
      <c r="O126" s="161" t="s">
        <v>244</v>
      </c>
      <c r="P126" s="161" t="s">
        <v>244</v>
      </c>
      <c r="Q126" s="161" t="s">
        <v>244</v>
      </c>
      <c r="R126" s="161" t="s">
        <v>244</v>
      </c>
      <c r="S126" s="190"/>
      <c r="T126" s="161" t="s">
        <v>244</v>
      </c>
      <c r="U126" s="160">
        <v>149</v>
      </c>
      <c r="V126" s="161" t="s">
        <v>244</v>
      </c>
      <c r="W126" s="161" t="s">
        <v>244</v>
      </c>
      <c r="X126" s="161" t="s">
        <v>244</v>
      </c>
      <c r="Y126" s="161" t="s">
        <v>244</v>
      </c>
      <c r="Z126" s="161" t="s">
        <v>244</v>
      </c>
      <c r="AA126" s="161" t="s">
        <v>244</v>
      </c>
      <c r="AB126" s="161" t="s">
        <v>244</v>
      </c>
      <c r="AC126" s="161" t="s">
        <v>244</v>
      </c>
      <c r="AD126" s="161" t="s">
        <v>244</v>
      </c>
      <c r="AE126" s="161" t="s">
        <v>244</v>
      </c>
      <c r="AF126" s="163" t="s">
        <v>244</v>
      </c>
      <c r="AG126" s="163" t="s">
        <v>244</v>
      </c>
      <c r="AH126" s="163" t="s">
        <v>244</v>
      </c>
      <c r="AI126" s="163"/>
      <c r="AJ126" s="163"/>
      <c r="AK126" s="163"/>
      <c r="AL126" s="163"/>
      <c r="AM126" s="163"/>
      <c r="AN126" s="163"/>
      <c r="AO126" s="163"/>
      <c r="AP126" s="163"/>
      <c r="AQ126" s="163"/>
      <c r="AR126" s="163"/>
      <c r="AS126" s="163"/>
      <c r="AT126" s="163"/>
      <c r="AU126" s="163"/>
      <c r="AV126" s="163"/>
      <c r="AW126" s="163"/>
      <c r="AX126" s="163"/>
      <c r="AY126" s="163"/>
      <c r="AZ126" s="163"/>
      <c r="BA126" s="163"/>
      <c r="BB126" s="163"/>
      <c r="BC126" s="163" t="b">
        <v>0</v>
      </c>
      <c r="BD126" s="163" t="b">
        <v>1</v>
      </c>
      <c r="BE126" s="163" t="b">
        <v>1</v>
      </c>
      <c r="BF126" s="163" t="b">
        <v>0</v>
      </c>
      <c r="BG126" s="164" t="b">
        <v>0</v>
      </c>
      <c r="BH126" s="163" t="b">
        <v>1</v>
      </c>
      <c r="BI126" s="163"/>
      <c r="BJ126" s="163"/>
      <c r="BK126" s="163"/>
      <c r="BL126" s="163"/>
      <c r="BM126" s="163"/>
      <c r="BN126" s="163"/>
      <c r="BO126" s="163"/>
      <c r="BP126" s="163"/>
      <c r="BQ126" s="163" t="b">
        <v>0</v>
      </c>
      <c r="BR126" s="163"/>
      <c r="BS126" s="163"/>
      <c r="BT126" s="163"/>
      <c r="BU126" s="163"/>
      <c r="BV126" s="163"/>
      <c r="BW126" s="163"/>
      <c r="BX126" s="163"/>
      <c r="BY126" s="163"/>
      <c r="BZ126" s="163"/>
      <c r="CA126" s="163"/>
      <c r="CB126" s="163"/>
      <c r="CC126" s="163"/>
      <c r="CD126" s="163"/>
      <c r="CE126" s="163"/>
      <c r="CF126" s="163"/>
      <c r="CG126" s="163"/>
      <c r="CH126" s="163"/>
      <c r="CI126" s="163"/>
      <c r="CJ126" s="163"/>
      <c r="CK126" s="163"/>
      <c r="CL126" s="163"/>
      <c r="CM126" s="163"/>
      <c r="CN126" s="163"/>
      <c r="CO126" s="163"/>
      <c r="CP126" s="163"/>
      <c r="CQ126" s="163"/>
      <c r="CR126" s="163"/>
      <c r="CS126" s="163"/>
      <c r="CT126" s="163"/>
      <c r="CU126" s="163"/>
      <c r="CV126" s="163"/>
      <c r="CW126" s="163"/>
      <c r="CX126" s="163"/>
      <c r="CY126" s="163"/>
      <c r="CZ126" s="163"/>
      <c r="DA126" s="163"/>
      <c r="DB126" s="163"/>
      <c r="DC126" s="163"/>
      <c r="DD126" s="163"/>
      <c r="DE126" s="163"/>
      <c r="DF126" s="163"/>
      <c r="DG126" s="208"/>
      <c r="DH126" s="163"/>
      <c r="DI126" s="163"/>
      <c r="DJ126" s="163"/>
      <c r="DK126" s="163"/>
      <c r="DL126" s="163"/>
      <c r="DM126" s="163"/>
      <c r="DN126" s="163"/>
      <c r="DO126" s="163"/>
      <c r="DP126" s="163"/>
      <c r="DQ126" s="163"/>
      <c r="DR126" s="163"/>
      <c r="DS126" s="163"/>
      <c r="DT126" s="163"/>
      <c r="DU126" s="163"/>
      <c r="DV126" s="163"/>
      <c r="DW126" s="163"/>
      <c r="DX126" s="163"/>
      <c r="DY126" s="163"/>
      <c r="DZ126" s="163"/>
      <c r="EA126" s="163"/>
      <c r="EB126" s="163"/>
      <c r="EC126" s="163"/>
      <c r="ED126" s="163"/>
      <c r="EE126" s="163"/>
      <c r="EF126" s="163"/>
      <c r="EG126" s="163"/>
      <c r="EH126" s="160">
        <f>IF([Chambre]*1='CHAMBRES FILLES 2e ETAGE'!$A$5,1,0)</f>
        <v>0</v>
      </c>
      <c r="EI126" s="161">
        <f>IF([Occurrence2]=0,0,SUM($EH$2:EH126))</f>
        <v>0</v>
      </c>
      <c r="EJ126" s="160">
        <f>IF([Chambre]*1='CHAMBRES FILLES 2e ETAGE'!$A$11,1,0)</f>
        <v>0</v>
      </c>
      <c r="EK126" s="160">
        <f>IF([Occurrence3]=0,0,SUM($EJ$2:EJ126))</f>
        <v>0</v>
      </c>
      <c r="EL126" s="160">
        <f>IF([Chambre]*1='CHAMBRES FILLES 2e ETAGE'!$A$17,1,0)</f>
        <v>0</v>
      </c>
      <c r="EM126" s="160">
        <f>IF([Occurrence4]=0,0,SUM($EL$2:EL126))</f>
        <v>0</v>
      </c>
      <c r="EN126" s="160">
        <f>IF([Chambre]*1='CHAMBRES FILLES 2e ETAGE'!$A$23,1,0)</f>
        <v>0</v>
      </c>
      <c r="EO126" s="160">
        <f>IF([Occurrence5]=0,0,SUM($EN$2:EN126))</f>
        <v>0</v>
      </c>
      <c r="EP126" s="160">
        <f>IF([Chambre]*1='CHAMBRES FILLES 2e ETAGE'!$A$29,1,0)</f>
        <v>0</v>
      </c>
      <c r="EQ126" s="160">
        <f>IF([Occurrence6]=0,0,SUM($EP$2:EP126))</f>
        <v>0</v>
      </c>
      <c r="ER126" s="160">
        <f>IF([Chambre]*1='CHAMBRES FILLES 2e ETAGE'!$A$35,1,0)</f>
        <v>0</v>
      </c>
      <c r="ES126" s="160">
        <f>IF([Occurrence7]=0,0,SUM($ER$2:ER126))</f>
        <v>0</v>
      </c>
      <c r="ET126" s="160">
        <f>IF([Chambre]*1='CHAMBRES FILLES 2e ETAGE'!$A$41,1,0)</f>
        <v>0</v>
      </c>
      <c r="EU126" s="160">
        <f>IF([Occurrence8]=0,0,SUM($ET$2:ET126))</f>
        <v>0</v>
      </c>
      <c r="EV126" s="160">
        <f>IF([Chambre]*1='CHAMBRES FILLES 2e ETAGE'!$A$47,1,0)</f>
        <v>0</v>
      </c>
      <c r="EW126" s="160">
        <f>IF([Occurrence9]=0,0,SUM($EV$2:EV126))</f>
        <v>0</v>
      </c>
      <c r="EX126" s="160">
        <f>IF([Chambre]*1='CHAMBRES FILLES 2e ETAGE'!$A$53,1,0)</f>
        <v>0</v>
      </c>
      <c r="EY126" s="160">
        <f>IF([Occurrence10]=0,0,SUM($EX$2:EX126))</f>
        <v>0</v>
      </c>
      <c r="EZ126" s="160">
        <f>IF([Chambre]*1='CHAMBRES FILLES 2e ETAGE'!$A$59,1,0)</f>
        <v>0</v>
      </c>
      <c r="FA126" s="160">
        <f>IF([Occurrence11]=0,0,SUM($EZ$2:EZ126))</f>
        <v>0</v>
      </c>
      <c r="FB126" s="160">
        <f>IF([Chambre]*1='CHAMBRES FILLES 2e ETAGE'!$A$65,1,0)</f>
        <v>0</v>
      </c>
      <c r="FC126" s="160">
        <f>IF([Occurrence12]=0,0,SUM($FB$2:FB126))</f>
        <v>0</v>
      </c>
      <c r="FD126" s="160">
        <f>IF([Chambre]*1='CHAMBRES FILLES 2e ETAGE'!$A$71,1,0)</f>
        <v>0</v>
      </c>
      <c r="FE126" s="160">
        <f>IF([Occurrence13]=0,0,SUM($FD$2:FD126))</f>
        <v>0</v>
      </c>
      <c r="FF126" s="160">
        <f>IF([Chambre]*1='CHAMBRES FILLES 2e ETAGE'!$A$77,1,0)</f>
        <v>0</v>
      </c>
      <c r="FG126" s="160">
        <f>IF([Occurrence14]=0,0,SUM($FF$2:FF126))</f>
        <v>0</v>
      </c>
      <c r="FH126" s="160">
        <f>IF([Chambre]*1='CHAMBRES FILLES 2e ETAGE'!$A$83,1,0)</f>
        <v>0</v>
      </c>
      <c r="FI126" s="160">
        <f>IF([Occurrence15]=0,0,SUM($FH$2:FH126))</f>
        <v>0</v>
      </c>
      <c r="FJ126" s="160">
        <f>IF([Chambre]*1='CHAMBRES FILLES 2e ETAGE'!$A$89,1,0)</f>
        <v>0</v>
      </c>
      <c r="FK126" s="160">
        <f>IF([Occurrence16]=0,0,SUM($FJ$2:FJ126))</f>
        <v>0</v>
      </c>
      <c r="FL126" s="160">
        <f>IF([Chambre]*1='CHAMBRES FILLES 2e ETAGE'!$A$95,1,0)</f>
        <v>0</v>
      </c>
      <c r="FM126" s="160">
        <f>IF([Occurrence17]=0,0,SUM($FL$2:FL126))</f>
        <v>0</v>
      </c>
      <c r="FN126" s="160">
        <f>IF([Chambre2]*1='CHAMBRES FILLES 1e ETAGE'!$A$5,1,0)</f>
        <v>0</v>
      </c>
      <c r="FO126" s="160">
        <f>IF([Occurrence18]=0,0,SUM($FN$2:FN126))</f>
        <v>0</v>
      </c>
      <c r="FP126" s="160">
        <f>IF([Chambre2]*1='CHAMBRES FILLES 1e ETAGE'!$A$11,1,0)</f>
        <v>0</v>
      </c>
      <c r="FQ126" s="160">
        <f>IF([Occurrence19]=0,0,SUM($FP$2:FP126))</f>
        <v>0</v>
      </c>
      <c r="FR126" s="160">
        <f>IF([Chambre2]*1='CHAMBRES FILLES 1e ETAGE'!$A$17,1,0)</f>
        <v>0</v>
      </c>
      <c r="FS126" s="160">
        <f>IF([Occurrence20]=0,0,SUM($FR$2:FR126))</f>
        <v>0</v>
      </c>
      <c r="FT126" s="160">
        <f>IF([Chambre2]*1='CHAMBRES FILLES 1e ETAGE'!$A$23,1,0)</f>
        <v>0</v>
      </c>
      <c r="FU126" s="160">
        <f>IF([Occurrence21]=0,0,SUM($FT$2:FT126))</f>
        <v>0</v>
      </c>
      <c r="FV126" s="160">
        <f>IF([Chambre2]*1='CHAMBRES FILLES 1e ETAGE'!$A$29,1,0)</f>
        <v>1</v>
      </c>
      <c r="FW126" s="160">
        <f>IF([Occurrence22]=0,0,SUM($FV$2:FV126))</f>
        <v>1</v>
      </c>
      <c r="FX126" s="160">
        <f>IF([Chambre2]*1='CHAMBRES FILLES 1e ETAGE'!$A$35,1,0)</f>
        <v>0</v>
      </c>
      <c r="FY126" s="160">
        <f>IF([Occurrence23]=0,0,SUM($FX$2:FX126))</f>
        <v>0</v>
      </c>
      <c r="FZ126" s="160">
        <f>IF([Chambre2]*1='CHAMBRES FILLES 1e ETAGE'!$A$41,1,0)</f>
        <v>0</v>
      </c>
      <c r="GA126" s="160">
        <f>IF([Occurrence24]=0,0,SUM($FZ$2:FZ126))</f>
        <v>0</v>
      </c>
      <c r="GB126" s="160">
        <f>IF([Chambre2]*1='CHAMBRES FILLES 1e ETAGE'!$A$47,1,0)</f>
        <v>0</v>
      </c>
      <c r="GC126" s="160">
        <f>IF([Occurrence25]=0,0,SUM($GB$2:GB126))</f>
        <v>0</v>
      </c>
      <c r="GD126" s="160">
        <f>IF([Chambre2]*1='CHAMBRES FILLES 1e ETAGE'!$A$53,1,0)</f>
        <v>0</v>
      </c>
      <c r="GE126" s="160">
        <f>IF([Occurrence26]=0,0,SUM($GD$2:GD126))</f>
        <v>0</v>
      </c>
      <c r="GF126" s="160">
        <f>IF([chambre4]*1='CHAMBRES GARCONS 1e ETAGE'!$A$5,1,0)</f>
        <v>0</v>
      </c>
      <c r="GG126" s="160">
        <f>IF([Occurrence27]=0,0,SUM($GF$2:GF126))</f>
        <v>0</v>
      </c>
      <c r="GH126" s="160">
        <f>IF([chambre4]*1='CHAMBRES GARCONS 1e ETAGE'!$A$11,1,0)</f>
        <v>0</v>
      </c>
      <c r="GI126" s="160">
        <f>IF([Occurrence28]=0,0,SUM($GH$2:GH126))</f>
        <v>0</v>
      </c>
      <c r="GJ126" s="160">
        <f>IF([chambre4]*1='CHAMBRES GARCONS 1e ETAGE'!$A$17,1,0)</f>
        <v>0</v>
      </c>
      <c r="GK126" s="160">
        <f>IF([Occurrence29]=0,0,SUM($GJ$2:GJ126))</f>
        <v>0</v>
      </c>
      <c r="GL126" s="160">
        <f>IF([chambre4]*1='CHAMBRES GARCONS 1e ETAGE'!$A$23,1,0)</f>
        <v>0</v>
      </c>
      <c r="GM126" s="160">
        <f>IF([Occurrence30]=0,0,SUM($GL$2:GL126))</f>
        <v>0</v>
      </c>
      <c r="GN126" s="160">
        <f>IF([chambre4]*1='CHAMBRES GARCONS 1e ETAGE'!$A$29,1,0)</f>
        <v>0</v>
      </c>
      <c r="GO126" s="160">
        <f>IF([Occurrence31]=0,0,SUM($GN$2:GN126))</f>
        <v>0</v>
      </c>
      <c r="GP126" s="160">
        <f>IF([chambre4]*1='CHAMBRES GARCONS 1e ETAGE'!$A$35,1,0)</f>
        <v>0</v>
      </c>
      <c r="GQ126" s="160">
        <f>IF([Occurrence32]=0,0,SUM($GP$2:GP126))</f>
        <v>0</v>
      </c>
      <c r="GR126" s="160">
        <f>IF([chambre3]*1='CHAMBRES GARCONS RDC'!$A$5,1,0)</f>
        <v>0</v>
      </c>
      <c r="GS126" s="160">
        <f>IF([Occurrence33]=0,0,SUM($GR$2:GR126))</f>
        <v>0</v>
      </c>
      <c r="GT126" s="160">
        <f>IF([chambre3]*1='CHAMBRES GARCONS RDC'!$A$11,1,0)</f>
        <v>0</v>
      </c>
      <c r="GU126" s="160">
        <f>IF([Occurrence34]=0,0,SUM($GT$2:GT126))</f>
        <v>0</v>
      </c>
      <c r="GV126" s="160">
        <f>IF([chambre3]*1='CHAMBRES GARCONS RDC'!$A$17,1,0)</f>
        <v>0</v>
      </c>
      <c r="GW126" s="160">
        <f>IF([Occurrence35]=0,0,SUM($GV$2:GV126))</f>
        <v>0</v>
      </c>
      <c r="GX126" s="160">
        <f>IF([chambre3]*1='CHAMBRES GARCONS RDC'!$A$23,1,0)</f>
        <v>0</v>
      </c>
      <c r="GY126" s="160">
        <f>IF([Occurrence36]=0,0,SUM($GX$2:GX126))</f>
        <v>0</v>
      </c>
      <c r="GZ126" s="160">
        <f>IF([chambre3]*1='CHAMBRES GARCONS RDC'!$A$29,1,0)</f>
        <v>0</v>
      </c>
      <c r="HA126" s="160">
        <f>IF([Occurrence37]=0,0,SUM($GZ$2:GZ126))</f>
        <v>0</v>
      </c>
      <c r="HB126" s="160">
        <f>IF([chambre3]*1='CHAMBRES GARCONS RDC'!$A$35,1,0)</f>
        <v>0</v>
      </c>
      <c r="HC126" s="160">
        <f>IF([Occurrence38]=0,0,SUM($HB$2:HB126))</f>
        <v>0</v>
      </c>
      <c r="HD126" s="160">
        <f>IF([chambre3]*1='CHAMBRES GARCONS RDC'!$A$41,1,0)</f>
        <v>0</v>
      </c>
      <c r="HE126" s="160">
        <f>IF([Occurrence39]=0,0,SUM($HD$2:HD126))</f>
        <v>0</v>
      </c>
      <c r="HF126" s="160">
        <f>IF([chambre3]*1='CHAMBRES GARCONS RDC'!$A$47,1,0)</f>
        <v>0</v>
      </c>
      <c r="HG126" s="160">
        <f>IF([Occurrence40]=0,0,SUM($HF$2:HF126))</f>
        <v>0</v>
      </c>
      <c r="HH126" s="160">
        <f>IF([chambre3]*1='CHAMBRES GARCONS RDC'!$A$53,1,0)</f>
        <v>0</v>
      </c>
      <c r="HI126" s="160">
        <f>IF([Occurrence41]=0,0,SUM($HH$2:HH126))</f>
        <v>0</v>
      </c>
      <c r="HJ126" s="160">
        <f>IF([chambre3]*1='CHAMBRES GARCONS RDC'!$A$59,1,0)</f>
        <v>0</v>
      </c>
      <c r="HK126" s="160">
        <f>IF([Occurrence42]=0,0,SUM($HJ$2:HJ126))</f>
        <v>0</v>
      </c>
      <c r="HL126" s="160">
        <f>IF([chambre3]*1='CHAMBRES GARCONS RDC'!$A$65,1,0)</f>
        <v>0</v>
      </c>
      <c r="HM126" s="160">
        <f>IF([Occurrence43]=0,0,SUM($HL$2:HL126))</f>
        <v>0</v>
      </c>
      <c r="HN126" s="160">
        <f>IF([chambre3]*1='CHAMBRES GARCONS RDC'!$A$71,1,0)</f>
        <v>0</v>
      </c>
      <c r="HO126" s="160">
        <f>IF([Occurrence44]=0,0,SUM($HN$2:HN126))</f>
        <v>0</v>
      </c>
      <c r="HP126" s="160">
        <f>IF([chambre3]*1='CHAMBRES GARCONS RDC'!$A$77,1,0)</f>
        <v>0</v>
      </c>
      <c r="HQ126" s="160">
        <f>IF([Occurrence45]=0,0,SUM($HP$2:HP126))</f>
        <v>0</v>
      </c>
      <c r="HR126" s="160">
        <f>IF([chambre3]*1='CHAMBRES GARCONS RDC'!$A$83,1,0)</f>
        <v>0</v>
      </c>
      <c r="HS126" s="160">
        <f>IF([Occurrence46]=0,0,SUM($HR$2:HR126))</f>
        <v>0</v>
      </c>
      <c r="HT126" s="160">
        <f>IF([chambre3]*1='CHAMBRES GARCONS RDC'!$A$89,1,0)</f>
        <v>0</v>
      </c>
      <c r="HU126" s="160">
        <f>IF([Occurrence47]=0,0,SUM($HT$2:HT126))</f>
        <v>0</v>
      </c>
      <c r="HV126" s="160">
        <f>IF([chambre3]*1='CHAMBRES GARCONS RDC'!$A$95,1,0)</f>
        <v>0</v>
      </c>
      <c r="HW126" s="160">
        <f>IF([Occurrence48]=0,0,SUM($HV$2:HV126))</f>
        <v>0</v>
      </c>
      <c r="HX126" s="160"/>
      <c r="HY126" s="160"/>
      <c r="HZ126" s="160">
        <f>IF([Classe]='Liste élève par classes'!$B$5,1,0)</f>
        <v>0</v>
      </c>
      <c r="IA126" s="160">
        <f>IF([Occurrence]=0,0,SUM($HZ$2:HZ126))</f>
        <v>0</v>
      </c>
      <c r="IB12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149</v>
      </c>
      <c r="IC126" s="208"/>
    </row>
    <row r="127" spans="1:237">
      <c r="A127" t="s">
        <v>464</v>
      </c>
      <c r="B127" t="s">
        <v>431</v>
      </c>
      <c r="C127" s="158">
        <v>37802</v>
      </c>
      <c r="D127" s="62">
        <f t="shared" ca="1" si="1"/>
        <v>14</v>
      </c>
      <c r="E127" t="s">
        <v>12</v>
      </c>
      <c r="F127" s="159" t="s">
        <v>50</v>
      </c>
      <c r="G127" t="s">
        <v>45</v>
      </c>
      <c r="H127" s="160"/>
      <c r="I127" s="62"/>
      <c r="J127" s="62"/>
      <c r="K127" s="62"/>
      <c r="L127" s="61">
        <v>164</v>
      </c>
      <c r="M127">
        <v>85</v>
      </c>
      <c r="N127" s="62"/>
      <c r="O127" s="62"/>
      <c r="P127" s="62"/>
      <c r="Q127" s="62"/>
      <c r="R127" s="62"/>
      <c r="S127" s="191"/>
      <c r="T127" s="62"/>
      <c r="U127" s="61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163"/>
      <c r="AG127" s="163"/>
      <c r="AH127" s="163"/>
      <c r="AI127" s="163"/>
      <c r="AJ127" s="163"/>
      <c r="AK127" s="163"/>
      <c r="AL127" s="163"/>
      <c r="AM127" s="163"/>
      <c r="AN127" s="163"/>
      <c r="AO127" s="163"/>
      <c r="AP127" s="163"/>
      <c r="AQ127" s="163"/>
      <c r="AR127" s="163"/>
      <c r="AS127" s="163"/>
      <c r="AT127" s="163"/>
      <c r="AU127" s="163"/>
      <c r="AV127" s="163"/>
      <c r="AW127" s="163"/>
      <c r="AX127" s="163"/>
      <c r="AY127" s="163"/>
      <c r="AZ127" s="163"/>
      <c r="BA127" s="163"/>
      <c r="BB127" s="163"/>
      <c r="BC127" s="163" t="b">
        <v>0</v>
      </c>
      <c r="BD127" s="163" t="b">
        <v>1</v>
      </c>
      <c r="BE127" s="163" t="b">
        <v>1</v>
      </c>
      <c r="BF127" s="163" t="b">
        <v>0</v>
      </c>
      <c r="BG127" s="163" t="b">
        <v>1</v>
      </c>
      <c r="BH127" s="163" t="b">
        <v>0</v>
      </c>
      <c r="BI127" s="163"/>
      <c r="BJ127" s="163"/>
      <c r="BK127" s="163"/>
      <c r="BL127" s="163"/>
      <c r="BM127" s="163"/>
      <c r="BN127" s="163"/>
      <c r="BO127" s="163"/>
      <c r="BP127" s="163"/>
      <c r="BQ127" s="163" t="b">
        <v>1</v>
      </c>
      <c r="BR127" s="163"/>
      <c r="BS127" s="163"/>
      <c r="BT127" s="163"/>
      <c r="BU127" s="163"/>
      <c r="BV127" s="163"/>
      <c r="BW127" s="163"/>
      <c r="BX127" s="163"/>
      <c r="BY127" s="163"/>
      <c r="BZ127" s="163"/>
      <c r="CA127" s="163"/>
      <c r="CB127" s="163"/>
      <c r="CC127" s="163"/>
      <c r="CD127" s="163"/>
      <c r="CE127" s="163"/>
      <c r="CF127" s="163"/>
      <c r="CG127" s="163"/>
      <c r="CH127" s="163"/>
      <c r="CI127" s="163"/>
      <c r="CJ127" s="163"/>
      <c r="CK127" s="163"/>
      <c r="CL127" s="163"/>
      <c r="CM127" s="163"/>
      <c r="CN127" s="163"/>
      <c r="CO127" s="163"/>
      <c r="CP127" s="163"/>
      <c r="CQ127" s="163"/>
      <c r="CR127" s="163"/>
      <c r="CS127" s="163"/>
      <c r="CT127" s="163"/>
      <c r="CU127" s="163"/>
      <c r="CV127" s="163"/>
      <c r="CW127" s="163"/>
      <c r="CX127" s="163"/>
      <c r="CY127" s="163"/>
      <c r="CZ127" s="163"/>
      <c r="DA127" s="163"/>
      <c r="DB127" s="163"/>
      <c r="DC127" s="163"/>
      <c r="DD127" s="163"/>
      <c r="DE127" s="163"/>
      <c r="DF127" s="163"/>
      <c r="DG127" s="208"/>
      <c r="DH127" s="163"/>
      <c r="DI127" s="163"/>
      <c r="DJ127" s="163"/>
      <c r="DK127" s="163"/>
      <c r="DL127" s="163"/>
      <c r="DM127" s="163"/>
      <c r="DN127" s="163"/>
      <c r="DO127" s="163"/>
      <c r="DP127" s="163"/>
      <c r="DQ127" s="163"/>
      <c r="DR127" s="163"/>
      <c r="DS127" s="163"/>
      <c r="DT127" s="163"/>
      <c r="DU127" s="163"/>
      <c r="DV127" s="163"/>
      <c r="DW127" s="163"/>
      <c r="DX127" s="163"/>
      <c r="DY127" s="163"/>
      <c r="DZ127" s="163"/>
      <c r="EA127" s="163"/>
      <c r="EB127" s="163"/>
      <c r="EC127" s="163"/>
      <c r="ED127" s="163"/>
      <c r="EE127" s="163"/>
      <c r="EF127" s="163"/>
      <c r="EG127" s="163"/>
      <c r="EH127" s="160">
        <f>IF([Chambre]*1='CHAMBRES FILLES 2e ETAGE'!$A$5,1,0)</f>
        <v>0</v>
      </c>
      <c r="EI127" s="161">
        <f>IF([Occurrence2]=0,0,SUM($EH$2:EH127))</f>
        <v>0</v>
      </c>
      <c r="EJ127" s="160">
        <f>IF([Chambre]*1='CHAMBRES FILLES 2e ETAGE'!$A$11,1,0)</f>
        <v>0</v>
      </c>
      <c r="EK127" s="160">
        <f>IF([Occurrence3]=0,0,SUM($EJ$2:EJ127))</f>
        <v>0</v>
      </c>
      <c r="EL127" s="160">
        <f>IF([Chambre]*1='CHAMBRES FILLES 2e ETAGE'!$A$17,1,0)</f>
        <v>0</v>
      </c>
      <c r="EM127" s="160">
        <f>IF([Occurrence4]=0,0,SUM($EL$2:EL127))</f>
        <v>0</v>
      </c>
      <c r="EN127" s="160">
        <f>IF([Chambre]*1='CHAMBRES FILLES 2e ETAGE'!$A$23,1,0)</f>
        <v>0</v>
      </c>
      <c r="EO127" s="160">
        <f>IF([Occurrence5]=0,0,SUM($EN$2:EN127))</f>
        <v>0</v>
      </c>
      <c r="EP127" s="160">
        <f>IF([Chambre]*1='CHAMBRES FILLES 2e ETAGE'!$A$29,1,0)</f>
        <v>0</v>
      </c>
      <c r="EQ127" s="160">
        <f>IF([Occurrence6]=0,0,SUM($EP$2:EP127))</f>
        <v>0</v>
      </c>
      <c r="ER127" s="160">
        <f>IF([Chambre]*1='CHAMBRES FILLES 2e ETAGE'!$A$35,1,0)</f>
        <v>0</v>
      </c>
      <c r="ES127" s="160">
        <f>IF([Occurrence7]=0,0,SUM($ER$2:ER127))</f>
        <v>0</v>
      </c>
      <c r="ET127" s="160">
        <f>IF([Chambre]*1='CHAMBRES FILLES 2e ETAGE'!$A$41,1,0)</f>
        <v>0</v>
      </c>
      <c r="EU127" s="160">
        <f>IF([Occurrence8]=0,0,SUM($ET$2:ET127))</f>
        <v>0</v>
      </c>
      <c r="EV127" s="160">
        <f>IF([Chambre]*1='CHAMBRES FILLES 2e ETAGE'!$A$47,1,0)</f>
        <v>1</v>
      </c>
      <c r="EW127" s="160">
        <f>IF([Occurrence9]=0,0,SUM($EV$2:EV127))</f>
        <v>4</v>
      </c>
      <c r="EX127" s="160">
        <f>IF([Chambre]*1='CHAMBRES FILLES 2e ETAGE'!$A$53,1,0)</f>
        <v>0</v>
      </c>
      <c r="EY127" s="160">
        <f>IF([Occurrence10]=0,0,SUM($EX$2:EX127))</f>
        <v>0</v>
      </c>
      <c r="EZ127" s="160">
        <f>IF([Chambre]*1='CHAMBRES FILLES 2e ETAGE'!$A$59,1,0)</f>
        <v>0</v>
      </c>
      <c r="FA127" s="160">
        <f>IF([Occurrence11]=0,0,SUM($EZ$2:EZ127))</f>
        <v>0</v>
      </c>
      <c r="FB127" s="160">
        <f>IF([Chambre]*1='CHAMBRES FILLES 2e ETAGE'!$A$65,1,0)</f>
        <v>0</v>
      </c>
      <c r="FC127" s="160">
        <f>IF([Occurrence12]=0,0,SUM($FB$2:FB127))</f>
        <v>0</v>
      </c>
      <c r="FD127" s="160">
        <f>IF([Chambre]*1='CHAMBRES FILLES 2e ETAGE'!$A$71,1,0)</f>
        <v>0</v>
      </c>
      <c r="FE127" s="160">
        <f>IF([Occurrence13]=0,0,SUM($FD$2:FD127))</f>
        <v>0</v>
      </c>
      <c r="FF127" s="160">
        <f>IF([Chambre]*1='CHAMBRES FILLES 2e ETAGE'!$A$77,1,0)</f>
        <v>0</v>
      </c>
      <c r="FG127" s="160">
        <f>IF([Occurrence14]=0,0,SUM($FF$2:FF127))</f>
        <v>0</v>
      </c>
      <c r="FH127" s="160">
        <f>IF([Chambre]*1='CHAMBRES FILLES 2e ETAGE'!$A$83,1,0)</f>
        <v>0</v>
      </c>
      <c r="FI127" s="160">
        <f>IF([Occurrence15]=0,0,SUM($FH$2:FH127))</f>
        <v>0</v>
      </c>
      <c r="FJ127" s="160">
        <f>IF([Chambre]*1='CHAMBRES FILLES 2e ETAGE'!$A$89,1,0)</f>
        <v>0</v>
      </c>
      <c r="FK127" s="160">
        <f>IF([Occurrence16]=0,0,SUM($FJ$2:FJ127))</f>
        <v>0</v>
      </c>
      <c r="FL127" s="160">
        <f>IF([Chambre]*1='CHAMBRES FILLES 2e ETAGE'!$A$95,1,0)</f>
        <v>0</v>
      </c>
      <c r="FM127" s="160">
        <f>IF([Occurrence17]=0,0,SUM($FL$2:FL127))</f>
        <v>0</v>
      </c>
      <c r="FN127" s="160">
        <f>IF([Chambre2]*1='CHAMBRES FILLES 1e ETAGE'!$A$5,1,0)</f>
        <v>0</v>
      </c>
      <c r="FO127" s="160">
        <f>IF([Occurrence18]=0,0,SUM($FN$2:FN127))</f>
        <v>0</v>
      </c>
      <c r="FP127" s="160">
        <f>IF([Chambre2]*1='CHAMBRES FILLES 1e ETAGE'!$A$11,1,0)</f>
        <v>0</v>
      </c>
      <c r="FQ127" s="160">
        <f>IF([Occurrence19]=0,0,SUM($FP$2:FP127))</f>
        <v>0</v>
      </c>
      <c r="FR127" s="160">
        <f>IF([Chambre2]*1='CHAMBRES FILLES 1e ETAGE'!$A$17,1,0)</f>
        <v>0</v>
      </c>
      <c r="FS127" s="160">
        <f>IF([Occurrence20]=0,0,SUM($FR$2:FR127))</f>
        <v>0</v>
      </c>
      <c r="FT127" s="160">
        <f>IF([Chambre2]*1='CHAMBRES FILLES 1e ETAGE'!$A$23,1,0)</f>
        <v>0</v>
      </c>
      <c r="FU127" s="160">
        <f>IF([Occurrence21]=0,0,SUM($FT$2:FT127))</f>
        <v>0</v>
      </c>
      <c r="FV127" s="160">
        <f>IF([Chambre2]*1='CHAMBRES FILLES 1e ETAGE'!$A$29,1,0)</f>
        <v>0</v>
      </c>
      <c r="FW127" s="160">
        <f>IF([Occurrence22]=0,0,SUM($FV$2:FV127))</f>
        <v>0</v>
      </c>
      <c r="FX127" s="160">
        <f>IF([Chambre2]*1='CHAMBRES FILLES 1e ETAGE'!$A$35,1,0)</f>
        <v>0</v>
      </c>
      <c r="FY127" s="160">
        <f>IF([Occurrence23]=0,0,SUM($FX$2:FX127))</f>
        <v>0</v>
      </c>
      <c r="FZ127" s="160">
        <f>IF([Chambre2]*1='CHAMBRES FILLES 1e ETAGE'!$A$41,1,0)</f>
        <v>0</v>
      </c>
      <c r="GA127" s="160">
        <f>IF([Occurrence24]=0,0,SUM($FZ$2:FZ127))</f>
        <v>0</v>
      </c>
      <c r="GB127" s="160">
        <f>IF([Chambre2]*1='CHAMBRES FILLES 1e ETAGE'!$A$47,1,0)</f>
        <v>0</v>
      </c>
      <c r="GC127" s="160">
        <f>IF([Occurrence25]=0,0,SUM($GB$2:GB127))</f>
        <v>0</v>
      </c>
      <c r="GD127" s="160">
        <f>IF([Chambre2]*1='CHAMBRES FILLES 1e ETAGE'!$A$53,1,0)</f>
        <v>0</v>
      </c>
      <c r="GE127" s="160">
        <f>IF([Occurrence26]=0,0,SUM($GD$2:GD127))</f>
        <v>0</v>
      </c>
      <c r="GF127" s="160">
        <f>IF([chambre4]*1='CHAMBRES GARCONS 1e ETAGE'!$A$5,1,0)</f>
        <v>0</v>
      </c>
      <c r="GG127" s="160">
        <f>IF([Occurrence27]=0,0,SUM($GF$2:GF127))</f>
        <v>0</v>
      </c>
      <c r="GH127" s="160">
        <f>IF([chambre4]*1='CHAMBRES GARCONS 1e ETAGE'!$A$11,1,0)</f>
        <v>0</v>
      </c>
      <c r="GI127" s="160">
        <f>IF([Occurrence28]=0,0,SUM($GH$2:GH127))</f>
        <v>0</v>
      </c>
      <c r="GJ127" s="160">
        <f>IF([chambre4]*1='CHAMBRES GARCONS 1e ETAGE'!$A$17,1,0)</f>
        <v>0</v>
      </c>
      <c r="GK127" s="160">
        <f>IF([Occurrence29]=0,0,SUM($GJ$2:GJ127))</f>
        <v>0</v>
      </c>
      <c r="GL127" s="160">
        <f>IF([chambre4]*1='CHAMBRES GARCONS 1e ETAGE'!$A$23,1,0)</f>
        <v>0</v>
      </c>
      <c r="GM127" s="160">
        <f>IF([Occurrence30]=0,0,SUM($GL$2:GL127))</f>
        <v>0</v>
      </c>
      <c r="GN127" s="160">
        <f>IF([chambre4]*1='CHAMBRES GARCONS 1e ETAGE'!$A$29,1,0)</f>
        <v>0</v>
      </c>
      <c r="GO127" s="160">
        <f>IF([Occurrence31]=0,0,SUM($GN$2:GN127))</f>
        <v>0</v>
      </c>
      <c r="GP127" s="160">
        <f>IF([chambre4]*1='CHAMBRES GARCONS 1e ETAGE'!$A$35,1,0)</f>
        <v>0</v>
      </c>
      <c r="GQ127" s="160">
        <f>IF([Occurrence32]=0,0,SUM($GP$2:GP127))</f>
        <v>0</v>
      </c>
      <c r="GR127" s="160">
        <f>IF([chambre3]*1='CHAMBRES GARCONS RDC'!$A$5,1,0)</f>
        <v>0</v>
      </c>
      <c r="GS127" s="160">
        <f>IF([Occurrence33]=0,0,SUM($GR$2:GR127))</f>
        <v>0</v>
      </c>
      <c r="GT127" s="160">
        <f>IF([chambre3]*1='CHAMBRES GARCONS RDC'!$A$11,1,0)</f>
        <v>0</v>
      </c>
      <c r="GU127" s="160">
        <f>IF([Occurrence34]=0,0,SUM($GT$2:GT127))</f>
        <v>0</v>
      </c>
      <c r="GV127" s="160">
        <f>IF([chambre3]*1='CHAMBRES GARCONS RDC'!$A$17,1,0)</f>
        <v>0</v>
      </c>
      <c r="GW127" s="160">
        <f>IF([Occurrence35]=0,0,SUM($GV$2:GV127))</f>
        <v>0</v>
      </c>
      <c r="GX127" s="160">
        <f>IF([chambre3]*1='CHAMBRES GARCONS RDC'!$A$23,1,0)</f>
        <v>0</v>
      </c>
      <c r="GY127" s="160">
        <f>IF([Occurrence36]=0,0,SUM($GX$2:GX127))</f>
        <v>0</v>
      </c>
      <c r="GZ127" s="160">
        <f>IF([chambre3]*1='CHAMBRES GARCONS RDC'!$A$29,1,0)</f>
        <v>0</v>
      </c>
      <c r="HA127" s="160">
        <f>IF([Occurrence37]=0,0,SUM($GZ$2:GZ127))</f>
        <v>0</v>
      </c>
      <c r="HB127" s="160">
        <f>IF([chambre3]*1='CHAMBRES GARCONS RDC'!$A$35,1,0)</f>
        <v>0</v>
      </c>
      <c r="HC127" s="160">
        <f>IF([Occurrence38]=0,0,SUM($HB$2:HB127))</f>
        <v>0</v>
      </c>
      <c r="HD127" s="160">
        <f>IF([chambre3]*1='CHAMBRES GARCONS RDC'!$A$41,1,0)</f>
        <v>0</v>
      </c>
      <c r="HE127" s="160">
        <f>IF([Occurrence39]=0,0,SUM($HD$2:HD127))</f>
        <v>0</v>
      </c>
      <c r="HF127" s="160">
        <f>IF([chambre3]*1='CHAMBRES GARCONS RDC'!$A$47,1,0)</f>
        <v>0</v>
      </c>
      <c r="HG127" s="160">
        <f>IF([Occurrence40]=0,0,SUM($HF$2:HF127))</f>
        <v>0</v>
      </c>
      <c r="HH127" s="160">
        <f>IF([chambre3]*1='CHAMBRES GARCONS RDC'!$A$53,1,0)</f>
        <v>0</v>
      </c>
      <c r="HI127" s="160">
        <f>IF([Occurrence41]=0,0,SUM($HH$2:HH127))</f>
        <v>0</v>
      </c>
      <c r="HJ127" s="160">
        <f>IF([chambre3]*1='CHAMBRES GARCONS RDC'!$A$59,1,0)</f>
        <v>0</v>
      </c>
      <c r="HK127" s="160">
        <f>IF([Occurrence42]=0,0,SUM($HJ$2:HJ127))</f>
        <v>0</v>
      </c>
      <c r="HL127" s="160">
        <f>IF([chambre3]*1='CHAMBRES GARCONS RDC'!$A$65,1,0)</f>
        <v>0</v>
      </c>
      <c r="HM127" s="160">
        <f>IF([Occurrence43]=0,0,SUM($HL$2:HL127))</f>
        <v>0</v>
      </c>
      <c r="HN127" s="160">
        <f>IF([chambre3]*1='CHAMBRES GARCONS RDC'!$A$71,1,0)</f>
        <v>0</v>
      </c>
      <c r="HO127" s="160">
        <f>IF([Occurrence44]=0,0,SUM($HN$2:HN127))</f>
        <v>0</v>
      </c>
      <c r="HP127" s="160">
        <f>IF([chambre3]*1='CHAMBRES GARCONS RDC'!$A$77,1,0)</f>
        <v>0</v>
      </c>
      <c r="HQ127" s="160">
        <f>IF([Occurrence45]=0,0,SUM($HP$2:HP127))</f>
        <v>0</v>
      </c>
      <c r="HR127" s="160">
        <f>IF([chambre3]*1='CHAMBRES GARCONS RDC'!$A$83,1,0)</f>
        <v>0</v>
      </c>
      <c r="HS127" s="160">
        <f>IF([Occurrence46]=0,0,SUM($HR$2:HR127))</f>
        <v>0</v>
      </c>
      <c r="HT127" s="160">
        <f>IF([chambre3]*1='CHAMBRES GARCONS RDC'!$A$89,1,0)</f>
        <v>0</v>
      </c>
      <c r="HU127" s="160">
        <f>IF([Occurrence47]=0,0,SUM($HT$2:HT127))</f>
        <v>0</v>
      </c>
      <c r="HV127" s="160">
        <f>IF([chambre3]*1='CHAMBRES GARCONS RDC'!$A$95,1,0)</f>
        <v>0</v>
      </c>
      <c r="HW127" s="160">
        <f>IF([Occurrence48]=0,0,SUM($HV$2:HV127))</f>
        <v>0</v>
      </c>
      <c r="HX127" s="160"/>
      <c r="HY127" s="160"/>
      <c r="HZ127" s="160">
        <f>IF([Classe]='Liste élève par classes'!$B$5,1,0)</f>
        <v>0</v>
      </c>
      <c r="IA127" s="160">
        <f>IF([Occurrence]=0,0,SUM($HZ$2:HZ127))</f>
        <v>0</v>
      </c>
      <c r="IB12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164</v>
      </c>
      <c r="IC127" s="208"/>
    </row>
    <row r="128" spans="1:237">
      <c r="A128" t="s">
        <v>465</v>
      </c>
      <c r="B128" t="s">
        <v>293</v>
      </c>
      <c r="C128" s="158">
        <v>36794</v>
      </c>
      <c r="D128" s="62">
        <f t="shared" ca="1" si="1"/>
        <v>17</v>
      </c>
      <c r="E128" t="s">
        <v>0</v>
      </c>
      <c r="F128" s="159" t="s">
        <v>46</v>
      </c>
      <c r="G128" t="s">
        <v>40</v>
      </c>
      <c r="H128" s="160"/>
      <c r="I128" s="161"/>
      <c r="J128" s="161"/>
      <c r="K128" s="161"/>
      <c r="L128" s="160"/>
      <c r="M128">
        <v>215</v>
      </c>
      <c r="N128" s="161"/>
      <c r="O128" s="161"/>
      <c r="P128" s="161"/>
      <c r="Q128" s="161"/>
      <c r="R128" s="161"/>
      <c r="S128" s="161"/>
      <c r="T128" s="161"/>
      <c r="U128" s="160"/>
      <c r="V128" s="161"/>
      <c r="W128" s="161"/>
      <c r="X128" s="161"/>
      <c r="Y128" s="161"/>
      <c r="Z128" s="161"/>
      <c r="AA128" s="161"/>
      <c r="AB128" s="161"/>
      <c r="AC128" s="161"/>
      <c r="AD128" s="161"/>
      <c r="AE128" s="161"/>
      <c r="AF128" s="163"/>
      <c r="AG128" s="163"/>
      <c r="AH128" s="163"/>
      <c r="AI128" s="163"/>
      <c r="AJ128" s="163"/>
      <c r="AK128" s="163"/>
      <c r="AL128" s="163"/>
      <c r="AM128" s="163"/>
      <c r="AN128" s="163"/>
      <c r="AO128" s="163"/>
      <c r="AP128" s="163"/>
      <c r="AQ128" s="163"/>
      <c r="AR128" s="163"/>
      <c r="AS128" s="163"/>
      <c r="AT128" s="163"/>
      <c r="AU128" s="163"/>
      <c r="AV128" s="163"/>
      <c r="AW128" s="163"/>
      <c r="AX128" s="163"/>
      <c r="AY128" s="163"/>
      <c r="AZ128" s="163"/>
      <c r="BA128" s="163"/>
      <c r="BB128" s="163"/>
      <c r="BC128" s="163"/>
      <c r="BD128" s="163"/>
      <c r="BE128" s="163"/>
      <c r="BF128" s="163"/>
      <c r="BG128" s="163"/>
      <c r="BH128" s="163"/>
      <c r="BI128" s="163"/>
      <c r="BJ128" s="163"/>
      <c r="BK128" s="163"/>
      <c r="BL128" s="163"/>
      <c r="BM128" s="163"/>
      <c r="BN128" s="163"/>
      <c r="BO128" s="163"/>
      <c r="BP128" s="163"/>
      <c r="BQ128" s="163"/>
      <c r="BR128" s="163"/>
      <c r="BS128" s="163"/>
      <c r="BT128" s="163"/>
      <c r="BU128" s="163"/>
      <c r="BV128" s="163"/>
      <c r="BW128" s="163"/>
      <c r="BX128" s="163"/>
      <c r="BY128" s="163"/>
      <c r="BZ128" s="163"/>
      <c r="CA128" s="163"/>
      <c r="CB128" s="163"/>
      <c r="CC128" s="163"/>
      <c r="CD128" s="163"/>
      <c r="CE128" s="163"/>
      <c r="CF128" s="163"/>
      <c r="CG128" s="163"/>
      <c r="CH128" s="163"/>
      <c r="CI128" s="163"/>
      <c r="CJ128" s="163"/>
      <c r="CK128" s="163"/>
      <c r="CL128" s="163"/>
      <c r="CM128" s="163"/>
      <c r="CN128" s="163"/>
      <c r="CO128" s="163"/>
      <c r="CP128" s="163"/>
      <c r="CQ128" s="163"/>
      <c r="CR128" s="163"/>
      <c r="CS128" s="163"/>
      <c r="CT128" s="163"/>
      <c r="CU128" s="163"/>
      <c r="CV128" s="163"/>
      <c r="CW128" s="163"/>
      <c r="CX128" s="163"/>
      <c r="CY128" s="163"/>
      <c r="CZ128" s="163"/>
      <c r="DA128" s="163"/>
      <c r="DB128" s="163"/>
      <c r="DC128" s="163"/>
      <c r="DD128" s="163"/>
      <c r="DE128" s="163"/>
      <c r="DF128" s="163"/>
      <c r="DG128" s="163"/>
      <c r="DH128" s="163"/>
      <c r="DI128" s="163"/>
      <c r="DJ128" s="163"/>
      <c r="DK128" s="163"/>
      <c r="DL128" s="163"/>
      <c r="DM128" s="163"/>
      <c r="DN128" s="163"/>
      <c r="DO128" s="163"/>
      <c r="DP128" s="163"/>
      <c r="DQ128" s="163"/>
      <c r="DR128" s="163"/>
      <c r="DS128" s="163"/>
      <c r="DT128" s="163"/>
      <c r="DU128" s="163"/>
      <c r="DV128" s="163"/>
      <c r="DW128" s="163"/>
      <c r="DX128" s="163"/>
      <c r="DY128" s="163"/>
      <c r="DZ128" s="163"/>
      <c r="EA128" s="163"/>
      <c r="EB128" s="163"/>
      <c r="EC128" s="163"/>
      <c r="ED128" s="163"/>
      <c r="EE128" s="163"/>
      <c r="EF128" s="163"/>
      <c r="EG128" s="163"/>
      <c r="EH128" s="160">
        <f>IF([Chambre]*1='CHAMBRES FILLES 2e ETAGE'!$A$5,1,0)</f>
        <v>0</v>
      </c>
      <c r="EI128" s="161">
        <f>IF([Occurrence2]=0,0,SUM($EH$2:EH128))</f>
        <v>0</v>
      </c>
      <c r="EJ128" s="160">
        <f>IF([Chambre]*1='CHAMBRES FILLES 2e ETAGE'!$A$11,1,0)</f>
        <v>0</v>
      </c>
      <c r="EK128" s="160">
        <f>IF([Occurrence3]=0,0,SUM($EJ$2:EJ128))</f>
        <v>0</v>
      </c>
      <c r="EL128" s="160">
        <f>IF([Chambre]*1='CHAMBRES FILLES 2e ETAGE'!$A$17,1,0)</f>
        <v>0</v>
      </c>
      <c r="EM128" s="160">
        <f>IF([Occurrence4]=0,0,SUM($EL$2:EL128))</f>
        <v>0</v>
      </c>
      <c r="EN128" s="160">
        <f>IF([Chambre]*1='CHAMBRES FILLES 2e ETAGE'!$A$23,1,0)</f>
        <v>0</v>
      </c>
      <c r="EO128" s="160">
        <f>IF([Occurrence5]=0,0,SUM($EN$2:EN128))</f>
        <v>0</v>
      </c>
      <c r="EP128" s="160">
        <f>IF([Chambre]*1='CHAMBRES FILLES 2e ETAGE'!$A$29,1,0)</f>
        <v>0</v>
      </c>
      <c r="EQ128" s="160">
        <f>IF([Occurrence6]=0,0,SUM($EP$2:EP128))</f>
        <v>0</v>
      </c>
      <c r="ER128" s="160">
        <f>IF([Chambre]*1='CHAMBRES FILLES 2e ETAGE'!$A$35,1,0)</f>
        <v>0</v>
      </c>
      <c r="ES128" s="160">
        <f>IF([Occurrence7]=0,0,SUM($ER$2:ER128))</f>
        <v>0</v>
      </c>
      <c r="ET128" s="160">
        <f>IF([Chambre]*1='CHAMBRES FILLES 2e ETAGE'!$A$41,1,0)</f>
        <v>0</v>
      </c>
      <c r="EU128" s="160">
        <f>IF([Occurrence8]=0,0,SUM($ET$2:ET128))</f>
        <v>0</v>
      </c>
      <c r="EV128" s="160">
        <f>IF([Chambre]*1='CHAMBRES FILLES 2e ETAGE'!$A$47,1,0)</f>
        <v>0</v>
      </c>
      <c r="EW128" s="160">
        <f>IF([Occurrence9]=0,0,SUM($EV$2:EV128))</f>
        <v>0</v>
      </c>
      <c r="EX128" s="160">
        <f>IF([Chambre]*1='CHAMBRES FILLES 2e ETAGE'!$A$53,1,0)</f>
        <v>0</v>
      </c>
      <c r="EY128" s="160">
        <f>IF([Occurrence10]=0,0,SUM($EX$2:EX128))</f>
        <v>0</v>
      </c>
      <c r="EZ128" s="160">
        <f>IF([Chambre]*1='CHAMBRES FILLES 2e ETAGE'!$A$59,1,0)</f>
        <v>0</v>
      </c>
      <c r="FA128" s="160">
        <f>IF([Occurrence11]=0,0,SUM($EZ$2:EZ128))</f>
        <v>0</v>
      </c>
      <c r="FB128" s="160">
        <f>IF([Chambre]*1='CHAMBRES FILLES 2e ETAGE'!$A$65,1,0)</f>
        <v>0</v>
      </c>
      <c r="FC128" s="160">
        <f>IF([Occurrence12]=0,0,SUM($FB$2:FB128))</f>
        <v>0</v>
      </c>
      <c r="FD128" s="160">
        <f>IF([Chambre]*1='CHAMBRES FILLES 2e ETAGE'!$A$71,1,0)</f>
        <v>0</v>
      </c>
      <c r="FE128" s="160">
        <f>IF([Occurrence13]=0,0,SUM($FD$2:FD128))</f>
        <v>0</v>
      </c>
      <c r="FF128" s="160">
        <f>IF([Chambre]*1='CHAMBRES FILLES 2e ETAGE'!$A$77,1,0)</f>
        <v>0</v>
      </c>
      <c r="FG128" s="160">
        <f>IF([Occurrence14]=0,0,SUM($FF$2:FF128))</f>
        <v>0</v>
      </c>
      <c r="FH128" s="160">
        <f>IF([Chambre]*1='CHAMBRES FILLES 2e ETAGE'!$A$83,1,0)</f>
        <v>0</v>
      </c>
      <c r="FI128" s="160">
        <f>IF([Occurrence15]=0,0,SUM($FH$2:FH128))</f>
        <v>0</v>
      </c>
      <c r="FJ128" s="160">
        <f>IF([Chambre]*1='CHAMBRES FILLES 2e ETAGE'!$A$89,1,0)</f>
        <v>0</v>
      </c>
      <c r="FK128" s="160">
        <f>IF([Occurrence16]=0,0,SUM($FJ$2:FJ128))</f>
        <v>0</v>
      </c>
      <c r="FL128" s="160">
        <f>IF([Chambre]*1='CHAMBRES FILLES 2e ETAGE'!$A$95,1,0)</f>
        <v>0</v>
      </c>
      <c r="FM128" s="160">
        <f>IF([Occurrence17]=0,0,SUM($FL$2:FL128))</f>
        <v>0</v>
      </c>
      <c r="FN128" s="160">
        <f>IF([Chambre2]*1='CHAMBRES FILLES 1e ETAGE'!$A$5,1,0)</f>
        <v>0</v>
      </c>
      <c r="FO128" s="160">
        <f>IF([Occurrence18]=0,0,SUM($FN$2:FN128))</f>
        <v>0</v>
      </c>
      <c r="FP128" s="160">
        <f>IF([Chambre2]*1='CHAMBRES FILLES 1e ETAGE'!$A$11,1,0)</f>
        <v>0</v>
      </c>
      <c r="FQ128" s="160">
        <f>IF([Occurrence19]=0,0,SUM($FP$2:FP128))</f>
        <v>0</v>
      </c>
      <c r="FR128" s="160">
        <f>IF([Chambre2]*1='CHAMBRES FILLES 1e ETAGE'!$A$17,1,0)</f>
        <v>0</v>
      </c>
      <c r="FS128" s="160">
        <f>IF([Occurrence20]=0,0,SUM($FR$2:FR128))</f>
        <v>0</v>
      </c>
      <c r="FT128" s="160">
        <f>IF([Chambre2]*1='CHAMBRES FILLES 1e ETAGE'!$A$23,1,0)</f>
        <v>0</v>
      </c>
      <c r="FU128" s="160">
        <f>IF([Occurrence21]=0,0,SUM($FT$2:FT128))</f>
        <v>0</v>
      </c>
      <c r="FV128" s="160">
        <f>IF([Chambre2]*1='CHAMBRES FILLES 1e ETAGE'!$A$29,1,0)</f>
        <v>0</v>
      </c>
      <c r="FW128" s="160">
        <f>IF([Occurrence22]=0,0,SUM($FV$2:FV128))</f>
        <v>0</v>
      </c>
      <c r="FX128" s="160">
        <f>IF([Chambre2]*1='CHAMBRES FILLES 1e ETAGE'!$A$35,1,0)</f>
        <v>0</v>
      </c>
      <c r="FY128" s="160">
        <f>IF([Occurrence23]=0,0,SUM($FX$2:FX128))</f>
        <v>0</v>
      </c>
      <c r="FZ128" s="160">
        <f>IF([Chambre2]*1='CHAMBRES FILLES 1e ETAGE'!$A$41,1,0)</f>
        <v>0</v>
      </c>
      <c r="GA128" s="160">
        <f>IF([Occurrence24]=0,0,SUM($FZ$2:FZ128))</f>
        <v>0</v>
      </c>
      <c r="GB128" s="160">
        <f>IF([Chambre2]*1='CHAMBRES FILLES 1e ETAGE'!$A$47,1,0)</f>
        <v>0</v>
      </c>
      <c r="GC128" s="160">
        <f>IF([Occurrence25]=0,0,SUM($GB$2:GB128))</f>
        <v>0</v>
      </c>
      <c r="GD128" s="160">
        <f>IF([Chambre2]*1='CHAMBRES FILLES 1e ETAGE'!$A$53,1,0)</f>
        <v>0</v>
      </c>
      <c r="GE128" s="160">
        <f>IF([Occurrence26]=0,0,SUM($GD$2:GD128))</f>
        <v>0</v>
      </c>
      <c r="GF128" s="160">
        <f>IF([chambre4]*1='CHAMBRES GARCONS 1e ETAGE'!$A$5,1,0)</f>
        <v>0</v>
      </c>
      <c r="GG128" s="160">
        <f>IF([Occurrence27]=0,0,SUM($GF$2:GF128))</f>
        <v>0</v>
      </c>
      <c r="GH128" s="160">
        <f>IF([chambre4]*1='CHAMBRES GARCONS 1e ETAGE'!$A$11,1,0)</f>
        <v>0</v>
      </c>
      <c r="GI128" s="160">
        <f>IF([Occurrence28]=0,0,SUM($GH$2:GH128))</f>
        <v>0</v>
      </c>
      <c r="GJ128" s="160">
        <f>IF([chambre4]*1='CHAMBRES GARCONS 1e ETAGE'!$A$17,1,0)</f>
        <v>0</v>
      </c>
      <c r="GK128" s="160">
        <f>IF([Occurrence29]=0,0,SUM($GJ$2:GJ128))</f>
        <v>0</v>
      </c>
      <c r="GL128" s="160">
        <f>IF([chambre4]*1='CHAMBRES GARCONS 1e ETAGE'!$A$23,1,0)</f>
        <v>0</v>
      </c>
      <c r="GM128" s="160">
        <f>IF([Occurrence30]=0,0,SUM($GL$2:GL128))</f>
        <v>0</v>
      </c>
      <c r="GN128" s="160">
        <f>IF([chambre4]*1='CHAMBRES GARCONS 1e ETAGE'!$A$29,1,0)</f>
        <v>0</v>
      </c>
      <c r="GO128" s="160">
        <f>IF([Occurrence31]=0,0,SUM($GN$2:GN128))</f>
        <v>0</v>
      </c>
      <c r="GP128" s="160">
        <f>IF([chambre4]*1='CHAMBRES GARCONS 1e ETAGE'!$A$35,1,0)</f>
        <v>0</v>
      </c>
      <c r="GQ128" s="160">
        <f>IF([Occurrence32]=0,0,SUM($GP$2:GP128))</f>
        <v>0</v>
      </c>
      <c r="GR128" s="160">
        <f>IF([chambre3]*1='CHAMBRES GARCONS RDC'!$A$5,1,0)</f>
        <v>0</v>
      </c>
      <c r="GS128" s="160">
        <f>IF([Occurrence33]=0,0,SUM($GR$2:GR128))</f>
        <v>0</v>
      </c>
      <c r="GT128" s="160">
        <f>IF([chambre3]*1='CHAMBRES GARCONS RDC'!$A$11,1,0)</f>
        <v>0</v>
      </c>
      <c r="GU128" s="160">
        <f>IF([Occurrence34]=0,0,SUM($GT$2:GT128))</f>
        <v>0</v>
      </c>
      <c r="GV128" s="160">
        <f>IF([chambre3]*1='CHAMBRES GARCONS RDC'!$A$17,1,0)</f>
        <v>0</v>
      </c>
      <c r="GW128" s="160">
        <f>IF([Occurrence35]=0,0,SUM($GV$2:GV128))</f>
        <v>0</v>
      </c>
      <c r="GX128" s="160">
        <f>IF([chambre3]*1='CHAMBRES GARCONS RDC'!$A$23,1,0)</f>
        <v>0</v>
      </c>
      <c r="GY128" s="160">
        <f>IF([Occurrence36]=0,0,SUM($GX$2:GX128))</f>
        <v>0</v>
      </c>
      <c r="GZ128" s="160">
        <f>IF([chambre3]*1='CHAMBRES GARCONS RDC'!$A$29,1,0)</f>
        <v>0</v>
      </c>
      <c r="HA128" s="160">
        <f>IF([Occurrence37]=0,0,SUM($GZ$2:GZ128))</f>
        <v>0</v>
      </c>
      <c r="HB128" s="160">
        <f>IF([chambre3]*1='CHAMBRES GARCONS RDC'!$A$35,1,0)</f>
        <v>0</v>
      </c>
      <c r="HC128" s="160">
        <f>IF([Occurrence38]=0,0,SUM($HB$2:HB128))</f>
        <v>0</v>
      </c>
      <c r="HD128" s="160">
        <f>IF([chambre3]*1='CHAMBRES GARCONS RDC'!$A$41,1,0)</f>
        <v>0</v>
      </c>
      <c r="HE128" s="160">
        <f>IF([Occurrence39]=0,0,SUM($HD$2:HD128))</f>
        <v>0</v>
      </c>
      <c r="HF128" s="160">
        <f>IF([chambre3]*1='CHAMBRES GARCONS RDC'!$A$47,1,0)</f>
        <v>0</v>
      </c>
      <c r="HG128" s="160">
        <f>IF([Occurrence40]=0,0,SUM($HF$2:HF128))</f>
        <v>0</v>
      </c>
      <c r="HH128" s="160">
        <f>IF([chambre3]*1='CHAMBRES GARCONS RDC'!$A$53,1,0)</f>
        <v>0</v>
      </c>
      <c r="HI128" s="160">
        <f>IF([Occurrence41]=0,0,SUM($HH$2:HH128))</f>
        <v>0</v>
      </c>
      <c r="HJ128" s="160">
        <f>IF([chambre3]*1='CHAMBRES GARCONS RDC'!$A$59,1,0)</f>
        <v>0</v>
      </c>
      <c r="HK128" s="160">
        <f>IF([Occurrence42]=0,0,SUM($HJ$2:HJ128))</f>
        <v>0</v>
      </c>
      <c r="HL128" s="160">
        <f>IF([chambre3]*1='CHAMBRES GARCONS RDC'!$A$65,1,0)</f>
        <v>0</v>
      </c>
      <c r="HM128" s="160">
        <f>IF([Occurrence43]=0,0,SUM($HL$2:HL128))</f>
        <v>0</v>
      </c>
      <c r="HN128" s="160">
        <f>IF([chambre3]*1='CHAMBRES GARCONS RDC'!$A$71,1,0)</f>
        <v>0</v>
      </c>
      <c r="HO128" s="160">
        <f>IF([Occurrence44]=0,0,SUM($HN$2:HN128))</f>
        <v>0</v>
      </c>
      <c r="HP128" s="160">
        <f>IF([chambre3]*1='CHAMBRES GARCONS RDC'!$A$77,1,0)</f>
        <v>0</v>
      </c>
      <c r="HQ128" s="160">
        <f>IF([Occurrence45]=0,0,SUM($HP$2:HP128))</f>
        <v>0</v>
      </c>
      <c r="HR128" s="160">
        <f>IF([chambre3]*1='CHAMBRES GARCONS RDC'!$A$83,1,0)</f>
        <v>0</v>
      </c>
      <c r="HS128" s="160">
        <f>IF([Occurrence46]=0,0,SUM($HR$2:HR128))</f>
        <v>0</v>
      </c>
      <c r="HT128" s="160">
        <f>IF([chambre3]*1='CHAMBRES GARCONS RDC'!$A$89,1,0)</f>
        <v>0</v>
      </c>
      <c r="HU128" s="160">
        <f>IF([Occurrence47]=0,0,SUM($HT$2:HT128))</f>
        <v>0</v>
      </c>
      <c r="HV128" s="160">
        <f>IF([chambre3]*1='CHAMBRES GARCONS RDC'!$A$95,1,0)</f>
        <v>0</v>
      </c>
      <c r="HW128" s="160">
        <f>IF([Occurrence48]=0,0,SUM($HV$2:HV128))</f>
        <v>0</v>
      </c>
      <c r="HX128" s="160"/>
      <c r="HY128" s="160"/>
      <c r="HZ128" s="160">
        <f>IF([Classe]='Liste élève par classes'!$B$5,1,0)</f>
        <v>0</v>
      </c>
      <c r="IA128" s="160">
        <f>IF([Occurrence]=0,0,SUM($HZ$2:HZ128))</f>
        <v>0</v>
      </c>
      <c r="IB12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28" s="208"/>
    </row>
    <row r="129" spans="1:237">
      <c r="A129" t="s">
        <v>466</v>
      </c>
      <c r="B129" t="s">
        <v>467</v>
      </c>
      <c r="C129" s="158">
        <v>37231</v>
      </c>
      <c r="D129" s="62">
        <f t="shared" ca="1" si="1"/>
        <v>15</v>
      </c>
      <c r="E129" t="s">
        <v>8</v>
      </c>
      <c r="F129" s="159" t="s">
        <v>50</v>
      </c>
      <c r="G129" t="s">
        <v>40</v>
      </c>
      <c r="H129" s="160"/>
      <c r="I129" s="62"/>
      <c r="J129" s="161" t="s">
        <v>244</v>
      </c>
      <c r="K129" s="161"/>
      <c r="L129" s="160"/>
      <c r="M129">
        <v>102</v>
      </c>
      <c r="N129" s="161" t="s">
        <v>244</v>
      </c>
      <c r="O129" s="161" t="s">
        <v>244</v>
      </c>
      <c r="P129" s="161" t="s">
        <v>244</v>
      </c>
      <c r="Q129" s="161" t="s">
        <v>244</v>
      </c>
      <c r="R129" s="161" t="s">
        <v>244</v>
      </c>
      <c r="S129" s="190"/>
      <c r="T129" s="161" t="s">
        <v>244</v>
      </c>
      <c r="U129" s="160"/>
      <c r="V129" s="161" t="s">
        <v>244</v>
      </c>
      <c r="W129" s="161" t="s">
        <v>244</v>
      </c>
      <c r="X129" s="161" t="s">
        <v>244</v>
      </c>
      <c r="Y129" s="161" t="s">
        <v>244</v>
      </c>
      <c r="Z129" s="161" t="s">
        <v>244</v>
      </c>
      <c r="AA129" s="161" t="s">
        <v>244</v>
      </c>
      <c r="AB129" s="161" t="s">
        <v>244</v>
      </c>
      <c r="AC129" s="161" t="s">
        <v>244</v>
      </c>
      <c r="AD129" s="161" t="s">
        <v>244</v>
      </c>
      <c r="AE129" s="161" t="s">
        <v>244</v>
      </c>
      <c r="AF129" s="163" t="s">
        <v>244</v>
      </c>
      <c r="AG129" s="163" t="s">
        <v>244</v>
      </c>
      <c r="AH129" s="163" t="s">
        <v>244</v>
      </c>
      <c r="AI129" s="163"/>
      <c r="AJ129" s="163"/>
      <c r="AK129" s="163"/>
      <c r="AL129" s="163"/>
      <c r="AM129" s="163"/>
      <c r="AN129" s="163"/>
      <c r="AO129" s="163"/>
      <c r="AP129" s="163"/>
      <c r="AQ129" s="163"/>
      <c r="AR129" s="163"/>
      <c r="AS129" s="163"/>
      <c r="AT129" s="163"/>
      <c r="AU129" s="163"/>
      <c r="AV129" s="163"/>
      <c r="AW129" s="163"/>
      <c r="AX129" s="163"/>
      <c r="AY129" s="163"/>
      <c r="AZ129" s="163"/>
      <c r="BA129" s="163"/>
      <c r="BB129" s="163"/>
      <c r="BC129" s="163" t="b">
        <v>0</v>
      </c>
      <c r="BD129" s="163" t="b">
        <v>1</v>
      </c>
      <c r="BE129" s="163" t="b">
        <v>1</v>
      </c>
      <c r="BF129" s="163" t="b">
        <v>0</v>
      </c>
      <c r="BG129" s="164" t="b">
        <v>1</v>
      </c>
      <c r="BH129" s="163" t="b">
        <v>0</v>
      </c>
      <c r="BI129" s="163"/>
      <c r="BJ129" s="163"/>
      <c r="BK129" s="163"/>
      <c r="BL129" s="163"/>
      <c r="BM129" s="163"/>
      <c r="BN129" s="163"/>
      <c r="BO129" s="163"/>
      <c r="BP129" s="163"/>
      <c r="BQ129" s="163" t="b">
        <v>0</v>
      </c>
      <c r="BR129" s="163"/>
      <c r="BS129" s="163"/>
      <c r="BT129" s="163"/>
      <c r="BU129" s="163"/>
      <c r="BV129" s="163"/>
      <c r="BW129" s="163"/>
      <c r="BX129" s="163"/>
      <c r="BY129" s="163"/>
      <c r="BZ129" s="163"/>
      <c r="CA129" s="163"/>
      <c r="CB129" s="163"/>
      <c r="CC129" s="163"/>
      <c r="CD129" s="163"/>
      <c r="CE129" s="163"/>
      <c r="CF129" s="163"/>
      <c r="CG129" s="163"/>
      <c r="CH129" s="163"/>
      <c r="CI129" s="163"/>
      <c r="CJ129" s="163"/>
      <c r="CK129" s="163"/>
      <c r="CL129" s="163"/>
      <c r="CM129" s="163"/>
      <c r="CN129" s="163"/>
      <c r="CO129" s="163"/>
      <c r="CP129" s="163"/>
      <c r="CQ129" s="163"/>
      <c r="CR129" s="163"/>
      <c r="CS129" s="163"/>
      <c r="CT129" s="163"/>
      <c r="CU129" s="163"/>
      <c r="CV129" s="163"/>
      <c r="CW129" s="163"/>
      <c r="CX129" s="163"/>
      <c r="CY129" s="163"/>
      <c r="CZ129" s="163"/>
      <c r="DA129" s="163">
        <v>118</v>
      </c>
      <c r="DB129" s="163"/>
      <c r="DC129" s="163"/>
      <c r="DD129" s="163"/>
      <c r="DE129" s="163"/>
      <c r="DF129" s="163"/>
      <c r="DG129" s="208"/>
      <c r="DH129" s="163"/>
      <c r="DI129" s="163"/>
      <c r="DJ129" s="163"/>
      <c r="DK129" s="163"/>
      <c r="DL129" s="163"/>
      <c r="DM129" s="163"/>
      <c r="DN129" s="163"/>
      <c r="DO129" s="163"/>
      <c r="DP129" s="163"/>
      <c r="DQ129" s="163"/>
      <c r="DR129" s="163"/>
      <c r="DS129" s="163"/>
      <c r="DT129" s="163"/>
      <c r="DU129" s="163"/>
      <c r="DV129" s="163"/>
      <c r="DW129" s="163"/>
      <c r="DX129" s="163"/>
      <c r="DY129" s="163"/>
      <c r="DZ129" s="163"/>
      <c r="EA129" s="163"/>
      <c r="EB129" s="163"/>
      <c r="EC129" s="163"/>
      <c r="ED129" s="163"/>
      <c r="EE129" s="163"/>
      <c r="EF129" s="163"/>
      <c r="EG129" s="163"/>
      <c r="EH129" s="160">
        <f>IF([Chambre]*1='CHAMBRES FILLES 2e ETAGE'!$A$5,1,0)</f>
        <v>0</v>
      </c>
      <c r="EI129" s="161">
        <f>IF([Occurrence2]=0,0,SUM($EH$2:EH129))</f>
        <v>0</v>
      </c>
      <c r="EJ129" s="160">
        <f>IF([Chambre]*1='CHAMBRES FILLES 2e ETAGE'!$A$11,1,0)</f>
        <v>0</v>
      </c>
      <c r="EK129" s="160">
        <f>IF([Occurrence3]=0,0,SUM($EJ$2:EJ129))</f>
        <v>0</v>
      </c>
      <c r="EL129" s="160">
        <f>IF([Chambre]*1='CHAMBRES FILLES 2e ETAGE'!$A$17,1,0)</f>
        <v>0</v>
      </c>
      <c r="EM129" s="160">
        <f>IF([Occurrence4]=0,0,SUM($EL$2:EL129))</f>
        <v>0</v>
      </c>
      <c r="EN129" s="160">
        <f>IF([Chambre]*1='CHAMBRES FILLES 2e ETAGE'!$A$23,1,0)</f>
        <v>0</v>
      </c>
      <c r="EO129" s="160">
        <f>IF([Occurrence5]=0,0,SUM($EN$2:EN129))</f>
        <v>0</v>
      </c>
      <c r="EP129" s="160">
        <f>IF([Chambre]*1='CHAMBRES FILLES 2e ETAGE'!$A$29,1,0)</f>
        <v>0</v>
      </c>
      <c r="EQ129" s="160">
        <f>IF([Occurrence6]=0,0,SUM($EP$2:EP129))</f>
        <v>0</v>
      </c>
      <c r="ER129" s="160">
        <f>IF([Chambre]*1='CHAMBRES FILLES 2e ETAGE'!$A$35,1,0)</f>
        <v>0</v>
      </c>
      <c r="ES129" s="160">
        <f>IF([Occurrence7]=0,0,SUM($ER$2:ER129))</f>
        <v>0</v>
      </c>
      <c r="ET129" s="160">
        <f>IF([Chambre]*1='CHAMBRES FILLES 2e ETAGE'!$A$41,1,0)</f>
        <v>0</v>
      </c>
      <c r="EU129" s="160">
        <f>IF([Occurrence8]=0,0,SUM($ET$2:ET129))</f>
        <v>0</v>
      </c>
      <c r="EV129" s="160">
        <f>IF([Chambre]*1='CHAMBRES FILLES 2e ETAGE'!$A$47,1,0)</f>
        <v>0</v>
      </c>
      <c r="EW129" s="160">
        <f>IF([Occurrence9]=0,0,SUM($EV$2:EV129))</f>
        <v>0</v>
      </c>
      <c r="EX129" s="160">
        <f>IF([Chambre]*1='CHAMBRES FILLES 2e ETAGE'!$A$53,1,0)</f>
        <v>0</v>
      </c>
      <c r="EY129" s="160">
        <f>IF([Occurrence10]=0,0,SUM($EX$2:EX129))</f>
        <v>0</v>
      </c>
      <c r="EZ129" s="160">
        <f>IF([Chambre]*1='CHAMBRES FILLES 2e ETAGE'!$A$59,1,0)</f>
        <v>0</v>
      </c>
      <c r="FA129" s="160">
        <f>IF([Occurrence11]=0,0,SUM($EZ$2:EZ129))</f>
        <v>0</v>
      </c>
      <c r="FB129" s="160">
        <f>IF([Chambre]*1='CHAMBRES FILLES 2e ETAGE'!$A$65,1,0)</f>
        <v>0</v>
      </c>
      <c r="FC129" s="160">
        <f>IF([Occurrence12]=0,0,SUM($FB$2:FB129))</f>
        <v>0</v>
      </c>
      <c r="FD129" s="160">
        <f>IF([Chambre]*1='CHAMBRES FILLES 2e ETAGE'!$A$71,1,0)</f>
        <v>0</v>
      </c>
      <c r="FE129" s="160">
        <f>IF([Occurrence13]=0,0,SUM($FD$2:FD129))</f>
        <v>0</v>
      </c>
      <c r="FF129" s="160">
        <f>IF([Chambre]*1='CHAMBRES FILLES 2e ETAGE'!$A$77,1,0)</f>
        <v>0</v>
      </c>
      <c r="FG129" s="160">
        <f>IF([Occurrence14]=0,0,SUM($FF$2:FF129))</f>
        <v>0</v>
      </c>
      <c r="FH129" s="160">
        <f>IF([Chambre]*1='CHAMBRES FILLES 2e ETAGE'!$A$83,1,0)</f>
        <v>0</v>
      </c>
      <c r="FI129" s="160">
        <f>IF([Occurrence15]=0,0,SUM($FH$2:FH129))</f>
        <v>0</v>
      </c>
      <c r="FJ129" s="160">
        <f>IF([Chambre]*1='CHAMBRES FILLES 2e ETAGE'!$A$89,1,0)</f>
        <v>0</v>
      </c>
      <c r="FK129" s="160">
        <f>IF([Occurrence16]=0,0,SUM($FJ$2:FJ129))</f>
        <v>0</v>
      </c>
      <c r="FL129" s="160">
        <f>IF([Chambre]*1='CHAMBRES FILLES 2e ETAGE'!$A$95,1,0)</f>
        <v>0</v>
      </c>
      <c r="FM129" s="160">
        <f>IF([Occurrence17]=0,0,SUM($FL$2:FL129))</f>
        <v>0</v>
      </c>
      <c r="FN129" s="160">
        <f>IF([Chambre2]*1='CHAMBRES FILLES 1e ETAGE'!$A$5,1,0)</f>
        <v>0</v>
      </c>
      <c r="FO129" s="160">
        <f>IF([Occurrence18]=0,0,SUM($FN$2:FN129))</f>
        <v>0</v>
      </c>
      <c r="FP129" s="160">
        <f>IF([Chambre2]*1='CHAMBRES FILLES 1e ETAGE'!$A$11,1,0)</f>
        <v>0</v>
      </c>
      <c r="FQ129" s="160">
        <f>IF([Occurrence19]=0,0,SUM($FP$2:FP129))</f>
        <v>0</v>
      </c>
      <c r="FR129" s="160">
        <f>IF([Chambre2]*1='CHAMBRES FILLES 1e ETAGE'!$A$17,1,0)</f>
        <v>0</v>
      </c>
      <c r="FS129" s="160">
        <f>IF([Occurrence20]=0,0,SUM($FR$2:FR129))</f>
        <v>0</v>
      </c>
      <c r="FT129" s="160">
        <f>IF([Chambre2]*1='CHAMBRES FILLES 1e ETAGE'!$A$23,1,0)</f>
        <v>0</v>
      </c>
      <c r="FU129" s="160">
        <f>IF([Occurrence21]=0,0,SUM($FT$2:FT129))</f>
        <v>0</v>
      </c>
      <c r="FV129" s="160">
        <f>IF([Chambre2]*1='CHAMBRES FILLES 1e ETAGE'!$A$29,1,0)</f>
        <v>0</v>
      </c>
      <c r="FW129" s="160">
        <f>IF([Occurrence22]=0,0,SUM($FV$2:FV129))</f>
        <v>0</v>
      </c>
      <c r="FX129" s="160">
        <f>IF([Chambre2]*1='CHAMBRES FILLES 1e ETAGE'!$A$35,1,0)</f>
        <v>0</v>
      </c>
      <c r="FY129" s="160">
        <f>IF([Occurrence23]=0,0,SUM($FX$2:FX129))</f>
        <v>0</v>
      </c>
      <c r="FZ129" s="160">
        <f>IF([Chambre2]*1='CHAMBRES FILLES 1e ETAGE'!$A$41,1,0)</f>
        <v>0</v>
      </c>
      <c r="GA129" s="160">
        <f>IF([Occurrence24]=0,0,SUM($FZ$2:FZ129))</f>
        <v>0</v>
      </c>
      <c r="GB129" s="160">
        <f>IF([Chambre2]*1='CHAMBRES FILLES 1e ETAGE'!$A$47,1,0)</f>
        <v>0</v>
      </c>
      <c r="GC129" s="160">
        <f>IF([Occurrence25]=0,0,SUM($GB$2:GB129))</f>
        <v>0</v>
      </c>
      <c r="GD129" s="160">
        <f>IF([Chambre2]*1='CHAMBRES FILLES 1e ETAGE'!$A$53,1,0)</f>
        <v>0</v>
      </c>
      <c r="GE129" s="160">
        <f>IF([Occurrence26]=0,0,SUM($GD$2:GD129))</f>
        <v>0</v>
      </c>
      <c r="GF129" s="160">
        <f>IF([chambre4]*1='CHAMBRES GARCONS 1e ETAGE'!$A$5,1,0)</f>
        <v>0</v>
      </c>
      <c r="GG129" s="160">
        <f>IF([Occurrence27]=0,0,SUM($GF$2:GF129))</f>
        <v>0</v>
      </c>
      <c r="GH129" s="160">
        <f>IF([chambre4]*1='CHAMBRES GARCONS 1e ETAGE'!$A$11,1,0)</f>
        <v>0</v>
      </c>
      <c r="GI129" s="160">
        <f>IF([Occurrence28]=0,0,SUM($GH$2:GH129))</f>
        <v>0</v>
      </c>
      <c r="GJ129" s="160">
        <f>IF([chambre4]*1='CHAMBRES GARCONS 1e ETAGE'!$A$17,1,0)</f>
        <v>0</v>
      </c>
      <c r="GK129" s="160">
        <f>IF([Occurrence29]=0,0,SUM($GJ$2:GJ129))</f>
        <v>0</v>
      </c>
      <c r="GL129" s="160">
        <f>IF([chambre4]*1='CHAMBRES GARCONS 1e ETAGE'!$A$23,1,0)</f>
        <v>0</v>
      </c>
      <c r="GM129" s="160">
        <f>IF([Occurrence30]=0,0,SUM($GL$2:GL129))</f>
        <v>0</v>
      </c>
      <c r="GN129" s="160">
        <f>IF([chambre4]*1='CHAMBRES GARCONS 1e ETAGE'!$A$29,1,0)</f>
        <v>0</v>
      </c>
      <c r="GO129" s="160">
        <f>IF([Occurrence31]=0,0,SUM($GN$2:GN129))</f>
        <v>0</v>
      </c>
      <c r="GP129" s="160">
        <f>IF([chambre4]*1='CHAMBRES GARCONS 1e ETAGE'!$A$35,1,0)</f>
        <v>0</v>
      </c>
      <c r="GQ129" s="160">
        <f>IF([Occurrence32]=0,0,SUM($GP$2:GP129))</f>
        <v>0</v>
      </c>
      <c r="GR129" s="160">
        <f>IF([chambre3]*1='CHAMBRES GARCONS RDC'!$A$5,1,0)</f>
        <v>0</v>
      </c>
      <c r="GS129" s="160">
        <f>IF([Occurrence33]=0,0,SUM($GR$2:GR129))</f>
        <v>0</v>
      </c>
      <c r="GT129" s="160">
        <f>IF([chambre3]*1='CHAMBRES GARCONS RDC'!$A$11,1,0)</f>
        <v>0</v>
      </c>
      <c r="GU129" s="160">
        <f>IF([Occurrence34]=0,0,SUM($GT$2:GT129))</f>
        <v>0</v>
      </c>
      <c r="GV129" s="160">
        <f>IF([chambre3]*1='CHAMBRES GARCONS RDC'!$A$17,1,0)</f>
        <v>0</v>
      </c>
      <c r="GW129" s="160">
        <f>IF([Occurrence35]=0,0,SUM($GV$2:GV129))</f>
        <v>0</v>
      </c>
      <c r="GX129" s="160">
        <f>IF([chambre3]*1='CHAMBRES GARCONS RDC'!$A$23,1,0)</f>
        <v>0</v>
      </c>
      <c r="GY129" s="160">
        <f>IF([Occurrence36]=0,0,SUM($GX$2:GX129))</f>
        <v>0</v>
      </c>
      <c r="GZ129" s="160">
        <f>IF([chambre3]*1='CHAMBRES GARCONS RDC'!$A$29,1,0)</f>
        <v>0</v>
      </c>
      <c r="HA129" s="160">
        <f>IF([Occurrence37]=0,0,SUM($GZ$2:GZ129))</f>
        <v>0</v>
      </c>
      <c r="HB129" s="160">
        <f>IF([chambre3]*1='CHAMBRES GARCONS RDC'!$A$35,1,0)</f>
        <v>0</v>
      </c>
      <c r="HC129" s="160">
        <f>IF([Occurrence38]=0,0,SUM($HB$2:HB129))</f>
        <v>0</v>
      </c>
      <c r="HD129" s="160">
        <f>IF([chambre3]*1='CHAMBRES GARCONS RDC'!$A$41,1,0)</f>
        <v>0</v>
      </c>
      <c r="HE129" s="160">
        <f>IF([Occurrence39]=0,0,SUM($HD$2:HD129))</f>
        <v>0</v>
      </c>
      <c r="HF129" s="160">
        <f>IF([chambre3]*1='CHAMBRES GARCONS RDC'!$A$47,1,0)</f>
        <v>0</v>
      </c>
      <c r="HG129" s="160">
        <f>IF([Occurrence40]=0,0,SUM($HF$2:HF129))</f>
        <v>0</v>
      </c>
      <c r="HH129" s="160">
        <f>IF([chambre3]*1='CHAMBRES GARCONS RDC'!$A$53,1,0)</f>
        <v>0</v>
      </c>
      <c r="HI129" s="160">
        <f>IF([Occurrence41]=0,0,SUM($HH$2:HH129))</f>
        <v>0</v>
      </c>
      <c r="HJ129" s="160">
        <f>IF([chambre3]*1='CHAMBRES GARCONS RDC'!$A$59,1,0)</f>
        <v>0</v>
      </c>
      <c r="HK129" s="160">
        <f>IF([Occurrence42]=0,0,SUM($HJ$2:HJ129))</f>
        <v>0</v>
      </c>
      <c r="HL129" s="160">
        <f>IF([chambre3]*1='CHAMBRES GARCONS RDC'!$A$65,1,0)</f>
        <v>1</v>
      </c>
      <c r="HM129" s="160">
        <f>IF([Occurrence43]=0,0,SUM($HL$2:HL129))</f>
        <v>2</v>
      </c>
      <c r="HN129" s="160">
        <f>IF([chambre3]*1='CHAMBRES GARCONS RDC'!$A$71,1,0)</f>
        <v>0</v>
      </c>
      <c r="HO129" s="160">
        <f>IF([Occurrence44]=0,0,SUM($HN$2:HN129))</f>
        <v>0</v>
      </c>
      <c r="HP129" s="160">
        <f>IF([chambre3]*1='CHAMBRES GARCONS RDC'!$A$77,1,0)</f>
        <v>0</v>
      </c>
      <c r="HQ129" s="160">
        <f>IF([Occurrence45]=0,0,SUM($HP$2:HP129))</f>
        <v>0</v>
      </c>
      <c r="HR129" s="160">
        <f>IF([chambre3]*1='CHAMBRES GARCONS RDC'!$A$83,1,0)</f>
        <v>0</v>
      </c>
      <c r="HS129" s="160">
        <f>IF([Occurrence46]=0,0,SUM($HR$2:HR129))</f>
        <v>0</v>
      </c>
      <c r="HT129" s="160">
        <f>IF([chambre3]*1='CHAMBRES GARCONS RDC'!$A$89,1,0)</f>
        <v>0</v>
      </c>
      <c r="HU129" s="160">
        <f>IF([Occurrence47]=0,0,SUM($HT$2:HT129))</f>
        <v>0</v>
      </c>
      <c r="HV129" s="160">
        <f>IF([chambre3]*1='CHAMBRES GARCONS RDC'!$A$95,1,0)</f>
        <v>0</v>
      </c>
      <c r="HW129" s="160">
        <f>IF([Occurrence48]=0,0,SUM($HV$2:HV129))</f>
        <v>0</v>
      </c>
      <c r="HX129" s="160"/>
      <c r="HY129" s="160"/>
      <c r="HZ129" s="160">
        <f>IF([Classe]='Liste élève par classes'!$B$5,1,0)</f>
        <v>1</v>
      </c>
      <c r="IA129" s="160">
        <f>IF([Occurrence]=0,0,SUM($HZ$2:HZ129))</f>
        <v>8</v>
      </c>
      <c r="IB12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118</v>
      </c>
      <c r="IC129" s="208"/>
    </row>
    <row r="130" spans="1:237">
      <c r="A130" t="s">
        <v>468</v>
      </c>
      <c r="B130" t="s">
        <v>469</v>
      </c>
      <c r="C130" s="158">
        <v>35864</v>
      </c>
      <c r="D130" s="62">
        <f t="shared" ca="1" si="1"/>
        <v>19</v>
      </c>
      <c r="E130" t="s">
        <v>3</v>
      </c>
      <c r="F130" s="165" t="s">
        <v>46</v>
      </c>
      <c r="G130" t="s">
        <v>45</v>
      </c>
      <c r="H130" s="160"/>
      <c r="I130" s="62"/>
      <c r="J130" s="62"/>
      <c r="K130" s="62"/>
      <c r="L130" s="61"/>
      <c r="M130" s="62"/>
      <c r="N130" s="62"/>
      <c r="O130" s="62"/>
      <c r="P130" s="62"/>
      <c r="Q130" s="62"/>
      <c r="R130" s="62"/>
      <c r="S130" s="62"/>
      <c r="T130" s="62"/>
      <c r="U130" s="61"/>
      <c r="V130" s="62"/>
      <c r="W130" s="62"/>
      <c r="X130" s="62"/>
      <c r="Y130" s="62"/>
      <c r="Z130" s="62"/>
      <c r="AA130" s="62"/>
      <c r="AB130" s="62"/>
      <c r="AC130" s="62"/>
      <c r="AD130" s="62"/>
      <c r="AE130" s="62"/>
      <c r="AF130" s="163"/>
      <c r="AG130" s="163"/>
      <c r="AH130" s="163"/>
      <c r="AI130" s="163"/>
      <c r="AJ130" s="163"/>
      <c r="AK130" s="163"/>
      <c r="AL130" s="163"/>
      <c r="AM130" s="163"/>
      <c r="AN130" s="163"/>
      <c r="AO130" s="163"/>
      <c r="AP130" s="163"/>
      <c r="AQ130" s="163"/>
      <c r="AR130" s="163"/>
      <c r="AS130" s="163"/>
      <c r="AT130" s="163"/>
      <c r="AU130" s="163"/>
      <c r="AV130" s="163"/>
      <c r="AW130" s="163"/>
      <c r="AX130" s="163"/>
      <c r="AY130" s="163"/>
      <c r="AZ130" s="163"/>
      <c r="BA130" s="163"/>
      <c r="BB130" s="163"/>
      <c r="BC130" s="163" t="b">
        <v>0</v>
      </c>
      <c r="BD130" s="163" t="b">
        <v>0</v>
      </c>
      <c r="BE130" s="163" t="b">
        <v>0</v>
      </c>
      <c r="BF130" s="163" t="b">
        <v>0</v>
      </c>
      <c r="BG130" s="163" t="b">
        <v>0</v>
      </c>
      <c r="BH130" s="163" t="b">
        <v>0</v>
      </c>
      <c r="BI130" s="163" t="b">
        <v>1</v>
      </c>
      <c r="BJ130" s="163" t="b">
        <v>0</v>
      </c>
      <c r="BK130" s="163" t="b">
        <v>0</v>
      </c>
      <c r="BL130" s="163" t="b">
        <v>0</v>
      </c>
      <c r="BM130" s="163"/>
      <c r="BN130" s="163"/>
      <c r="BO130" s="163"/>
      <c r="BP130" s="163"/>
      <c r="BQ130" s="163"/>
      <c r="BR130" s="163"/>
      <c r="BS130" s="163"/>
      <c r="BT130" s="163"/>
      <c r="BU130" s="163"/>
      <c r="BV130" s="163"/>
      <c r="BW130" s="163"/>
      <c r="BX130" s="163"/>
      <c r="BY130" s="163"/>
      <c r="BZ130" s="163"/>
      <c r="CA130" s="163"/>
      <c r="CB130" s="163"/>
      <c r="CC130" s="163"/>
      <c r="CD130" s="163"/>
      <c r="CE130" s="163"/>
      <c r="CF130" s="163"/>
      <c r="CG130" s="163"/>
      <c r="CH130" s="163"/>
      <c r="CI130" s="163"/>
      <c r="CJ130" s="163"/>
      <c r="CK130" s="163"/>
      <c r="CL130" s="163"/>
      <c r="CM130" s="163"/>
      <c r="CN130" s="163"/>
      <c r="CO130" s="163"/>
      <c r="CP130" s="163"/>
      <c r="CQ130" s="163"/>
      <c r="CR130" s="163"/>
      <c r="CS130" s="163"/>
      <c r="CT130" s="163"/>
      <c r="CU130" s="163"/>
      <c r="CV130" s="163"/>
      <c r="CW130" s="163"/>
      <c r="CX130" s="163"/>
      <c r="CY130" s="163"/>
      <c r="CZ130" s="163"/>
      <c r="DA130" s="163"/>
      <c r="DB130" s="163"/>
      <c r="DC130" s="163"/>
      <c r="DD130" s="163"/>
      <c r="DE130" s="163"/>
      <c r="DF130" s="163"/>
      <c r="DG130" s="163"/>
      <c r="DH130" s="163"/>
      <c r="DI130" s="163"/>
      <c r="DJ130" s="163"/>
      <c r="DK130" s="163"/>
      <c r="DL130" s="163"/>
      <c r="DM130" s="163"/>
      <c r="DN130" s="163"/>
      <c r="DO130" s="163"/>
      <c r="DP130" s="163"/>
      <c r="DQ130" s="163"/>
      <c r="DR130" s="163"/>
      <c r="DS130" s="163"/>
      <c r="DT130" s="163"/>
      <c r="DU130" s="163"/>
      <c r="DV130" s="163"/>
      <c r="DW130" s="163"/>
      <c r="DX130" s="163"/>
      <c r="DY130" s="163"/>
      <c r="DZ130" s="163"/>
      <c r="EA130" s="163"/>
      <c r="EB130" s="163"/>
      <c r="EC130" s="163"/>
      <c r="ED130" s="163"/>
      <c r="EE130" s="163"/>
      <c r="EF130" s="163"/>
      <c r="EG130" s="163"/>
      <c r="EH130" s="160">
        <f>IF([Chambre]*1='CHAMBRES FILLES 2e ETAGE'!$A$5,1,0)</f>
        <v>0</v>
      </c>
      <c r="EI130" s="161">
        <f>IF([Occurrence2]=0,0,SUM($EH$2:EH130))</f>
        <v>0</v>
      </c>
      <c r="EJ130" s="160">
        <f>IF([Chambre]*1='CHAMBRES FILLES 2e ETAGE'!$A$11,1,0)</f>
        <v>0</v>
      </c>
      <c r="EK130" s="160">
        <f>IF([Occurrence3]=0,0,SUM($EJ$2:EJ130))</f>
        <v>0</v>
      </c>
      <c r="EL130" s="160">
        <f>IF([Chambre]*1='CHAMBRES FILLES 2e ETAGE'!$A$17,1,0)</f>
        <v>0</v>
      </c>
      <c r="EM130" s="160">
        <f>IF([Occurrence4]=0,0,SUM($EL$2:EL130))</f>
        <v>0</v>
      </c>
      <c r="EN130" s="160">
        <f>IF([Chambre]*1='CHAMBRES FILLES 2e ETAGE'!$A$23,1,0)</f>
        <v>0</v>
      </c>
      <c r="EO130" s="160">
        <f>IF([Occurrence5]=0,0,SUM($EN$2:EN130))</f>
        <v>0</v>
      </c>
      <c r="EP130" s="160">
        <f>IF([Chambre]*1='CHAMBRES FILLES 2e ETAGE'!$A$29,1,0)</f>
        <v>0</v>
      </c>
      <c r="EQ130" s="160">
        <f>IF([Occurrence6]=0,0,SUM($EP$2:EP130))</f>
        <v>0</v>
      </c>
      <c r="ER130" s="160">
        <f>IF([Chambre]*1='CHAMBRES FILLES 2e ETAGE'!$A$35,1,0)</f>
        <v>0</v>
      </c>
      <c r="ES130" s="160">
        <f>IF([Occurrence7]=0,0,SUM($ER$2:ER130))</f>
        <v>0</v>
      </c>
      <c r="ET130" s="160">
        <f>IF([Chambre]*1='CHAMBRES FILLES 2e ETAGE'!$A$41,1,0)</f>
        <v>0</v>
      </c>
      <c r="EU130" s="160">
        <f>IF([Occurrence8]=0,0,SUM($ET$2:ET130))</f>
        <v>0</v>
      </c>
      <c r="EV130" s="160">
        <f>IF([Chambre]*1='CHAMBRES FILLES 2e ETAGE'!$A$47,1,0)</f>
        <v>0</v>
      </c>
      <c r="EW130" s="160">
        <f>IF([Occurrence9]=0,0,SUM($EV$2:EV130))</f>
        <v>0</v>
      </c>
      <c r="EX130" s="160">
        <f>IF([Chambre]*1='CHAMBRES FILLES 2e ETAGE'!$A$53,1,0)</f>
        <v>0</v>
      </c>
      <c r="EY130" s="160">
        <f>IF([Occurrence10]=0,0,SUM($EX$2:EX130))</f>
        <v>0</v>
      </c>
      <c r="EZ130" s="160">
        <f>IF([Chambre]*1='CHAMBRES FILLES 2e ETAGE'!$A$59,1,0)</f>
        <v>0</v>
      </c>
      <c r="FA130" s="160">
        <f>IF([Occurrence11]=0,0,SUM($EZ$2:EZ130))</f>
        <v>0</v>
      </c>
      <c r="FB130" s="160">
        <f>IF([Chambre]*1='CHAMBRES FILLES 2e ETAGE'!$A$65,1,0)</f>
        <v>0</v>
      </c>
      <c r="FC130" s="160">
        <f>IF([Occurrence12]=0,0,SUM($FB$2:FB130))</f>
        <v>0</v>
      </c>
      <c r="FD130" s="160">
        <f>IF([Chambre]*1='CHAMBRES FILLES 2e ETAGE'!$A$71,1,0)</f>
        <v>0</v>
      </c>
      <c r="FE130" s="160">
        <f>IF([Occurrence13]=0,0,SUM($FD$2:FD130))</f>
        <v>0</v>
      </c>
      <c r="FF130" s="160">
        <f>IF([Chambre]*1='CHAMBRES FILLES 2e ETAGE'!$A$77,1,0)</f>
        <v>0</v>
      </c>
      <c r="FG130" s="160">
        <f>IF([Occurrence14]=0,0,SUM($FF$2:FF130))</f>
        <v>0</v>
      </c>
      <c r="FH130" s="160">
        <f>IF([Chambre]*1='CHAMBRES FILLES 2e ETAGE'!$A$83,1,0)</f>
        <v>0</v>
      </c>
      <c r="FI130" s="160">
        <f>IF([Occurrence15]=0,0,SUM($FH$2:FH130))</f>
        <v>0</v>
      </c>
      <c r="FJ130" s="160">
        <f>IF([Chambre]*1='CHAMBRES FILLES 2e ETAGE'!$A$89,1,0)</f>
        <v>0</v>
      </c>
      <c r="FK130" s="160">
        <f>IF([Occurrence16]=0,0,SUM($FJ$2:FJ130))</f>
        <v>0</v>
      </c>
      <c r="FL130" s="160">
        <f>IF([Chambre]*1='CHAMBRES FILLES 2e ETAGE'!$A$95,1,0)</f>
        <v>0</v>
      </c>
      <c r="FM130" s="160">
        <f>IF([Occurrence17]=0,0,SUM($FL$2:FL130))</f>
        <v>0</v>
      </c>
      <c r="FN130" s="160">
        <f>IF([Chambre2]*1='CHAMBRES FILLES 1e ETAGE'!$A$5,1,0)</f>
        <v>0</v>
      </c>
      <c r="FO130" s="160">
        <f>IF([Occurrence18]=0,0,SUM($FN$2:FN130))</f>
        <v>0</v>
      </c>
      <c r="FP130" s="160">
        <f>IF([Chambre2]*1='CHAMBRES FILLES 1e ETAGE'!$A$11,1,0)</f>
        <v>0</v>
      </c>
      <c r="FQ130" s="160">
        <f>IF([Occurrence19]=0,0,SUM($FP$2:FP130))</f>
        <v>0</v>
      </c>
      <c r="FR130" s="160">
        <f>IF([Chambre2]*1='CHAMBRES FILLES 1e ETAGE'!$A$17,1,0)</f>
        <v>0</v>
      </c>
      <c r="FS130" s="160">
        <f>IF([Occurrence20]=0,0,SUM($FR$2:FR130))</f>
        <v>0</v>
      </c>
      <c r="FT130" s="160">
        <f>IF([Chambre2]*1='CHAMBRES FILLES 1e ETAGE'!$A$23,1,0)</f>
        <v>0</v>
      </c>
      <c r="FU130" s="160">
        <f>IF([Occurrence21]=0,0,SUM($FT$2:FT130))</f>
        <v>0</v>
      </c>
      <c r="FV130" s="160">
        <f>IF([Chambre2]*1='CHAMBRES FILLES 1e ETAGE'!$A$29,1,0)</f>
        <v>0</v>
      </c>
      <c r="FW130" s="160">
        <f>IF([Occurrence22]=0,0,SUM($FV$2:FV130))</f>
        <v>0</v>
      </c>
      <c r="FX130" s="160">
        <f>IF([Chambre2]*1='CHAMBRES FILLES 1e ETAGE'!$A$35,1,0)</f>
        <v>0</v>
      </c>
      <c r="FY130" s="160">
        <f>IF([Occurrence23]=0,0,SUM($FX$2:FX130))</f>
        <v>0</v>
      </c>
      <c r="FZ130" s="160">
        <f>IF([Chambre2]*1='CHAMBRES FILLES 1e ETAGE'!$A$41,1,0)</f>
        <v>0</v>
      </c>
      <c r="GA130" s="160">
        <f>IF([Occurrence24]=0,0,SUM($FZ$2:FZ130))</f>
        <v>0</v>
      </c>
      <c r="GB130" s="160">
        <f>IF([Chambre2]*1='CHAMBRES FILLES 1e ETAGE'!$A$47,1,0)</f>
        <v>0</v>
      </c>
      <c r="GC130" s="160">
        <f>IF([Occurrence25]=0,0,SUM($GB$2:GB130))</f>
        <v>0</v>
      </c>
      <c r="GD130" s="160">
        <f>IF([Chambre2]*1='CHAMBRES FILLES 1e ETAGE'!$A$53,1,0)</f>
        <v>0</v>
      </c>
      <c r="GE130" s="160">
        <f>IF([Occurrence26]=0,0,SUM($GD$2:GD130))</f>
        <v>0</v>
      </c>
      <c r="GF130" s="160">
        <f>IF([chambre4]*1='CHAMBRES GARCONS 1e ETAGE'!$A$5,1,0)</f>
        <v>0</v>
      </c>
      <c r="GG130" s="160">
        <f>IF([Occurrence27]=0,0,SUM($GF$2:GF130))</f>
        <v>0</v>
      </c>
      <c r="GH130" s="160">
        <f>IF([chambre4]*1='CHAMBRES GARCONS 1e ETAGE'!$A$11,1,0)</f>
        <v>0</v>
      </c>
      <c r="GI130" s="160">
        <f>IF([Occurrence28]=0,0,SUM($GH$2:GH130))</f>
        <v>0</v>
      </c>
      <c r="GJ130" s="160">
        <f>IF([chambre4]*1='CHAMBRES GARCONS 1e ETAGE'!$A$17,1,0)</f>
        <v>0</v>
      </c>
      <c r="GK130" s="160">
        <f>IF([Occurrence29]=0,0,SUM($GJ$2:GJ130))</f>
        <v>0</v>
      </c>
      <c r="GL130" s="160">
        <f>IF([chambre4]*1='CHAMBRES GARCONS 1e ETAGE'!$A$23,1,0)</f>
        <v>0</v>
      </c>
      <c r="GM130" s="160">
        <f>IF([Occurrence30]=0,0,SUM($GL$2:GL130))</f>
        <v>0</v>
      </c>
      <c r="GN130" s="160">
        <f>IF([chambre4]*1='CHAMBRES GARCONS 1e ETAGE'!$A$29,1,0)</f>
        <v>0</v>
      </c>
      <c r="GO130" s="160">
        <f>IF([Occurrence31]=0,0,SUM($GN$2:GN130))</f>
        <v>0</v>
      </c>
      <c r="GP130" s="160">
        <f>IF([chambre4]*1='CHAMBRES GARCONS 1e ETAGE'!$A$35,1,0)</f>
        <v>0</v>
      </c>
      <c r="GQ130" s="160">
        <f>IF([Occurrence32]=0,0,SUM($GP$2:GP130))</f>
        <v>0</v>
      </c>
      <c r="GR130" s="160">
        <f>IF([chambre3]*1='CHAMBRES GARCONS RDC'!$A$5,1,0)</f>
        <v>0</v>
      </c>
      <c r="GS130" s="160">
        <f>IF([Occurrence33]=0,0,SUM($GR$2:GR130))</f>
        <v>0</v>
      </c>
      <c r="GT130" s="160">
        <f>IF([chambre3]*1='CHAMBRES GARCONS RDC'!$A$11,1,0)</f>
        <v>0</v>
      </c>
      <c r="GU130" s="160">
        <f>IF([Occurrence34]=0,0,SUM($GT$2:GT130))</f>
        <v>0</v>
      </c>
      <c r="GV130" s="160">
        <f>IF([chambre3]*1='CHAMBRES GARCONS RDC'!$A$17,1,0)</f>
        <v>0</v>
      </c>
      <c r="GW130" s="160">
        <f>IF([Occurrence35]=0,0,SUM($GV$2:GV130))</f>
        <v>0</v>
      </c>
      <c r="GX130" s="160">
        <f>IF([chambre3]*1='CHAMBRES GARCONS RDC'!$A$23,1,0)</f>
        <v>0</v>
      </c>
      <c r="GY130" s="160">
        <f>IF([Occurrence36]=0,0,SUM($GX$2:GX130))</f>
        <v>0</v>
      </c>
      <c r="GZ130" s="160">
        <f>IF([chambre3]*1='CHAMBRES GARCONS RDC'!$A$29,1,0)</f>
        <v>0</v>
      </c>
      <c r="HA130" s="160">
        <f>IF([Occurrence37]=0,0,SUM($GZ$2:GZ130))</f>
        <v>0</v>
      </c>
      <c r="HB130" s="160">
        <f>IF([chambre3]*1='CHAMBRES GARCONS RDC'!$A$35,1,0)</f>
        <v>0</v>
      </c>
      <c r="HC130" s="160">
        <f>IF([Occurrence38]=0,0,SUM($HB$2:HB130))</f>
        <v>0</v>
      </c>
      <c r="HD130" s="160">
        <f>IF([chambre3]*1='CHAMBRES GARCONS RDC'!$A$41,1,0)</f>
        <v>0</v>
      </c>
      <c r="HE130" s="160">
        <f>IF([Occurrence39]=0,0,SUM($HD$2:HD130))</f>
        <v>0</v>
      </c>
      <c r="HF130" s="160">
        <f>IF([chambre3]*1='CHAMBRES GARCONS RDC'!$A$47,1,0)</f>
        <v>0</v>
      </c>
      <c r="HG130" s="160">
        <f>IF([Occurrence40]=0,0,SUM($HF$2:HF130))</f>
        <v>0</v>
      </c>
      <c r="HH130" s="160">
        <f>IF([chambre3]*1='CHAMBRES GARCONS RDC'!$A$53,1,0)</f>
        <v>0</v>
      </c>
      <c r="HI130" s="160">
        <f>IF([Occurrence41]=0,0,SUM($HH$2:HH130))</f>
        <v>0</v>
      </c>
      <c r="HJ130" s="160">
        <f>IF([chambre3]*1='CHAMBRES GARCONS RDC'!$A$59,1,0)</f>
        <v>0</v>
      </c>
      <c r="HK130" s="160">
        <f>IF([Occurrence42]=0,0,SUM($HJ$2:HJ130))</f>
        <v>0</v>
      </c>
      <c r="HL130" s="160">
        <f>IF([chambre3]*1='CHAMBRES GARCONS RDC'!$A$65,1,0)</f>
        <v>0</v>
      </c>
      <c r="HM130" s="160">
        <f>IF([Occurrence43]=0,0,SUM($HL$2:HL130))</f>
        <v>0</v>
      </c>
      <c r="HN130" s="160">
        <f>IF([chambre3]*1='CHAMBRES GARCONS RDC'!$A$71,1,0)</f>
        <v>0</v>
      </c>
      <c r="HO130" s="160">
        <f>IF([Occurrence44]=0,0,SUM($HN$2:HN130))</f>
        <v>0</v>
      </c>
      <c r="HP130" s="160">
        <f>IF([chambre3]*1='CHAMBRES GARCONS RDC'!$A$77,1,0)</f>
        <v>0</v>
      </c>
      <c r="HQ130" s="160">
        <f>IF([Occurrence45]=0,0,SUM($HP$2:HP130))</f>
        <v>0</v>
      </c>
      <c r="HR130" s="160">
        <f>IF([chambre3]*1='CHAMBRES GARCONS RDC'!$A$83,1,0)</f>
        <v>0</v>
      </c>
      <c r="HS130" s="160">
        <f>IF([Occurrence46]=0,0,SUM($HR$2:HR130))</f>
        <v>0</v>
      </c>
      <c r="HT130" s="160">
        <f>IF([chambre3]*1='CHAMBRES GARCONS RDC'!$A$89,1,0)</f>
        <v>0</v>
      </c>
      <c r="HU130" s="160">
        <f>IF([Occurrence47]=0,0,SUM($HT$2:HT130))</f>
        <v>0</v>
      </c>
      <c r="HV130" s="160">
        <f>IF([chambre3]*1='CHAMBRES GARCONS RDC'!$A$95,1,0)</f>
        <v>0</v>
      </c>
      <c r="HW130" s="160">
        <f>IF([Occurrence48]=0,0,SUM($HV$2:HV130))</f>
        <v>0</v>
      </c>
      <c r="HX130" s="160"/>
      <c r="HY130" s="160"/>
      <c r="HZ130" s="160">
        <f>IF([Classe]='Liste élève par classes'!$B$5,1,0)</f>
        <v>0</v>
      </c>
      <c r="IA130" s="160">
        <f>IF([Occurrence]=0,0,SUM($HZ$2:HZ130))</f>
        <v>0</v>
      </c>
      <c r="IB13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30" s="208"/>
    </row>
    <row r="131" spans="1:237">
      <c r="A131" t="s">
        <v>470</v>
      </c>
      <c r="B131" t="s">
        <v>471</v>
      </c>
      <c r="C131" s="158">
        <v>37149</v>
      </c>
      <c r="D131" s="62">
        <f t="shared" ca="1" si="1"/>
        <v>16</v>
      </c>
      <c r="E131" t="s">
        <v>8</v>
      </c>
      <c r="F131" s="159" t="s">
        <v>50</v>
      </c>
      <c r="G131" t="s">
        <v>45</v>
      </c>
      <c r="H131" s="160"/>
      <c r="I131" s="62"/>
      <c r="J131" s="161" t="s">
        <v>244</v>
      </c>
      <c r="K131" s="161"/>
      <c r="L131" s="160">
        <v>169</v>
      </c>
      <c r="M131">
        <v>103</v>
      </c>
      <c r="N131" s="161" t="s">
        <v>244</v>
      </c>
      <c r="O131" s="161" t="s">
        <v>244</v>
      </c>
      <c r="P131" s="161" t="s">
        <v>244</v>
      </c>
      <c r="Q131" s="161" t="s">
        <v>244</v>
      </c>
      <c r="R131" s="161" t="s">
        <v>244</v>
      </c>
      <c r="S131" s="190"/>
      <c r="T131" s="161" t="s">
        <v>244</v>
      </c>
      <c r="U131" s="160"/>
      <c r="V131" s="161" t="s">
        <v>244</v>
      </c>
      <c r="W131" s="161" t="s">
        <v>244</v>
      </c>
      <c r="X131" s="161" t="s">
        <v>244</v>
      </c>
      <c r="Y131" s="161" t="s">
        <v>244</v>
      </c>
      <c r="Z131" s="161" t="s">
        <v>244</v>
      </c>
      <c r="AA131" s="161" t="s">
        <v>244</v>
      </c>
      <c r="AB131" s="161" t="s">
        <v>244</v>
      </c>
      <c r="AC131" s="161" t="s">
        <v>244</v>
      </c>
      <c r="AD131" s="161" t="s">
        <v>244</v>
      </c>
      <c r="AE131" s="161" t="s">
        <v>244</v>
      </c>
      <c r="AF131" s="163" t="s">
        <v>244</v>
      </c>
      <c r="AG131" s="163" t="s">
        <v>244</v>
      </c>
      <c r="AH131" s="163" t="s">
        <v>244</v>
      </c>
      <c r="AI131" s="163"/>
      <c r="AJ131" s="163"/>
      <c r="AK131" s="163"/>
      <c r="AL131" s="163"/>
      <c r="AM131" s="163"/>
      <c r="AN131" s="163"/>
      <c r="AO131" s="163"/>
      <c r="AP131" s="163"/>
      <c r="AQ131" s="163"/>
      <c r="AR131" s="163"/>
      <c r="AS131" s="163"/>
      <c r="AT131" s="163"/>
      <c r="AU131" s="163"/>
      <c r="AV131" s="163"/>
      <c r="AW131" s="163"/>
      <c r="AX131" s="163"/>
      <c r="AY131" s="163"/>
      <c r="AZ131" s="163"/>
      <c r="BA131" s="163"/>
      <c r="BB131" s="163"/>
      <c r="BC131" s="163" t="b">
        <v>0</v>
      </c>
      <c r="BD131" s="163" t="b">
        <v>1</v>
      </c>
      <c r="BE131" s="163" t="b">
        <v>1</v>
      </c>
      <c r="BF131" s="163" t="b">
        <v>0</v>
      </c>
      <c r="BG131" s="164" t="b">
        <v>0</v>
      </c>
      <c r="BH131" s="163" t="b">
        <v>1</v>
      </c>
      <c r="BI131" s="163"/>
      <c r="BJ131" s="163"/>
      <c r="BK131" s="163"/>
      <c r="BL131" s="163"/>
      <c r="BM131" s="163"/>
      <c r="BN131" s="163"/>
      <c r="BO131" s="163"/>
      <c r="BP131" s="163"/>
      <c r="BQ131" s="163" t="b">
        <v>1</v>
      </c>
      <c r="BR131" s="163"/>
      <c r="BS131" s="163"/>
      <c r="BT131" s="163"/>
      <c r="BU131" s="163"/>
      <c r="BV131" s="163"/>
      <c r="BW131" s="163"/>
      <c r="BX131" s="163"/>
      <c r="BY131" s="163"/>
      <c r="BZ131" s="163"/>
      <c r="CA131" s="163"/>
      <c r="CB131" s="163"/>
      <c r="CC131" s="163"/>
      <c r="CD131" s="163"/>
      <c r="CE131" s="163"/>
      <c r="CF131" s="163"/>
      <c r="CG131" s="163"/>
      <c r="CH131" s="163"/>
      <c r="CI131" s="163"/>
      <c r="CJ131" s="163"/>
      <c r="CK131" s="163"/>
      <c r="CL131" s="163"/>
      <c r="CM131" s="163"/>
      <c r="CN131" s="163"/>
      <c r="CO131" s="163"/>
      <c r="CP131" s="163"/>
      <c r="CQ131" s="163"/>
      <c r="CR131" s="163"/>
      <c r="CS131" s="163"/>
      <c r="CT131" s="163"/>
      <c r="CU131" s="163"/>
      <c r="CV131" s="163"/>
      <c r="CW131" s="163"/>
      <c r="CX131" s="163"/>
      <c r="CY131" s="163"/>
      <c r="CZ131" s="163"/>
      <c r="DA131" s="163"/>
      <c r="DB131" s="163"/>
      <c r="DC131" s="163"/>
      <c r="DD131" s="163"/>
      <c r="DE131" s="163"/>
      <c r="DF131" s="163"/>
      <c r="DG131" s="208"/>
      <c r="DH131" s="163"/>
      <c r="DI131" s="163"/>
      <c r="DJ131" s="163"/>
      <c r="DK131" s="163"/>
      <c r="DL131" s="163"/>
      <c r="DM131" s="163"/>
      <c r="DN131" s="163"/>
      <c r="DO131" s="163"/>
      <c r="DP131" s="163"/>
      <c r="DQ131" s="163"/>
      <c r="DR131" s="163"/>
      <c r="DS131" s="163"/>
      <c r="DT131" s="163"/>
      <c r="DU131" s="163"/>
      <c r="DV131" s="163"/>
      <c r="DW131" s="163"/>
      <c r="DX131" s="163"/>
      <c r="DY131" s="163"/>
      <c r="DZ131" s="163"/>
      <c r="EA131" s="163"/>
      <c r="EB131" s="163"/>
      <c r="EC131" s="163"/>
      <c r="ED131" s="163"/>
      <c r="EE131" s="163"/>
      <c r="EF131" s="163"/>
      <c r="EG131" s="163"/>
      <c r="EH131" s="160">
        <f>IF([Chambre]*1='CHAMBRES FILLES 2e ETAGE'!$A$5,1,0)</f>
        <v>0</v>
      </c>
      <c r="EI131" s="161">
        <f>IF([Occurrence2]=0,0,SUM($EH$2:EH131))</f>
        <v>0</v>
      </c>
      <c r="EJ131" s="160">
        <f>IF([Chambre]*1='CHAMBRES FILLES 2e ETAGE'!$A$11,1,0)</f>
        <v>0</v>
      </c>
      <c r="EK131" s="160">
        <f>IF([Occurrence3]=0,0,SUM($EJ$2:EJ131))</f>
        <v>0</v>
      </c>
      <c r="EL131" s="160">
        <f>IF([Chambre]*1='CHAMBRES FILLES 2e ETAGE'!$A$17,1,0)</f>
        <v>0</v>
      </c>
      <c r="EM131" s="160">
        <f>IF([Occurrence4]=0,0,SUM($EL$2:EL131))</f>
        <v>0</v>
      </c>
      <c r="EN131" s="160">
        <f>IF([Chambre]*1='CHAMBRES FILLES 2e ETAGE'!$A$23,1,0)</f>
        <v>0</v>
      </c>
      <c r="EO131" s="160">
        <f>IF([Occurrence5]=0,0,SUM($EN$2:EN131))</f>
        <v>0</v>
      </c>
      <c r="EP131" s="160">
        <f>IF([Chambre]*1='CHAMBRES FILLES 2e ETAGE'!$A$29,1,0)</f>
        <v>0</v>
      </c>
      <c r="EQ131" s="160">
        <f>IF([Occurrence6]=0,0,SUM($EP$2:EP131))</f>
        <v>0</v>
      </c>
      <c r="ER131" s="160">
        <f>IF([Chambre]*1='CHAMBRES FILLES 2e ETAGE'!$A$35,1,0)</f>
        <v>0</v>
      </c>
      <c r="ES131" s="160">
        <f>IF([Occurrence7]=0,0,SUM($ER$2:ER131))</f>
        <v>0</v>
      </c>
      <c r="ET131" s="160">
        <f>IF([Chambre]*1='CHAMBRES FILLES 2e ETAGE'!$A$41,1,0)</f>
        <v>1</v>
      </c>
      <c r="EU131" s="160">
        <f>IF([Occurrence8]=0,0,SUM($ET$2:ET131))</f>
        <v>4</v>
      </c>
      <c r="EV131" s="160">
        <f>IF([Chambre]*1='CHAMBRES FILLES 2e ETAGE'!$A$47,1,0)</f>
        <v>0</v>
      </c>
      <c r="EW131" s="160">
        <f>IF([Occurrence9]=0,0,SUM($EV$2:EV131))</f>
        <v>0</v>
      </c>
      <c r="EX131" s="160">
        <f>IF([Chambre]*1='CHAMBRES FILLES 2e ETAGE'!$A$53,1,0)</f>
        <v>0</v>
      </c>
      <c r="EY131" s="160">
        <f>IF([Occurrence10]=0,0,SUM($EX$2:EX131))</f>
        <v>0</v>
      </c>
      <c r="EZ131" s="160">
        <f>IF([Chambre]*1='CHAMBRES FILLES 2e ETAGE'!$A$59,1,0)</f>
        <v>0</v>
      </c>
      <c r="FA131" s="160">
        <f>IF([Occurrence11]=0,0,SUM($EZ$2:EZ131))</f>
        <v>0</v>
      </c>
      <c r="FB131" s="160">
        <f>IF([Chambre]*1='CHAMBRES FILLES 2e ETAGE'!$A$65,1,0)</f>
        <v>0</v>
      </c>
      <c r="FC131" s="160">
        <f>IF([Occurrence12]=0,0,SUM($FB$2:FB131))</f>
        <v>0</v>
      </c>
      <c r="FD131" s="160">
        <f>IF([Chambre]*1='CHAMBRES FILLES 2e ETAGE'!$A$71,1,0)</f>
        <v>0</v>
      </c>
      <c r="FE131" s="160">
        <f>IF([Occurrence13]=0,0,SUM($FD$2:FD131))</f>
        <v>0</v>
      </c>
      <c r="FF131" s="160">
        <f>IF([Chambre]*1='CHAMBRES FILLES 2e ETAGE'!$A$77,1,0)</f>
        <v>0</v>
      </c>
      <c r="FG131" s="160">
        <f>IF([Occurrence14]=0,0,SUM($FF$2:FF131))</f>
        <v>0</v>
      </c>
      <c r="FH131" s="160">
        <f>IF([Chambre]*1='CHAMBRES FILLES 2e ETAGE'!$A$83,1,0)</f>
        <v>0</v>
      </c>
      <c r="FI131" s="160">
        <f>IF([Occurrence15]=0,0,SUM($FH$2:FH131))</f>
        <v>0</v>
      </c>
      <c r="FJ131" s="160">
        <f>IF([Chambre]*1='CHAMBRES FILLES 2e ETAGE'!$A$89,1,0)</f>
        <v>0</v>
      </c>
      <c r="FK131" s="160">
        <f>IF([Occurrence16]=0,0,SUM($FJ$2:FJ131))</f>
        <v>0</v>
      </c>
      <c r="FL131" s="160">
        <f>IF([Chambre]*1='CHAMBRES FILLES 2e ETAGE'!$A$95,1,0)</f>
        <v>0</v>
      </c>
      <c r="FM131" s="160">
        <f>IF([Occurrence17]=0,0,SUM($FL$2:FL131))</f>
        <v>0</v>
      </c>
      <c r="FN131" s="160">
        <f>IF([Chambre2]*1='CHAMBRES FILLES 1e ETAGE'!$A$5,1,0)</f>
        <v>0</v>
      </c>
      <c r="FO131" s="160">
        <f>IF([Occurrence18]=0,0,SUM($FN$2:FN131))</f>
        <v>0</v>
      </c>
      <c r="FP131" s="160">
        <f>IF([Chambre2]*1='CHAMBRES FILLES 1e ETAGE'!$A$11,1,0)</f>
        <v>0</v>
      </c>
      <c r="FQ131" s="160">
        <f>IF([Occurrence19]=0,0,SUM($FP$2:FP131))</f>
        <v>0</v>
      </c>
      <c r="FR131" s="160">
        <f>IF([Chambre2]*1='CHAMBRES FILLES 1e ETAGE'!$A$17,1,0)</f>
        <v>0</v>
      </c>
      <c r="FS131" s="160">
        <f>IF([Occurrence20]=0,0,SUM($FR$2:FR131))</f>
        <v>0</v>
      </c>
      <c r="FT131" s="160">
        <f>IF([Chambre2]*1='CHAMBRES FILLES 1e ETAGE'!$A$23,1,0)</f>
        <v>0</v>
      </c>
      <c r="FU131" s="160">
        <f>IF([Occurrence21]=0,0,SUM($FT$2:FT131))</f>
        <v>0</v>
      </c>
      <c r="FV131" s="160">
        <f>IF([Chambre2]*1='CHAMBRES FILLES 1e ETAGE'!$A$29,1,0)</f>
        <v>0</v>
      </c>
      <c r="FW131" s="160">
        <f>IF([Occurrence22]=0,0,SUM($FV$2:FV131))</f>
        <v>0</v>
      </c>
      <c r="FX131" s="160">
        <f>IF([Chambre2]*1='CHAMBRES FILLES 1e ETAGE'!$A$35,1,0)</f>
        <v>0</v>
      </c>
      <c r="FY131" s="160">
        <f>IF([Occurrence23]=0,0,SUM($FX$2:FX131))</f>
        <v>0</v>
      </c>
      <c r="FZ131" s="160">
        <f>IF([Chambre2]*1='CHAMBRES FILLES 1e ETAGE'!$A$41,1,0)</f>
        <v>0</v>
      </c>
      <c r="GA131" s="160">
        <f>IF([Occurrence24]=0,0,SUM($FZ$2:FZ131))</f>
        <v>0</v>
      </c>
      <c r="GB131" s="160">
        <f>IF([Chambre2]*1='CHAMBRES FILLES 1e ETAGE'!$A$47,1,0)</f>
        <v>0</v>
      </c>
      <c r="GC131" s="160">
        <f>IF([Occurrence25]=0,0,SUM($GB$2:GB131))</f>
        <v>0</v>
      </c>
      <c r="GD131" s="160">
        <f>IF([Chambre2]*1='CHAMBRES FILLES 1e ETAGE'!$A$53,1,0)</f>
        <v>0</v>
      </c>
      <c r="GE131" s="160">
        <f>IF([Occurrence26]=0,0,SUM($GD$2:GD131))</f>
        <v>0</v>
      </c>
      <c r="GF131" s="160">
        <f>IF([chambre4]*1='CHAMBRES GARCONS 1e ETAGE'!$A$5,1,0)</f>
        <v>0</v>
      </c>
      <c r="GG131" s="160">
        <f>IF([Occurrence27]=0,0,SUM($GF$2:GF131))</f>
        <v>0</v>
      </c>
      <c r="GH131" s="160">
        <f>IF([chambre4]*1='CHAMBRES GARCONS 1e ETAGE'!$A$11,1,0)</f>
        <v>0</v>
      </c>
      <c r="GI131" s="160">
        <f>IF([Occurrence28]=0,0,SUM($GH$2:GH131))</f>
        <v>0</v>
      </c>
      <c r="GJ131" s="160">
        <f>IF([chambre4]*1='CHAMBRES GARCONS 1e ETAGE'!$A$17,1,0)</f>
        <v>0</v>
      </c>
      <c r="GK131" s="160">
        <f>IF([Occurrence29]=0,0,SUM($GJ$2:GJ131))</f>
        <v>0</v>
      </c>
      <c r="GL131" s="160">
        <f>IF([chambre4]*1='CHAMBRES GARCONS 1e ETAGE'!$A$23,1,0)</f>
        <v>0</v>
      </c>
      <c r="GM131" s="160">
        <f>IF([Occurrence30]=0,0,SUM($GL$2:GL131))</f>
        <v>0</v>
      </c>
      <c r="GN131" s="160">
        <f>IF([chambre4]*1='CHAMBRES GARCONS 1e ETAGE'!$A$29,1,0)</f>
        <v>0</v>
      </c>
      <c r="GO131" s="160">
        <f>IF([Occurrence31]=0,0,SUM($GN$2:GN131))</f>
        <v>0</v>
      </c>
      <c r="GP131" s="160">
        <f>IF([chambre4]*1='CHAMBRES GARCONS 1e ETAGE'!$A$35,1,0)</f>
        <v>0</v>
      </c>
      <c r="GQ131" s="160">
        <f>IF([Occurrence32]=0,0,SUM($GP$2:GP131))</f>
        <v>0</v>
      </c>
      <c r="GR131" s="160">
        <f>IF([chambre3]*1='CHAMBRES GARCONS RDC'!$A$5,1,0)</f>
        <v>0</v>
      </c>
      <c r="GS131" s="160">
        <f>IF([Occurrence33]=0,0,SUM($GR$2:GR131))</f>
        <v>0</v>
      </c>
      <c r="GT131" s="160">
        <f>IF([chambre3]*1='CHAMBRES GARCONS RDC'!$A$11,1,0)</f>
        <v>0</v>
      </c>
      <c r="GU131" s="160">
        <f>IF([Occurrence34]=0,0,SUM($GT$2:GT131))</f>
        <v>0</v>
      </c>
      <c r="GV131" s="160">
        <f>IF([chambre3]*1='CHAMBRES GARCONS RDC'!$A$17,1,0)</f>
        <v>0</v>
      </c>
      <c r="GW131" s="160">
        <f>IF([Occurrence35]=0,0,SUM($GV$2:GV131))</f>
        <v>0</v>
      </c>
      <c r="GX131" s="160">
        <f>IF([chambre3]*1='CHAMBRES GARCONS RDC'!$A$23,1,0)</f>
        <v>0</v>
      </c>
      <c r="GY131" s="160">
        <f>IF([Occurrence36]=0,0,SUM($GX$2:GX131))</f>
        <v>0</v>
      </c>
      <c r="GZ131" s="160">
        <f>IF([chambre3]*1='CHAMBRES GARCONS RDC'!$A$29,1,0)</f>
        <v>0</v>
      </c>
      <c r="HA131" s="160">
        <f>IF([Occurrence37]=0,0,SUM($GZ$2:GZ131))</f>
        <v>0</v>
      </c>
      <c r="HB131" s="160">
        <f>IF([chambre3]*1='CHAMBRES GARCONS RDC'!$A$35,1,0)</f>
        <v>0</v>
      </c>
      <c r="HC131" s="160">
        <f>IF([Occurrence38]=0,0,SUM($HB$2:HB131))</f>
        <v>0</v>
      </c>
      <c r="HD131" s="160">
        <f>IF([chambre3]*1='CHAMBRES GARCONS RDC'!$A$41,1,0)</f>
        <v>0</v>
      </c>
      <c r="HE131" s="160">
        <f>IF([Occurrence39]=0,0,SUM($HD$2:HD131))</f>
        <v>0</v>
      </c>
      <c r="HF131" s="160">
        <f>IF([chambre3]*1='CHAMBRES GARCONS RDC'!$A$47,1,0)</f>
        <v>0</v>
      </c>
      <c r="HG131" s="160">
        <f>IF([Occurrence40]=0,0,SUM($HF$2:HF131))</f>
        <v>0</v>
      </c>
      <c r="HH131" s="160">
        <f>IF([chambre3]*1='CHAMBRES GARCONS RDC'!$A$53,1,0)</f>
        <v>0</v>
      </c>
      <c r="HI131" s="160">
        <f>IF([Occurrence41]=0,0,SUM($HH$2:HH131))</f>
        <v>0</v>
      </c>
      <c r="HJ131" s="160">
        <f>IF([chambre3]*1='CHAMBRES GARCONS RDC'!$A$59,1,0)</f>
        <v>0</v>
      </c>
      <c r="HK131" s="160">
        <f>IF([Occurrence42]=0,0,SUM($HJ$2:HJ131))</f>
        <v>0</v>
      </c>
      <c r="HL131" s="160">
        <f>IF([chambre3]*1='CHAMBRES GARCONS RDC'!$A$65,1,0)</f>
        <v>0</v>
      </c>
      <c r="HM131" s="160">
        <f>IF([Occurrence43]=0,0,SUM($HL$2:HL131))</f>
        <v>0</v>
      </c>
      <c r="HN131" s="160">
        <f>IF([chambre3]*1='CHAMBRES GARCONS RDC'!$A$71,1,0)</f>
        <v>0</v>
      </c>
      <c r="HO131" s="160">
        <f>IF([Occurrence44]=0,0,SUM($HN$2:HN131))</f>
        <v>0</v>
      </c>
      <c r="HP131" s="160">
        <f>IF([chambre3]*1='CHAMBRES GARCONS RDC'!$A$77,1,0)</f>
        <v>0</v>
      </c>
      <c r="HQ131" s="160">
        <f>IF([Occurrence45]=0,0,SUM($HP$2:HP131))</f>
        <v>0</v>
      </c>
      <c r="HR131" s="160">
        <f>IF([chambre3]*1='CHAMBRES GARCONS RDC'!$A$83,1,0)</f>
        <v>0</v>
      </c>
      <c r="HS131" s="160">
        <f>IF([Occurrence46]=0,0,SUM($HR$2:HR131))</f>
        <v>0</v>
      </c>
      <c r="HT131" s="160">
        <f>IF([chambre3]*1='CHAMBRES GARCONS RDC'!$A$89,1,0)</f>
        <v>0</v>
      </c>
      <c r="HU131" s="160">
        <f>IF([Occurrence47]=0,0,SUM($HT$2:HT131))</f>
        <v>0</v>
      </c>
      <c r="HV131" s="160">
        <f>IF([chambre3]*1='CHAMBRES GARCONS RDC'!$A$95,1,0)</f>
        <v>0</v>
      </c>
      <c r="HW131" s="160">
        <f>IF([Occurrence48]=0,0,SUM($HV$2:HV131))</f>
        <v>0</v>
      </c>
      <c r="HX131" s="160"/>
      <c r="HY131" s="160"/>
      <c r="HZ131" s="160">
        <f>IF([Classe]='Liste élève par classes'!$B$5,1,0)</f>
        <v>1</v>
      </c>
      <c r="IA131" s="160">
        <f>IF([Occurrence]=0,0,SUM($HZ$2:HZ131))</f>
        <v>9</v>
      </c>
      <c r="IB13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169</v>
      </c>
      <c r="IC131" s="208"/>
    </row>
    <row r="132" spans="1:237">
      <c r="A132" t="s">
        <v>472</v>
      </c>
      <c r="B132" t="s">
        <v>473</v>
      </c>
      <c r="C132" s="158">
        <v>37009</v>
      </c>
      <c r="D132" s="62">
        <f t="shared" ref="D132:D195" ca="1" si="2">IF(MONTH(TODAY())&gt;MONTH(C132),YEAR(TODAY())-YEAR(C132),IF(MONTH(TODAY())&lt;MONTH(C132),YEAR(TODAY())-YEAR(C132)-1,IF(DAY(TODAY())&lt;DAY(C132),YEAR(TODAY())-YEAR(C132)-1,YEAR(TODAY())-YEAR(C132))))</f>
        <v>16</v>
      </c>
      <c r="E132" t="s">
        <v>10</v>
      </c>
      <c r="F132" s="159" t="s">
        <v>50</v>
      </c>
      <c r="G132" t="s">
        <v>45</v>
      </c>
      <c r="H132" s="160"/>
      <c r="I132" s="62"/>
      <c r="J132" s="62"/>
      <c r="K132" s="62"/>
      <c r="L132" s="61">
        <v>171</v>
      </c>
      <c r="M132">
        <v>194</v>
      </c>
      <c r="N132" s="62"/>
      <c r="O132" s="62"/>
      <c r="P132" s="62"/>
      <c r="Q132" s="62"/>
      <c r="R132" s="62"/>
      <c r="S132" s="191"/>
      <c r="T132" s="62"/>
      <c r="U132" s="61"/>
      <c r="V132" s="62"/>
      <c r="W132" s="62"/>
      <c r="X132" s="62"/>
      <c r="Y132" s="62"/>
      <c r="Z132" s="62"/>
      <c r="AA132" s="62"/>
      <c r="AB132" s="62"/>
      <c r="AC132" s="62"/>
      <c r="AD132" s="62"/>
      <c r="AE132" s="62"/>
      <c r="AF132" s="163"/>
      <c r="AG132" s="163"/>
      <c r="AH132" s="163"/>
      <c r="AI132" s="163"/>
      <c r="AJ132" s="163"/>
      <c r="AK132" s="163"/>
      <c r="AL132" s="163"/>
      <c r="AM132" s="163"/>
      <c r="AN132" s="163"/>
      <c r="AO132" s="163"/>
      <c r="AP132" s="163"/>
      <c r="AQ132" s="163"/>
      <c r="AR132" s="163"/>
      <c r="AS132" s="163"/>
      <c r="AT132" s="163"/>
      <c r="AU132" s="163"/>
      <c r="AV132" s="163"/>
      <c r="AW132" s="163"/>
      <c r="AX132" s="163"/>
      <c r="AY132" s="163"/>
      <c r="AZ132" s="163"/>
      <c r="BA132" s="163"/>
      <c r="BB132" s="163"/>
      <c r="BC132" s="163" t="b">
        <v>0</v>
      </c>
      <c r="BD132" s="163" t="b">
        <v>1</v>
      </c>
      <c r="BE132" s="163" t="b">
        <v>1</v>
      </c>
      <c r="BF132" s="163" t="b">
        <v>0</v>
      </c>
      <c r="BG132" s="164" t="b">
        <v>0</v>
      </c>
      <c r="BH132" s="163" t="b">
        <v>1</v>
      </c>
      <c r="BI132" s="163"/>
      <c r="BJ132" s="163"/>
      <c r="BK132" s="163"/>
      <c r="BL132" s="163"/>
      <c r="BM132" s="163"/>
      <c r="BN132" s="163"/>
      <c r="BO132" s="163"/>
      <c r="BP132" s="163"/>
      <c r="BQ132" s="163" t="b">
        <v>0</v>
      </c>
      <c r="BR132" s="163"/>
      <c r="BS132" s="163"/>
      <c r="BT132" s="163"/>
      <c r="BU132" s="163"/>
      <c r="BV132" s="163"/>
      <c r="BW132" s="163"/>
      <c r="BX132" s="163"/>
      <c r="BY132" s="163"/>
      <c r="BZ132" s="163"/>
      <c r="CA132" s="163"/>
      <c r="CB132" s="163"/>
      <c r="CC132" s="163"/>
      <c r="CD132" s="163"/>
      <c r="CE132" s="163"/>
      <c r="CF132" s="163"/>
      <c r="CG132" s="163"/>
      <c r="CH132" s="163"/>
      <c r="CI132" s="163"/>
      <c r="CJ132" s="163"/>
      <c r="CK132" s="163"/>
      <c r="CL132" s="163"/>
      <c r="CM132" s="163"/>
      <c r="CN132" s="163"/>
      <c r="CO132" s="163"/>
      <c r="CP132" s="163"/>
      <c r="CQ132" s="163"/>
      <c r="CR132" s="163"/>
      <c r="CS132" s="163"/>
      <c r="CT132" s="163"/>
      <c r="CU132" s="163"/>
      <c r="CV132" s="163"/>
      <c r="CW132" s="163"/>
      <c r="CX132" s="163"/>
      <c r="CY132" s="163"/>
      <c r="CZ132" s="163"/>
      <c r="DA132" s="163"/>
      <c r="DB132" s="163"/>
      <c r="DC132" s="163"/>
      <c r="DD132" s="163"/>
      <c r="DE132" s="163"/>
      <c r="DF132" s="163"/>
      <c r="DG132" s="208"/>
      <c r="DH132" s="163"/>
      <c r="DI132" s="163"/>
      <c r="DJ132" s="163"/>
      <c r="DK132" s="163"/>
      <c r="DL132" s="163"/>
      <c r="DM132" s="163"/>
      <c r="DN132" s="163"/>
      <c r="DO132" s="163"/>
      <c r="DP132" s="163"/>
      <c r="DQ132" s="163"/>
      <c r="DR132" s="163"/>
      <c r="DS132" s="163"/>
      <c r="DT132" s="163"/>
      <c r="DU132" s="163"/>
      <c r="DV132" s="163"/>
      <c r="DW132" s="163"/>
      <c r="DX132" s="163"/>
      <c r="DY132" s="163"/>
      <c r="DZ132" s="163"/>
      <c r="EA132" s="163"/>
      <c r="EB132" s="163"/>
      <c r="EC132" s="163"/>
      <c r="ED132" s="163"/>
      <c r="EE132" s="163"/>
      <c r="EF132" s="163"/>
      <c r="EG132" s="163"/>
      <c r="EH132" s="160">
        <f>IF([Chambre]*1='CHAMBRES FILLES 2e ETAGE'!$A$5,1,0)</f>
        <v>0</v>
      </c>
      <c r="EI132" s="161">
        <f>IF([Occurrence2]=0,0,SUM($EH$2:EH132))</f>
        <v>0</v>
      </c>
      <c r="EJ132" s="160">
        <f>IF([Chambre]*1='CHAMBRES FILLES 2e ETAGE'!$A$11,1,0)</f>
        <v>0</v>
      </c>
      <c r="EK132" s="160">
        <f>IF([Occurrence3]=0,0,SUM($EJ$2:EJ132))</f>
        <v>0</v>
      </c>
      <c r="EL132" s="160">
        <f>IF([Chambre]*1='CHAMBRES FILLES 2e ETAGE'!$A$17,1,0)</f>
        <v>0</v>
      </c>
      <c r="EM132" s="160">
        <f>IF([Occurrence4]=0,0,SUM($EL$2:EL132))</f>
        <v>0</v>
      </c>
      <c r="EN132" s="160">
        <f>IF([Chambre]*1='CHAMBRES FILLES 2e ETAGE'!$A$23,1,0)</f>
        <v>0</v>
      </c>
      <c r="EO132" s="160">
        <f>IF([Occurrence5]=0,0,SUM($EN$2:EN132))</f>
        <v>0</v>
      </c>
      <c r="EP132" s="160">
        <f>IF([Chambre]*1='CHAMBRES FILLES 2e ETAGE'!$A$29,1,0)</f>
        <v>0</v>
      </c>
      <c r="EQ132" s="160">
        <f>IF([Occurrence6]=0,0,SUM($EP$2:EP132))</f>
        <v>0</v>
      </c>
      <c r="ER132" s="160">
        <f>IF([Chambre]*1='CHAMBRES FILLES 2e ETAGE'!$A$35,1,0)</f>
        <v>0</v>
      </c>
      <c r="ES132" s="160">
        <f>IF([Occurrence7]=0,0,SUM($ER$2:ER132))</f>
        <v>0</v>
      </c>
      <c r="ET132" s="160">
        <f>IF([Chambre]*1='CHAMBRES FILLES 2e ETAGE'!$A$41,1,0)</f>
        <v>0</v>
      </c>
      <c r="EU132" s="160">
        <f>IF([Occurrence8]=0,0,SUM($ET$2:ET132))</f>
        <v>0</v>
      </c>
      <c r="EV132" s="160">
        <f>IF([Chambre]*1='CHAMBRES FILLES 2e ETAGE'!$A$47,1,0)</f>
        <v>0</v>
      </c>
      <c r="EW132" s="160">
        <f>IF([Occurrence9]=0,0,SUM($EV$2:EV132))</f>
        <v>0</v>
      </c>
      <c r="EX132" s="160">
        <f>IF([Chambre]*1='CHAMBRES FILLES 2e ETAGE'!$A$53,1,0)</f>
        <v>0</v>
      </c>
      <c r="EY132" s="160">
        <f>IF([Occurrence10]=0,0,SUM($EX$2:EX132))</f>
        <v>0</v>
      </c>
      <c r="EZ132" s="160">
        <f>IF([Chambre]*1='CHAMBRES FILLES 2e ETAGE'!$A$59,1,0)</f>
        <v>0</v>
      </c>
      <c r="FA132" s="160">
        <f>IF([Occurrence11]=0,0,SUM($EZ$2:EZ132))</f>
        <v>0</v>
      </c>
      <c r="FB132" s="160">
        <f>IF([Chambre]*1='CHAMBRES FILLES 2e ETAGE'!$A$65,1,0)</f>
        <v>0</v>
      </c>
      <c r="FC132" s="160">
        <f>IF([Occurrence12]=0,0,SUM($FB$2:FB132))</f>
        <v>0</v>
      </c>
      <c r="FD132" s="160">
        <f>IF([Chambre]*1='CHAMBRES FILLES 2e ETAGE'!$A$71,1,0)</f>
        <v>0</v>
      </c>
      <c r="FE132" s="160">
        <f>IF([Occurrence13]=0,0,SUM($FD$2:FD132))</f>
        <v>0</v>
      </c>
      <c r="FF132" s="160">
        <f>IF([Chambre]*1='CHAMBRES FILLES 2e ETAGE'!$A$77,1,0)</f>
        <v>0</v>
      </c>
      <c r="FG132" s="160">
        <f>IF([Occurrence14]=0,0,SUM($FF$2:FF132))</f>
        <v>0</v>
      </c>
      <c r="FH132" s="160">
        <f>IF([Chambre]*1='CHAMBRES FILLES 2e ETAGE'!$A$83,1,0)</f>
        <v>0</v>
      </c>
      <c r="FI132" s="160">
        <f>IF([Occurrence15]=0,0,SUM($FH$2:FH132))</f>
        <v>0</v>
      </c>
      <c r="FJ132" s="160">
        <f>IF([Chambre]*1='CHAMBRES FILLES 2e ETAGE'!$A$89,1,0)</f>
        <v>0</v>
      </c>
      <c r="FK132" s="160">
        <f>IF([Occurrence16]=0,0,SUM($FJ$2:FJ132))</f>
        <v>0</v>
      </c>
      <c r="FL132" s="160">
        <f>IF([Chambre]*1='CHAMBRES FILLES 2e ETAGE'!$A$95,1,0)</f>
        <v>1</v>
      </c>
      <c r="FM132" s="160">
        <f>IF([Occurrence17]=0,0,SUM($FL$2:FL132))</f>
        <v>3</v>
      </c>
      <c r="FN132" s="160">
        <f>IF([Chambre2]*1='CHAMBRES FILLES 1e ETAGE'!$A$5,1,0)</f>
        <v>0</v>
      </c>
      <c r="FO132" s="160">
        <f>IF([Occurrence18]=0,0,SUM($FN$2:FN132))</f>
        <v>0</v>
      </c>
      <c r="FP132" s="160">
        <f>IF([Chambre2]*1='CHAMBRES FILLES 1e ETAGE'!$A$11,1,0)</f>
        <v>0</v>
      </c>
      <c r="FQ132" s="160">
        <f>IF([Occurrence19]=0,0,SUM($FP$2:FP132))</f>
        <v>0</v>
      </c>
      <c r="FR132" s="160">
        <f>IF([Chambre2]*1='CHAMBRES FILLES 1e ETAGE'!$A$17,1,0)</f>
        <v>0</v>
      </c>
      <c r="FS132" s="160">
        <f>IF([Occurrence20]=0,0,SUM($FR$2:FR132))</f>
        <v>0</v>
      </c>
      <c r="FT132" s="160">
        <f>IF([Chambre2]*1='CHAMBRES FILLES 1e ETAGE'!$A$23,1,0)</f>
        <v>0</v>
      </c>
      <c r="FU132" s="160">
        <f>IF([Occurrence21]=0,0,SUM($FT$2:FT132))</f>
        <v>0</v>
      </c>
      <c r="FV132" s="160">
        <f>IF([Chambre2]*1='CHAMBRES FILLES 1e ETAGE'!$A$29,1,0)</f>
        <v>0</v>
      </c>
      <c r="FW132" s="160">
        <f>IF([Occurrence22]=0,0,SUM($FV$2:FV132))</f>
        <v>0</v>
      </c>
      <c r="FX132" s="160">
        <f>IF([Chambre2]*1='CHAMBRES FILLES 1e ETAGE'!$A$35,1,0)</f>
        <v>0</v>
      </c>
      <c r="FY132" s="160">
        <f>IF([Occurrence23]=0,0,SUM($FX$2:FX132))</f>
        <v>0</v>
      </c>
      <c r="FZ132" s="160">
        <f>IF([Chambre2]*1='CHAMBRES FILLES 1e ETAGE'!$A$41,1,0)</f>
        <v>0</v>
      </c>
      <c r="GA132" s="160">
        <f>IF([Occurrence24]=0,0,SUM($FZ$2:FZ132))</f>
        <v>0</v>
      </c>
      <c r="GB132" s="160">
        <f>IF([Chambre2]*1='CHAMBRES FILLES 1e ETAGE'!$A$47,1,0)</f>
        <v>0</v>
      </c>
      <c r="GC132" s="160">
        <f>IF([Occurrence25]=0,0,SUM($GB$2:GB132))</f>
        <v>0</v>
      </c>
      <c r="GD132" s="160">
        <f>IF([Chambre2]*1='CHAMBRES FILLES 1e ETAGE'!$A$53,1,0)</f>
        <v>0</v>
      </c>
      <c r="GE132" s="160">
        <f>IF([Occurrence26]=0,0,SUM($GD$2:GD132))</f>
        <v>0</v>
      </c>
      <c r="GF132" s="160">
        <f>IF([chambre4]*1='CHAMBRES GARCONS 1e ETAGE'!$A$5,1,0)</f>
        <v>0</v>
      </c>
      <c r="GG132" s="160">
        <f>IF([Occurrence27]=0,0,SUM($GF$2:GF132))</f>
        <v>0</v>
      </c>
      <c r="GH132" s="160">
        <f>IF([chambre4]*1='CHAMBRES GARCONS 1e ETAGE'!$A$11,1,0)</f>
        <v>0</v>
      </c>
      <c r="GI132" s="160">
        <f>IF([Occurrence28]=0,0,SUM($GH$2:GH132))</f>
        <v>0</v>
      </c>
      <c r="GJ132" s="160">
        <f>IF([chambre4]*1='CHAMBRES GARCONS 1e ETAGE'!$A$17,1,0)</f>
        <v>0</v>
      </c>
      <c r="GK132" s="160">
        <f>IF([Occurrence29]=0,0,SUM($GJ$2:GJ132))</f>
        <v>0</v>
      </c>
      <c r="GL132" s="160">
        <f>IF([chambre4]*1='CHAMBRES GARCONS 1e ETAGE'!$A$23,1,0)</f>
        <v>0</v>
      </c>
      <c r="GM132" s="160">
        <f>IF([Occurrence30]=0,0,SUM($GL$2:GL132))</f>
        <v>0</v>
      </c>
      <c r="GN132" s="160">
        <f>IF([chambre4]*1='CHAMBRES GARCONS 1e ETAGE'!$A$29,1,0)</f>
        <v>0</v>
      </c>
      <c r="GO132" s="160">
        <f>IF([Occurrence31]=0,0,SUM($GN$2:GN132))</f>
        <v>0</v>
      </c>
      <c r="GP132" s="160">
        <f>IF([chambre4]*1='CHAMBRES GARCONS 1e ETAGE'!$A$35,1,0)</f>
        <v>0</v>
      </c>
      <c r="GQ132" s="160">
        <f>IF([Occurrence32]=0,0,SUM($GP$2:GP132))</f>
        <v>0</v>
      </c>
      <c r="GR132" s="160">
        <f>IF([chambre3]*1='CHAMBRES GARCONS RDC'!$A$5,1,0)</f>
        <v>0</v>
      </c>
      <c r="GS132" s="160">
        <f>IF([Occurrence33]=0,0,SUM($GR$2:GR132))</f>
        <v>0</v>
      </c>
      <c r="GT132" s="160">
        <f>IF([chambre3]*1='CHAMBRES GARCONS RDC'!$A$11,1,0)</f>
        <v>0</v>
      </c>
      <c r="GU132" s="160">
        <f>IF([Occurrence34]=0,0,SUM($GT$2:GT132))</f>
        <v>0</v>
      </c>
      <c r="GV132" s="160">
        <f>IF([chambre3]*1='CHAMBRES GARCONS RDC'!$A$17,1,0)</f>
        <v>0</v>
      </c>
      <c r="GW132" s="160">
        <f>IF([Occurrence35]=0,0,SUM($GV$2:GV132))</f>
        <v>0</v>
      </c>
      <c r="GX132" s="160">
        <f>IF([chambre3]*1='CHAMBRES GARCONS RDC'!$A$23,1,0)</f>
        <v>0</v>
      </c>
      <c r="GY132" s="160">
        <f>IF([Occurrence36]=0,0,SUM($GX$2:GX132))</f>
        <v>0</v>
      </c>
      <c r="GZ132" s="160">
        <f>IF([chambre3]*1='CHAMBRES GARCONS RDC'!$A$29,1,0)</f>
        <v>0</v>
      </c>
      <c r="HA132" s="160">
        <f>IF([Occurrence37]=0,0,SUM($GZ$2:GZ132))</f>
        <v>0</v>
      </c>
      <c r="HB132" s="160">
        <f>IF([chambre3]*1='CHAMBRES GARCONS RDC'!$A$35,1,0)</f>
        <v>0</v>
      </c>
      <c r="HC132" s="160">
        <f>IF([Occurrence38]=0,0,SUM($HB$2:HB132))</f>
        <v>0</v>
      </c>
      <c r="HD132" s="160">
        <f>IF([chambre3]*1='CHAMBRES GARCONS RDC'!$A$41,1,0)</f>
        <v>0</v>
      </c>
      <c r="HE132" s="160">
        <f>IF([Occurrence39]=0,0,SUM($HD$2:HD132))</f>
        <v>0</v>
      </c>
      <c r="HF132" s="160">
        <f>IF([chambre3]*1='CHAMBRES GARCONS RDC'!$A$47,1,0)</f>
        <v>0</v>
      </c>
      <c r="HG132" s="160">
        <f>IF([Occurrence40]=0,0,SUM($HF$2:HF132))</f>
        <v>0</v>
      </c>
      <c r="HH132" s="160">
        <f>IF([chambre3]*1='CHAMBRES GARCONS RDC'!$A$53,1,0)</f>
        <v>0</v>
      </c>
      <c r="HI132" s="160">
        <f>IF([Occurrence41]=0,0,SUM($HH$2:HH132))</f>
        <v>0</v>
      </c>
      <c r="HJ132" s="160">
        <f>IF([chambre3]*1='CHAMBRES GARCONS RDC'!$A$59,1,0)</f>
        <v>0</v>
      </c>
      <c r="HK132" s="160">
        <f>IF([Occurrence42]=0,0,SUM($HJ$2:HJ132))</f>
        <v>0</v>
      </c>
      <c r="HL132" s="160">
        <f>IF([chambre3]*1='CHAMBRES GARCONS RDC'!$A$65,1,0)</f>
        <v>0</v>
      </c>
      <c r="HM132" s="160">
        <f>IF([Occurrence43]=0,0,SUM($HL$2:HL132))</f>
        <v>0</v>
      </c>
      <c r="HN132" s="160">
        <f>IF([chambre3]*1='CHAMBRES GARCONS RDC'!$A$71,1,0)</f>
        <v>0</v>
      </c>
      <c r="HO132" s="160">
        <f>IF([Occurrence44]=0,0,SUM($HN$2:HN132))</f>
        <v>0</v>
      </c>
      <c r="HP132" s="160">
        <f>IF([chambre3]*1='CHAMBRES GARCONS RDC'!$A$77,1,0)</f>
        <v>0</v>
      </c>
      <c r="HQ132" s="160">
        <f>IF([Occurrence45]=0,0,SUM($HP$2:HP132))</f>
        <v>0</v>
      </c>
      <c r="HR132" s="160">
        <f>IF([chambre3]*1='CHAMBRES GARCONS RDC'!$A$83,1,0)</f>
        <v>0</v>
      </c>
      <c r="HS132" s="160">
        <f>IF([Occurrence46]=0,0,SUM($HR$2:HR132))</f>
        <v>0</v>
      </c>
      <c r="HT132" s="160">
        <f>IF([chambre3]*1='CHAMBRES GARCONS RDC'!$A$89,1,0)</f>
        <v>0</v>
      </c>
      <c r="HU132" s="160">
        <f>IF([Occurrence47]=0,0,SUM($HT$2:HT132))</f>
        <v>0</v>
      </c>
      <c r="HV132" s="160">
        <f>IF([chambre3]*1='CHAMBRES GARCONS RDC'!$A$95,1,0)</f>
        <v>0</v>
      </c>
      <c r="HW132" s="160">
        <f>IF([Occurrence48]=0,0,SUM($HV$2:HV132))</f>
        <v>0</v>
      </c>
      <c r="HX132" s="160"/>
      <c r="HY132" s="160"/>
      <c r="HZ132" s="160">
        <f>IF([Classe]='Liste élève par classes'!$B$5,1,0)</f>
        <v>0</v>
      </c>
      <c r="IA132" s="160">
        <f>IF([Occurrence]=0,0,SUM($HZ$2:HZ132))</f>
        <v>0</v>
      </c>
      <c r="IB13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171</v>
      </c>
      <c r="IC132" s="208"/>
    </row>
    <row r="133" spans="1:237">
      <c r="A133" t="s">
        <v>474</v>
      </c>
      <c r="B133" t="s">
        <v>475</v>
      </c>
      <c r="C133" s="158">
        <v>37488</v>
      </c>
      <c r="D133" s="62">
        <f t="shared" ca="1" si="2"/>
        <v>15</v>
      </c>
      <c r="E133" t="s">
        <v>7</v>
      </c>
      <c r="F133" s="159" t="s">
        <v>50</v>
      </c>
      <c r="G133" t="s">
        <v>40</v>
      </c>
      <c r="H133" s="160"/>
      <c r="I133" s="62"/>
      <c r="J133" s="62"/>
      <c r="K133" s="62"/>
      <c r="L133" s="61"/>
      <c r="M133">
        <v>13</v>
      </c>
      <c r="N133" s="62"/>
      <c r="O133" s="62"/>
      <c r="P133" s="62"/>
      <c r="Q133" s="62"/>
      <c r="R133" s="62"/>
      <c r="S133" s="62"/>
      <c r="T133" s="62"/>
      <c r="U133" s="61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163"/>
      <c r="AG133" s="163"/>
      <c r="AH133" s="163"/>
      <c r="AI133" s="163"/>
      <c r="AJ133" s="163"/>
      <c r="AK133" s="163"/>
      <c r="AL133" s="163"/>
      <c r="AM133" s="163"/>
      <c r="AN133" s="163"/>
      <c r="AO133" s="163"/>
      <c r="AP133" s="163"/>
      <c r="AQ133" s="163"/>
      <c r="AR133" s="163"/>
      <c r="AS133" s="163"/>
      <c r="AT133" s="163"/>
      <c r="AU133" s="163"/>
      <c r="AV133" s="163"/>
      <c r="AW133" s="163"/>
      <c r="AX133" s="163"/>
      <c r="AY133" s="163"/>
      <c r="AZ133" s="163"/>
      <c r="BA133" s="163"/>
      <c r="BB133" s="163"/>
      <c r="BC133" s="163" t="b">
        <v>1</v>
      </c>
      <c r="BD133" s="163" t="b">
        <v>0</v>
      </c>
      <c r="BE133" s="163" t="b">
        <v>0</v>
      </c>
      <c r="BF133" s="163" t="b">
        <v>1</v>
      </c>
      <c r="BG133" s="164" t="b">
        <v>0</v>
      </c>
      <c r="BH133" s="163" t="b">
        <v>1</v>
      </c>
      <c r="BI133" s="163" t="b">
        <v>0</v>
      </c>
      <c r="BJ133" s="163" t="b">
        <v>1</v>
      </c>
      <c r="BK133" s="163" t="b">
        <v>1</v>
      </c>
      <c r="BL133" s="163" t="b">
        <v>0</v>
      </c>
      <c r="BM133" s="163"/>
      <c r="BN133" s="163"/>
      <c r="BO133" s="163"/>
      <c r="BP133" s="163"/>
      <c r="BQ133" s="163" t="b">
        <v>0</v>
      </c>
      <c r="BR133" s="163"/>
      <c r="BS133" s="163"/>
      <c r="BT133" s="163"/>
      <c r="BU133" s="163"/>
      <c r="BV133" s="163"/>
      <c r="BW133" s="163"/>
      <c r="BX133" s="163"/>
      <c r="BY133" s="163"/>
      <c r="BZ133" s="163"/>
      <c r="CA133" s="163"/>
      <c r="CB133" s="163"/>
      <c r="CC133" s="163"/>
      <c r="CD133" s="163"/>
      <c r="CE133" s="163"/>
      <c r="CF133" s="163"/>
      <c r="CG133" s="163"/>
      <c r="CH133" s="163"/>
      <c r="CI133" s="163"/>
      <c r="CJ133" s="163"/>
      <c r="CK133" s="163"/>
      <c r="CL133" s="163"/>
      <c r="CM133" s="163"/>
      <c r="CN133" s="163"/>
      <c r="CO133" s="163"/>
      <c r="CP133" s="163"/>
      <c r="CQ133" s="163"/>
      <c r="CR133" s="163"/>
      <c r="CS133" s="163"/>
      <c r="CT133" s="163"/>
      <c r="CU133" s="163"/>
      <c r="CV133" s="163"/>
      <c r="CW133" s="163"/>
      <c r="CX133" s="163"/>
      <c r="CY133" s="163"/>
      <c r="CZ133" s="163"/>
      <c r="DA133" s="163"/>
      <c r="DB133" s="163"/>
      <c r="DC133" s="163"/>
      <c r="DD133" s="163"/>
      <c r="DE133" s="163"/>
      <c r="DF133" s="163"/>
      <c r="DG133" s="208">
        <v>152</v>
      </c>
      <c r="DH133" s="163"/>
      <c r="DI133" s="163"/>
      <c r="DJ133" s="163"/>
      <c r="DK133" s="163"/>
      <c r="DL133" s="163"/>
      <c r="DM133" s="163"/>
      <c r="DN133" s="163"/>
      <c r="DO133" s="163"/>
      <c r="DP133" s="163"/>
      <c r="DQ133" s="163"/>
      <c r="DR133" s="163"/>
      <c r="DS133" s="163"/>
      <c r="DT133" s="163"/>
      <c r="DU133" s="163"/>
      <c r="DV133" s="163"/>
      <c r="DW133" s="163"/>
      <c r="DX133" s="163"/>
      <c r="DY133" s="163"/>
      <c r="DZ133" s="163"/>
      <c r="EA133" s="163"/>
      <c r="EB133" s="163"/>
      <c r="EC133" s="163"/>
      <c r="ED133" s="163"/>
      <c r="EE133" s="163"/>
      <c r="EF133" s="163"/>
      <c r="EG133" s="163"/>
      <c r="EH133" s="160">
        <f>IF([Chambre]*1='CHAMBRES FILLES 2e ETAGE'!$A$5,1,0)</f>
        <v>0</v>
      </c>
      <c r="EI133" s="161">
        <f>IF([Occurrence2]=0,0,SUM($EH$2:EH133))</f>
        <v>0</v>
      </c>
      <c r="EJ133" s="160">
        <f>IF([Chambre]*1='CHAMBRES FILLES 2e ETAGE'!$A$11,1,0)</f>
        <v>0</v>
      </c>
      <c r="EK133" s="160">
        <f>IF([Occurrence3]=0,0,SUM($EJ$2:EJ133))</f>
        <v>0</v>
      </c>
      <c r="EL133" s="160">
        <f>IF([Chambre]*1='CHAMBRES FILLES 2e ETAGE'!$A$17,1,0)</f>
        <v>0</v>
      </c>
      <c r="EM133" s="160">
        <f>IF([Occurrence4]=0,0,SUM($EL$2:EL133))</f>
        <v>0</v>
      </c>
      <c r="EN133" s="160">
        <f>IF([Chambre]*1='CHAMBRES FILLES 2e ETAGE'!$A$23,1,0)</f>
        <v>0</v>
      </c>
      <c r="EO133" s="160">
        <f>IF([Occurrence5]=0,0,SUM($EN$2:EN133))</f>
        <v>0</v>
      </c>
      <c r="EP133" s="160">
        <f>IF([Chambre]*1='CHAMBRES FILLES 2e ETAGE'!$A$29,1,0)</f>
        <v>0</v>
      </c>
      <c r="EQ133" s="160">
        <f>IF([Occurrence6]=0,0,SUM($EP$2:EP133))</f>
        <v>0</v>
      </c>
      <c r="ER133" s="160">
        <f>IF([Chambre]*1='CHAMBRES FILLES 2e ETAGE'!$A$35,1,0)</f>
        <v>0</v>
      </c>
      <c r="ES133" s="160">
        <f>IF([Occurrence7]=0,0,SUM($ER$2:ER133))</f>
        <v>0</v>
      </c>
      <c r="ET133" s="160">
        <f>IF([Chambre]*1='CHAMBRES FILLES 2e ETAGE'!$A$41,1,0)</f>
        <v>0</v>
      </c>
      <c r="EU133" s="160">
        <f>IF([Occurrence8]=0,0,SUM($ET$2:ET133))</f>
        <v>0</v>
      </c>
      <c r="EV133" s="160">
        <f>IF([Chambre]*1='CHAMBRES FILLES 2e ETAGE'!$A$47,1,0)</f>
        <v>0</v>
      </c>
      <c r="EW133" s="160">
        <f>IF([Occurrence9]=0,0,SUM($EV$2:EV133))</f>
        <v>0</v>
      </c>
      <c r="EX133" s="160">
        <f>IF([Chambre]*1='CHAMBRES FILLES 2e ETAGE'!$A$53,1,0)</f>
        <v>0</v>
      </c>
      <c r="EY133" s="160">
        <f>IF([Occurrence10]=0,0,SUM($EX$2:EX133))</f>
        <v>0</v>
      </c>
      <c r="EZ133" s="160">
        <f>IF([Chambre]*1='CHAMBRES FILLES 2e ETAGE'!$A$59,1,0)</f>
        <v>0</v>
      </c>
      <c r="FA133" s="160">
        <f>IF([Occurrence11]=0,0,SUM($EZ$2:EZ133))</f>
        <v>0</v>
      </c>
      <c r="FB133" s="160">
        <f>IF([Chambre]*1='CHAMBRES FILLES 2e ETAGE'!$A$65,1,0)</f>
        <v>0</v>
      </c>
      <c r="FC133" s="160">
        <f>IF([Occurrence12]=0,0,SUM($FB$2:FB133))</f>
        <v>0</v>
      </c>
      <c r="FD133" s="160">
        <f>IF([Chambre]*1='CHAMBRES FILLES 2e ETAGE'!$A$71,1,0)</f>
        <v>0</v>
      </c>
      <c r="FE133" s="160">
        <f>IF([Occurrence13]=0,0,SUM($FD$2:FD133))</f>
        <v>0</v>
      </c>
      <c r="FF133" s="160">
        <f>IF([Chambre]*1='CHAMBRES FILLES 2e ETAGE'!$A$77,1,0)</f>
        <v>0</v>
      </c>
      <c r="FG133" s="160">
        <f>IF([Occurrence14]=0,0,SUM($FF$2:FF133))</f>
        <v>0</v>
      </c>
      <c r="FH133" s="160">
        <f>IF([Chambre]*1='CHAMBRES FILLES 2e ETAGE'!$A$83,1,0)</f>
        <v>0</v>
      </c>
      <c r="FI133" s="160">
        <f>IF([Occurrence15]=0,0,SUM($FH$2:FH133))</f>
        <v>0</v>
      </c>
      <c r="FJ133" s="160">
        <f>IF([Chambre]*1='CHAMBRES FILLES 2e ETAGE'!$A$89,1,0)</f>
        <v>0</v>
      </c>
      <c r="FK133" s="160">
        <f>IF([Occurrence16]=0,0,SUM($FJ$2:FJ133))</f>
        <v>0</v>
      </c>
      <c r="FL133" s="160">
        <f>IF([Chambre]*1='CHAMBRES FILLES 2e ETAGE'!$A$95,1,0)</f>
        <v>0</v>
      </c>
      <c r="FM133" s="160">
        <f>IF([Occurrence17]=0,0,SUM($FL$2:FL133))</f>
        <v>0</v>
      </c>
      <c r="FN133" s="160">
        <f>IF([Chambre2]*1='CHAMBRES FILLES 1e ETAGE'!$A$5,1,0)</f>
        <v>0</v>
      </c>
      <c r="FO133" s="160">
        <f>IF([Occurrence18]=0,0,SUM($FN$2:FN133))</f>
        <v>0</v>
      </c>
      <c r="FP133" s="160">
        <f>IF([Chambre2]*1='CHAMBRES FILLES 1e ETAGE'!$A$11,1,0)</f>
        <v>0</v>
      </c>
      <c r="FQ133" s="160">
        <f>IF([Occurrence19]=0,0,SUM($FP$2:FP133))</f>
        <v>0</v>
      </c>
      <c r="FR133" s="160">
        <f>IF([Chambre2]*1='CHAMBRES FILLES 1e ETAGE'!$A$17,1,0)</f>
        <v>0</v>
      </c>
      <c r="FS133" s="160">
        <f>IF([Occurrence20]=0,0,SUM($FR$2:FR133))</f>
        <v>0</v>
      </c>
      <c r="FT133" s="160">
        <f>IF([Chambre2]*1='CHAMBRES FILLES 1e ETAGE'!$A$23,1,0)</f>
        <v>0</v>
      </c>
      <c r="FU133" s="160">
        <f>IF([Occurrence21]=0,0,SUM($FT$2:FT133))</f>
        <v>0</v>
      </c>
      <c r="FV133" s="160">
        <f>IF([Chambre2]*1='CHAMBRES FILLES 1e ETAGE'!$A$29,1,0)</f>
        <v>0</v>
      </c>
      <c r="FW133" s="160">
        <f>IF([Occurrence22]=0,0,SUM($FV$2:FV133))</f>
        <v>0</v>
      </c>
      <c r="FX133" s="160">
        <f>IF([Chambre2]*1='CHAMBRES FILLES 1e ETAGE'!$A$35,1,0)</f>
        <v>0</v>
      </c>
      <c r="FY133" s="160">
        <f>IF([Occurrence23]=0,0,SUM($FX$2:FX133))</f>
        <v>0</v>
      </c>
      <c r="FZ133" s="160">
        <f>IF([Chambre2]*1='CHAMBRES FILLES 1e ETAGE'!$A$41,1,0)</f>
        <v>0</v>
      </c>
      <c r="GA133" s="160">
        <f>IF([Occurrence24]=0,0,SUM($FZ$2:FZ133))</f>
        <v>0</v>
      </c>
      <c r="GB133" s="160">
        <f>IF([Chambre2]*1='CHAMBRES FILLES 1e ETAGE'!$A$47,1,0)</f>
        <v>0</v>
      </c>
      <c r="GC133" s="160">
        <f>IF([Occurrence25]=0,0,SUM($GB$2:GB133))</f>
        <v>0</v>
      </c>
      <c r="GD133" s="160">
        <f>IF([Chambre2]*1='CHAMBRES FILLES 1e ETAGE'!$A$53,1,0)</f>
        <v>0</v>
      </c>
      <c r="GE133" s="160">
        <f>IF([Occurrence26]=0,0,SUM($GD$2:GD133))</f>
        <v>0</v>
      </c>
      <c r="GF133" s="160">
        <f>IF([chambre4]*1='CHAMBRES GARCONS 1e ETAGE'!$A$5,1,0)</f>
        <v>0</v>
      </c>
      <c r="GG133" s="160">
        <f>IF([Occurrence27]=0,0,SUM($GF$2:GF133))</f>
        <v>0</v>
      </c>
      <c r="GH133" s="160">
        <f>IF([chambre4]*1='CHAMBRES GARCONS 1e ETAGE'!$A$11,1,0)</f>
        <v>0</v>
      </c>
      <c r="GI133" s="160">
        <f>IF([Occurrence28]=0,0,SUM($GH$2:GH133))</f>
        <v>0</v>
      </c>
      <c r="GJ133" s="160">
        <f>IF([chambre4]*1='CHAMBRES GARCONS 1e ETAGE'!$A$17,1,0)</f>
        <v>0</v>
      </c>
      <c r="GK133" s="160">
        <f>IF([Occurrence29]=0,0,SUM($GJ$2:GJ133))</f>
        <v>0</v>
      </c>
      <c r="GL133" s="160">
        <f>IF([chambre4]*1='CHAMBRES GARCONS 1e ETAGE'!$A$23,1,0)</f>
        <v>0</v>
      </c>
      <c r="GM133" s="160">
        <f>IF([Occurrence30]=0,0,SUM($GL$2:GL133))</f>
        <v>0</v>
      </c>
      <c r="GN133" s="160">
        <f>IF([chambre4]*1='CHAMBRES GARCONS 1e ETAGE'!$A$29,1,0)</f>
        <v>1</v>
      </c>
      <c r="GO133" s="160">
        <f>IF([Occurrence31]=0,0,SUM($GN$2:GN133))</f>
        <v>1</v>
      </c>
      <c r="GP133" s="160">
        <f>IF([chambre4]*1='CHAMBRES GARCONS 1e ETAGE'!$A$35,1,0)</f>
        <v>0</v>
      </c>
      <c r="GQ133" s="160">
        <f>IF([Occurrence32]=0,0,SUM($GP$2:GP133))</f>
        <v>0</v>
      </c>
      <c r="GR133" s="160">
        <f>IF([chambre3]*1='CHAMBRES GARCONS RDC'!$A$5,1,0)</f>
        <v>0</v>
      </c>
      <c r="GS133" s="160">
        <f>IF([Occurrence33]=0,0,SUM($GR$2:GR133))</f>
        <v>0</v>
      </c>
      <c r="GT133" s="160">
        <f>IF([chambre3]*1='CHAMBRES GARCONS RDC'!$A$11,1,0)</f>
        <v>0</v>
      </c>
      <c r="GU133" s="160">
        <f>IF([Occurrence34]=0,0,SUM($GT$2:GT133))</f>
        <v>0</v>
      </c>
      <c r="GV133" s="160">
        <f>IF([chambre3]*1='CHAMBRES GARCONS RDC'!$A$17,1,0)</f>
        <v>0</v>
      </c>
      <c r="GW133" s="160">
        <f>IF([Occurrence35]=0,0,SUM($GV$2:GV133))</f>
        <v>0</v>
      </c>
      <c r="GX133" s="160">
        <f>IF([chambre3]*1='CHAMBRES GARCONS RDC'!$A$23,1,0)</f>
        <v>0</v>
      </c>
      <c r="GY133" s="160">
        <f>IF([Occurrence36]=0,0,SUM($GX$2:GX133))</f>
        <v>0</v>
      </c>
      <c r="GZ133" s="160">
        <f>IF([chambre3]*1='CHAMBRES GARCONS RDC'!$A$29,1,0)</f>
        <v>0</v>
      </c>
      <c r="HA133" s="160">
        <f>IF([Occurrence37]=0,0,SUM($GZ$2:GZ133))</f>
        <v>0</v>
      </c>
      <c r="HB133" s="160">
        <f>IF([chambre3]*1='CHAMBRES GARCONS RDC'!$A$35,1,0)</f>
        <v>0</v>
      </c>
      <c r="HC133" s="160">
        <f>IF([Occurrence38]=0,0,SUM($HB$2:HB133))</f>
        <v>0</v>
      </c>
      <c r="HD133" s="160">
        <f>IF([chambre3]*1='CHAMBRES GARCONS RDC'!$A$41,1,0)</f>
        <v>0</v>
      </c>
      <c r="HE133" s="160">
        <f>IF([Occurrence39]=0,0,SUM($HD$2:HD133))</f>
        <v>0</v>
      </c>
      <c r="HF133" s="160">
        <f>IF([chambre3]*1='CHAMBRES GARCONS RDC'!$A$47,1,0)</f>
        <v>0</v>
      </c>
      <c r="HG133" s="160">
        <f>IF([Occurrence40]=0,0,SUM($HF$2:HF133))</f>
        <v>0</v>
      </c>
      <c r="HH133" s="160">
        <f>IF([chambre3]*1='CHAMBRES GARCONS RDC'!$A$53,1,0)</f>
        <v>0</v>
      </c>
      <c r="HI133" s="160">
        <f>IF([Occurrence41]=0,0,SUM($HH$2:HH133))</f>
        <v>0</v>
      </c>
      <c r="HJ133" s="160">
        <f>IF([chambre3]*1='CHAMBRES GARCONS RDC'!$A$59,1,0)</f>
        <v>0</v>
      </c>
      <c r="HK133" s="160">
        <f>IF([Occurrence42]=0,0,SUM($HJ$2:HJ133))</f>
        <v>0</v>
      </c>
      <c r="HL133" s="160">
        <f>IF([chambre3]*1='CHAMBRES GARCONS RDC'!$A$65,1,0)</f>
        <v>0</v>
      </c>
      <c r="HM133" s="160">
        <f>IF([Occurrence43]=0,0,SUM($HL$2:HL133))</f>
        <v>0</v>
      </c>
      <c r="HN133" s="160">
        <f>IF([chambre3]*1='CHAMBRES GARCONS RDC'!$A$71,1,0)</f>
        <v>0</v>
      </c>
      <c r="HO133" s="160">
        <f>IF([Occurrence44]=0,0,SUM($HN$2:HN133))</f>
        <v>0</v>
      </c>
      <c r="HP133" s="160">
        <f>IF([chambre3]*1='CHAMBRES GARCONS RDC'!$A$77,1,0)</f>
        <v>0</v>
      </c>
      <c r="HQ133" s="160">
        <f>IF([Occurrence45]=0,0,SUM($HP$2:HP133))</f>
        <v>0</v>
      </c>
      <c r="HR133" s="160">
        <f>IF([chambre3]*1='CHAMBRES GARCONS RDC'!$A$83,1,0)</f>
        <v>0</v>
      </c>
      <c r="HS133" s="160">
        <f>IF([Occurrence46]=0,0,SUM($HR$2:HR133))</f>
        <v>0</v>
      </c>
      <c r="HT133" s="160">
        <f>IF([chambre3]*1='CHAMBRES GARCONS RDC'!$A$89,1,0)</f>
        <v>0</v>
      </c>
      <c r="HU133" s="160">
        <f>IF([Occurrence47]=0,0,SUM($HT$2:HT133))</f>
        <v>0</v>
      </c>
      <c r="HV133" s="160">
        <f>IF([chambre3]*1='CHAMBRES GARCONS RDC'!$A$95,1,0)</f>
        <v>0</v>
      </c>
      <c r="HW133" s="160">
        <f>IF([Occurrence48]=0,0,SUM($HV$2:HV133))</f>
        <v>0</v>
      </c>
      <c r="HX133" s="160"/>
      <c r="HY133" s="160"/>
      <c r="HZ133" s="160">
        <f>IF([Classe]='Liste élève par classes'!$B$5,1,0)</f>
        <v>0</v>
      </c>
      <c r="IA133" s="160">
        <f>IF([Occurrence]=0,0,SUM($HZ$2:HZ133))</f>
        <v>0</v>
      </c>
      <c r="IB13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152</v>
      </c>
      <c r="IC133" s="208"/>
    </row>
    <row r="134" spans="1:237">
      <c r="A134" t="s">
        <v>476</v>
      </c>
      <c r="B134" t="s">
        <v>328</v>
      </c>
      <c r="C134" s="158">
        <v>37519</v>
      </c>
      <c r="D134" s="62">
        <f t="shared" ca="1" si="2"/>
        <v>15</v>
      </c>
      <c r="E134" t="s">
        <v>12</v>
      </c>
      <c r="F134" s="159" t="s">
        <v>46</v>
      </c>
      <c r="G134" t="s">
        <v>45</v>
      </c>
      <c r="H134" s="160"/>
      <c r="I134" s="62"/>
      <c r="J134" s="62" t="s">
        <v>244</v>
      </c>
      <c r="K134" s="62"/>
      <c r="L134" s="61"/>
      <c r="M134">
        <v>86</v>
      </c>
      <c r="N134" s="62" t="s">
        <v>244</v>
      </c>
      <c r="O134" s="62" t="s">
        <v>244</v>
      </c>
      <c r="P134" s="62" t="s">
        <v>244</v>
      </c>
      <c r="Q134" s="62" t="s">
        <v>244</v>
      </c>
      <c r="R134" s="62" t="s">
        <v>244</v>
      </c>
      <c r="S134" s="62"/>
      <c r="T134" s="62" t="s">
        <v>244</v>
      </c>
      <c r="U134" s="61"/>
      <c r="V134" s="62" t="s">
        <v>244</v>
      </c>
      <c r="W134" s="62" t="s">
        <v>244</v>
      </c>
      <c r="X134" s="62" t="s">
        <v>244</v>
      </c>
      <c r="Y134" s="62" t="s">
        <v>244</v>
      </c>
      <c r="Z134" s="62" t="s">
        <v>244</v>
      </c>
      <c r="AA134" s="62" t="s">
        <v>244</v>
      </c>
      <c r="AB134" s="62" t="s">
        <v>244</v>
      </c>
      <c r="AC134" s="62" t="s">
        <v>244</v>
      </c>
      <c r="AD134" s="62" t="s">
        <v>244</v>
      </c>
      <c r="AE134" s="62" t="s">
        <v>244</v>
      </c>
      <c r="AF134" s="163" t="s">
        <v>244</v>
      </c>
      <c r="AG134" s="163" t="s">
        <v>244</v>
      </c>
      <c r="AH134" s="163" t="s">
        <v>244</v>
      </c>
      <c r="AI134" s="163"/>
      <c r="AJ134" s="163"/>
      <c r="AK134" s="163"/>
      <c r="AL134" s="163"/>
      <c r="AM134" s="163"/>
      <c r="AN134" s="163"/>
      <c r="AO134" s="163"/>
      <c r="AP134" s="163"/>
      <c r="AQ134" s="163"/>
      <c r="AR134" s="163"/>
      <c r="AS134" s="163"/>
      <c r="AT134" s="163"/>
      <c r="AU134" s="163"/>
      <c r="AV134" s="163"/>
      <c r="AW134" s="163"/>
      <c r="AX134" s="163"/>
      <c r="AY134" s="163"/>
      <c r="AZ134" s="163"/>
      <c r="BA134" s="163"/>
      <c r="BB134" s="163"/>
      <c r="BC134" s="163"/>
      <c r="BD134" s="163"/>
      <c r="BE134" s="163"/>
      <c r="BF134" s="163"/>
      <c r="BG134" s="163"/>
      <c r="BH134" s="163"/>
      <c r="BI134" s="163"/>
      <c r="BJ134" s="163"/>
      <c r="BK134" s="163"/>
      <c r="BL134" s="163"/>
      <c r="BM134" s="163"/>
      <c r="BN134" s="163"/>
      <c r="BO134" s="163"/>
      <c r="BP134" s="163"/>
      <c r="BQ134" s="163"/>
      <c r="BR134" s="163"/>
      <c r="BS134" s="163"/>
      <c r="BT134" s="163"/>
      <c r="BU134" s="163"/>
      <c r="BV134" s="163"/>
      <c r="BW134" s="163"/>
      <c r="BX134" s="163"/>
      <c r="BY134" s="163"/>
      <c r="BZ134" s="163"/>
      <c r="CA134" s="163"/>
      <c r="CB134" s="163"/>
      <c r="CC134" s="163"/>
      <c r="CD134" s="163"/>
      <c r="CE134" s="163"/>
      <c r="CF134" s="163"/>
      <c r="CG134" s="163"/>
      <c r="CH134" s="163"/>
      <c r="CI134" s="163"/>
      <c r="CJ134" s="163"/>
      <c r="CK134" s="163"/>
      <c r="CL134" s="163"/>
      <c r="CM134" s="163"/>
      <c r="CN134" s="163"/>
      <c r="CO134" s="163"/>
      <c r="CP134" s="163"/>
      <c r="CQ134" s="163"/>
      <c r="CR134" s="163"/>
      <c r="CS134" s="163"/>
      <c r="CT134" s="163"/>
      <c r="CU134" s="163"/>
      <c r="CV134" s="163"/>
      <c r="CW134" s="163"/>
      <c r="CX134" s="163"/>
      <c r="CY134" s="163"/>
      <c r="CZ134" s="163"/>
      <c r="DA134" s="163"/>
      <c r="DB134" s="163"/>
      <c r="DC134" s="163"/>
      <c r="DD134" s="163"/>
      <c r="DE134" s="163"/>
      <c r="DF134" s="163"/>
      <c r="DG134" s="163"/>
      <c r="DH134" s="163"/>
      <c r="DI134" s="163"/>
      <c r="DJ134" s="163"/>
      <c r="DK134" s="163"/>
      <c r="DL134" s="163"/>
      <c r="DM134" s="163"/>
      <c r="DN134" s="163"/>
      <c r="DO134" s="163"/>
      <c r="DP134" s="163"/>
      <c r="DQ134" s="163"/>
      <c r="DR134" s="163"/>
      <c r="DS134" s="163"/>
      <c r="DT134" s="163"/>
      <c r="DU134" s="163"/>
      <c r="DV134" s="163"/>
      <c r="DW134" s="163"/>
      <c r="DX134" s="163"/>
      <c r="DY134" s="163"/>
      <c r="DZ134" s="163"/>
      <c r="EA134" s="163"/>
      <c r="EB134" s="163"/>
      <c r="EC134" s="163"/>
      <c r="ED134" s="163"/>
      <c r="EE134" s="163"/>
      <c r="EF134" s="163"/>
      <c r="EG134" s="163"/>
      <c r="EH134" s="160">
        <f>IF([Chambre]*1='CHAMBRES FILLES 2e ETAGE'!$A$5,1,0)</f>
        <v>0</v>
      </c>
      <c r="EI134" s="161">
        <f>IF([Occurrence2]=0,0,SUM($EH$2:EH134))</f>
        <v>0</v>
      </c>
      <c r="EJ134" s="160">
        <f>IF([Chambre]*1='CHAMBRES FILLES 2e ETAGE'!$A$11,1,0)</f>
        <v>0</v>
      </c>
      <c r="EK134" s="160">
        <f>IF([Occurrence3]=0,0,SUM($EJ$2:EJ134))</f>
        <v>0</v>
      </c>
      <c r="EL134" s="160">
        <f>IF([Chambre]*1='CHAMBRES FILLES 2e ETAGE'!$A$17,1,0)</f>
        <v>0</v>
      </c>
      <c r="EM134" s="160">
        <f>IF([Occurrence4]=0,0,SUM($EL$2:EL134))</f>
        <v>0</v>
      </c>
      <c r="EN134" s="160">
        <f>IF([Chambre]*1='CHAMBRES FILLES 2e ETAGE'!$A$23,1,0)</f>
        <v>0</v>
      </c>
      <c r="EO134" s="160">
        <f>IF([Occurrence5]=0,0,SUM($EN$2:EN134))</f>
        <v>0</v>
      </c>
      <c r="EP134" s="160">
        <f>IF([Chambre]*1='CHAMBRES FILLES 2e ETAGE'!$A$29,1,0)</f>
        <v>0</v>
      </c>
      <c r="EQ134" s="160">
        <f>IF([Occurrence6]=0,0,SUM($EP$2:EP134))</f>
        <v>0</v>
      </c>
      <c r="ER134" s="160">
        <f>IF([Chambre]*1='CHAMBRES FILLES 2e ETAGE'!$A$35,1,0)</f>
        <v>0</v>
      </c>
      <c r="ES134" s="160">
        <f>IF([Occurrence7]=0,0,SUM($ER$2:ER134))</f>
        <v>0</v>
      </c>
      <c r="ET134" s="160">
        <f>IF([Chambre]*1='CHAMBRES FILLES 2e ETAGE'!$A$41,1,0)</f>
        <v>0</v>
      </c>
      <c r="EU134" s="160">
        <f>IF([Occurrence8]=0,0,SUM($ET$2:ET134))</f>
        <v>0</v>
      </c>
      <c r="EV134" s="160">
        <f>IF([Chambre]*1='CHAMBRES FILLES 2e ETAGE'!$A$47,1,0)</f>
        <v>0</v>
      </c>
      <c r="EW134" s="160">
        <f>IF([Occurrence9]=0,0,SUM($EV$2:EV134))</f>
        <v>0</v>
      </c>
      <c r="EX134" s="160">
        <f>IF([Chambre]*1='CHAMBRES FILLES 2e ETAGE'!$A$53,1,0)</f>
        <v>0</v>
      </c>
      <c r="EY134" s="160">
        <f>IF([Occurrence10]=0,0,SUM($EX$2:EX134))</f>
        <v>0</v>
      </c>
      <c r="EZ134" s="160">
        <f>IF([Chambre]*1='CHAMBRES FILLES 2e ETAGE'!$A$59,1,0)</f>
        <v>0</v>
      </c>
      <c r="FA134" s="160">
        <f>IF([Occurrence11]=0,0,SUM($EZ$2:EZ134))</f>
        <v>0</v>
      </c>
      <c r="FB134" s="160">
        <f>IF([Chambre]*1='CHAMBRES FILLES 2e ETAGE'!$A$65,1,0)</f>
        <v>0</v>
      </c>
      <c r="FC134" s="160">
        <f>IF([Occurrence12]=0,0,SUM($FB$2:FB134))</f>
        <v>0</v>
      </c>
      <c r="FD134" s="160">
        <f>IF([Chambre]*1='CHAMBRES FILLES 2e ETAGE'!$A$71,1,0)</f>
        <v>0</v>
      </c>
      <c r="FE134" s="160">
        <f>IF([Occurrence13]=0,0,SUM($FD$2:FD134))</f>
        <v>0</v>
      </c>
      <c r="FF134" s="160">
        <f>IF([Chambre]*1='CHAMBRES FILLES 2e ETAGE'!$A$77,1,0)</f>
        <v>0</v>
      </c>
      <c r="FG134" s="160">
        <f>IF([Occurrence14]=0,0,SUM($FF$2:FF134))</f>
        <v>0</v>
      </c>
      <c r="FH134" s="160">
        <f>IF([Chambre]*1='CHAMBRES FILLES 2e ETAGE'!$A$83,1,0)</f>
        <v>0</v>
      </c>
      <c r="FI134" s="160">
        <f>IF([Occurrence15]=0,0,SUM($FH$2:FH134))</f>
        <v>0</v>
      </c>
      <c r="FJ134" s="160">
        <f>IF([Chambre]*1='CHAMBRES FILLES 2e ETAGE'!$A$89,1,0)</f>
        <v>0</v>
      </c>
      <c r="FK134" s="160">
        <f>IF([Occurrence16]=0,0,SUM($FJ$2:FJ134))</f>
        <v>0</v>
      </c>
      <c r="FL134" s="160">
        <f>IF([Chambre]*1='CHAMBRES FILLES 2e ETAGE'!$A$95,1,0)</f>
        <v>0</v>
      </c>
      <c r="FM134" s="160">
        <f>IF([Occurrence17]=0,0,SUM($FL$2:FL134))</f>
        <v>0</v>
      </c>
      <c r="FN134" s="160">
        <f>IF([Chambre2]*1='CHAMBRES FILLES 1e ETAGE'!$A$5,1,0)</f>
        <v>0</v>
      </c>
      <c r="FO134" s="160">
        <f>IF([Occurrence18]=0,0,SUM($FN$2:FN134))</f>
        <v>0</v>
      </c>
      <c r="FP134" s="160">
        <f>IF([Chambre2]*1='CHAMBRES FILLES 1e ETAGE'!$A$11,1,0)</f>
        <v>0</v>
      </c>
      <c r="FQ134" s="160">
        <f>IF([Occurrence19]=0,0,SUM($FP$2:FP134))</f>
        <v>0</v>
      </c>
      <c r="FR134" s="160">
        <f>IF([Chambre2]*1='CHAMBRES FILLES 1e ETAGE'!$A$17,1,0)</f>
        <v>0</v>
      </c>
      <c r="FS134" s="160">
        <f>IF([Occurrence20]=0,0,SUM($FR$2:FR134))</f>
        <v>0</v>
      </c>
      <c r="FT134" s="160">
        <f>IF([Chambre2]*1='CHAMBRES FILLES 1e ETAGE'!$A$23,1,0)</f>
        <v>0</v>
      </c>
      <c r="FU134" s="160">
        <f>IF([Occurrence21]=0,0,SUM($FT$2:FT134))</f>
        <v>0</v>
      </c>
      <c r="FV134" s="160">
        <f>IF([Chambre2]*1='CHAMBRES FILLES 1e ETAGE'!$A$29,1,0)</f>
        <v>0</v>
      </c>
      <c r="FW134" s="160">
        <f>IF([Occurrence22]=0,0,SUM($FV$2:FV134))</f>
        <v>0</v>
      </c>
      <c r="FX134" s="160">
        <f>IF([Chambre2]*1='CHAMBRES FILLES 1e ETAGE'!$A$35,1,0)</f>
        <v>0</v>
      </c>
      <c r="FY134" s="160">
        <f>IF([Occurrence23]=0,0,SUM($FX$2:FX134))</f>
        <v>0</v>
      </c>
      <c r="FZ134" s="160">
        <f>IF([Chambre2]*1='CHAMBRES FILLES 1e ETAGE'!$A$41,1,0)</f>
        <v>0</v>
      </c>
      <c r="GA134" s="160">
        <f>IF([Occurrence24]=0,0,SUM($FZ$2:FZ134))</f>
        <v>0</v>
      </c>
      <c r="GB134" s="160">
        <f>IF([Chambre2]*1='CHAMBRES FILLES 1e ETAGE'!$A$47,1,0)</f>
        <v>0</v>
      </c>
      <c r="GC134" s="160">
        <f>IF([Occurrence25]=0,0,SUM($GB$2:GB134))</f>
        <v>0</v>
      </c>
      <c r="GD134" s="160">
        <f>IF([Chambre2]*1='CHAMBRES FILLES 1e ETAGE'!$A$53,1,0)</f>
        <v>0</v>
      </c>
      <c r="GE134" s="160">
        <f>IF([Occurrence26]=0,0,SUM($GD$2:GD134))</f>
        <v>0</v>
      </c>
      <c r="GF134" s="160">
        <f>IF([chambre4]*1='CHAMBRES GARCONS 1e ETAGE'!$A$5,1,0)</f>
        <v>0</v>
      </c>
      <c r="GG134" s="160">
        <f>IF([Occurrence27]=0,0,SUM($GF$2:GF134))</f>
        <v>0</v>
      </c>
      <c r="GH134" s="160">
        <f>IF([chambre4]*1='CHAMBRES GARCONS 1e ETAGE'!$A$11,1,0)</f>
        <v>0</v>
      </c>
      <c r="GI134" s="160">
        <f>IF([Occurrence28]=0,0,SUM($GH$2:GH134))</f>
        <v>0</v>
      </c>
      <c r="GJ134" s="160">
        <f>IF([chambre4]*1='CHAMBRES GARCONS 1e ETAGE'!$A$17,1,0)</f>
        <v>0</v>
      </c>
      <c r="GK134" s="160">
        <f>IF([Occurrence29]=0,0,SUM($GJ$2:GJ134))</f>
        <v>0</v>
      </c>
      <c r="GL134" s="160">
        <f>IF([chambre4]*1='CHAMBRES GARCONS 1e ETAGE'!$A$23,1,0)</f>
        <v>0</v>
      </c>
      <c r="GM134" s="160">
        <f>IF([Occurrence30]=0,0,SUM($GL$2:GL134))</f>
        <v>0</v>
      </c>
      <c r="GN134" s="160">
        <f>IF([chambre4]*1='CHAMBRES GARCONS 1e ETAGE'!$A$29,1,0)</f>
        <v>0</v>
      </c>
      <c r="GO134" s="160">
        <f>IF([Occurrence31]=0,0,SUM($GN$2:GN134))</f>
        <v>0</v>
      </c>
      <c r="GP134" s="160">
        <f>IF([chambre4]*1='CHAMBRES GARCONS 1e ETAGE'!$A$35,1,0)</f>
        <v>0</v>
      </c>
      <c r="GQ134" s="160">
        <f>IF([Occurrence32]=0,0,SUM($GP$2:GP134))</f>
        <v>0</v>
      </c>
      <c r="GR134" s="160">
        <f>IF([chambre3]*1='CHAMBRES GARCONS RDC'!$A$5,1,0)</f>
        <v>0</v>
      </c>
      <c r="GS134" s="160">
        <f>IF([Occurrence33]=0,0,SUM($GR$2:GR134))</f>
        <v>0</v>
      </c>
      <c r="GT134" s="160">
        <f>IF([chambre3]*1='CHAMBRES GARCONS RDC'!$A$11,1,0)</f>
        <v>0</v>
      </c>
      <c r="GU134" s="160">
        <f>IF([Occurrence34]=0,0,SUM($GT$2:GT134))</f>
        <v>0</v>
      </c>
      <c r="GV134" s="160">
        <f>IF([chambre3]*1='CHAMBRES GARCONS RDC'!$A$17,1,0)</f>
        <v>0</v>
      </c>
      <c r="GW134" s="160">
        <f>IF([Occurrence35]=0,0,SUM($GV$2:GV134))</f>
        <v>0</v>
      </c>
      <c r="GX134" s="160">
        <f>IF([chambre3]*1='CHAMBRES GARCONS RDC'!$A$23,1,0)</f>
        <v>0</v>
      </c>
      <c r="GY134" s="160">
        <f>IF([Occurrence36]=0,0,SUM($GX$2:GX134))</f>
        <v>0</v>
      </c>
      <c r="GZ134" s="160">
        <f>IF([chambre3]*1='CHAMBRES GARCONS RDC'!$A$29,1,0)</f>
        <v>0</v>
      </c>
      <c r="HA134" s="160">
        <f>IF([Occurrence37]=0,0,SUM($GZ$2:GZ134))</f>
        <v>0</v>
      </c>
      <c r="HB134" s="160">
        <f>IF([chambre3]*1='CHAMBRES GARCONS RDC'!$A$35,1,0)</f>
        <v>0</v>
      </c>
      <c r="HC134" s="160">
        <f>IF([Occurrence38]=0,0,SUM($HB$2:HB134))</f>
        <v>0</v>
      </c>
      <c r="HD134" s="160">
        <f>IF([chambre3]*1='CHAMBRES GARCONS RDC'!$A$41,1,0)</f>
        <v>0</v>
      </c>
      <c r="HE134" s="160">
        <f>IF([Occurrence39]=0,0,SUM($HD$2:HD134))</f>
        <v>0</v>
      </c>
      <c r="HF134" s="160">
        <f>IF([chambre3]*1='CHAMBRES GARCONS RDC'!$A$47,1,0)</f>
        <v>0</v>
      </c>
      <c r="HG134" s="160">
        <f>IF([Occurrence40]=0,0,SUM($HF$2:HF134))</f>
        <v>0</v>
      </c>
      <c r="HH134" s="160">
        <f>IF([chambre3]*1='CHAMBRES GARCONS RDC'!$A$53,1,0)</f>
        <v>0</v>
      </c>
      <c r="HI134" s="160">
        <f>IF([Occurrence41]=0,0,SUM($HH$2:HH134))</f>
        <v>0</v>
      </c>
      <c r="HJ134" s="160">
        <f>IF([chambre3]*1='CHAMBRES GARCONS RDC'!$A$59,1,0)</f>
        <v>0</v>
      </c>
      <c r="HK134" s="160">
        <f>IF([Occurrence42]=0,0,SUM($HJ$2:HJ134))</f>
        <v>0</v>
      </c>
      <c r="HL134" s="160">
        <f>IF([chambre3]*1='CHAMBRES GARCONS RDC'!$A$65,1,0)</f>
        <v>0</v>
      </c>
      <c r="HM134" s="160">
        <f>IF([Occurrence43]=0,0,SUM($HL$2:HL134))</f>
        <v>0</v>
      </c>
      <c r="HN134" s="160">
        <f>IF([chambre3]*1='CHAMBRES GARCONS RDC'!$A$71,1,0)</f>
        <v>0</v>
      </c>
      <c r="HO134" s="160">
        <f>IF([Occurrence44]=0,0,SUM($HN$2:HN134))</f>
        <v>0</v>
      </c>
      <c r="HP134" s="160">
        <f>IF([chambre3]*1='CHAMBRES GARCONS RDC'!$A$77,1,0)</f>
        <v>0</v>
      </c>
      <c r="HQ134" s="160">
        <f>IF([Occurrence45]=0,0,SUM($HP$2:HP134))</f>
        <v>0</v>
      </c>
      <c r="HR134" s="160">
        <f>IF([chambre3]*1='CHAMBRES GARCONS RDC'!$A$83,1,0)</f>
        <v>0</v>
      </c>
      <c r="HS134" s="160">
        <f>IF([Occurrence46]=0,0,SUM($HR$2:HR134))</f>
        <v>0</v>
      </c>
      <c r="HT134" s="160">
        <f>IF([chambre3]*1='CHAMBRES GARCONS RDC'!$A$89,1,0)</f>
        <v>0</v>
      </c>
      <c r="HU134" s="160">
        <f>IF([Occurrence47]=0,0,SUM($HT$2:HT134))</f>
        <v>0</v>
      </c>
      <c r="HV134" s="160">
        <f>IF([chambre3]*1='CHAMBRES GARCONS RDC'!$A$95,1,0)</f>
        <v>0</v>
      </c>
      <c r="HW134" s="160">
        <f>IF([Occurrence48]=0,0,SUM($HV$2:HV134))</f>
        <v>0</v>
      </c>
      <c r="HX134" s="160"/>
      <c r="HY134" s="160"/>
      <c r="HZ134" s="160">
        <f>IF([Classe]='Liste élève par classes'!$B$5,1,0)</f>
        <v>0</v>
      </c>
      <c r="IA134" s="160">
        <f>IF([Occurrence]=0,0,SUM($HZ$2:HZ134))</f>
        <v>0</v>
      </c>
      <c r="IB13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34" s="208"/>
    </row>
    <row r="135" spans="1:237">
      <c r="A135" t="s">
        <v>477</v>
      </c>
      <c r="B135" t="s">
        <v>386</v>
      </c>
      <c r="C135" s="158">
        <v>37109</v>
      </c>
      <c r="D135" s="62">
        <f t="shared" ca="1" si="2"/>
        <v>16</v>
      </c>
      <c r="E135" t="s">
        <v>10</v>
      </c>
      <c r="F135" s="159" t="s">
        <v>50</v>
      </c>
      <c r="G135" t="s">
        <v>45</v>
      </c>
      <c r="H135" s="160"/>
      <c r="I135" s="62"/>
      <c r="J135" s="62"/>
      <c r="K135" s="62"/>
      <c r="L135" s="61"/>
      <c r="M135">
        <v>195</v>
      </c>
      <c r="N135" s="62"/>
      <c r="O135" s="62"/>
      <c r="P135" s="62"/>
      <c r="Q135" s="62"/>
      <c r="R135" s="62"/>
      <c r="S135" s="191"/>
      <c r="T135" s="62"/>
      <c r="U135" s="61">
        <v>149</v>
      </c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163"/>
      <c r="AG135" s="163"/>
      <c r="AH135" s="163"/>
      <c r="AI135" s="163"/>
      <c r="AJ135" s="163"/>
      <c r="AK135" s="163"/>
      <c r="AL135" s="163"/>
      <c r="AM135" s="163"/>
      <c r="AN135" s="163"/>
      <c r="AO135" s="163"/>
      <c r="AP135" s="163"/>
      <c r="AQ135" s="163"/>
      <c r="AR135" s="163"/>
      <c r="AS135" s="163"/>
      <c r="AT135" s="163"/>
      <c r="AU135" s="163"/>
      <c r="AV135" s="163"/>
      <c r="AW135" s="163"/>
      <c r="AX135" s="163"/>
      <c r="AY135" s="163"/>
      <c r="AZ135" s="163"/>
      <c r="BA135" s="163"/>
      <c r="BB135" s="163"/>
      <c r="BC135" s="163" t="b">
        <v>0</v>
      </c>
      <c r="BD135" s="163" t="b">
        <v>1</v>
      </c>
      <c r="BE135" s="163" t="b">
        <v>1</v>
      </c>
      <c r="BF135" s="163" t="b">
        <v>0</v>
      </c>
      <c r="BG135" s="163" t="b">
        <v>1</v>
      </c>
      <c r="BH135" s="163" t="b">
        <v>0</v>
      </c>
      <c r="BI135" s="163"/>
      <c r="BJ135" s="163"/>
      <c r="BK135" s="163"/>
      <c r="BL135" s="163"/>
      <c r="BM135" s="163"/>
      <c r="BN135" s="163"/>
      <c r="BO135" s="163"/>
      <c r="BP135" s="163"/>
      <c r="BQ135" s="163" t="b">
        <v>0</v>
      </c>
      <c r="BR135" s="163"/>
      <c r="BS135" s="163"/>
      <c r="BT135" s="163"/>
      <c r="BU135" s="163"/>
      <c r="BV135" s="163"/>
      <c r="BW135" s="163"/>
      <c r="BX135" s="163"/>
      <c r="BY135" s="163"/>
      <c r="BZ135" s="163"/>
      <c r="CA135" s="163"/>
      <c r="CB135" s="163"/>
      <c r="CC135" s="163"/>
      <c r="CD135" s="163"/>
      <c r="CE135" s="163"/>
      <c r="CF135" s="163"/>
      <c r="CG135" s="163"/>
      <c r="CH135" s="163"/>
      <c r="CI135" s="163"/>
      <c r="CJ135" s="163"/>
      <c r="CK135" s="163"/>
      <c r="CL135" s="163"/>
      <c r="CM135" s="163"/>
      <c r="CN135" s="163"/>
      <c r="CO135" s="163"/>
      <c r="CP135" s="163"/>
      <c r="CQ135" s="163"/>
      <c r="CR135" s="163"/>
      <c r="CS135" s="163"/>
      <c r="CT135" s="163"/>
      <c r="CU135" s="163"/>
      <c r="CV135" s="163"/>
      <c r="CW135" s="163"/>
      <c r="CX135" s="163"/>
      <c r="CY135" s="163"/>
      <c r="CZ135" s="163"/>
      <c r="DA135" s="163"/>
      <c r="DB135" s="163"/>
      <c r="DC135" s="163"/>
      <c r="DD135" s="163"/>
      <c r="DE135" s="163"/>
      <c r="DF135" s="163"/>
      <c r="DG135" s="208"/>
      <c r="DH135" s="163"/>
      <c r="DI135" s="163"/>
      <c r="DJ135" s="163"/>
      <c r="DK135" s="163"/>
      <c r="DL135" s="163"/>
      <c r="DM135" s="163"/>
      <c r="DN135" s="163"/>
      <c r="DO135" s="163"/>
      <c r="DP135" s="163"/>
      <c r="DQ135" s="163"/>
      <c r="DR135" s="163"/>
      <c r="DS135" s="163"/>
      <c r="DT135" s="163"/>
      <c r="DU135" s="163"/>
      <c r="DV135" s="163"/>
      <c r="DW135" s="163"/>
      <c r="DX135" s="163"/>
      <c r="DY135" s="163"/>
      <c r="DZ135" s="163"/>
      <c r="EA135" s="163"/>
      <c r="EB135" s="163"/>
      <c r="EC135" s="163"/>
      <c r="ED135" s="163"/>
      <c r="EE135" s="163"/>
      <c r="EF135" s="163"/>
      <c r="EG135" s="163"/>
      <c r="EH135" s="160">
        <f>IF([Chambre]*1='CHAMBRES FILLES 2e ETAGE'!$A$5,1,0)</f>
        <v>0</v>
      </c>
      <c r="EI135" s="161">
        <f>IF([Occurrence2]=0,0,SUM($EH$2:EH135))</f>
        <v>0</v>
      </c>
      <c r="EJ135" s="160">
        <f>IF([Chambre]*1='CHAMBRES FILLES 2e ETAGE'!$A$11,1,0)</f>
        <v>0</v>
      </c>
      <c r="EK135" s="160">
        <f>IF([Occurrence3]=0,0,SUM($EJ$2:EJ135))</f>
        <v>0</v>
      </c>
      <c r="EL135" s="160">
        <f>IF([Chambre]*1='CHAMBRES FILLES 2e ETAGE'!$A$17,1,0)</f>
        <v>0</v>
      </c>
      <c r="EM135" s="160">
        <f>IF([Occurrence4]=0,0,SUM($EL$2:EL135))</f>
        <v>0</v>
      </c>
      <c r="EN135" s="160">
        <f>IF([Chambre]*1='CHAMBRES FILLES 2e ETAGE'!$A$23,1,0)</f>
        <v>0</v>
      </c>
      <c r="EO135" s="160">
        <f>IF([Occurrence5]=0,0,SUM($EN$2:EN135))</f>
        <v>0</v>
      </c>
      <c r="EP135" s="160">
        <f>IF([Chambre]*1='CHAMBRES FILLES 2e ETAGE'!$A$29,1,0)</f>
        <v>0</v>
      </c>
      <c r="EQ135" s="160">
        <f>IF([Occurrence6]=0,0,SUM($EP$2:EP135))</f>
        <v>0</v>
      </c>
      <c r="ER135" s="160">
        <f>IF([Chambre]*1='CHAMBRES FILLES 2e ETAGE'!$A$35,1,0)</f>
        <v>0</v>
      </c>
      <c r="ES135" s="160">
        <f>IF([Occurrence7]=0,0,SUM($ER$2:ER135))</f>
        <v>0</v>
      </c>
      <c r="ET135" s="160">
        <f>IF([Chambre]*1='CHAMBRES FILLES 2e ETAGE'!$A$41,1,0)</f>
        <v>0</v>
      </c>
      <c r="EU135" s="160">
        <f>IF([Occurrence8]=0,0,SUM($ET$2:ET135))</f>
        <v>0</v>
      </c>
      <c r="EV135" s="160">
        <f>IF([Chambre]*1='CHAMBRES FILLES 2e ETAGE'!$A$47,1,0)</f>
        <v>0</v>
      </c>
      <c r="EW135" s="160">
        <f>IF([Occurrence9]=0,0,SUM($EV$2:EV135))</f>
        <v>0</v>
      </c>
      <c r="EX135" s="160">
        <f>IF([Chambre]*1='CHAMBRES FILLES 2e ETAGE'!$A$53,1,0)</f>
        <v>0</v>
      </c>
      <c r="EY135" s="160">
        <f>IF([Occurrence10]=0,0,SUM($EX$2:EX135))</f>
        <v>0</v>
      </c>
      <c r="EZ135" s="160">
        <f>IF([Chambre]*1='CHAMBRES FILLES 2e ETAGE'!$A$59,1,0)</f>
        <v>0</v>
      </c>
      <c r="FA135" s="160">
        <f>IF([Occurrence11]=0,0,SUM($EZ$2:EZ135))</f>
        <v>0</v>
      </c>
      <c r="FB135" s="160">
        <f>IF([Chambre]*1='CHAMBRES FILLES 2e ETAGE'!$A$65,1,0)</f>
        <v>0</v>
      </c>
      <c r="FC135" s="160">
        <f>IF([Occurrence12]=0,0,SUM($FB$2:FB135))</f>
        <v>0</v>
      </c>
      <c r="FD135" s="160">
        <f>IF([Chambre]*1='CHAMBRES FILLES 2e ETAGE'!$A$71,1,0)</f>
        <v>0</v>
      </c>
      <c r="FE135" s="160">
        <f>IF([Occurrence13]=0,0,SUM($FD$2:FD135))</f>
        <v>0</v>
      </c>
      <c r="FF135" s="160">
        <f>IF([Chambre]*1='CHAMBRES FILLES 2e ETAGE'!$A$77,1,0)</f>
        <v>0</v>
      </c>
      <c r="FG135" s="160">
        <f>IF([Occurrence14]=0,0,SUM($FF$2:FF135))</f>
        <v>0</v>
      </c>
      <c r="FH135" s="160">
        <f>IF([Chambre]*1='CHAMBRES FILLES 2e ETAGE'!$A$83,1,0)</f>
        <v>0</v>
      </c>
      <c r="FI135" s="160">
        <f>IF([Occurrence15]=0,0,SUM($FH$2:FH135))</f>
        <v>0</v>
      </c>
      <c r="FJ135" s="160">
        <f>IF([Chambre]*1='CHAMBRES FILLES 2e ETAGE'!$A$89,1,0)</f>
        <v>0</v>
      </c>
      <c r="FK135" s="160">
        <f>IF([Occurrence16]=0,0,SUM($FJ$2:FJ135))</f>
        <v>0</v>
      </c>
      <c r="FL135" s="160">
        <f>IF([Chambre]*1='CHAMBRES FILLES 2e ETAGE'!$A$95,1,0)</f>
        <v>0</v>
      </c>
      <c r="FM135" s="160">
        <f>IF([Occurrence17]=0,0,SUM($FL$2:FL135))</f>
        <v>0</v>
      </c>
      <c r="FN135" s="160">
        <f>IF([Chambre2]*1='CHAMBRES FILLES 1e ETAGE'!$A$5,1,0)</f>
        <v>0</v>
      </c>
      <c r="FO135" s="160">
        <f>IF([Occurrence18]=0,0,SUM($FN$2:FN135))</f>
        <v>0</v>
      </c>
      <c r="FP135" s="160">
        <f>IF([Chambre2]*1='CHAMBRES FILLES 1e ETAGE'!$A$11,1,0)</f>
        <v>0</v>
      </c>
      <c r="FQ135" s="160">
        <f>IF([Occurrence19]=0,0,SUM($FP$2:FP135))</f>
        <v>0</v>
      </c>
      <c r="FR135" s="160">
        <f>IF([Chambre2]*1='CHAMBRES FILLES 1e ETAGE'!$A$17,1,0)</f>
        <v>0</v>
      </c>
      <c r="FS135" s="160">
        <f>IF([Occurrence20]=0,0,SUM($FR$2:FR135))</f>
        <v>0</v>
      </c>
      <c r="FT135" s="160">
        <f>IF([Chambre2]*1='CHAMBRES FILLES 1e ETAGE'!$A$23,1,0)</f>
        <v>0</v>
      </c>
      <c r="FU135" s="160">
        <f>IF([Occurrence21]=0,0,SUM($FT$2:FT135))</f>
        <v>0</v>
      </c>
      <c r="FV135" s="160">
        <f>IF([Chambre2]*1='CHAMBRES FILLES 1e ETAGE'!$A$29,1,0)</f>
        <v>1</v>
      </c>
      <c r="FW135" s="160">
        <f>IF([Occurrence22]=0,0,SUM($FV$2:FV135))</f>
        <v>2</v>
      </c>
      <c r="FX135" s="160">
        <f>IF([Chambre2]*1='CHAMBRES FILLES 1e ETAGE'!$A$35,1,0)</f>
        <v>0</v>
      </c>
      <c r="FY135" s="160">
        <f>IF([Occurrence23]=0,0,SUM($FX$2:FX135))</f>
        <v>0</v>
      </c>
      <c r="FZ135" s="160">
        <f>IF([Chambre2]*1='CHAMBRES FILLES 1e ETAGE'!$A$41,1,0)</f>
        <v>0</v>
      </c>
      <c r="GA135" s="160">
        <f>IF([Occurrence24]=0,0,SUM($FZ$2:FZ135))</f>
        <v>0</v>
      </c>
      <c r="GB135" s="160">
        <f>IF([Chambre2]*1='CHAMBRES FILLES 1e ETAGE'!$A$47,1,0)</f>
        <v>0</v>
      </c>
      <c r="GC135" s="160">
        <f>IF([Occurrence25]=0,0,SUM($GB$2:GB135))</f>
        <v>0</v>
      </c>
      <c r="GD135" s="160">
        <f>IF([Chambre2]*1='CHAMBRES FILLES 1e ETAGE'!$A$53,1,0)</f>
        <v>0</v>
      </c>
      <c r="GE135" s="160">
        <f>IF([Occurrence26]=0,0,SUM($GD$2:GD135))</f>
        <v>0</v>
      </c>
      <c r="GF135" s="160">
        <f>IF([chambre4]*1='CHAMBRES GARCONS 1e ETAGE'!$A$5,1,0)</f>
        <v>0</v>
      </c>
      <c r="GG135" s="160">
        <f>IF([Occurrence27]=0,0,SUM($GF$2:GF135))</f>
        <v>0</v>
      </c>
      <c r="GH135" s="160">
        <f>IF([chambre4]*1='CHAMBRES GARCONS 1e ETAGE'!$A$11,1,0)</f>
        <v>0</v>
      </c>
      <c r="GI135" s="160">
        <f>IF([Occurrence28]=0,0,SUM($GH$2:GH135))</f>
        <v>0</v>
      </c>
      <c r="GJ135" s="160">
        <f>IF([chambre4]*1='CHAMBRES GARCONS 1e ETAGE'!$A$17,1,0)</f>
        <v>0</v>
      </c>
      <c r="GK135" s="160">
        <f>IF([Occurrence29]=0,0,SUM($GJ$2:GJ135))</f>
        <v>0</v>
      </c>
      <c r="GL135" s="160">
        <f>IF([chambre4]*1='CHAMBRES GARCONS 1e ETAGE'!$A$23,1,0)</f>
        <v>0</v>
      </c>
      <c r="GM135" s="160">
        <f>IF([Occurrence30]=0,0,SUM($GL$2:GL135))</f>
        <v>0</v>
      </c>
      <c r="GN135" s="160">
        <f>IF([chambre4]*1='CHAMBRES GARCONS 1e ETAGE'!$A$29,1,0)</f>
        <v>0</v>
      </c>
      <c r="GO135" s="160">
        <f>IF([Occurrence31]=0,0,SUM($GN$2:GN135))</f>
        <v>0</v>
      </c>
      <c r="GP135" s="160">
        <f>IF([chambre4]*1='CHAMBRES GARCONS 1e ETAGE'!$A$35,1,0)</f>
        <v>0</v>
      </c>
      <c r="GQ135" s="160">
        <f>IF([Occurrence32]=0,0,SUM($GP$2:GP135))</f>
        <v>0</v>
      </c>
      <c r="GR135" s="160">
        <f>IF([chambre3]*1='CHAMBRES GARCONS RDC'!$A$5,1,0)</f>
        <v>0</v>
      </c>
      <c r="GS135" s="160">
        <f>IF([Occurrence33]=0,0,SUM($GR$2:GR135))</f>
        <v>0</v>
      </c>
      <c r="GT135" s="160">
        <f>IF([chambre3]*1='CHAMBRES GARCONS RDC'!$A$11,1,0)</f>
        <v>0</v>
      </c>
      <c r="GU135" s="160">
        <f>IF([Occurrence34]=0,0,SUM($GT$2:GT135))</f>
        <v>0</v>
      </c>
      <c r="GV135" s="160">
        <f>IF([chambre3]*1='CHAMBRES GARCONS RDC'!$A$17,1,0)</f>
        <v>0</v>
      </c>
      <c r="GW135" s="160">
        <f>IF([Occurrence35]=0,0,SUM($GV$2:GV135))</f>
        <v>0</v>
      </c>
      <c r="GX135" s="160">
        <f>IF([chambre3]*1='CHAMBRES GARCONS RDC'!$A$23,1,0)</f>
        <v>0</v>
      </c>
      <c r="GY135" s="160">
        <f>IF([Occurrence36]=0,0,SUM($GX$2:GX135))</f>
        <v>0</v>
      </c>
      <c r="GZ135" s="160">
        <f>IF([chambre3]*1='CHAMBRES GARCONS RDC'!$A$29,1,0)</f>
        <v>0</v>
      </c>
      <c r="HA135" s="160">
        <f>IF([Occurrence37]=0,0,SUM($GZ$2:GZ135))</f>
        <v>0</v>
      </c>
      <c r="HB135" s="160">
        <f>IF([chambre3]*1='CHAMBRES GARCONS RDC'!$A$35,1,0)</f>
        <v>0</v>
      </c>
      <c r="HC135" s="160">
        <f>IF([Occurrence38]=0,0,SUM($HB$2:HB135))</f>
        <v>0</v>
      </c>
      <c r="HD135" s="160">
        <f>IF([chambre3]*1='CHAMBRES GARCONS RDC'!$A$41,1,0)</f>
        <v>0</v>
      </c>
      <c r="HE135" s="160">
        <f>IF([Occurrence39]=0,0,SUM($HD$2:HD135))</f>
        <v>0</v>
      </c>
      <c r="HF135" s="160">
        <f>IF([chambre3]*1='CHAMBRES GARCONS RDC'!$A$47,1,0)</f>
        <v>0</v>
      </c>
      <c r="HG135" s="160">
        <f>IF([Occurrence40]=0,0,SUM($HF$2:HF135))</f>
        <v>0</v>
      </c>
      <c r="HH135" s="160">
        <f>IF([chambre3]*1='CHAMBRES GARCONS RDC'!$A$53,1,0)</f>
        <v>0</v>
      </c>
      <c r="HI135" s="160">
        <f>IF([Occurrence41]=0,0,SUM($HH$2:HH135))</f>
        <v>0</v>
      </c>
      <c r="HJ135" s="160">
        <f>IF([chambre3]*1='CHAMBRES GARCONS RDC'!$A$59,1,0)</f>
        <v>0</v>
      </c>
      <c r="HK135" s="160">
        <f>IF([Occurrence42]=0,0,SUM($HJ$2:HJ135))</f>
        <v>0</v>
      </c>
      <c r="HL135" s="160">
        <f>IF([chambre3]*1='CHAMBRES GARCONS RDC'!$A$65,1,0)</f>
        <v>0</v>
      </c>
      <c r="HM135" s="160">
        <f>IF([Occurrence43]=0,0,SUM($HL$2:HL135))</f>
        <v>0</v>
      </c>
      <c r="HN135" s="160">
        <f>IF([chambre3]*1='CHAMBRES GARCONS RDC'!$A$71,1,0)</f>
        <v>0</v>
      </c>
      <c r="HO135" s="160">
        <f>IF([Occurrence44]=0,0,SUM($HN$2:HN135))</f>
        <v>0</v>
      </c>
      <c r="HP135" s="160">
        <f>IF([chambre3]*1='CHAMBRES GARCONS RDC'!$A$77,1,0)</f>
        <v>0</v>
      </c>
      <c r="HQ135" s="160">
        <f>IF([Occurrence45]=0,0,SUM($HP$2:HP135))</f>
        <v>0</v>
      </c>
      <c r="HR135" s="160">
        <f>IF([chambre3]*1='CHAMBRES GARCONS RDC'!$A$83,1,0)</f>
        <v>0</v>
      </c>
      <c r="HS135" s="160">
        <f>IF([Occurrence46]=0,0,SUM($HR$2:HR135))</f>
        <v>0</v>
      </c>
      <c r="HT135" s="160">
        <f>IF([chambre3]*1='CHAMBRES GARCONS RDC'!$A$89,1,0)</f>
        <v>0</v>
      </c>
      <c r="HU135" s="160">
        <f>IF([Occurrence47]=0,0,SUM($HT$2:HT135))</f>
        <v>0</v>
      </c>
      <c r="HV135" s="160">
        <f>IF([chambre3]*1='CHAMBRES GARCONS RDC'!$A$95,1,0)</f>
        <v>0</v>
      </c>
      <c r="HW135" s="160">
        <f>IF([Occurrence48]=0,0,SUM($HV$2:HV135))</f>
        <v>0</v>
      </c>
      <c r="HX135" s="160"/>
      <c r="HY135" s="160"/>
      <c r="HZ135" s="160">
        <f>IF([Classe]='Liste élève par classes'!$B$5,1,0)</f>
        <v>0</v>
      </c>
      <c r="IA135" s="160">
        <f>IF([Occurrence]=0,0,SUM($HZ$2:HZ135))</f>
        <v>0</v>
      </c>
      <c r="IB13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149</v>
      </c>
      <c r="IC135" s="208"/>
    </row>
    <row r="136" spans="1:237">
      <c r="A136" t="s">
        <v>478</v>
      </c>
      <c r="B136" t="s">
        <v>371</v>
      </c>
      <c r="C136" s="158">
        <v>37084</v>
      </c>
      <c r="D136" s="62">
        <f t="shared" ca="1" si="2"/>
        <v>16</v>
      </c>
      <c r="E136" t="s">
        <v>7</v>
      </c>
      <c r="F136" s="159" t="s">
        <v>50</v>
      </c>
      <c r="G136" t="s">
        <v>40</v>
      </c>
      <c r="H136" s="160"/>
      <c r="I136" s="62"/>
      <c r="J136" s="62"/>
      <c r="K136" s="62"/>
      <c r="L136" s="61"/>
      <c r="M136">
        <v>14</v>
      </c>
      <c r="N136" s="62"/>
      <c r="O136" s="62"/>
      <c r="P136" s="62"/>
      <c r="Q136" s="62"/>
      <c r="R136" s="62"/>
      <c r="S136" s="191"/>
      <c r="T136" s="62"/>
      <c r="U136" s="61"/>
      <c r="V136" s="62"/>
      <c r="W136" s="62"/>
      <c r="X136" s="62"/>
      <c r="Y136" s="62"/>
      <c r="Z136" s="62"/>
      <c r="AA136" s="62"/>
      <c r="AB136" s="62"/>
      <c r="AC136" s="62"/>
      <c r="AD136" s="62"/>
      <c r="AE136" s="62"/>
      <c r="AF136" s="163"/>
      <c r="AG136" s="163"/>
      <c r="AH136" s="163"/>
      <c r="AI136" s="163"/>
      <c r="AJ136" s="163"/>
      <c r="AK136" s="163"/>
      <c r="AL136" s="163"/>
      <c r="AM136" s="163"/>
      <c r="AN136" s="163"/>
      <c r="AO136" s="163"/>
      <c r="AP136" s="163"/>
      <c r="AQ136" s="163"/>
      <c r="AR136" s="163"/>
      <c r="AS136" s="163"/>
      <c r="AT136" s="163"/>
      <c r="AU136" s="163"/>
      <c r="AV136" s="163"/>
      <c r="AW136" s="163"/>
      <c r="AX136" s="163"/>
      <c r="AY136" s="163"/>
      <c r="AZ136" s="163"/>
      <c r="BA136" s="163"/>
      <c r="BB136" s="163"/>
      <c r="BC136" s="163" t="b">
        <v>0</v>
      </c>
      <c r="BD136" s="163" t="b">
        <v>1</v>
      </c>
      <c r="BE136" s="163" t="b">
        <v>1</v>
      </c>
      <c r="BF136" s="163" t="b">
        <v>0</v>
      </c>
      <c r="BG136" s="164" t="b">
        <v>0</v>
      </c>
      <c r="BH136" s="163" t="b">
        <v>1</v>
      </c>
      <c r="BI136" s="163"/>
      <c r="BJ136" s="163"/>
      <c r="BK136" s="163"/>
      <c r="BL136" s="163"/>
      <c r="BM136" s="163"/>
      <c r="BN136" s="163"/>
      <c r="BO136" s="163"/>
      <c r="BP136" s="163"/>
      <c r="BQ136" s="163" t="b">
        <v>0</v>
      </c>
      <c r="BR136" s="163"/>
      <c r="BS136" s="163"/>
      <c r="BT136" s="163"/>
      <c r="BU136" s="163"/>
      <c r="BV136" s="163"/>
      <c r="BW136" s="163"/>
      <c r="BX136" s="163"/>
      <c r="BY136" s="163"/>
      <c r="BZ136" s="163"/>
      <c r="CA136" s="163"/>
      <c r="CB136" s="163"/>
      <c r="CC136" s="163"/>
      <c r="CD136" s="163"/>
      <c r="CE136" s="163"/>
      <c r="CF136" s="163"/>
      <c r="CG136" s="163"/>
      <c r="CH136" s="163"/>
      <c r="CI136" s="163"/>
      <c r="CJ136" s="163"/>
      <c r="CK136" s="163"/>
      <c r="CL136" s="163"/>
      <c r="CM136" s="163"/>
      <c r="CN136" s="163"/>
      <c r="CO136" s="163"/>
      <c r="CP136" s="163"/>
      <c r="CQ136" s="163"/>
      <c r="CR136" s="163"/>
      <c r="CS136" s="163"/>
      <c r="CT136" s="163"/>
      <c r="CU136" s="163"/>
      <c r="CV136" s="163"/>
      <c r="CW136" s="163"/>
      <c r="CX136" s="163"/>
      <c r="CY136" s="163"/>
      <c r="CZ136" s="163"/>
      <c r="DA136" s="163"/>
      <c r="DB136" s="163"/>
      <c r="DC136" s="163"/>
      <c r="DD136" s="163"/>
      <c r="DE136" s="163"/>
      <c r="DF136" s="163"/>
      <c r="DG136" s="208">
        <v>152</v>
      </c>
      <c r="DH136" s="163"/>
      <c r="DI136" s="163"/>
      <c r="DJ136" s="163"/>
      <c r="DK136" s="163"/>
      <c r="DL136" s="163"/>
      <c r="DM136" s="163"/>
      <c r="DN136" s="163"/>
      <c r="DO136" s="163"/>
      <c r="DP136" s="163"/>
      <c r="DQ136" s="163"/>
      <c r="DR136" s="163"/>
      <c r="DS136" s="163"/>
      <c r="DT136" s="163"/>
      <c r="DU136" s="163"/>
      <c r="DV136" s="163"/>
      <c r="DW136" s="163"/>
      <c r="DX136" s="163"/>
      <c r="DY136" s="163"/>
      <c r="DZ136" s="163"/>
      <c r="EA136" s="163"/>
      <c r="EB136" s="163"/>
      <c r="EC136" s="163"/>
      <c r="ED136" s="163"/>
      <c r="EE136" s="163"/>
      <c r="EF136" s="163"/>
      <c r="EG136" s="163"/>
      <c r="EH136" s="160">
        <f>IF([Chambre]*1='CHAMBRES FILLES 2e ETAGE'!$A$5,1,0)</f>
        <v>0</v>
      </c>
      <c r="EI136" s="161">
        <f>IF([Occurrence2]=0,0,SUM($EH$2:EH136))</f>
        <v>0</v>
      </c>
      <c r="EJ136" s="160">
        <f>IF([Chambre]*1='CHAMBRES FILLES 2e ETAGE'!$A$11,1,0)</f>
        <v>0</v>
      </c>
      <c r="EK136" s="160">
        <f>IF([Occurrence3]=0,0,SUM($EJ$2:EJ136))</f>
        <v>0</v>
      </c>
      <c r="EL136" s="160">
        <f>IF([Chambre]*1='CHAMBRES FILLES 2e ETAGE'!$A$17,1,0)</f>
        <v>0</v>
      </c>
      <c r="EM136" s="160">
        <f>IF([Occurrence4]=0,0,SUM($EL$2:EL136))</f>
        <v>0</v>
      </c>
      <c r="EN136" s="160">
        <f>IF([Chambre]*1='CHAMBRES FILLES 2e ETAGE'!$A$23,1,0)</f>
        <v>0</v>
      </c>
      <c r="EO136" s="160">
        <f>IF([Occurrence5]=0,0,SUM($EN$2:EN136))</f>
        <v>0</v>
      </c>
      <c r="EP136" s="160">
        <f>IF([Chambre]*1='CHAMBRES FILLES 2e ETAGE'!$A$29,1,0)</f>
        <v>0</v>
      </c>
      <c r="EQ136" s="160">
        <f>IF([Occurrence6]=0,0,SUM($EP$2:EP136))</f>
        <v>0</v>
      </c>
      <c r="ER136" s="160">
        <f>IF([Chambre]*1='CHAMBRES FILLES 2e ETAGE'!$A$35,1,0)</f>
        <v>0</v>
      </c>
      <c r="ES136" s="160">
        <f>IF([Occurrence7]=0,0,SUM($ER$2:ER136))</f>
        <v>0</v>
      </c>
      <c r="ET136" s="160">
        <f>IF([Chambre]*1='CHAMBRES FILLES 2e ETAGE'!$A$41,1,0)</f>
        <v>0</v>
      </c>
      <c r="EU136" s="160">
        <f>IF([Occurrence8]=0,0,SUM($ET$2:ET136))</f>
        <v>0</v>
      </c>
      <c r="EV136" s="160">
        <f>IF([Chambre]*1='CHAMBRES FILLES 2e ETAGE'!$A$47,1,0)</f>
        <v>0</v>
      </c>
      <c r="EW136" s="160">
        <f>IF([Occurrence9]=0,0,SUM($EV$2:EV136))</f>
        <v>0</v>
      </c>
      <c r="EX136" s="160">
        <f>IF([Chambre]*1='CHAMBRES FILLES 2e ETAGE'!$A$53,1,0)</f>
        <v>0</v>
      </c>
      <c r="EY136" s="160">
        <f>IF([Occurrence10]=0,0,SUM($EX$2:EX136))</f>
        <v>0</v>
      </c>
      <c r="EZ136" s="160">
        <f>IF([Chambre]*1='CHAMBRES FILLES 2e ETAGE'!$A$59,1,0)</f>
        <v>0</v>
      </c>
      <c r="FA136" s="160">
        <f>IF([Occurrence11]=0,0,SUM($EZ$2:EZ136))</f>
        <v>0</v>
      </c>
      <c r="FB136" s="160">
        <f>IF([Chambre]*1='CHAMBRES FILLES 2e ETAGE'!$A$65,1,0)</f>
        <v>0</v>
      </c>
      <c r="FC136" s="160">
        <f>IF([Occurrence12]=0,0,SUM($FB$2:FB136))</f>
        <v>0</v>
      </c>
      <c r="FD136" s="160">
        <f>IF([Chambre]*1='CHAMBRES FILLES 2e ETAGE'!$A$71,1,0)</f>
        <v>0</v>
      </c>
      <c r="FE136" s="160">
        <f>IF([Occurrence13]=0,0,SUM($FD$2:FD136))</f>
        <v>0</v>
      </c>
      <c r="FF136" s="160">
        <f>IF([Chambre]*1='CHAMBRES FILLES 2e ETAGE'!$A$77,1,0)</f>
        <v>0</v>
      </c>
      <c r="FG136" s="160">
        <f>IF([Occurrence14]=0,0,SUM($FF$2:FF136))</f>
        <v>0</v>
      </c>
      <c r="FH136" s="160">
        <f>IF([Chambre]*1='CHAMBRES FILLES 2e ETAGE'!$A$83,1,0)</f>
        <v>0</v>
      </c>
      <c r="FI136" s="160">
        <f>IF([Occurrence15]=0,0,SUM($FH$2:FH136))</f>
        <v>0</v>
      </c>
      <c r="FJ136" s="160">
        <f>IF([Chambre]*1='CHAMBRES FILLES 2e ETAGE'!$A$89,1,0)</f>
        <v>0</v>
      </c>
      <c r="FK136" s="160">
        <f>IF([Occurrence16]=0,0,SUM($FJ$2:FJ136))</f>
        <v>0</v>
      </c>
      <c r="FL136" s="160">
        <f>IF([Chambre]*1='CHAMBRES FILLES 2e ETAGE'!$A$95,1,0)</f>
        <v>0</v>
      </c>
      <c r="FM136" s="160">
        <f>IF([Occurrence17]=0,0,SUM($FL$2:FL136))</f>
        <v>0</v>
      </c>
      <c r="FN136" s="160">
        <f>IF([Chambre2]*1='CHAMBRES FILLES 1e ETAGE'!$A$5,1,0)</f>
        <v>0</v>
      </c>
      <c r="FO136" s="160">
        <f>IF([Occurrence18]=0,0,SUM($FN$2:FN136))</f>
        <v>0</v>
      </c>
      <c r="FP136" s="160">
        <f>IF([Chambre2]*1='CHAMBRES FILLES 1e ETAGE'!$A$11,1,0)</f>
        <v>0</v>
      </c>
      <c r="FQ136" s="160">
        <f>IF([Occurrence19]=0,0,SUM($FP$2:FP136))</f>
        <v>0</v>
      </c>
      <c r="FR136" s="160">
        <f>IF([Chambre2]*1='CHAMBRES FILLES 1e ETAGE'!$A$17,1,0)</f>
        <v>0</v>
      </c>
      <c r="FS136" s="160">
        <f>IF([Occurrence20]=0,0,SUM($FR$2:FR136))</f>
        <v>0</v>
      </c>
      <c r="FT136" s="160">
        <f>IF([Chambre2]*1='CHAMBRES FILLES 1e ETAGE'!$A$23,1,0)</f>
        <v>0</v>
      </c>
      <c r="FU136" s="160">
        <f>IF([Occurrence21]=0,0,SUM($FT$2:FT136))</f>
        <v>0</v>
      </c>
      <c r="FV136" s="160">
        <f>IF([Chambre2]*1='CHAMBRES FILLES 1e ETAGE'!$A$29,1,0)</f>
        <v>0</v>
      </c>
      <c r="FW136" s="160">
        <f>IF([Occurrence22]=0,0,SUM($FV$2:FV136))</f>
        <v>0</v>
      </c>
      <c r="FX136" s="160">
        <f>IF([Chambre2]*1='CHAMBRES FILLES 1e ETAGE'!$A$35,1,0)</f>
        <v>0</v>
      </c>
      <c r="FY136" s="160">
        <f>IF([Occurrence23]=0,0,SUM($FX$2:FX136))</f>
        <v>0</v>
      </c>
      <c r="FZ136" s="160">
        <f>IF([Chambre2]*1='CHAMBRES FILLES 1e ETAGE'!$A$41,1,0)</f>
        <v>0</v>
      </c>
      <c r="GA136" s="160">
        <f>IF([Occurrence24]=0,0,SUM($FZ$2:FZ136))</f>
        <v>0</v>
      </c>
      <c r="GB136" s="160">
        <f>IF([Chambre2]*1='CHAMBRES FILLES 1e ETAGE'!$A$47,1,0)</f>
        <v>0</v>
      </c>
      <c r="GC136" s="160">
        <f>IF([Occurrence25]=0,0,SUM($GB$2:GB136))</f>
        <v>0</v>
      </c>
      <c r="GD136" s="160">
        <f>IF([Chambre2]*1='CHAMBRES FILLES 1e ETAGE'!$A$53,1,0)</f>
        <v>0</v>
      </c>
      <c r="GE136" s="160">
        <f>IF([Occurrence26]=0,0,SUM($GD$2:GD136))</f>
        <v>0</v>
      </c>
      <c r="GF136" s="160">
        <f>IF([chambre4]*1='CHAMBRES GARCONS 1e ETAGE'!$A$5,1,0)</f>
        <v>0</v>
      </c>
      <c r="GG136" s="160">
        <f>IF([Occurrence27]=0,0,SUM($GF$2:GF136))</f>
        <v>0</v>
      </c>
      <c r="GH136" s="160">
        <f>IF([chambre4]*1='CHAMBRES GARCONS 1e ETAGE'!$A$11,1,0)</f>
        <v>0</v>
      </c>
      <c r="GI136" s="160">
        <f>IF([Occurrence28]=0,0,SUM($GH$2:GH136))</f>
        <v>0</v>
      </c>
      <c r="GJ136" s="160">
        <f>IF([chambre4]*1='CHAMBRES GARCONS 1e ETAGE'!$A$17,1,0)</f>
        <v>0</v>
      </c>
      <c r="GK136" s="160">
        <f>IF([Occurrence29]=0,0,SUM($GJ$2:GJ136))</f>
        <v>0</v>
      </c>
      <c r="GL136" s="160">
        <f>IF([chambre4]*1='CHAMBRES GARCONS 1e ETAGE'!$A$23,1,0)</f>
        <v>0</v>
      </c>
      <c r="GM136" s="160">
        <f>IF([Occurrence30]=0,0,SUM($GL$2:GL136))</f>
        <v>0</v>
      </c>
      <c r="GN136" s="160">
        <f>IF([chambre4]*1='CHAMBRES GARCONS 1e ETAGE'!$A$29,1,0)</f>
        <v>1</v>
      </c>
      <c r="GO136" s="160">
        <f>IF([Occurrence31]=0,0,SUM($GN$2:GN136))</f>
        <v>2</v>
      </c>
      <c r="GP136" s="160">
        <f>IF([chambre4]*1='CHAMBRES GARCONS 1e ETAGE'!$A$35,1,0)</f>
        <v>0</v>
      </c>
      <c r="GQ136" s="160">
        <f>IF([Occurrence32]=0,0,SUM($GP$2:GP136))</f>
        <v>0</v>
      </c>
      <c r="GR136" s="160">
        <f>IF([chambre3]*1='CHAMBRES GARCONS RDC'!$A$5,1,0)</f>
        <v>0</v>
      </c>
      <c r="GS136" s="160">
        <f>IF([Occurrence33]=0,0,SUM($GR$2:GR136))</f>
        <v>0</v>
      </c>
      <c r="GT136" s="160">
        <f>IF([chambre3]*1='CHAMBRES GARCONS RDC'!$A$11,1,0)</f>
        <v>0</v>
      </c>
      <c r="GU136" s="160">
        <f>IF([Occurrence34]=0,0,SUM($GT$2:GT136))</f>
        <v>0</v>
      </c>
      <c r="GV136" s="160">
        <f>IF([chambre3]*1='CHAMBRES GARCONS RDC'!$A$17,1,0)</f>
        <v>0</v>
      </c>
      <c r="GW136" s="160">
        <f>IF([Occurrence35]=0,0,SUM($GV$2:GV136))</f>
        <v>0</v>
      </c>
      <c r="GX136" s="160">
        <f>IF([chambre3]*1='CHAMBRES GARCONS RDC'!$A$23,1,0)</f>
        <v>0</v>
      </c>
      <c r="GY136" s="160">
        <f>IF([Occurrence36]=0,0,SUM($GX$2:GX136))</f>
        <v>0</v>
      </c>
      <c r="GZ136" s="160">
        <f>IF([chambre3]*1='CHAMBRES GARCONS RDC'!$A$29,1,0)</f>
        <v>0</v>
      </c>
      <c r="HA136" s="160">
        <f>IF([Occurrence37]=0,0,SUM($GZ$2:GZ136))</f>
        <v>0</v>
      </c>
      <c r="HB136" s="160">
        <f>IF([chambre3]*1='CHAMBRES GARCONS RDC'!$A$35,1,0)</f>
        <v>0</v>
      </c>
      <c r="HC136" s="160">
        <f>IF([Occurrence38]=0,0,SUM($HB$2:HB136))</f>
        <v>0</v>
      </c>
      <c r="HD136" s="160">
        <f>IF([chambre3]*1='CHAMBRES GARCONS RDC'!$A$41,1,0)</f>
        <v>0</v>
      </c>
      <c r="HE136" s="160">
        <f>IF([Occurrence39]=0,0,SUM($HD$2:HD136))</f>
        <v>0</v>
      </c>
      <c r="HF136" s="160">
        <f>IF([chambre3]*1='CHAMBRES GARCONS RDC'!$A$47,1,0)</f>
        <v>0</v>
      </c>
      <c r="HG136" s="160">
        <f>IF([Occurrence40]=0,0,SUM($HF$2:HF136))</f>
        <v>0</v>
      </c>
      <c r="HH136" s="160">
        <f>IF([chambre3]*1='CHAMBRES GARCONS RDC'!$A$53,1,0)</f>
        <v>0</v>
      </c>
      <c r="HI136" s="160">
        <f>IF([Occurrence41]=0,0,SUM($HH$2:HH136))</f>
        <v>0</v>
      </c>
      <c r="HJ136" s="160">
        <f>IF([chambre3]*1='CHAMBRES GARCONS RDC'!$A$59,1,0)</f>
        <v>0</v>
      </c>
      <c r="HK136" s="160">
        <f>IF([Occurrence42]=0,0,SUM($HJ$2:HJ136))</f>
        <v>0</v>
      </c>
      <c r="HL136" s="160">
        <f>IF([chambre3]*1='CHAMBRES GARCONS RDC'!$A$65,1,0)</f>
        <v>0</v>
      </c>
      <c r="HM136" s="160">
        <f>IF([Occurrence43]=0,0,SUM($HL$2:HL136))</f>
        <v>0</v>
      </c>
      <c r="HN136" s="160">
        <f>IF([chambre3]*1='CHAMBRES GARCONS RDC'!$A$71,1,0)</f>
        <v>0</v>
      </c>
      <c r="HO136" s="160">
        <f>IF([Occurrence44]=0,0,SUM($HN$2:HN136))</f>
        <v>0</v>
      </c>
      <c r="HP136" s="160">
        <f>IF([chambre3]*1='CHAMBRES GARCONS RDC'!$A$77,1,0)</f>
        <v>0</v>
      </c>
      <c r="HQ136" s="160">
        <f>IF([Occurrence45]=0,0,SUM($HP$2:HP136))</f>
        <v>0</v>
      </c>
      <c r="HR136" s="160">
        <f>IF([chambre3]*1='CHAMBRES GARCONS RDC'!$A$83,1,0)</f>
        <v>0</v>
      </c>
      <c r="HS136" s="160">
        <f>IF([Occurrence46]=0,0,SUM($HR$2:HR136))</f>
        <v>0</v>
      </c>
      <c r="HT136" s="160">
        <f>IF([chambre3]*1='CHAMBRES GARCONS RDC'!$A$89,1,0)</f>
        <v>0</v>
      </c>
      <c r="HU136" s="160">
        <f>IF([Occurrence47]=0,0,SUM($HT$2:HT136))</f>
        <v>0</v>
      </c>
      <c r="HV136" s="160">
        <f>IF([chambre3]*1='CHAMBRES GARCONS RDC'!$A$95,1,0)</f>
        <v>0</v>
      </c>
      <c r="HW136" s="160">
        <f>IF([Occurrence48]=0,0,SUM($HV$2:HV136))</f>
        <v>0</v>
      </c>
      <c r="HX136" s="160"/>
      <c r="HY136" s="160"/>
      <c r="HZ136" s="160">
        <f>IF([Classe]='Liste élève par classes'!$B$5,1,0)</f>
        <v>0</v>
      </c>
      <c r="IA136" s="160">
        <f>IF([Occurrence]=0,0,SUM($HZ$2:HZ136))</f>
        <v>0</v>
      </c>
      <c r="IB13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152</v>
      </c>
      <c r="IC136" s="208"/>
    </row>
    <row r="137" spans="1:237">
      <c r="A137" t="s">
        <v>479</v>
      </c>
      <c r="B137" t="s">
        <v>480</v>
      </c>
      <c r="C137" s="158">
        <v>35467</v>
      </c>
      <c r="D137" s="62">
        <f t="shared" ca="1" si="2"/>
        <v>20</v>
      </c>
      <c r="E137" t="s">
        <v>4</v>
      </c>
      <c r="F137" s="159" t="s">
        <v>41</v>
      </c>
      <c r="G137" t="s">
        <v>45</v>
      </c>
      <c r="H137" s="160"/>
      <c r="I137" s="62"/>
      <c r="J137" s="62" t="s">
        <v>244</v>
      </c>
      <c r="K137" s="62"/>
      <c r="L137" s="61"/>
      <c r="M137" s="62"/>
      <c r="N137" s="62" t="s">
        <v>244</v>
      </c>
      <c r="O137" s="62" t="s">
        <v>244</v>
      </c>
      <c r="P137" s="62" t="s">
        <v>244</v>
      </c>
      <c r="Q137" s="62" t="s">
        <v>244</v>
      </c>
      <c r="R137" s="62" t="s">
        <v>244</v>
      </c>
      <c r="S137" s="62"/>
      <c r="T137" s="62" t="s">
        <v>244</v>
      </c>
      <c r="U137" s="61"/>
      <c r="V137" s="62" t="s">
        <v>244</v>
      </c>
      <c r="W137" s="62" t="s">
        <v>244</v>
      </c>
      <c r="X137" s="62" t="s">
        <v>244</v>
      </c>
      <c r="Y137" s="62" t="s">
        <v>244</v>
      </c>
      <c r="Z137" s="62" t="s">
        <v>244</v>
      </c>
      <c r="AA137" s="62" t="s">
        <v>244</v>
      </c>
      <c r="AB137" s="62" t="s">
        <v>244</v>
      </c>
      <c r="AC137" s="62" t="s">
        <v>244</v>
      </c>
      <c r="AD137" s="62" t="s">
        <v>244</v>
      </c>
      <c r="AE137" s="62" t="s">
        <v>244</v>
      </c>
      <c r="AF137" s="163" t="s">
        <v>244</v>
      </c>
      <c r="AG137" s="163" t="s">
        <v>244</v>
      </c>
      <c r="AH137" s="163" t="s">
        <v>244</v>
      </c>
      <c r="AI137" s="163"/>
      <c r="AJ137" s="163"/>
      <c r="AK137" s="163"/>
      <c r="AL137" s="163"/>
      <c r="AM137" s="163"/>
      <c r="AN137" s="163"/>
      <c r="AO137" s="163"/>
      <c r="AP137" s="163"/>
      <c r="AQ137" s="163"/>
      <c r="AR137" s="163"/>
      <c r="AS137" s="163"/>
      <c r="AT137" s="163"/>
      <c r="AU137" s="163"/>
      <c r="AV137" s="163"/>
      <c r="AW137" s="163"/>
      <c r="AX137" s="163"/>
      <c r="AY137" s="163"/>
      <c r="AZ137" s="163"/>
      <c r="BA137" s="163"/>
      <c r="BB137" s="163"/>
      <c r="BC137" s="163" t="b">
        <v>0</v>
      </c>
      <c r="BD137" s="163" t="b">
        <v>0</v>
      </c>
      <c r="BE137" s="163" t="b">
        <v>0</v>
      </c>
      <c r="BF137" s="163" t="b">
        <v>0</v>
      </c>
      <c r="BG137" s="163" t="b">
        <v>0</v>
      </c>
      <c r="BH137" s="163" t="b">
        <v>0</v>
      </c>
      <c r="BI137" s="163" t="b">
        <v>1</v>
      </c>
      <c r="BJ137" s="163" t="b">
        <v>0</v>
      </c>
      <c r="BK137" s="163" t="b">
        <v>0</v>
      </c>
      <c r="BL137" s="163" t="b">
        <v>0</v>
      </c>
      <c r="BM137" s="163"/>
      <c r="BN137" s="163"/>
      <c r="BO137" s="163"/>
      <c r="BP137" s="163"/>
      <c r="BQ137" s="163"/>
      <c r="BR137" s="163"/>
      <c r="BS137" s="163"/>
      <c r="BT137" s="163"/>
      <c r="BU137" s="163"/>
      <c r="BV137" s="163"/>
      <c r="BW137" s="163"/>
      <c r="BX137" s="163"/>
      <c r="BY137" s="163"/>
      <c r="BZ137" s="163"/>
      <c r="CA137" s="163"/>
      <c r="CB137" s="163"/>
      <c r="CC137" s="163"/>
      <c r="CD137" s="163"/>
      <c r="CE137" s="163"/>
      <c r="CF137" s="163"/>
      <c r="CG137" s="163"/>
      <c r="CH137" s="163"/>
      <c r="CI137" s="163"/>
      <c r="CJ137" s="163"/>
      <c r="CK137" s="163"/>
      <c r="CL137" s="163"/>
      <c r="CM137" s="163"/>
      <c r="CN137" s="163"/>
      <c r="CO137" s="163"/>
      <c r="CP137" s="163"/>
      <c r="CQ137" s="163"/>
      <c r="CR137" s="163"/>
      <c r="CS137" s="163"/>
      <c r="CT137" s="163"/>
      <c r="CU137" s="163"/>
      <c r="CV137" s="163"/>
      <c r="CW137" s="163"/>
      <c r="CX137" s="163"/>
      <c r="CY137" s="163"/>
      <c r="CZ137" s="163"/>
      <c r="DA137" s="163"/>
      <c r="DB137" s="163"/>
      <c r="DC137" s="163"/>
      <c r="DD137" s="163"/>
      <c r="DE137" s="163"/>
      <c r="DF137" s="163"/>
      <c r="DG137" s="163"/>
      <c r="DH137" s="163"/>
      <c r="DI137" s="163"/>
      <c r="DJ137" s="163"/>
      <c r="DK137" s="163"/>
      <c r="DL137" s="163"/>
      <c r="DM137" s="163"/>
      <c r="DN137" s="163"/>
      <c r="DO137" s="163"/>
      <c r="DP137" s="163"/>
      <c r="DQ137" s="163"/>
      <c r="DR137" s="163"/>
      <c r="DS137" s="163"/>
      <c r="DT137" s="163"/>
      <c r="DU137" s="163"/>
      <c r="DV137" s="163"/>
      <c r="DW137" s="163"/>
      <c r="DX137" s="163"/>
      <c r="DY137" s="163"/>
      <c r="DZ137" s="163"/>
      <c r="EA137" s="163"/>
      <c r="EB137" s="163"/>
      <c r="EC137" s="163"/>
      <c r="ED137" s="163"/>
      <c r="EE137" s="163"/>
      <c r="EF137" s="163"/>
      <c r="EG137" s="163"/>
      <c r="EH137" s="160">
        <f>IF([Chambre]*1='CHAMBRES FILLES 2e ETAGE'!$A$5,1,0)</f>
        <v>0</v>
      </c>
      <c r="EI137" s="161">
        <f>IF([Occurrence2]=0,0,SUM($EH$2:EH137))</f>
        <v>0</v>
      </c>
      <c r="EJ137" s="160">
        <f>IF([Chambre]*1='CHAMBRES FILLES 2e ETAGE'!$A$11,1,0)</f>
        <v>0</v>
      </c>
      <c r="EK137" s="160">
        <f>IF([Occurrence3]=0,0,SUM($EJ$2:EJ137))</f>
        <v>0</v>
      </c>
      <c r="EL137" s="160">
        <f>IF([Chambre]*1='CHAMBRES FILLES 2e ETAGE'!$A$17,1,0)</f>
        <v>0</v>
      </c>
      <c r="EM137" s="160">
        <f>IF([Occurrence4]=0,0,SUM($EL$2:EL137))</f>
        <v>0</v>
      </c>
      <c r="EN137" s="160">
        <f>IF([Chambre]*1='CHAMBRES FILLES 2e ETAGE'!$A$23,1,0)</f>
        <v>0</v>
      </c>
      <c r="EO137" s="160">
        <f>IF([Occurrence5]=0,0,SUM($EN$2:EN137))</f>
        <v>0</v>
      </c>
      <c r="EP137" s="160">
        <f>IF([Chambre]*1='CHAMBRES FILLES 2e ETAGE'!$A$29,1,0)</f>
        <v>0</v>
      </c>
      <c r="EQ137" s="160">
        <f>IF([Occurrence6]=0,0,SUM($EP$2:EP137))</f>
        <v>0</v>
      </c>
      <c r="ER137" s="160">
        <f>IF([Chambre]*1='CHAMBRES FILLES 2e ETAGE'!$A$35,1,0)</f>
        <v>0</v>
      </c>
      <c r="ES137" s="160">
        <f>IF([Occurrence7]=0,0,SUM($ER$2:ER137))</f>
        <v>0</v>
      </c>
      <c r="ET137" s="160">
        <f>IF([Chambre]*1='CHAMBRES FILLES 2e ETAGE'!$A$41,1,0)</f>
        <v>0</v>
      </c>
      <c r="EU137" s="160">
        <f>IF([Occurrence8]=0,0,SUM($ET$2:ET137))</f>
        <v>0</v>
      </c>
      <c r="EV137" s="160">
        <f>IF([Chambre]*1='CHAMBRES FILLES 2e ETAGE'!$A$47,1,0)</f>
        <v>0</v>
      </c>
      <c r="EW137" s="160">
        <f>IF([Occurrence9]=0,0,SUM($EV$2:EV137))</f>
        <v>0</v>
      </c>
      <c r="EX137" s="160">
        <f>IF([Chambre]*1='CHAMBRES FILLES 2e ETAGE'!$A$53,1,0)</f>
        <v>0</v>
      </c>
      <c r="EY137" s="160">
        <f>IF([Occurrence10]=0,0,SUM($EX$2:EX137))</f>
        <v>0</v>
      </c>
      <c r="EZ137" s="160">
        <f>IF([Chambre]*1='CHAMBRES FILLES 2e ETAGE'!$A$59,1,0)</f>
        <v>0</v>
      </c>
      <c r="FA137" s="160">
        <f>IF([Occurrence11]=0,0,SUM($EZ$2:EZ137))</f>
        <v>0</v>
      </c>
      <c r="FB137" s="160">
        <f>IF([Chambre]*1='CHAMBRES FILLES 2e ETAGE'!$A$65,1,0)</f>
        <v>0</v>
      </c>
      <c r="FC137" s="160">
        <f>IF([Occurrence12]=0,0,SUM($FB$2:FB137))</f>
        <v>0</v>
      </c>
      <c r="FD137" s="160">
        <f>IF([Chambre]*1='CHAMBRES FILLES 2e ETAGE'!$A$71,1,0)</f>
        <v>0</v>
      </c>
      <c r="FE137" s="160">
        <f>IF([Occurrence13]=0,0,SUM($FD$2:FD137))</f>
        <v>0</v>
      </c>
      <c r="FF137" s="160">
        <f>IF([Chambre]*1='CHAMBRES FILLES 2e ETAGE'!$A$77,1,0)</f>
        <v>0</v>
      </c>
      <c r="FG137" s="160">
        <f>IF([Occurrence14]=0,0,SUM($FF$2:FF137))</f>
        <v>0</v>
      </c>
      <c r="FH137" s="160">
        <f>IF([Chambre]*1='CHAMBRES FILLES 2e ETAGE'!$A$83,1,0)</f>
        <v>0</v>
      </c>
      <c r="FI137" s="160">
        <f>IF([Occurrence15]=0,0,SUM($FH$2:FH137))</f>
        <v>0</v>
      </c>
      <c r="FJ137" s="160">
        <f>IF([Chambre]*1='CHAMBRES FILLES 2e ETAGE'!$A$89,1,0)</f>
        <v>0</v>
      </c>
      <c r="FK137" s="160">
        <f>IF([Occurrence16]=0,0,SUM($FJ$2:FJ137))</f>
        <v>0</v>
      </c>
      <c r="FL137" s="160">
        <f>IF([Chambre]*1='CHAMBRES FILLES 2e ETAGE'!$A$95,1,0)</f>
        <v>0</v>
      </c>
      <c r="FM137" s="160">
        <f>IF([Occurrence17]=0,0,SUM($FL$2:FL137))</f>
        <v>0</v>
      </c>
      <c r="FN137" s="160">
        <f>IF([Chambre2]*1='CHAMBRES FILLES 1e ETAGE'!$A$5,1,0)</f>
        <v>0</v>
      </c>
      <c r="FO137" s="160">
        <f>IF([Occurrence18]=0,0,SUM($FN$2:FN137))</f>
        <v>0</v>
      </c>
      <c r="FP137" s="160">
        <f>IF([Chambre2]*1='CHAMBRES FILLES 1e ETAGE'!$A$11,1,0)</f>
        <v>0</v>
      </c>
      <c r="FQ137" s="160">
        <f>IF([Occurrence19]=0,0,SUM($FP$2:FP137))</f>
        <v>0</v>
      </c>
      <c r="FR137" s="160">
        <f>IF([Chambre2]*1='CHAMBRES FILLES 1e ETAGE'!$A$17,1,0)</f>
        <v>0</v>
      </c>
      <c r="FS137" s="160">
        <f>IF([Occurrence20]=0,0,SUM($FR$2:FR137))</f>
        <v>0</v>
      </c>
      <c r="FT137" s="160">
        <f>IF([Chambre2]*1='CHAMBRES FILLES 1e ETAGE'!$A$23,1,0)</f>
        <v>0</v>
      </c>
      <c r="FU137" s="160">
        <f>IF([Occurrence21]=0,0,SUM($FT$2:FT137))</f>
        <v>0</v>
      </c>
      <c r="FV137" s="160">
        <f>IF([Chambre2]*1='CHAMBRES FILLES 1e ETAGE'!$A$29,1,0)</f>
        <v>0</v>
      </c>
      <c r="FW137" s="160">
        <f>IF([Occurrence22]=0,0,SUM($FV$2:FV137))</f>
        <v>0</v>
      </c>
      <c r="FX137" s="160">
        <f>IF([Chambre2]*1='CHAMBRES FILLES 1e ETAGE'!$A$35,1,0)</f>
        <v>0</v>
      </c>
      <c r="FY137" s="160">
        <f>IF([Occurrence23]=0,0,SUM($FX$2:FX137))</f>
        <v>0</v>
      </c>
      <c r="FZ137" s="160">
        <f>IF([Chambre2]*1='CHAMBRES FILLES 1e ETAGE'!$A$41,1,0)</f>
        <v>0</v>
      </c>
      <c r="GA137" s="160">
        <f>IF([Occurrence24]=0,0,SUM($FZ$2:FZ137))</f>
        <v>0</v>
      </c>
      <c r="GB137" s="160">
        <f>IF([Chambre2]*1='CHAMBRES FILLES 1e ETAGE'!$A$47,1,0)</f>
        <v>0</v>
      </c>
      <c r="GC137" s="160">
        <f>IF([Occurrence25]=0,0,SUM($GB$2:GB137))</f>
        <v>0</v>
      </c>
      <c r="GD137" s="160">
        <f>IF([Chambre2]*1='CHAMBRES FILLES 1e ETAGE'!$A$53,1,0)</f>
        <v>0</v>
      </c>
      <c r="GE137" s="160">
        <f>IF([Occurrence26]=0,0,SUM($GD$2:GD137))</f>
        <v>0</v>
      </c>
      <c r="GF137" s="160">
        <f>IF([chambre4]*1='CHAMBRES GARCONS 1e ETAGE'!$A$5,1,0)</f>
        <v>0</v>
      </c>
      <c r="GG137" s="160">
        <f>IF([Occurrence27]=0,0,SUM($GF$2:GF137))</f>
        <v>0</v>
      </c>
      <c r="GH137" s="160">
        <f>IF([chambre4]*1='CHAMBRES GARCONS 1e ETAGE'!$A$11,1,0)</f>
        <v>0</v>
      </c>
      <c r="GI137" s="160">
        <f>IF([Occurrence28]=0,0,SUM($GH$2:GH137))</f>
        <v>0</v>
      </c>
      <c r="GJ137" s="160">
        <f>IF([chambre4]*1='CHAMBRES GARCONS 1e ETAGE'!$A$17,1,0)</f>
        <v>0</v>
      </c>
      <c r="GK137" s="160">
        <f>IF([Occurrence29]=0,0,SUM($GJ$2:GJ137))</f>
        <v>0</v>
      </c>
      <c r="GL137" s="160">
        <f>IF([chambre4]*1='CHAMBRES GARCONS 1e ETAGE'!$A$23,1,0)</f>
        <v>0</v>
      </c>
      <c r="GM137" s="160">
        <f>IF([Occurrence30]=0,0,SUM($GL$2:GL137))</f>
        <v>0</v>
      </c>
      <c r="GN137" s="160">
        <f>IF([chambre4]*1='CHAMBRES GARCONS 1e ETAGE'!$A$29,1,0)</f>
        <v>0</v>
      </c>
      <c r="GO137" s="160">
        <f>IF([Occurrence31]=0,0,SUM($GN$2:GN137))</f>
        <v>0</v>
      </c>
      <c r="GP137" s="160">
        <f>IF([chambre4]*1='CHAMBRES GARCONS 1e ETAGE'!$A$35,1,0)</f>
        <v>0</v>
      </c>
      <c r="GQ137" s="160">
        <f>IF([Occurrence32]=0,0,SUM($GP$2:GP137))</f>
        <v>0</v>
      </c>
      <c r="GR137" s="160">
        <f>IF([chambre3]*1='CHAMBRES GARCONS RDC'!$A$5,1,0)</f>
        <v>0</v>
      </c>
      <c r="GS137" s="160">
        <f>IF([Occurrence33]=0,0,SUM($GR$2:GR137))</f>
        <v>0</v>
      </c>
      <c r="GT137" s="160">
        <f>IF([chambre3]*1='CHAMBRES GARCONS RDC'!$A$11,1,0)</f>
        <v>0</v>
      </c>
      <c r="GU137" s="160">
        <f>IF([Occurrence34]=0,0,SUM($GT$2:GT137))</f>
        <v>0</v>
      </c>
      <c r="GV137" s="160">
        <f>IF([chambre3]*1='CHAMBRES GARCONS RDC'!$A$17,1,0)</f>
        <v>0</v>
      </c>
      <c r="GW137" s="160">
        <f>IF([Occurrence35]=0,0,SUM($GV$2:GV137))</f>
        <v>0</v>
      </c>
      <c r="GX137" s="160">
        <f>IF([chambre3]*1='CHAMBRES GARCONS RDC'!$A$23,1,0)</f>
        <v>0</v>
      </c>
      <c r="GY137" s="160">
        <f>IF([Occurrence36]=0,0,SUM($GX$2:GX137))</f>
        <v>0</v>
      </c>
      <c r="GZ137" s="160">
        <f>IF([chambre3]*1='CHAMBRES GARCONS RDC'!$A$29,1,0)</f>
        <v>0</v>
      </c>
      <c r="HA137" s="160">
        <f>IF([Occurrence37]=0,0,SUM($GZ$2:GZ137))</f>
        <v>0</v>
      </c>
      <c r="HB137" s="160">
        <f>IF([chambre3]*1='CHAMBRES GARCONS RDC'!$A$35,1,0)</f>
        <v>0</v>
      </c>
      <c r="HC137" s="160">
        <f>IF([Occurrence38]=0,0,SUM($HB$2:HB137))</f>
        <v>0</v>
      </c>
      <c r="HD137" s="160">
        <f>IF([chambre3]*1='CHAMBRES GARCONS RDC'!$A$41,1,0)</f>
        <v>0</v>
      </c>
      <c r="HE137" s="160">
        <f>IF([Occurrence39]=0,0,SUM($HD$2:HD137))</f>
        <v>0</v>
      </c>
      <c r="HF137" s="160">
        <f>IF([chambre3]*1='CHAMBRES GARCONS RDC'!$A$47,1,0)</f>
        <v>0</v>
      </c>
      <c r="HG137" s="160">
        <f>IF([Occurrence40]=0,0,SUM($HF$2:HF137))</f>
        <v>0</v>
      </c>
      <c r="HH137" s="160">
        <f>IF([chambre3]*1='CHAMBRES GARCONS RDC'!$A$53,1,0)</f>
        <v>0</v>
      </c>
      <c r="HI137" s="160">
        <f>IF([Occurrence41]=0,0,SUM($HH$2:HH137))</f>
        <v>0</v>
      </c>
      <c r="HJ137" s="160">
        <f>IF([chambre3]*1='CHAMBRES GARCONS RDC'!$A$59,1,0)</f>
        <v>0</v>
      </c>
      <c r="HK137" s="160">
        <f>IF([Occurrence42]=0,0,SUM($HJ$2:HJ137))</f>
        <v>0</v>
      </c>
      <c r="HL137" s="160">
        <f>IF([chambre3]*1='CHAMBRES GARCONS RDC'!$A$65,1,0)</f>
        <v>0</v>
      </c>
      <c r="HM137" s="160">
        <f>IF([Occurrence43]=0,0,SUM($HL$2:HL137))</f>
        <v>0</v>
      </c>
      <c r="HN137" s="160">
        <f>IF([chambre3]*1='CHAMBRES GARCONS RDC'!$A$71,1,0)</f>
        <v>0</v>
      </c>
      <c r="HO137" s="160">
        <f>IF([Occurrence44]=0,0,SUM($HN$2:HN137))</f>
        <v>0</v>
      </c>
      <c r="HP137" s="160">
        <f>IF([chambre3]*1='CHAMBRES GARCONS RDC'!$A$77,1,0)</f>
        <v>0</v>
      </c>
      <c r="HQ137" s="160">
        <f>IF([Occurrence45]=0,0,SUM($HP$2:HP137))</f>
        <v>0</v>
      </c>
      <c r="HR137" s="160">
        <f>IF([chambre3]*1='CHAMBRES GARCONS RDC'!$A$83,1,0)</f>
        <v>0</v>
      </c>
      <c r="HS137" s="160">
        <f>IF([Occurrence46]=0,0,SUM($HR$2:HR137))</f>
        <v>0</v>
      </c>
      <c r="HT137" s="160">
        <f>IF([chambre3]*1='CHAMBRES GARCONS RDC'!$A$89,1,0)</f>
        <v>0</v>
      </c>
      <c r="HU137" s="160">
        <f>IF([Occurrence47]=0,0,SUM($HT$2:HT137))</f>
        <v>0</v>
      </c>
      <c r="HV137" s="160">
        <f>IF([chambre3]*1='CHAMBRES GARCONS RDC'!$A$95,1,0)</f>
        <v>0</v>
      </c>
      <c r="HW137" s="160">
        <f>IF([Occurrence48]=0,0,SUM($HV$2:HV137))</f>
        <v>0</v>
      </c>
      <c r="HX137" s="160"/>
      <c r="HY137" s="160"/>
      <c r="HZ137" s="160">
        <f>IF([Classe]='Liste élève par classes'!$B$5,1,0)</f>
        <v>0</v>
      </c>
      <c r="IA137" s="160">
        <f>IF([Occurrence]=0,0,SUM($HZ$2:HZ137))</f>
        <v>0</v>
      </c>
      <c r="IB13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37" s="208"/>
    </row>
    <row r="138" spans="1:237">
      <c r="A138" t="s">
        <v>481</v>
      </c>
      <c r="B138" t="s">
        <v>482</v>
      </c>
      <c r="C138" s="158">
        <v>35372</v>
      </c>
      <c r="D138" s="62">
        <f t="shared" ca="1" si="2"/>
        <v>21</v>
      </c>
      <c r="E138" t="s">
        <v>3</v>
      </c>
      <c r="F138" s="165" t="s">
        <v>46</v>
      </c>
      <c r="G138" t="s">
        <v>45</v>
      </c>
      <c r="H138" s="160"/>
      <c r="I138" s="62"/>
      <c r="J138" s="62"/>
      <c r="K138" s="62"/>
      <c r="L138" s="61"/>
      <c r="M138" s="62"/>
      <c r="N138" s="62"/>
      <c r="O138" s="62"/>
      <c r="P138" s="62"/>
      <c r="Q138" s="62"/>
      <c r="R138" s="62"/>
      <c r="S138" s="62"/>
      <c r="T138" s="62"/>
      <c r="U138" s="61"/>
      <c r="V138" s="62"/>
      <c r="W138" s="62"/>
      <c r="X138" s="62"/>
      <c r="Y138" s="62"/>
      <c r="Z138" s="62"/>
      <c r="AA138" s="62"/>
      <c r="AB138" s="62"/>
      <c r="AC138" s="62"/>
      <c r="AD138" s="62"/>
      <c r="AE138" s="62"/>
      <c r="AF138" s="163"/>
      <c r="AG138" s="163"/>
      <c r="AH138" s="163"/>
      <c r="AI138" s="163"/>
      <c r="AJ138" s="163"/>
      <c r="AK138" s="163"/>
      <c r="AL138" s="163"/>
      <c r="AM138" s="163"/>
      <c r="AN138" s="163"/>
      <c r="AO138" s="163"/>
      <c r="AP138" s="163"/>
      <c r="AQ138" s="163"/>
      <c r="AR138" s="163"/>
      <c r="AS138" s="163"/>
      <c r="AT138" s="163"/>
      <c r="AU138" s="163"/>
      <c r="AV138" s="163"/>
      <c r="AW138" s="163"/>
      <c r="AX138" s="163"/>
      <c r="AY138" s="163"/>
      <c r="AZ138" s="163"/>
      <c r="BA138" s="163"/>
      <c r="BB138" s="163"/>
      <c r="BC138" s="163" t="b">
        <v>0</v>
      </c>
      <c r="BD138" s="163" t="b">
        <v>0</v>
      </c>
      <c r="BE138" s="163" t="b">
        <v>0</v>
      </c>
      <c r="BF138" s="163" t="b">
        <v>0</v>
      </c>
      <c r="BG138" s="163" t="b">
        <v>0</v>
      </c>
      <c r="BH138" s="163" t="b">
        <v>0</v>
      </c>
      <c r="BI138" s="163" t="b">
        <v>1</v>
      </c>
      <c r="BJ138" s="163" t="b">
        <v>0</v>
      </c>
      <c r="BK138" s="163" t="b">
        <v>0</v>
      </c>
      <c r="BL138" s="163" t="b">
        <v>0</v>
      </c>
      <c r="BM138" s="163"/>
      <c r="BN138" s="163"/>
      <c r="BO138" s="163"/>
      <c r="BP138" s="163"/>
      <c r="BQ138" s="163"/>
      <c r="BR138" s="163"/>
      <c r="BS138" s="163"/>
      <c r="BT138" s="163"/>
      <c r="BU138" s="163"/>
      <c r="BV138" s="163"/>
      <c r="BW138" s="163"/>
      <c r="BX138" s="163"/>
      <c r="BY138" s="163"/>
      <c r="BZ138" s="163"/>
      <c r="CA138" s="163"/>
      <c r="CB138" s="163"/>
      <c r="CC138" s="163"/>
      <c r="CD138" s="163"/>
      <c r="CE138" s="163"/>
      <c r="CF138" s="163"/>
      <c r="CG138" s="163"/>
      <c r="CH138" s="163"/>
      <c r="CI138" s="163"/>
      <c r="CJ138" s="163"/>
      <c r="CK138" s="163"/>
      <c r="CL138" s="163"/>
      <c r="CM138" s="163"/>
      <c r="CN138" s="163"/>
      <c r="CO138" s="163"/>
      <c r="CP138" s="163"/>
      <c r="CQ138" s="163"/>
      <c r="CR138" s="163"/>
      <c r="CS138" s="163"/>
      <c r="CT138" s="163"/>
      <c r="CU138" s="163"/>
      <c r="CV138" s="163"/>
      <c r="CW138" s="163"/>
      <c r="CX138" s="163"/>
      <c r="CY138" s="163"/>
      <c r="CZ138" s="163"/>
      <c r="DA138" s="163"/>
      <c r="DB138" s="163"/>
      <c r="DC138" s="163"/>
      <c r="DD138" s="163"/>
      <c r="DE138" s="163"/>
      <c r="DF138" s="163"/>
      <c r="DG138" s="163"/>
      <c r="DH138" s="163"/>
      <c r="DI138" s="163"/>
      <c r="DJ138" s="163"/>
      <c r="DK138" s="163"/>
      <c r="DL138" s="163"/>
      <c r="DM138" s="163"/>
      <c r="DN138" s="163"/>
      <c r="DO138" s="163"/>
      <c r="DP138" s="163"/>
      <c r="DQ138" s="163"/>
      <c r="DR138" s="163"/>
      <c r="DS138" s="163"/>
      <c r="DT138" s="163"/>
      <c r="DU138" s="163"/>
      <c r="DV138" s="163"/>
      <c r="DW138" s="163"/>
      <c r="DX138" s="163"/>
      <c r="DY138" s="163"/>
      <c r="DZ138" s="163"/>
      <c r="EA138" s="163"/>
      <c r="EB138" s="163"/>
      <c r="EC138" s="163"/>
      <c r="ED138" s="163"/>
      <c r="EE138" s="163"/>
      <c r="EF138" s="163"/>
      <c r="EG138" s="163"/>
      <c r="EH138" s="160">
        <f>IF([Chambre]*1='CHAMBRES FILLES 2e ETAGE'!$A$5,1,0)</f>
        <v>0</v>
      </c>
      <c r="EI138" s="161">
        <f>IF([Occurrence2]=0,0,SUM($EH$2:EH138))</f>
        <v>0</v>
      </c>
      <c r="EJ138" s="160">
        <f>IF([Chambre]*1='CHAMBRES FILLES 2e ETAGE'!$A$11,1,0)</f>
        <v>0</v>
      </c>
      <c r="EK138" s="160">
        <f>IF([Occurrence3]=0,0,SUM($EJ$2:EJ138))</f>
        <v>0</v>
      </c>
      <c r="EL138" s="160">
        <f>IF([Chambre]*1='CHAMBRES FILLES 2e ETAGE'!$A$17,1,0)</f>
        <v>0</v>
      </c>
      <c r="EM138" s="160">
        <f>IF([Occurrence4]=0,0,SUM($EL$2:EL138))</f>
        <v>0</v>
      </c>
      <c r="EN138" s="160">
        <f>IF([Chambre]*1='CHAMBRES FILLES 2e ETAGE'!$A$23,1,0)</f>
        <v>0</v>
      </c>
      <c r="EO138" s="160">
        <f>IF([Occurrence5]=0,0,SUM($EN$2:EN138))</f>
        <v>0</v>
      </c>
      <c r="EP138" s="160">
        <f>IF([Chambre]*1='CHAMBRES FILLES 2e ETAGE'!$A$29,1,0)</f>
        <v>0</v>
      </c>
      <c r="EQ138" s="160">
        <f>IF([Occurrence6]=0,0,SUM($EP$2:EP138))</f>
        <v>0</v>
      </c>
      <c r="ER138" s="160">
        <f>IF([Chambre]*1='CHAMBRES FILLES 2e ETAGE'!$A$35,1,0)</f>
        <v>0</v>
      </c>
      <c r="ES138" s="160">
        <f>IF([Occurrence7]=0,0,SUM($ER$2:ER138))</f>
        <v>0</v>
      </c>
      <c r="ET138" s="160">
        <f>IF([Chambre]*1='CHAMBRES FILLES 2e ETAGE'!$A$41,1,0)</f>
        <v>0</v>
      </c>
      <c r="EU138" s="160">
        <f>IF([Occurrence8]=0,0,SUM($ET$2:ET138))</f>
        <v>0</v>
      </c>
      <c r="EV138" s="160">
        <f>IF([Chambre]*1='CHAMBRES FILLES 2e ETAGE'!$A$47,1,0)</f>
        <v>0</v>
      </c>
      <c r="EW138" s="160">
        <f>IF([Occurrence9]=0,0,SUM($EV$2:EV138))</f>
        <v>0</v>
      </c>
      <c r="EX138" s="160">
        <f>IF([Chambre]*1='CHAMBRES FILLES 2e ETAGE'!$A$53,1,0)</f>
        <v>0</v>
      </c>
      <c r="EY138" s="160">
        <f>IF([Occurrence10]=0,0,SUM($EX$2:EX138))</f>
        <v>0</v>
      </c>
      <c r="EZ138" s="160">
        <f>IF([Chambre]*1='CHAMBRES FILLES 2e ETAGE'!$A$59,1,0)</f>
        <v>0</v>
      </c>
      <c r="FA138" s="160">
        <f>IF([Occurrence11]=0,0,SUM($EZ$2:EZ138))</f>
        <v>0</v>
      </c>
      <c r="FB138" s="160">
        <f>IF([Chambre]*1='CHAMBRES FILLES 2e ETAGE'!$A$65,1,0)</f>
        <v>0</v>
      </c>
      <c r="FC138" s="160">
        <f>IF([Occurrence12]=0,0,SUM($FB$2:FB138))</f>
        <v>0</v>
      </c>
      <c r="FD138" s="160">
        <f>IF([Chambre]*1='CHAMBRES FILLES 2e ETAGE'!$A$71,1,0)</f>
        <v>0</v>
      </c>
      <c r="FE138" s="160">
        <f>IF([Occurrence13]=0,0,SUM($FD$2:FD138))</f>
        <v>0</v>
      </c>
      <c r="FF138" s="160">
        <f>IF([Chambre]*1='CHAMBRES FILLES 2e ETAGE'!$A$77,1,0)</f>
        <v>0</v>
      </c>
      <c r="FG138" s="160">
        <f>IF([Occurrence14]=0,0,SUM($FF$2:FF138))</f>
        <v>0</v>
      </c>
      <c r="FH138" s="160">
        <f>IF([Chambre]*1='CHAMBRES FILLES 2e ETAGE'!$A$83,1,0)</f>
        <v>0</v>
      </c>
      <c r="FI138" s="160">
        <f>IF([Occurrence15]=0,0,SUM($FH$2:FH138))</f>
        <v>0</v>
      </c>
      <c r="FJ138" s="160">
        <f>IF([Chambre]*1='CHAMBRES FILLES 2e ETAGE'!$A$89,1,0)</f>
        <v>0</v>
      </c>
      <c r="FK138" s="160">
        <f>IF([Occurrence16]=0,0,SUM($FJ$2:FJ138))</f>
        <v>0</v>
      </c>
      <c r="FL138" s="160">
        <f>IF([Chambre]*1='CHAMBRES FILLES 2e ETAGE'!$A$95,1,0)</f>
        <v>0</v>
      </c>
      <c r="FM138" s="160">
        <f>IF([Occurrence17]=0,0,SUM($FL$2:FL138))</f>
        <v>0</v>
      </c>
      <c r="FN138" s="160">
        <f>IF([Chambre2]*1='CHAMBRES FILLES 1e ETAGE'!$A$5,1,0)</f>
        <v>0</v>
      </c>
      <c r="FO138" s="160">
        <f>IF([Occurrence18]=0,0,SUM($FN$2:FN138))</f>
        <v>0</v>
      </c>
      <c r="FP138" s="160">
        <f>IF([Chambre2]*1='CHAMBRES FILLES 1e ETAGE'!$A$11,1,0)</f>
        <v>0</v>
      </c>
      <c r="FQ138" s="160">
        <f>IF([Occurrence19]=0,0,SUM($FP$2:FP138))</f>
        <v>0</v>
      </c>
      <c r="FR138" s="160">
        <f>IF([Chambre2]*1='CHAMBRES FILLES 1e ETAGE'!$A$17,1,0)</f>
        <v>0</v>
      </c>
      <c r="FS138" s="160">
        <f>IF([Occurrence20]=0,0,SUM($FR$2:FR138))</f>
        <v>0</v>
      </c>
      <c r="FT138" s="160">
        <f>IF([Chambre2]*1='CHAMBRES FILLES 1e ETAGE'!$A$23,1,0)</f>
        <v>0</v>
      </c>
      <c r="FU138" s="160">
        <f>IF([Occurrence21]=0,0,SUM($FT$2:FT138))</f>
        <v>0</v>
      </c>
      <c r="FV138" s="160">
        <f>IF([Chambre2]*1='CHAMBRES FILLES 1e ETAGE'!$A$29,1,0)</f>
        <v>0</v>
      </c>
      <c r="FW138" s="160">
        <f>IF([Occurrence22]=0,0,SUM($FV$2:FV138))</f>
        <v>0</v>
      </c>
      <c r="FX138" s="160">
        <f>IF([Chambre2]*1='CHAMBRES FILLES 1e ETAGE'!$A$35,1,0)</f>
        <v>0</v>
      </c>
      <c r="FY138" s="160">
        <f>IF([Occurrence23]=0,0,SUM($FX$2:FX138))</f>
        <v>0</v>
      </c>
      <c r="FZ138" s="160">
        <f>IF([Chambre2]*1='CHAMBRES FILLES 1e ETAGE'!$A$41,1,0)</f>
        <v>0</v>
      </c>
      <c r="GA138" s="160">
        <f>IF([Occurrence24]=0,0,SUM($FZ$2:FZ138))</f>
        <v>0</v>
      </c>
      <c r="GB138" s="160">
        <f>IF([Chambre2]*1='CHAMBRES FILLES 1e ETAGE'!$A$47,1,0)</f>
        <v>0</v>
      </c>
      <c r="GC138" s="160">
        <f>IF([Occurrence25]=0,0,SUM($GB$2:GB138))</f>
        <v>0</v>
      </c>
      <c r="GD138" s="160">
        <f>IF([Chambre2]*1='CHAMBRES FILLES 1e ETAGE'!$A$53,1,0)</f>
        <v>0</v>
      </c>
      <c r="GE138" s="160">
        <f>IF([Occurrence26]=0,0,SUM($GD$2:GD138))</f>
        <v>0</v>
      </c>
      <c r="GF138" s="160">
        <f>IF([chambre4]*1='CHAMBRES GARCONS 1e ETAGE'!$A$5,1,0)</f>
        <v>0</v>
      </c>
      <c r="GG138" s="160">
        <f>IF([Occurrence27]=0,0,SUM($GF$2:GF138))</f>
        <v>0</v>
      </c>
      <c r="GH138" s="160">
        <f>IF([chambre4]*1='CHAMBRES GARCONS 1e ETAGE'!$A$11,1,0)</f>
        <v>0</v>
      </c>
      <c r="GI138" s="160">
        <f>IF([Occurrence28]=0,0,SUM($GH$2:GH138))</f>
        <v>0</v>
      </c>
      <c r="GJ138" s="160">
        <f>IF([chambre4]*1='CHAMBRES GARCONS 1e ETAGE'!$A$17,1,0)</f>
        <v>0</v>
      </c>
      <c r="GK138" s="160">
        <f>IF([Occurrence29]=0,0,SUM($GJ$2:GJ138))</f>
        <v>0</v>
      </c>
      <c r="GL138" s="160">
        <f>IF([chambre4]*1='CHAMBRES GARCONS 1e ETAGE'!$A$23,1,0)</f>
        <v>0</v>
      </c>
      <c r="GM138" s="160">
        <f>IF([Occurrence30]=0,0,SUM($GL$2:GL138))</f>
        <v>0</v>
      </c>
      <c r="GN138" s="160">
        <f>IF([chambre4]*1='CHAMBRES GARCONS 1e ETAGE'!$A$29,1,0)</f>
        <v>0</v>
      </c>
      <c r="GO138" s="160">
        <f>IF([Occurrence31]=0,0,SUM($GN$2:GN138))</f>
        <v>0</v>
      </c>
      <c r="GP138" s="160">
        <f>IF([chambre4]*1='CHAMBRES GARCONS 1e ETAGE'!$A$35,1,0)</f>
        <v>0</v>
      </c>
      <c r="GQ138" s="160">
        <f>IF([Occurrence32]=0,0,SUM($GP$2:GP138))</f>
        <v>0</v>
      </c>
      <c r="GR138" s="160">
        <f>IF([chambre3]*1='CHAMBRES GARCONS RDC'!$A$5,1,0)</f>
        <v>0</v>
      </c>
      <c r="GS138" s="160">
        <f>IF([Occurrence33]=0,0,SUM($GR$2:GR138))</f>
        <v>0</v>
      </c>
      <c r="GT138" s="160">
        <f>IF([chambre3]*1='CHAMBRES GARCONS RDC'!$A$11,1,0)</f>
        <v>0</v>
      </c>
      <c r="GU138" s="160">
        <f>IF([Occurrence34]=0,0,SUM($GT$2:GT138))</f>
        <v>0</v>
      </c>
      <c r="GV138" s="160">
        <f>IF([chambre3]*1='CHAMBRES GARCONS RDC'!$A$17,1,0)</f>
        <v>0</v>
      </c>
      <c r="GW138" s="160">
        <f>IF([Occurrence35]=0,0,SUM($GV$2:GV138))</f>
        <v>0</v>
      </c>
      <c r="GX138" s="160">
        <f>IF([chambre3]*1='CHAMBRES GARCONS RDC'!$A$23,1,0)</f>
        <v>0</v>
      </c>
      <c r="GY138" s="160">
        <f>IF([Occurrence36]=0,0,SUM($GX$2:GX138))</f>
        <v>0</v>
      </c>
      <c r="GZ138" s="160">
        <f>IF([chambre3]*1='CHAMBRES GARCONS RDC'!$A$29,1,0)</f>
        <v>0</v>
      </c>
      <c r="HA138" s="160">
        <f>IF([Occurrence37]=0,0,SUM($GZ$2:GZ138))</f>
        <v>0</v>
      </c>
      <c r="HB138" s="160">
        <f>IF([chambre3]*1='CHAMBRES GARCONS RDC'!$A$35,1,0)</f>
        <v>0</v>
      </c>
      <c r="HC138" s="160">
        <f>IF([Occurrence38]=0,0,SUM($HB$2:HB138))</f>
        <v>0</v>
      </c>
      <c r="HD138" s="160">
        <f>IF([chambre3]*1='CHAMBRES GARCONS RDC'!$A$41,1,0)</f>
        <v>0</v>
      </c>
      <c r="HE138" s="160">
        <f>IF([Occurrence39]=0,0,SUM($HD$2:HD138))</f>
        <v>0</v>
      </c>
      <c r="HF138" s="160">
        <f>IF([chambre3]*1='CHAMBRES GARCONS RDC'!$A$47,1,0)</f>
        <v>0</v>
      </c>
      <c r="HG138" s="160">
        <f>IF([Occurrence40]=0,0,SUM($HF$2:HF138))</f>
        <v>0</v>
      </c>
      <c r="HH138" s="160">
        <f>IF([chambre3]*1='CHAMBRES GARCONS RDC'!$A$53,1,0)</f>
        <v>0</v>
      </c>
      <c r="HI138" s="160">
        <f>IF([Occurrence41]=0,0,SUM($HH$2:HH138))</f>
        <v>0</v>
      </c>
      <c r="HJ138" s="160">
        <f>IF([chambre3]*1='CHAMBRES GARCONS RDC'!$A$59,1,0)</f>
        <v>0</v>
      </c>
      <c r="HK138" s="160">
        <f>IF([Occurrence42]=0,0,SUM($HJ$2:HJ138))</f>
        <v>0</v>
      </c>
      <c r="HL138" s="160">
        <f>IF([chambre3]*1='CHAMBRES GARCONS RDC'!$A$65,1,0)</f>
        <v>0</v>
      </c>
      <c r="HM138" s="160">
        <f>IF([Occurrence43]=0,0,SUM($HL$2:HL138))</f>
        <v>0</v>
      </c>
      <c r="HN138" s="160">
        <f>IF([chambre3]*1='CHAMBRES GARCONS RDC'!$A$71,1,0)</f>
        <v>0</v>
      </c>
      <c r="HO138" s="160">
        <f>IF([Occurrence44]=0,0,SUM($HN$2:HN138))</f>
        <v>0</v>
      </c>
      <c r="HP138" s="160">
        <f>IF([chambre3]*1='CHAMBRES GARCONS RDC'!$A$77,1,0)</f>
        <v>0</v>
      </c>
      <c r="HQ138" s="160">
        <f>IF([Occurrence45]=0,0,SUM($HP$2:HP138))</f>
        <v>0</v>
      </c>
      <c r="HR138" s="160">
        <f>IF([chambre3]*1='CHAMBRES GARCONS RDC'!$A$83,1,0)</f>
        <v>0</v>
      </c>
      <c r="HS138" s="160">
        <f>IF([Occurrence46]=0,0,SUM($HR$2:HR138))</f>
        <v>0</v>
      </c>
      <c r="HT138" s="160">
        <f>IF([chambre3]*1='CHAMBRES GARCONS RDC'!$A$89,1,0)</f>
        <v>0</v>
      </c>
      <c r="HU138" s="160">
        <f>IF([Occurrence47]=0,0,SUM($HT$2:HT138))</f>
        <v>0</v>
      </c>
      <c r="HV138" s="160">
        <f>IF([chambre3]*1='CHAMBRES GARCONS RDC'!$A$95,1,0)</f>
        <v>0</v>
      </c>
      <c r="HW138" s="160">
        <f>IF([Occurrence48]=0,0,SUM($HV$2:HV138))</f>
        <v>0</v>
      </c>
      <c r="HX138" s="160"/>
      <c r="HY138" s="160"/>
      <c r="HZ138" s="160">
        <f>IF([Classe]='Liste élève par classes'!$B$5,1,0)</f>
        <v>0</v>
      </c>
      <c r="IA138" s="160">
        <f>IF([Occurrence]=0,0,SUM($HZ$2:HZ138))</f>
        <v>0</v>
      </c>
      <c r="IB13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38" s="208"/>
    </row>
    <row r="139" spans="1:237">
      <c r="A139" t="s">
        <v>483</v>
      </c>
      <c r="B139" t="s">
        <v>484</v>
      </c>
      <c r="C139" s="158">
        <v>37575</v>
      </c>
      <c r="D139" s="62">
        <f t="shared" ca="1" si="2"/>
        <v>14</v>
      </c>
      <c r="E139" t="s">
        <v>2</v>
      </c>
      <c r="F139" s="159" t="s">
        <v>50</v>
      </c>
      <c r="G139" t="s">
        <v>45</v>
      </c>
      <c r="H139" s="160"/>
      <c r="I139" s="62"/>
      <c r="J139" s="62" t="s">
        <v>244</v>
      </c>
      <c r="K139" s="62"/>
      <c r="L139" s="61"/>
      <c r="M139">
        <v>149</v>
      </c>
      <c r="N139" s="62" t="s">
        <v>244</v>
      </c>
      <c r="O139" s="62" t="s">
        <v>244</v>
      </c>
      <c r="P139" s="62" t="s">
        <v>244</v>
      </c>
      <c r="Q139" s="62" t="s">
        <v>244</v>
      </c>
      <c r="R139" s="62" t="s">
        <v>244</v>
      </c>
      <c r="S139" s="191"/>
      <c r="T139" s="62" t="s">
        <v>244</v>
      </c>
      <c r="U139" s="61">
        <v>132</v>
      </c>
      <c r="V139" s="62" t="s">
        <v>244</v>
      </c>
      <c r="W139" s="62" t="s">
        <v>244</v>
      </c>
      <c r="X139" s="62" t="s">
        <v>244</v>
      </c>
      <c r="Y139" s="62" t="s">
        <v>244</v>
      </c>
      <c r="Z139" s="62" t="s">
        <v>244</v>
      </c>
      <c r="AA139" s="62" t="s">
        <v>244</v>
      </c>
      <c r="AB139" s="62" t="s">
        <v>244</v>
      </c>
      <c r="AC139" s="62" t="s">
        <v>244</v>
      </c>
      <c r="AD139" s="62" t="s">
        <v>244</v>
      </c>
      <c r="AE139" s="62" t="s">
        <v>244</v>
      </c>
      <c r="AF139" s="163" t="s">
        <v>244</v>
      </c>
      <c r="AG139" s="163" t="s">
        <v>244</v>
      </c>
      <c r="AH139" s="163" t="s">
        <v>244</v>
      </c>
      <c r="AI139" s="163"/>
      <c r="AJ139" s="163"/>
      <c r="AK139" s="163"/>
      <c r="AL139" s="163"/>
      <c r="AM139" s="163"/>
      <c r="AN139" s="163"/>
      <c r="AO139" s="163"/>
      <c r="AP139" s="163"/>
      <c r="AQ139" s="163"/>
      <c r="AR139" s="163"/>
      <c r="AS139" s="163"/>
      <c r="AT139" s="163"/>
      <c r="AU139" s="163"/>
      <c r="AV139" s="163"/>
      <c r="AW139" s="163"/>
      <c r="AX139" s="163"/>
      <c r="AY139" s="163"/>
      <c r="AZ139" s="163"/>
      <c r="BA139" s="163"/>
      <c r="BB139" s="163"/>
      <c r="BC139" s="163" t="b">
        <v>0</v>
      </c>
      <c r="BD139" s="163" t="b">
        <v>1</v>
      </c>
      <c r="BE139" s="163" t="b">
        <v>1</v>
      </c>
      <c r="BF139" s="163" t="b">
        <v>0</v>
      </c>
      <c r="BG139" s="164" t="b">
        <v>0</v>
      </c>
      <c r="BH139" s="163" t="b">
        <v>1</v>
      </c>
      <c r="BI139" s="163"/>
      <c r="BJ139" s="163"/>
      <c r="BK139" s="163"/>
      <c r="BL139" s="163"/>
      <c r="BM139" s="163"/>
      <c r="BN139" s="163"/>
      <c r="BO139" s="163"/>
      <c r="BP139" s="163"/>
      <c r="BQ139" s="163" t="b">
        <v>0</v>
      </c>
      <c r="BR139" s="163"/>
      <c r="BS139" s="163"/>
      <c r="BT139" s="163"/>
      <c r="BU139" s="163"/>
      <c r="BV139" s="163"/>
      <c r="BW139" s="163"/>
      <c r="BX139" s="163"/>
      <c r="BY139" s="163"/>
      <c r="BZ139" s="163"/>
      <c r="CA139" s="163"/>
      <c r="CB139" s="163"/>
      <c r="CC139" s="163"/>
      <c r="CD139" s="163"/>
      <c r="CE139" s="163"/>
      <c r="CF139" s="163"/>
      <c r="CG139" s="163"/>
      <c r="CH139" s="163"/>
      <c r="CI139" s="163"/>
      <c r="CJ139" s="163"/>
      <c r="CK139" s="163"/>
      <c r="CL139" s="163"/>
      <c r="CM139" s="163"/>
      <c r="CN139" s="163"/>
      <c r="CO139" s="163"/>
      <c r="CP139" s="163"/>
      <c r="CQ139" s="163"/>
      <c r="CR139" s="163"/>
      <c r="CS139" s="163"/>
      <c r="CT139" s="163"/>
      <c r="CU139" s="163"/>
      <c r="CV139" s="163"/>
      <c r="CW139" s="163"/>
      <c r="CX139" s="163"/>
      <c r="CY139" s="163"/>
      <c r="CZ139" s="163"/>
      <c r="DA139" s="163"/>
      <c r="DB139" s="163"/>
      <c r="DC139" s="163"/>
      <c r="DD139" s="163"/>
      <c r="DE139" s="163"/>
      <c r="DF139" s="163"/>
      <c r="DG139" s="208"/>
      <c r="DH139" s="163"/>
      <c r="DI139" s="163"/>
      <c r="DJ139" s="163"/>
      <c r="DK139" s="163"/>
      <c r="DL139" s="163"/>
      <c r="DM139" s="163"/>
      <c r="DN139" s="163"/>
      <c r="DO139" s="163"/>
      <c r="DP139" s="163"/>
      <c r="DQ139" s="163"/>
      <c r="DR139" s="163"/>
      <c r="DS139" s="163"/>
      <c r="DT139" s="163"/>
      <c r="DU139" s="163"/>
      <c r="DV139" s="163"/>
      <c r="DW139" s="163"/>
      <c r="DX139" s="163"/>
      <c r="DY139" s="163"/>
      <c r="DZ139" s="163"/>
      <c r="EA139" s="163"/>
      <c r="EB139" s="163"/>
      <c r="EC139" s="163"/>
      <c r="ED139" s="163"/>
      <c r="EE139" s="163"/>
      <c r="EF139" s="163"/>
      <c r="EG139" s="163"/>
      <c r="EH139" s="160">
        <f>IF([Chambre]*1='CHAMBRES FILLES 2e ETAGE'!$A$5,1,0)</f>
        <v>0</v>
      </c>
      <c r="EI139" s="161">
        <f>IF([Occurrence2]=0,0,SUM($EH$2:EH139))</f>
        <v>0</v>
      </c>
      <c r="EJ139" s="160">
        <f>IF([Chambre]*1='CHAMBRES FILLES 2e ETAGE'!$A$11,1,0)</f>
        <v>0</v>
      </c>
      <c r="EK139" s="160">
        <f>IF([Occurrence3]=0,0,SUM($EJ$2:EJ139))</f>
        <v>0</v>
      </c>
      <c r="EL139" s="160">
        <f>IF([Chambre]*1='CHAMBRES FILLES 2e ETAGE'!$A$17,1,0)</f>
        <v>0</v>
      </c>
      <c r="EM139" s="160">
        <f>IF([Occurrence4]=0,0,SUM($EL$2:EL139))</f>
        <v>0</v>
      </c>
      <c r="EN139" s="160">
        <f>IF([Chambre]*1='CHAMBRES FILLES 2e ETAGE'!$A$23,1,0)</f>
        <v>0</v>
      </c>
      <c r="EO139" s="160">
        <f>IF([Occurrence5]=0,0,SUM($EN$2:EN139))</f>
        <v>0</v>
      </c>
      <c r="EP139" s="160">
        <f>IF([Chambre]*1='CHAMBRES FILLES 2e ETAGE'!$A$29,1,0)</f>
        <v>0</v>
      </c>
      <c r="EQ139" s="160">
        <f>IF([Occurrence6]=0,0,SUM($EP$2:EP139))</f>
        <v>0</v>
      </c>
      <c r="ER139" s="160">
        <f>IF([Chambre]*1='CHAMBRES FILLES 2e ETAGE'!$A$35,1,0)</f>
        <v>0</v>
      </c>
      <c r="ES139" s="160">
        <f>IF([Occurrence7]=0,0,SUM($ER$2:ER139))</f>
        <v>0</v>
      </c>
      <c r="ET139" s="160">
        <f>IF([Chambre]*1='CHAMBRES FILLES 2e ETAGE'!$A$41,1,0)</f>
        <v>0</v>
      </c>
      <c r="EU139" s="160">
        <f>IF([Occurrence8]=0,0,SUM($ET$2:ET139))</f>
        <v>0</v>
      </c>
      <c r="EV139" s="160">
        <f>IF([Chambre]*1='CHAMBRES FILLES 2e ETAGE'!$A$47,1,0)</f>
        <v>0</v>
      </c>
      <c r="EW139" s="160">
        <f>IF([Occurrence9]=0,0,SUM($EV$2:EV139))</f>
        <v>0</v>
      </c>
      <c r="EX139" s="160">
        <f>IF([Chambre]*1='CHAMBRES FILLES 2e ETAGE'!$A$53,1,0)</f>
        <v>0</v>
      </c>
      <c r="EY139" s="160">
        <f>IF([Occurrence10]=0,0,SUM($EX$2:EX139))</f>
        <v>0</v>
      </c>
      <c r="EZ139" s="160">
        <f>IF([Chambre]*1='CHAMBRES FILLES 2e ETAGE'!$A$59,1,0)</f>
        <v>0</v>
      </c>
      <c r="FA139" s="160">
        <f>IF([Occurrence11]=0,0,SUM($EZ$2:EZ139))</f>
        <v>0</v>
      </c>
      <c r="FB139" s="160">
        <f>IF([Chambre]*1='CHAMBRES FILLES 2e ETAGE'!$A$65,1,0)</f>
        <v>0</v>
      </c>
      <c r="FC139" s="160">
        <f>IF([Occurrence12]=0,0,SUM($FB$2:FB139))</f>
        <v>0</v>
      </c>
      <c r="FD139" s="160">
        <f>IF([Chambre]*1='CHAMBRES FILLES 2e ETAGE'!$A$71,1,0)</f>
        <v>0</v>
      </c>
      <c r="FE139" s="160">
        <f>IF([Occurrence13]=0,0,SUM($FD$2:FD139))</f>
        <v>0</v>
      </c>
      <c r="FF139" s="160">
        <f>IF([Chambre]*1='CHAMBRES FILLES 2e ETAGE'!$A$77,1,0)</f>
        <v>0</v>
      </c>
      <c r="FG139" s="160">
        <f>IF([Occurrence14]=0,0,SUM($FF$2:FF139))</f>
        <v>0</v>
      </c>
      <c r="FH139" s="160">
        <f>IF([Chambre]*1='CHAMBRES FILLES 2e ETAGE'!$A$83,1,0)</f>
        <v>0</v>
      </c>
      <c r="FI139" s="160">
        <f>IF([Occurrence15]=0,0,SUM($FH$2:FH139))</f>
        <v>0</v>
      </c>
      <c r="FJ139" s="160">
        <f>IF([Chambre]*1='CHAMBRES FILLES 2e ETAGE'!$A$89,1,0)</f>
        <v>0</v>
      </c>
      <c r="FK139" s="160">
        <f>IF([Occurrence16]=0,0,SUM($FJ$2:FJ139))</f>
        <v>0</v>
      </c>
      <c r="FL139" s="160">
        <f>IF([Chambre]*1='CHAMBRES FILLES 2e ETAGE'!$A$95,1,0)</f>
        <v>0</v>
      </c>
      <c r="FM139" s="160">
        <f>IF([Occurrence17]=0,0,SUM($FL$2:FL139))</f>
        <v>0</v>
      </c>
      <c r="FN139" s="160">
        <f>IF([Chambre2]*1='CHAMBRES FILLES 1e ETAGE'!$A$5,1,0)</f>
        <v>1</v>
      </c>
      <c r="FO139" s="160">
        <f>IF([Occurrence18]=0,0,SUM($FN$2:FN139))</f>
        <v>4</v>
      </c>
      <c r="FP139" s="160">
        <f>IF([Chambre2]*1='CHAMBRES FILLES 1e ETAGE'!$A$11,1,0)</f>
        <v>0</v>
      </c>
      <c r="FQ139" s="160">
        <f>IF([Occurrence19]=0,0,SUM($FP$2:FP139))</f>
        <v>0</v>
      </c>
      <c r="FR139" s="160">
        <f>IF([Chambre2]*1='CHAMBRES FILLES 1e ETAGE'!$A$17,1,0)</f>
        <v>0</v>
      </c>
      <c r="FS139" s="160">
        <f>IF([Occurrence20]=0,0,SUM($FR$2:FR139))</f>
        <v>0</v>
      </c>
      <c r="FT139" s="160">
        <f>IF([Chambre2]*1='CHAMBRES FILLES 1e ETAGE'!$A$23,1,0)</f>
        <v>0</v>
      </c>
      <c r="FU139" s="160">
        <f>IF([Occurrence21]=0,0,SUM($FT$2:FT139))</f>
        <v>0</v>
      </c>
      <c r="FV139" s="160">
        <f>IF([Chambre2]*1='CHAMBRES FILLES 1e ETAGE'!$A$29,1,0)</f>
        <v>0</v>
      </c>
      <c r="FW139" s="160">
        <f>IF([Occurrence22]=0,0,SUM($FV$2:FV139))</f>
        <v>0</v>
      </c>
      <c r="FX139" s="160">
        <f>IF([Chambre2]*1='CHAMBRES FILLES 1e ETAGE'!$A$35,1,0)</f>
        <v>0</v>
      </c>
      <c r="FY139" s="160">
        <f>IF([Occurrence23]=0,0,SUM($FX$2:FX139))</f>
        <v>0</v>
      </c>
      <c r="FZ139" s="160">
        <f>IF([Chambre2]*1='CHAMBRES FILLES 1e ETAGE'!$A$41,1,0)</f>
        <v>0</v>
      </c>
      <c r="GA139" s="160">
        <f>IF([Occurrence24]=0,0,SUM($FZ$2:FZ139))</f>
        <v>0</v>
      </c>
      <c r="GB139" s="160">
        <f>IF([Chambre2]*1='CHAMBRES FILLES 1e ETAGE'!$A$47,1,0)</f>
        <v>0</v>
      </c>
      <c r="GC139" s="160">
        <f>IF([Occurrence25]=0,0,SUM($GB$2:GB139))</f>
        <v>0</v>
      </c>
      <c r="GD139" s="160">
        <f>IF([Chambre2]*1='CHAMBRES FILLES 1e ETAGE'!$A$53,1,0)</f>
        <v>0</v>
      </c>
      <c r="GE139" s="160">
        <f>IF([Occurrence26]=0,0,SUM($GD$2:GD139))</f>
        <v>0</v>
      </c>
      <c r="GF139" s="160">
        <f>IF([chambre4]*1='CHAMBRES GARCONS 1e ETAGE'!$A$5,1,0)</f>
        <v>0</v>
      </c>
      <c r="GG139" s="160">
        <f>IF([Occurrence27]=0,0,SUM($GF$2:GF139))</f>
        <v>0</v>
      </c>
      <c r="GH139" s="160">
        <f>IF([chambre4]*1='CHAMBRES GARCONS 1e ETAGE'!$A$11,1,0)</f>
        <v>0</v>
      </c>
      <c r="GI139" s="160">
        <f>IF([Occurrence28]=0,0,SUM($GH$2:GH139))</f>
        <v>0</v>
      </c>
      <c r="GJ139" s="160">
        <f>IF([chambre4]*1='CHAMBRES GARCONS 1e ETAGE'!$A$17,1,0)</f>
        <v>0</v>
      </c>
      <c r="GK139" s="160">
        <f>IF([Occurrence29]=0,0,SUM($GJ$2:GJ139))</f>
        <v>0</v>
      </c>
      <c r="GL139" s="160">
        <f>IF([chambre4]*1='CHAMBRES GARCONS 1e ETAGE'!$A$23,1,0)</f>
        <v>0</v>
      </c>
      <c r="GM139" s="160">
        <f>IF([Occurrence30]=0,0,SUM($GL$2:GL139))</f>
        <v>0</v>
      </c>
      <c r="GN139" s="160">
        <f>IF([chambre4]*1='CHAMBRES GARCONS 1e ETAGE'!$A$29,1,0)</f>
        <v>0</v>
      </c>
      <c r="GO139" s="160">
        <f>IF([Occurrence31]=0,0,SUM($GN$2:GN139))</f>
        <v>0</v>
      </c>
      <c r="GP139" s="160">
        <f>IF([chambre4]*1='CHAMBRES GARCONS 1e ETAGE'!$A$35,1,0)</f>
        <v>0</v>
      </c>
      <c r="GQ139" s="160">
        <f>IF([Occurrence32]=0,0,SUM($GP$2:GP139))</f>
        <v>0</v>
      </c>
      <c r="GR139" s="160">
        <f>IF([chambre3]*1='CHAMBRES GARCONS RDC'!$A$5,1,0)</f>
        <v>0</v>
      </c>
      <c r="GS139" s="160">
        <f>IF([Occurrence33]=0,0,SUM($GR$2:GR139))</f>
        <v>0</v>
      </c>
      <c r="GT139" s="160">
        <f>IF([chambre3]*1='CHAMBRES GARCONS RDC'!$A$11,1,0)</f>
        <v>0</v>
      </c>
      <c r="GU139" s="160">
        <f>IF([Occurrence34]=0,0,SUM($GT$2:GT139))</f>
        <v>0</v>
      </c>
      <c r="GV139" s="160">
        <f>IF([chambre3]*1='CHAMBRES GARCONS RDC'!$A$17,1,0)</f>
        <v>0</v>
      </c>
      <c r="GW139" s="160">
        <f>IF([Occurrence35]=0,0,SUM($GV$2:GV139))</f>
        <v>0</v>
      </c>
      <c r="GX139" s="160">
        <f>IF([chambre3]*1='CHAMBRES GARCONS RDC'!$A$23,1,0)</f>
        <v>0</v>
      </c>
      <c r="GY139" s="160">
        <f>IF([Occurrence36]=0,0,SUM($GX$2:GX139))</f>
        <v>0</v>
      </c>
      <c r="GZ139" s="160">
        <f>IF([chambre3]*1='CHAMBRES GARCONS RDC'!$A$29,1,0)</f>
        <v>0</v>
      </c>
      <c r="HA139" s="160">
        <f>IF([Occurrence37]=0,0,SUM($GZ$2:GZ139))</f>
        <v>0</v>
      </c>
      <c r="HB139" s="160">
        <f>IF([chambre3]*1='CHAMBRES GARCONS RDC'!$A$35,1,0)</f>
        <v>0</v>
      </c>
      <c r="HC139" s="160">
        <f>IF([Occurrence38]=0,0,SUM($HB$2:HB139))</f>
        <v>0</v>
      </c>
      <c r="HD139" s="160">
        <f>IF([chambre3]*1='CHAMBRES GARCONS RDC'!$A$41,1,0)</f>
        <v>0</v>
      </c>
      <c r="HE139" s="160">
        <f>IF([Occurrence39]=0,0,SUM($HD$2:HD139))</f>
        <v>0</v>
      </c>
      <c r="HF139" s="160">
        <f>IF([chambre3]*1='CHAMBRES GARCONS RDC'!$A$47,1,0)</f>
        <v>0</v>
      </c>
      <c r="HG139" s="160">
        <f>IF([Occurrence40]=0,0,SUM($HF$2:HF139))</f>
        <v>0</v>
      </c>
      <c r="HH139" s="160">
        <f>IF([chambre3]*1='CHAMBRES GARCONS RDC'!$A$53,1,0)</f>
        <v>0</v>
      </c>
      <c r="HI139" s="160">
        <f>IF([Occurrence41]=0,0,SUM($HH$2:HH139))</f>
        <v>0</v>
      </c>
      <c r="HJ139" s="160">
        <f>IF([chambre3]*1='CHAMBRES GARCONS RDC'!$A$59,1,0)</f>
        <v>0</v>
      </c>
      <c r="HK139" s="160">
        <f>IF([Occurrence42]=0,0,SUM($HJ$2:HJ139))</f>
        <v>0</v>
      </c>
      <c r="HL139" s="160">
        <f>IF([chambre3]*1='CHAMBRES GARCONS RDC'!$A$65,1,0)</f>
        <v>0</v>
      </c>
      <c r="HM139" s="160">
        <f>IF([Occurrence43]=0,0,SUM($HL$2:HL139))</f>
        <v>0</v>
      </c>
      <c r="HN139" s="160">
        <f>IF([chambre3]*1='CHAMBRES GARCONS RDC'!$A$71,1,0)</f>
        <v>0</v>
      </c>
      <c r="HO139" s="160">
        <f>IF([Occurrence44]=0,0,SUM($HN$2:HN139))</f>
        <v>0</v>
      </c>
      <c r="HP139" s="160">
        <f>IF([chambre3]*1='CHAMBRES GARCONS RDC'!$A$77,1,0)</f>
        <v>0</v>
      </c>
      <c r="HQ139" s="160">
        <f>IF([Occurrence45]=0,0,SUM($HP$2:HP139))</f>
        <v>0</v>
      </c>
      <c r="HR139" s="160">
        <f>IF([chambre3]*1='CHAMBRES GARCONS RDC'!$A$83,1,0)</f>
        <v>0</v>
      </c>
      <c r="HS139" s="160">
        <f>IF([Occurrence46]=0,0,SUM($HR$2:HR139))</f>
        <v>0</v>
      </c>
      <c r="HT139" s="160">
        <f>IF([chambre3]*1='CHAMBRES GARCONS RDC'!$A$89,1,0)</f>
        <v>0</v>
      </c>
      <c r="HU139" s="160">
        <f>IF([Occurrence47]=0,0,SUM($HT$2:HT139))</f>
        <v>0</v>
      </c>
      <c r="HV139" s="160">
        <f>IF([chambre3]*1='CHAMBRES GARCONS RDC'!$A$95,1,0)</f>
        <v>0</v>
      </c>
      <c r="HW139" s="160">
        <f>IF([Occurrence48]=0,0,SUM($HV$2:HV139))</f>
        <v>0</v>
      </c>
      <c r="HX139" s="160"/>
      <c r="HY139" s="160"/>
      <c r="HZ139" s="160">
        <f>IF([Classe]='Liste élève par classes'!$B$5,1,0)</f>
        <v>0</v>
      </c>
      <c r="IA139" s="160">
        <f>IF([Occurrence]=0,0,SUM($HZ$2:HZ139))</f>
        <v>0</v>
      </c>
      <c r="IB13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132</v>
      </c>
      <c r="IC139" s="208"/>
    </row>
    <row r="140" spans="1:237">
      <c r="A140" t="s">
        <v>485</v>
      </c>
      <c r="B140" t="s">
        <v>486</v>
      </c>
      <c r="C140" s="158">
        <v>36818</v>
      </c>
      <c r="D140" s="62">
        <f t="shared" ca="1" si="2"/>
        <v>17</v>
      </c>
      <c r="E140" t="s">
        <v>13</v>
      </c>
      <c r="F140" s="159" t="s">
        <v>50</v>
      </c>
      <c r="G140" t="s">
        <v>45</v>
      </c>
      <c r="H140" s="160"/>
      <c r="I140" s="161"/>
      <c r="J140" s="161"/>
      <c r="K140" s="161"/>
      <c r="L140" s="160">
        <v>179</v>
      </c>
      <c r="M140">
        <v>122</v>
      </c>
      <c r="N140" s="161"/>
      <c r="O140" s="161"/>
      <c r="P140" s="161"/>
      <c r="Q140" s="161"/>
      <c r="R140" s="161"/>
      <c r="S140" s="190"/>
      <c r="T140" s="161"/>
      <c r="U140" s="160"/>
      <c r="V140" s="161"/>
      <c r="W140" s="161"/>
      <c r="X140" s="161"/>
      <c r="Y140" s="161"/>
      <c r="Z140" s="161"/>
      <c r="AA140" s="161"/>
      <c r="AB140" s="161"/>
      <c r="AC140" s="161"/>
      <c r="AD140" s="161"/>
      <c r="AE140" s="161"/>
      <c r="AF140" s="163"/>
      <c r="AG140" s="163"/>
      <c r="AH140" s="163"/>
      <c r="AI140" s="163"/>
      <c r="AJ140" s="163"/>
      <c r="AK140" s="163"/>
      <c r="AL140" s="163"/>
      <c r="AM140" s="163"/>
      <c r="AN140" s="163"/>
      <c r="AO140" s="163"/>
      <c r="AP140" s="163"/>
      <c r="AQ140" s="163"/>
      <c r="AR140" s="163"/>
      <c r="AS140" s="163"/>
      <c r="AT140" s="163"/>
      <c r="AU140" s="163"/>
      <c r="AV140" s="163"/>
      <c r="AW140" s="163"/>
      <c r="AX140" s="163"/>
      <c r="AY140" s="163"/>
      <c r="AZ140" s="163"/>
      <c r="BA140" s="163"/>
      <c r="BB140" s="163"/>
      <c r="BC140" s="163" t="b">
        <v>0</v>
      </c>
      <c r="BD140" s="163" t="b">
        <v>1</v>
      </c>
      <c r="BE140" s="163" t="b">
        <v>1</v>
      </c>
      <c r="BF140" s="163" t="b">
        <v>0</v>
      </c>
      <c r="BG140" s="164" t="b">
        <v>0</v>
      </c>
      <c r="BH140" s="163" t="b">
        <v>1</v>
      </c>
      <c r="BI140" s="163"/>
      <c r="BJ140" s="163"/>
      <c r="BK140" s="163"/>
      <c r="BL140" s="163"/>
      <c r="BM140" s="163"/>
      <c r="BN140" s="163"/>
      <c r="BO140" s="163"/>
      <c r="BP140" s="163"/>
      <c r="BQ140" s="163" t="b">
        <v>0</v>
      </c>
      <c r="BR140" s="163"/>
      <c r="BS140" s="163"/>
      <c r="BT140" s="163"/>
      <c r="BU140" s="163"/>
      <c r="BV140" s="163"/>
      <c r="BW140" s="163"/>
      <c r="BX140" s="163"/>
      <c r="BY140" s="163"/>
      <c r="BZ140" s="163"/>
      <c r="CA140" s="163"/>
      <c r="CB140" s="163"/>
      <c r="CC140" s="163"/>
      <c r="CD140" s="163"/>
      <c r="CE140" s="163"/>
      <c r="CF140" s="163"/>
      <c r="CG140" s="163"/>
      <c r="CH140" s="163"/>
      <c r="CI140" s="163"/>
      <c r="CJ140" s="163"/>
      <c r="CK140" s="163"/>
      <c r="CL140" s="163"/>
      <c r="CM140" s="163"/>
      <c r="CN140" s="163"/>
      <c r="CO140" s="163"/>
      <c r="CP140" s="163"/>
      <c r="CQ140" s="163"/>
      <c r="CR140" s="163"/>
      <c r="CS140" s="163"/>
      <c r="CT140" s="163"/>
      <c r="CU140" s="163"/>
      <c r="CV140" s="163"/>
      <c r="CW140" s="163"/>
      <c r="CX140" s="163"/>
      <c r="CY140" s="163"/>
      <c r="CZ140" s="163"/>
      <c r="DA140" s="163"/>
      <c r="DB140" s="163"/>
      <c r="DC140" s="163"/>
      <c r="DD140" s="163"/>
      <c r="DE140" s="163"/>
      <c r="DF140" s="163"/>
      <c r="DG140" s="208"/>
      <c r="DH140" s="163"/>
      <c r="DI140" s="163"/>
      <c r="DJ140" s="163"/>
      <c r="DK140" s="163"/>
      <c r="DL140" s="163"/>
      <c r="DM140" s="163"/>
      <c r="DN140" s="163"/>
      <c r="DO140" s="163"/>
      <c r="DP140" s="163"/>
      <c r="DQ140" s="163"/>
      <c r="DR140" s="163"/>
      <c r="DS140" s="163"/>
      <c r="DT140" s="163"/>
      <c r="DU140" s="163"/>
      <c r="DV140" s="163"/>
      <c r="DW140" s="163"/>
      <c r="DX140" s="163"/>
      <c r="DY140" s="163"/>
      <c r="DZ140" s="163"/>
      <c r="EA140" s="163"/>
      <c r="EB140" s="163"/>
      <c r="EC140" s="163"/>
      <c r="ED140" s="163"/>
      <c r="EE140" s="163"/>
      <c r="EF140" s="163"/>
      <c r="EG140" s="163"/>
      <c r="EH140" s="160">
        <f>IF([Chambre]*1='CHAMBRES FILLES 2e ETAGE'!$A$5,1,0)</f>
        <v>0</v>
      </c>
      <c r="EI140" s="161">
        <f>IF([Occurrence2]=0,0,SUM($EH$2:EH140))</f>
        <v>0</v>
      </c>
      <c r="EJ140" s="160">
        <f>IF([Chambre]*1='CHAMBRES FILLES 2e ETAGE'!$A$11,1,0)</f>
        <v>0</v>
      </c>
      <c r="EK140" s="160">
        <f>IF([Occurrence3]=0,0,SUM($EJ$2:EJ140))</f>
        <v>0</v>
      </c>
      <c r="EL140" s="160">
        <f>IF([Chambre]*1='CHAMBRES FILLES 2e ETAGE'!$A$17,1,0)</f>
        <v>0</v>
      </c>
      <c r="EM140" s="160">
        <f>IF([Occurrence4]=0,0,SUM($EL$2:EL140))</f>
        <v>0</v>
      </c>
      <c r="EN140" s="160">
        <f>IF([Chambre]*1='CHAMBRES FILLES 2e ETAGE'!$A$23,1,0)</f>
        <v>0</v>
      </c>
      <c r="EO140" s="160">
        <f>IF([Occurrence5]=0,0,SUM($EN$2:EN140))</f>
        <v>0</v>
      </c>
      <c r="EP140" s="160">
        <f>IF([Chambre]*1='CHAMBRES FILLES 2e ETAGE'!$A$29,1,0)</f>
        <v>0</v>
      </c>
      <c r="EQ140" s="160">
        <f>IF([Occurrence6]=0,0,SUM($EP$2:EP140))</f>
        <v>0</v>
      </c>
      <c r="ER140" s="160">
        <f>IF([Chambre]*1='CHAMBRES FILLES 2e ETAGE'!$A$35,1,0)</f>
        <v>0</v>
      </c>
      <c r="ES140" s="160">
        <f>IF([Occurrence7]=0,0,SUM($ER$2:ER140))</f>
        <v>0</v>
      </c>
      <c r="ET140" s="160">
        <f>IF([Chambre]*1='CHAMBRES FILLES 2e ETAGE'!$A$41,1,0)</f>
        <v>0</v>
      </c>
      <c r="EU140" s="160">
        <f>IF([Occurrence8]=0,0,SUM($ET$2:ET140))</f>
        <v>0</v>
      </c>
      <c r="EV140" s="160">
        <f>IF([Chambre]*1='CHAMBRES FILLES 2e ETAGE'!$A$47,1,0)</f>
        <v>0</v>
      </c>
      <c r="EW140" s="160">
        <f>IF([Occurrence9]=0,0,SUM($EV$2:EV140))</f>
        <v>0</v>
      </c>
      <c r="EX140" s="160">
        <f>IF([Chambre]*1='CHAMBRES FILLES 2e ETAGE'!$A$53,1,0)</f>
        <v>0</v>
      </c>
      <c r="EY140" s="160">
        <f>IF([Occurrence10]=0,0,SUM($EX$2:EX140))</f>
        <v>0</v>
      </c>
      <c r="EZ140" s="160">
        <f>IF([Chambre]*1='CHAMBRES FILLES 2e ETAGE'!$A$59,1,0)</f>
        <v>0</v>
      </c>
      <c r="FA140" s="160">
        <f>IF([Occurrence11]=0,0,SUM($EZ$2:EZ140))</f>
        <v>0</v>
      </c>
      <c r="FB140" s="160">
        <f>IF([Chambre]*1='CHAMBRES FILLES 2e ETAGE'!$A$65,1,0)</f>
        <v>0</v>
      </c>
      <c r="FC140" s="160">
        <f>IF([Occurrence12]=0,0,SUM($FB$2:FB140))</f>
        <v>0</v>
      </c>
      <c r="FD140" s="160">
        <f>IF([Chambre]*1='CHAMBRES FILLES 2e ETAGE'!$A$71,1,0)</f>
        <v>1</v>
      </c>
      <c r="FE140" s="160">
        <f>IF([Occurrence13]=0,0,SUM($FD$2:FD140))</f>
        <v>3</v>
      </c>
      <c r="FF140" s="160">
        <f>IF([Chambre]*1='CHAMBRES FILLES 2e ETAGE'!$A$77,1,0)</f>
        <v>0</v>
      </c>
      <c r="FG140" s="160">
        <f>IF([Occurrence14]=0,0,SUM($FF$2:FF140))</f>
        <v>0</v>
      </c>
      <c r="FH140" s="160">
        <f>IF([Chambre]*1='CHAMBRES FILLES 2e ETAGE'!$A$83,1,0)</f>
        <v>0</v>
      </c>
      <c r="FI140" s="160">
        <f>IF([Occurrence15]=0,0,SUM($FH$2:FH140))</f>
        <v>0</v>
      </c>
      <c r="FJ140" s="160">
        <f>IF([Chambre]*1='CHAMBRES FILLES 2e ETAGE'!$A$89,1,0)</f>
        <v>0</v>
      </c>
      <c r="FK140" s="160">
        <f>IF([Occurrence16]=0,0,SUM($FJ$2:FJ140))</f>
        <v>0</v>
      </c>
      <c r="FL140" s="160">
        <f>IF([Chambre]*1='CHAMBRES FILLES 2e ETAGE'!$A$95,1,0)</f>
        <v>0</v>
      </c>
      <c r="FM140" s="160">
        <f>IF([Occurrence17]=0,0,SUM($FL$2:FL140))</f>
        <v>0</v>
      </c>
      <c r="FN140" s="160">
        <f>IF([Chambre2]*1='CHAMBRES FILLES 1e ETAGE'!$A$5,1,0)</f>
        <v>0</v>
      </c>
      <c r="FO140" s="160">
        <f>IF([Occurrence18]=0,0,SUM($FN$2:FN140))</f>
        <v>0</v>
      </c>
      <c r="FP140" s="160">
        <f>IF([Chambre2]*1='CHAMBRES FILLES 1e ETAGE'!$A$11,1,0)</f>
        <v>0</v>
      </c>
      <c r="FQ140" s="160">
        <f>IF([Occurrence19]=0,0,SUM($FP$2:FP140))</f>
        <v>0</v>
      </c>
      <c r="FR140" s="160">
        <f>IF([Chambre2]*1='CHAMBRES FILLES 1e ETAGE'!$A$17,1,0)</f>
        <v>0</v>
      </c>
      <c r="FS140" s="160">
        <f>IF([Occurrence20]=0,0,SUM($FR$2:FR140))</f>
        <v>0</v>
      </c>
      <c r="FT140" s="160">
        <f>IF([Chambre2]*1='CHAMBRES FILLES 1e ETAGE'!$A$23,1,0)</f>
        <v>0</v>
      </c>
      <c r="FU140" s="160">
        <f>IF([Occurrence21]=0,0,SUM($FT$2:FT140))</f>
        <v>0</v>
      </c>
      <c r="FV140" s="160">
        <f>IF([Chambre2]*1='CHAMBRES FILLES 1e ETAGE'!$A$29,1,0)</f>
        <v>0</v>
      </c>
      <c r="FW140" s="160">
        <f>IF([Occurrence22]=0,0,SUM($FV$2:FV140))</f>
        <v>0</v>
      </c>
      <c r="FX140" s="160">
        <f>IF([Chambre2]*1='CHAMBRES FILLES 1e ETAGE'!$A$35,1,0)</f>
        <v>0</v>
      </c>
      <c r="FY140" s="160">
        <f>IF([Occurrence23]=0,0,SUM($FX$2:FX140))</f>
        <v>0</v>
      </c>
      <c r="FZ140" s="160">
        <f>IF([Chambre2]*1='CHAMBRES FILLES 1e ETAGE'!$A$41,1,0)</f>
        <v>0</v>
      </c>
      <c r="GA140" s="160">
        <f>IF([Occurrence24]=0,0,SUM($FZ$2:FZ140))</f>
        <v>0</v>
      </c>
      <c r="GB140" s="160">
        <f>IF([Chambre2]*1='CHAMBRES FILLES 1e ETAGE'!$A$47,1,0)</f>
        <v>0</v>
      </c>
      <c r="GC140" s="160">
        <f>IF([Occurrence25]=0,0,SUM($GB$2:GB140))</f>
        <v>0</v>
      </c>
      <c r="GD140" s="160">
        <f>IF([Chambre2]*1='CHAMBRES FILLES 1e ETAGE'!$A$53,1,0)</f>
        <v>0</v>
      </c>
      <c r="GE140" s="160">
        <f>IF([Occurrence26]=0,0,SUM($GD$2:GD140))</f>
        <v>0</v>
      </c>
      <c r="GF140" s="160">
        <f>IF([chambre4]*1='CHAMBRES GARCONS 1e ETAGE'!$A$5,1,0)</f>
        <v>0</v>
      </c>
      <c r="GG140" s="160">
        <f>IF([Occurrence27]=0,0,SUM($GF$2:GF140))</f>
        <v>0</v>
      </c>
      <c r="GH140" s="160">
        <f>IF([chambre4]*1='CHAMBRES GARCONS 1e ETAGE'!$A$11,1,0)</f>
        <v>0</v>
      </c>
      <c r="GI140" s="160">
        <f>IF([Occurrence28]=0,0,SUM($GH$2:GH140))</f>
        <v>0</v>
      </c>
      <c r="GJ140" s="160">
        <f>IF([chambre4]*1='CHAMBRES GARCONS 1e ETAGE'!$A$17,1,0)</f>
        <v>0</v>
      </c>
      <c r="GK140" s="160">
        <f>IF([Occurrence29]=0,0,SUM($GJ$2:GJ140))</f>
        <v>0</v>
      </c>
      <c r="GL140" s="160">
        <f>IF([chambre4]*1='CHAMBRES GARCONS 1e ETAGE'!$A$23,1,0)</f>
        <v>0</v>
      </c>
      <c r="GM140" s="160">
        <f>IF([Occurrence30]=0,0,SUM($GL$2:GL140))</f>
        <v>0</v>
      </c>
      <c r="GN140" s="160">
        <f>IF([chambre4]*1='CHAMBRES GARCONS 1e ETAGE'!$A$29,1,0)</f>
        <v>0</v>
      </c>
      <c r="GO140" s="160">
        <f>IF([Occurrence31]=0,0,SUM($GN$2:GN140))</f>
        <v>0</v>
      </c>
      <c r="GP140" s="160">
        <f>IF([chambre4]*1='CHAMBRES GARCONS 1e ETAGE'!$A$35,1,0)</f>
        <v>0</v>
      </c>
      <c r="GQ140" s="160">
        <f>IF([Occurrence32]=0,0,SUM($GP$2:GP140))</f>
        <v>0</v>
      </c>
      <c r="GR140" s="160">
        <f>IF([chambre3]*1='CHAMBRES GARCONS RDC'!$A$5,1,0)</f>
        <v>0</v>
      </c>
      <c r="GS140" s="160">
        <f>IF([Occurrence33]=0,0,SUM($GR$2:GR140))</f>
        <v>0</v>
      </c>
      <c r="GT140" s="160">
        <f>IF([chambre3]*1='CHAMBRES GARCONS RDC'!$A$11,1,0)</f>
        <v>0</v>
      </c>
      <c r="GU140" s="160">
        <f>IF([Occurrence34]=0,0,SUM($GT$2:GT140))</f>
        <v>0</v>
      </c>
      <c r="GV140" s="160">
        <f>IF([chambre3]*1='CHAMBRES GARCONS RDC'!$A$17,1,0)</f>
        <v>0</v>
      </c>
      <c r="GW140" s="160">
        <f>IF([Occurrence35]=0,0,SUM($GV$2:GV140))</f>
        <v>0</v>
      </c>
      <c r="GX140" s="160">
        <f>IF([chambre3]*1='CHAMBRES GARCONS RDC'!$A$23,1,0)</f>
        <v>0</v>
      </c>
      <c r="GY140" s="160">
        <f>IF([Occurrence36]=0,0,SUM($GX$2:GX140))</f>
        <v>0</v>
      </c>
      <c r="GZ140" s="160">
        <f>IF([chambre3]*1='CHAMBRES GARCONS RDC'!$A$29,1,0)</f>
        <v>0</v>
      </c>
      <c r="HA140" s="160">
        <f>IF([Occurrence37]=0,0,SUM($GZ$2:GZ140))</f>
        <v>0</v>
      </c>
      <c r="HB140" s="160">
        <f>IF([chambre3]*1='CHAMBRES GARCONS RDC'!$A$35,1,0)</f>
        <v>0</v>
      </c>
      <c r="HC140" s="160">
        <f>IF([Occurrence38]=0,0,SUM($HB$2:HB140))</f>
        <v>0</v>
      </c>
      <c r="HD140" s="160">
        <f>IF([chambre3]*1='CHAMBRES GARCONS RDC'!$A$41,1,0)</f>
        <v>0</v>
      </c>
      <c r="HE140" s="160">
        <f>IF([Occurrence39]=0,0,SUM($HD$2:HD140))</f>
        <v>0</v>
      </c>
      <c r="HF140" s="160">
        <f>IF([chambre3]*1='CHAMBRES GARCONS RDC'!$A$47,1,0)</f>
        <v>0</v>
      </c>
      <c r="HG140" s="160">
        <f>IF([Occurrence40]=0,0,SUM($HF$2:HF140))</f>
        <v>0</v>
      </c>
      <c r="HH140" s="160">
        <f>IF([chambre3]*1='CHAMBRES GARCONS RDC'!$A$53,1,0)</f>
        <v>0</v>
      </c>
      <c r="HI140" s="160">
        <f>IF([Occurrence41]=0,0,SUM($HH$2:HH140))</f>
        <v>0</v>
      </c>
      <c r="HJ140" s="160">
        <f>IF([chambre3]*1='CHAMBRES GARCONS RDC'!$A$59,1,0)</f>
        <v>0</v>
      </c>
      <c r="HK140" s="160">
        <f>IF([Occurrence42]=0,0,SUM($HJ$2:HJ140))</f>
        <v>0</v>
      </c>
      <c r="HL140" s="160">
        <f>IF([chambre3]*1='CHAMBRES GARCONS RDC'!$A$65,1,0)</f>
        <v>0</v>
      </c>
      <c r="HM140" s="160">
        <f>IF([Occurrence43]=0,0,SUM($HL$2:HL140))</f>
        <v>0</v>
      </c>
      <c r="HN140" s="160">
        <f>IF([chambre3]*1='CHAMBRES GARCONS RDC'!$A$71,1,0)</f>
        <v>0</v>
      </c>
      <c r="HO140" s="160">
        <f>IF([Occurrence44]=0,0,SUM($HN$2:HN140))</f>
        <v>0</v>
      </c>
      <c r="HP140" s="160">
        <f>IF([chambre3]*1='CHAMBRES GARCONS RDC'!$A$77,1,0)</f>
        <v>0</v>
      </c>
      <c r="HQ140" s="160">
        <f>IF([Occurrence45]=0,0,SUM($HP$2:HP140))</f>
        <v>0</v>
      </c>
      <c r="HR140" s="160">
        <f>IF([chambre3]*1='CHAMBRES GARCONS RDC'!$A$83,1,0)</f>
        <v>0</v>
      </c>
      <c r="HS140" s="160">
        <f>IF([Occurrence46]=0,0,SUM($HR$2:HR140))</f>
        <v>0</v>
      </c>
      <c r="HT140" s="160">
        <f>IF([chambre3]*1='CHAMBRES GARCONS RDC'!$A$89,1,0)</f>
        <v>0</v>
      </c>
      <c r="HU140" s="160">
        <f>IF([Occurrence47]=0,0,SUM($HT$2:HT140))</f>
        <v>0</v>
      </c>
      <c r="HV140" s="160">
        <f>IF([chambre3]*1='CHAMBRES GARCONS RDC'!$A$95,1,0)</f>
        <v>0</v>
      </c>
      <c r="HW140" s="160">
        <f>IF([Occurrence48]=0,0,SUM($HV$2:HV140))</f>
        <v>0</v>
      </c>
      <c r="HX140" s="160"/>
      <c r="HY140" s="160"/>
      <c r="HZ140" s="160">
        <f>IF([Classe]='Liste élève par classes'!$B$5,1,0)</f>
        <v>0</v>
      </c>
      <c r="IA140" s="160">
        <f>IF([Occurrence]=0,0,SUM($HZ$2:HZ140))</f>
        <v>0</v>
      </c>
      <c r="IB14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179</v>
      </c>
      <c r="IC140" s="208"/>
    </row>
    <row r="141" spans="1:237">
      <c r="A141" t="s">
        <v>487</v>
      </c>
      <c r="B141" t="s">
        <v>383</v>
      </c>
      <c r="C141" s="158">
        <v>36218</v>
      </c>
      <c r="D141" s="62">
        <f t="shared" ca="1" si="2"/>
        <v>18</v>
      </c>
      <c r="E141" t="s">
        <v>3</v>
      </c>
      <c r="F141" s="165" t="s">
        <v>46</v>
      </c>
      <c r="G141" t="s">
        <v>45</v>
      </c>
      <c r="H141" s="160"/>
      <c r="I141" s="62"/>
      <c r="J141" s="62" t="s">
        <v>244</v>
      </c>
      <c r="K141" s="62"/>
      <c r="L141" s="61"/>
      <c r="M141" s="62"/>
      <c r="N141" s="62" t="s">
        <v>244</v>
      </c>
      <c r="O141" s="62" t="s">
        <v>244</v>
      </c>
      <c r="P141" s="62" t="s">
        <v>244</v>
      </c>
      <c r="Q141" s="62" t="s">
        <v>244</v>
      </c>
      <c r="R141" s="62" t="s">
        <v>244</v>
      </c>
      <c r="S141" s="62"/>
      <c r="T141" s="62" t="s">
        <v>244</v>
      </c>
      <c r="U141" s="61"/>
      <c r="V141" s="62" t="s">
        <v>244</v>
      </c>
      <c r="W141" s="62" t="s">
        <v>244</v>
      </c>
      <c r="X141" s="62" t="s">
        <v>244</v>
      </c>
      <c r="Y141" s="62" t="s">
        <v>244</v>
      </c>
      <c r="Z141" s="62" t="s">
        <v>244</v>
      </c>
      <c r="AA141" s="62" t="s">
        <v>244</v>
      </c>
      <c r="AB141" s="62" t="s">
        <v>244</v>
      </c>
      <c r="AC141" s="62" t="s">
        <v>244</v>
      </c>
      <c r="AD141" s="62" t="s">
        <v>244</v>
      </c>
      <c r="AE141" s="62" t="s">
        <v>244</v>
      </c>
      <c r="AF141" s="166" t="s">
        <v>244</v>
      </c>
      <c r="AG141" s="166" t="s">
        <v>244</v>
      </c>
      <c r="AH141" s="166" t="s">
        <v>244</v>
      </c>
      <c r="AI141" s="166"/>
      <c r="AJ141" s="166"/>
      <c r="AK141" s="166"/>
      <c r="AL141" s="166"/>
      <c r="AM141" s="166"/>
      <c r="AN141" s="166"/>
      <c r="AO141" s="166"/>
      <c r="AP141" s="166"/>
      <c r="AQ141" s="166"/>
      <c r="AR141" s="166"/>
      <c r="AS141" s="166"/>
      <c r="AT141" s="166"/>
      <c r="AU141" s="166"/>
      <c r="AV141" s="166"/>
      <c r="AW141" s="166"/>
      <c r="AX141" s="166"/>
      <c r="AY141" s="166"/>
      <c r="AZ141" s="166"/>
      <c r="BA141" s="166"/>
      <c r="BB141" s="166"/>
      <c r="BC141" s="163" t="b">
        <v>0</v>
      </c>
      <c r="BD141" s="163" t="b">
        <v>0</v>
      </c>
      <c r="BE141" s="163" t="b">
        <v>0</v>
      </c>
      <c r="BF141" s="163" t="b">
        <v>0</v>
      </c>
      <c r="BG141" s="163" t="b">
        <v>0</v>
      </c>
      <c r="BH141" s="163" t="b">
        <v>0</v>
      </c>
      <c r="BI141" s="163" t="b">
        <v>1</v>
      </c>
      <c r="BJ141" s="163" t="b">
        <v>0</v>
      </c>
      <c r="BK141" s="163" t="b">
        <v>0</v>
      </c>
      <c r="BL141" s="163" t="b">
        <v>0</v>
      </c>
      <c r="BM141" s="166"/>
      <c r="BN141" s="166"/>
      <c r="BO141" s="166"/>
      <c r="BP141" s="166"/>
      <c r="BQ141" s="166"/>
      <c r="BR141" s="166"/>
      <c r="BS141" s="166"/>
      <c r="BT141" s="166"/>
      <c r="BU141" s="166"/>
      <c r="BV141" s="166"/>
      <c r="BW141" s="166"/>
      <c r="BX141" s="166"/>
      <c r="BY141" s="166"/>
      <c r="BZ141" s="166"/>
      <c r="CA141" s="166"/>
      <c r="CB141" s="166"/>
      <c r="CC141" s="166"/>
      <c r="CD141" s="166"/>
      <c r="CE141" s="166"/>
      <c r="CF141" s="166"/>
      <c r="CG141" s="166"/>
      <c r="CH141" s="166"/>
      <c r="CI141" s="166"/>
      <c r="CJ141" s="166"/>
      <c r="CK141" s="166"/>
      <c r="CL141" s="166"/>
      <c r="CM141" s="166"/>
      <c r="CN141" s="166"/>
      <c r="CO141" s="166"/>
      <c r="CP141" s="166"/>
      <c r="CQ141" s="166"/>
      <c r="CR141" s="166"/>
      <c r="CS141" s="166"/>
      <c r="CT141" s="166"/>
      <c r="CU141" s="166"/>
      <c r="CV141" s="166"/>
      <c r="CW141" s="166"/>
      <c r="CX141" s="166"/>
      <c r="CY141" s="166"/>
      <c r="CZ141" s="166"/>
      <c r="DA141" s="166"/>
      <c r="DB141" s="166"/>
      <c r="DC141" s="166"/>
      <c r="DD141" s="166"/>
      <c r="DE141" s="166"/>
      <c r="DF141" s="166"/>
      <c r="DG141" s="166"/>
      <c r="DH141" s="166"/>
      <c r="DI141" s="166"/>
      <c r="DJ141" s="166"/>
      <c r="DK141" s="166"/>
      <c r="DL141" s="166"/>
      <c r="DM141" s="166"/>
      <c r="DN141" s="166"/>
      <c r="DO141" s="166"/>
      <c r="DP141" s="166"/>
      <c r="DQ141" s="166"/>
      <c r="DR141" s="166"/>
      <c r="DS141" s="166"/>
      <c r="DT141" s="166"/>
      <c r="DU141" s="166"/>
      <c r="DV141" s="166"/>
      <c r="DW141" s="166"/>
      <c r="DX141" s="166"/>
      <c r="DY141" s="166"/>
      <c r="DZ141" s="166"/>
      <c r="EA141" s="166"/>
      <c r="EB141" s="166"/>
      <c r="EC141" s="166"/>
      <c r="ED141" s="166"/>
      <c r="EE141" s="166"/>
      <c r="EF141" s="166"/>
      <c r="EG141" s="166"/>
      <c r="EH141" s="160">
        <f>IF([Chambre]*1='CHAMBRES FILLES 2e ETAGE'!$A$5,1,0)</f>
        <v>0</v>
      </c>
      <c r="EI141" s="161">
        <f>IF([Occurrence2]=0,0,SUM($EH$2:EH141))</f>
        <v>0</v>
      </c>
      <c r="EJ141" s="160">
        <f>IF([Chambre]*1='CHAMBRES FILLES 2e ETAGE'!$A$11,1,0)</f>
        <v>0</v>
      </c>
      <c r="EK141" s="160">
        <f>IF([Occurrence3]=0,0,SUM($EJ$2:EJ141))</f>
        <v>0</v>
      </c>
      <c r="EL141" s="160">
        <f>IF([Chambre]*1='CHAMBRES FILLES 2e ETAGE'!$A$17,1,0)</f>
        <v>0</v>
      </c>
      <c r="EM141" s="160">
        <f>IF([Occurrence4]=0,0,SUM($EL$2:EL141))</f>
        <v>0</v>
      </c>
      <c r="EN141" s="160">
        <f>IF([Chambre]*1='CHAMBRES FILLES 2e ETAGE'!$A$23,1,0)</f>
        <v>0</v>
      </c>
      <c r="EO141" s="160">
        <f>IF([Occurrence5]=0,0,SUM($EN$2:EN141))</f>
        <v>0</v>
      </c>
      <c r="EP141" s="160">
        <f>IF([Chambre]*1='CHAMBRES FILLES 2e ETAGE'!$A$29,1,0)</f>
        <v>0</v>
      </c>
      <c r="EQ141" s="160">
        <f>IF([Occurrence6]=0,0,SUM($EP$2:EP141))</f>
        <v>0</v>
      </c>
      <c r="ER141" s="160">
        <f>IF([Chambre]*1='CHAMBRES FILLES 2e ETAGE'!$A$35,1,0)</f>
        <v>0</v>
      </c>
      <c r="ES141" s="160">
        <f>IF([Occurrence7]=0,0,SUM($ER$2:ER141))</f>
        <v>0</v>
      </c>
      <c r="ET141" s="160">
        <f>IF([Chambre]*1='CHAMBRES FILLES 2e ETAGE'!$A$41,1,0)</f>
        <v>0</v>
      </c>
      <c r="EU141" s="160">
        <f>IF([Occurrence8]=0,0,SUM($ET$2:ET141))</f>
        <v>0</v>
      </c>
      <c r="EV141" s="160">
        <f>IF([Chambre]*1='CHAMBRES FILLES 2e ETAGE'!$A$47,1,0)</f>
        <v>0</v>
      </c>
      <c r="EW141" s="160">
        <f>IF([Occurrence9]=0,0,SUM($EV$2:EV141))</f>
        <v>0</v>
      </c>
      <c r="EX141" s="160">
        <f>IF([Chambre]*1='CHAMBRES FILLES 2e ETAGE'!$A$53,1,0)</f>
        <v>0</v>
      </c>
      <c r="EY141" s="160">
        <f>IF([Occurrence10]=0,0,SUM($EX$2:EX141))</f>
        <v>0</v>
      </c>
      <c r="EZ141" s="160">
        <f>IF([Chambre]*1='CHAMBRES FILLES 2e ETAGE'!$A$59,1,0)</f>
        <v>0</v>
      </c>
      <c r="FA141" s="160">
        <f>IF([Occurrence11]=0,0,SUM($EZ$2:EZ141))</f>
        <v>0</v>
      </c>
      <c r="FB141" s="160">
        <f>IF([Chambre]*1='CHAMBRES FILLES 2e ETAGE'!$A$65,1,0)</f>
        <v>0</v>
      </c>
      <c r="FC141" s="160">
        <f>IF([Occurrence12]=0,0,SUM($FB$2:FB141))</f>
        <v>0</v>
      </c>
      <c r="FD141" s="160">
        <f>IF([Chambre]*1='CHAMBRES FILLES 2e ETAGE'!$A$71,1,0)</f>
        <v>0</v>
      </c>
      <c r="FE141" s="160">
        <f>IF([Occurrence13]=0,0,SUM($FD$2:FD141))</f>
        <v>0</v>
      </c>
      <c r="FF141" s="160">
        <f>IF([Chambre]*1='CHAMBRES FILLES 2e ETAGE'!$A$77,1,0)</f>
        <v>0</v>
      </c>
      <c r="FG141" s="160">
        <f>IF([Occurrence14]=0,0,SUM($FF$2:FF141))</f>
        <v>0</v>
      </c>
      <c r="FH141" s="160">
        <f>IF([Chambre]*1='CHAMBRES FILLES 2e ETAGE'!$A$83,1,0)</f>
        <v>0</v>
      </c>
      <c r="FI141" s="160">
        <f>IF([Occurrence15]=0,0,SUM($FH$2:FH141))</f>
        <v>0</v>
      </c>
      <c r="FJ141" s="160">
        <f>IF([Chambre]*1='CHAMBRES FILLES 2e ETAGE'!$A$89,1,0)</f>
        <v>0</v>
      </c>
      <c r="FK141" s="160">
        <f>IF([Occurrence16]=0,0,SUM($FJ$2:FJ141))</f>
        <v>0</v>
      </c>
      <c r="FL141" s="160">
        <f>IF([Chambre]*1='CHAMBRES FILLES 2e ETAGE'!$A$95,1,0)</f>
        <v>0</v>
      </c>
      <c r="FM141" s="160">
        <f>IF([Occurrence17]=0,0,SUM($FL$2:FL141))</f>
        <v>0</v>
      </c>
      <c r="FN141" s="160">
        <f>IF([Chambre2]*1='CHAMBRES FILLES 1e ETAGE'!$A$5,1,0)</f>
        <v>0</v>
      </c>
      <c r="FO141" s="160">
        <f>IF([Occurrence18]=0,0,SUM($FN$2:FN141))</f>
        <v>0</v>
      </c>
      <c r="FP141" s="160">
        <f>IF([Chambre2]*1='CHAMBRES FILLES 1e ETAGE'!$A$11,1,0)</f>
        <v>0</v>
      </c>
      <c r="FQ141" s="160">
        <f>IF([Occurrence19]=0,0,SUM($FP$2:FP141))</f>
        <v>0</v>
      </c>
      <c r="FR141" s="160">
        <f>IF([Chambre2]*1='CHAMBRES FILLES 1e ETAGE'!$A$17,1,0)</f>
        <v>0</v>
      </c>
      <c r="FS141" s="160">
        <f>IF([Occurrence20]=0,0,SUM($FR$2:FR141))</f>
        <v>0</v>
      </c>
      <c r="FT141" s="160">
        <f>IF([Chambre2]*1='CHAMBRES FILLES 1e ETAGE'!$A$23,1,0)</f>
        <v>0</v>
      </c>
      <c r="FU141" s="160">
        <f>IF([Occurrence21]=0,0,SUM($FT$2:FT141))</f>
        <v>0</v>
      </c>
      <c r="FV141" s="160">
        <f>IF([Chambre2]*1='CHAMBRES FILLES 1e ETAGE'!$A$29,1,0)</f>
        <v>0</v>
      </c>
      <c r="FW141" s="160">
        <f>IF([Occurrence22]=0,0,SUM($FV$2:FV141))</f>
        <v>0</v>
      </c>
      <c r="FX141" s="160">
        <f>IF([Chambre2]*1='CHAMBRES FILLES 1e ETAGE'!$A$35,1,0)</f>
        <v>0</v>
      </c>
      <c r="FY141" s="160">
        <f>IF([Occurrence23]=0,0,SUM($FX$2:FX141))</f>
        <v>0</v>
      </c>
      <c r="FZ141" s="160">
        <f>IF([Chambre2]*1='CHAMBRES FILLES 1e ETAGE'!$A$41,1,0)</f>
        <v>0</v>
      </c>
      <c r="GA141" s="160">
        <f>IF([Occurrence24]=0,0,SUM($FZ$2:FZ141))</f>
        <v>0</v>
      </c>
      <c r="GB141" s="160">
        <f>IF([Chambre2]*1='CHAMBRES FILLES 1e ETAGE'!$A$47,1,0)</f>
        <v>0</v>
      </c>
      <c r="GC141" s="160">
        <f>IF([Occurrence25]=0,0,SUM($GB$2:GB141))</f>
        <v>0</v>
      </c>
      <c r="GD141" s="160">
        <f>IF([Chambre2]*1='CHAMBRES FILLES 1e ETAGE'!$A$53,1,0)</f>
        <v>0</v>
      </c>
      <c r="GE141" s="160">
        <f>IF([Occurrence26]=0,0,SUM($GD$2:GD141))</f>
        <v>0</v>
      </c>
      <c r="GF141" s="160">
        <f>IF([chambre4]*1='CHAMBRES GARCONS 1e ETAGE'!$A$5,1,0)</f>
        <v>0</v>
      </c>
      <c r="GG141" s="160">
        <f>IF([Occurrence27]=0,0,SUM($GF$2:GF141))</f>
        <v>0</v>
      </c>
      <c r="GH141" s="160">
        <f>IF([chambre4]*1='CHAMBRES GARCONS 1e ETAGE'!$A$11,1,0)</f>
        <v>0</v>
      </c>
      <c r="GI141" s="160">
        <f>IF([Occurrence28]=0,0,SUM($GH$2:GH141))</f>
        <v>0</v>
      </c>
      <c r="GJ141" s="160">
        <f>IF([chambre4]*1='CHAMBRES GARCONS 1e ETAGE'!$A$17,1,0)</f>
        <v>0</v>
      </c>
      <c r="GK141" s="160">
        <f>IF([Occurrence29]=0,0,SUM($GJ$2:GJ141))</f>
        <v>0</v>
      </c>
      <c r="GL141" s="160">
        <f>IF([chambre4]*1='CHAMBRES GARCONS 1e ETAGE'!$A$23,1,0)</f>
        <v>0</v>
      </c>
      <c r="GM141" s="160">
        <f>IF([Occurrence30]=0,0,SUM($GL$2:GL141))</f>
        <v>0</v>
      </c>
      <c r="GN141" s="160">
        <f>IF([chambre4]*1='CHAMBRES GARCONS 1e ETAGE'!$A$29,1,0)</f>
        <v>0</v>
      </c>
      <c r="GO141" s="160">
        <f>IF([Occurrence31]=0,0,SUM($GN$2:GN141))</f>
        <v>0</v>
      </c>
      <c r="GP141" s="160">
        <f>IF([chambre4]*1='CHAMBRES GARCONS 1e ETAGE'!$A$35,1,0)</f>
        <v>0</v>
      </c>
      <c r="GQ141" s="160">
        <f>IF([Occurrence32]=0,0,SUM($GP$2:GP141))</f>
        <v>0</v>
      </c>
      <c r="GR141" s="160">
        <f>IF([chambre3]*1='CHAMBRES GARCONS RDC'!$A$5,1,0)</f>
        <v>0</v>
      </c>
      <c r="GS141" s="160">
        <f>IF([Occurrence33]=0,0,SUM($GR$2:GR141))</f>
        <v>0</v>
      </c>
      <c r="GT141" s="160">
        <f>IF([chambre3]*1='CHAMBRES GARCONS RDC'!$A$11,1,0)</f>
        <v>0</v>
      </c>
      <c r="GU141" s="160">
        <f>IF([Occurrence34]=0,0,SUM($GT$2:GT141))</f>
        <v>0</v>
      </c>
      <c r="GV141" s="160">
        <f>IF([chambre3]*1='CHAMBRES GARCONS RDC'!$A$17,1,0)</f>
        <v>0</v>
      </c>
      <c r="GW141" s="160">
        <f>IF([Occurrence35]=0,0,SUM($GV$2:GV141))</f>
        <v>0</v>
      </c>
      <c r="GX141" s="160">
        <f>IF([chambre3]*1='CHAMBRES GARCONS RDC'!$A$23,1,0)</f>
        <v>0</v>
      </c>
      <c r="GY141" s="160">
        <f>IF([Occurrence36]=0,0,SUM($GX$2:GX141))</f>
        <v>0</v>
      </c>
      <c r="GZ141" s="160">
        <f>IF([chambre3]*1='CHAMBRES GARCONS RDC'!$A$29,1,0)</f>
        <v>0</v>
      </c>
      <c r="HA141" s="160">
        <f>IF([Occurrence37]=0,0,SUM($GZ$2:GZ141))</f>
        <v>0</v>
      </c>
      <c r="HB141" s="160">
        <f>IF([chambre3]*1='CHAMBRES GARCONS RDC'!$A$35,1,0)</f>
        <v>0</v>
      </c>
      <c r="HC141" s="160">
        <f>IF([Occurrence38]=0,0,SUM($HB$2:HB141))</f>
        <v>0</v>
      </c>
      <c r="HD141" s="160">
        <f>IF([chambre3]*1='CHAMBRES GARCONS RDC'!$A$41,1,0)</f>
        <v>0</v>
      </c>
      <c r="HE141" s="160">
        <f>IF([Occurrence39]=0,0,SUM($HD$2:HD141))</f>
        <v>0</v>
      </c>
      <c r="HF141" s="160">
        <f>IF([chambre3]*1='CHAMBRES GARCONS RDC'!$A$47,1,0)</f>
        <v>0</v>
      </c>
      <c r="HG141" s="160">
        <f>IF([Occurrence40]=0,0,SUM($HF$2:HF141))</f>
        <v>0</v>
      </c>
      <c r="HH141" s="160">
        <f>IF([chambre3]*1='CHAMBRES GARCONS RDC'!$A$53,1,0)</f>
        <v>0</v>
      </c>
      <c r="HI141" s="160">
        <f>IF([Occurrence41]=0,0,SUM($HH$2:HH141))</f>
        <v>0</v>
      </c>
      <c r="HJ141" s="160">
        <f>IF([chambre3]*1='CHAMBRES GARCONS RDC'!$A$59,1,0)</f>
        <v>0</v>
      </c>
      <c r="HK141" s="160">
        <f>IF([Occurrence42]=0,0,SUM($HJ$2:HJ141))</f>
        <v>0</v>
      </c>
      <c r="HL141" s="160">
        <f>IF([chambre3]*1='CHAMBRES GARCONS RDC'!$A$65,1,0)</f>
        <v>0</v>
      </c>
      <c r="HM141" s="160">
        <f>IF([Occurrence43]=0,0,SUM($HL$2:HL141))</f>
        <v>0</v>
      </c>
      <c r="HN141" s="160">
        <f>IF([chambre3]*1='CHAMBRES GARCONS RDC'!$A$71,1,0)</f>
        <v>0</v>
      </c>
      <c r="HO141" s="160">
        <f>IF([Occurrence44]=0,0,SUM($HN$2:HN141))</f>
        <v>0</v>
      </c>
      <c r="HP141" s="160">
        <f>IF([chambre3]*1='CHAMBRES GARCONS RDC'!$A$77,1,0)</f>
        <v>0</v>
      </c>
      <c r="HQ141" s="160">
        <f>IF([Occurrence45]=0,0,SUM($HP$2:HP141))</f>
        <v>0</v>
      </c>
      <c r="HR141" s="160">
        <f>IF([chambre3]*1='CHAMBRES GARCONS RDC'!$A$83,1,0)</f>
        <v>0</v>
      </c>
      <c r="HS141" s="160">
        <f>IF([Occurrence46]=0,0,SUM($HR$2:HR141))</f>
        <v>0</v>
      </c>
      <c r="HT141" s="160">
        <f>IF([chambre3]*1='CHAMBRES GARCONS RDC'!$A$89,1,0)</f>
        <v>0</v>
      </c>
      <c r="HU141" s="160">
        <f>IF([Occurrence47]=0,0,SUM($HT$2:HT141))</f>
        <v>0</v>
      </c>
      <c r="HV141" s="160">
        <f>IF([chambre3]*1='CHAMBRES GARCONS RDC'!$A$95,1,0)</f>
        <v>0</v>
      </c>
      <c r="HW141" s="160">
        <f>IF([Occurrence48]=0,0,SUM($HV$2:HV141))</f>
        <v>0</v>
      </c>
      <c r="HX141" s="160"/>
      <c r="HY141" s="160"/>
      <c r="HZ141" s="160">
        <f>IF([Classe]='Liste élève par classes'!$B$5,1,0)</f>
        <v>0</v>
      </c>
      <c r="IA141" s="160">
        <f>IF([Occurrence]=0,0,SUM($HZ$2:HZ141))</f>
        <v>0</v>
      </c>
      <c r="IB14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41" s="208"/>
    </row>
    <row r="142" spans="1:237">
      <c r="A142" t="s">
        <v>488</v>
      </c>
      <c r="B142" t="s">
        <v>489</v>
      </c>
      <c r="C142" s="158">
        <v>37518</v>
      </c>
      <c r="D142" s="62">
        <f t="shared" ca="1" si="2"/>
        <v>15</v>
      </c>
      <c r="E142" t="s">
        <v>5</v>
      </c>
      <c r="F142" s="159" t="s">
        <v>50</v>
      </c>
      <c r="G142" t="s">
        <v>40</v>
      </c>
      <c r="H142" s="160"/>
      <c r="I142" s="62"/>
      <c r="J142" s="62"/>
      <c r="K142" s="62"/>
      <c r="L142" s="61"/>
      <c r="M142">
        <v>255</v>
      </c>
      <c r="N142" s="62"/>
      <c r="O142" s="62"/>
      <c r="P142" s="62"/>
      <c r="Q142" s="62"/>
      <c r="R142" s="62"/>
      <c r="S142" s="191"/>
      <c r="T142" s="62"/>
      <c r="U142" s="61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163"/>
      <c r="AG142" s="163"/>
      <c r="AH142" s="163"/>
      <c r="AI142" s="163"/>
      <c r="AJ142" s="163"/>
      <c r="AK142" s="163"/>
      <c r="AL142" s="163"/>
      <c r="AM142" s="163"/>
      <c r="AN142" s="163"/>
      <c r="AO142" s="163"/>
      <c r="AP142" s="163"/>
      <c r="AQ142" s="163"/>
      <c r="AR142" s="163"/>
      <c r="AS142" s="163"/>
      <c r="AT142" s="163"/>
      <c r="AU142" s="163"/>
      <c r="AV142" s="163"/>
      <c r="AW142" s="163"/>
      <c r="AX142" s="163"/>
      <c r="AY142" s="163"/>
      <c r="AZ142" s="163"/>
      <c r="BA142" s="163"/>
      <c r="BB142" s="163"/>
      <c r="BC142" s="163" t="b">
        <v>0</v>
      </c>
      <c r="BD142" s="163" t="b">
        <v>1</v>
      </c>
      <c r="BE142" s="163" t="b">
        <v>1</v>
      </c>
      <c r="BF142" s="163" t="b">
        <v>0</v>
      </c>
      <c r="BG142" s="164" t="b">
        <v>0</v>
      </c>
      <c r="BH142" s="163" t="b">
        <v>1</v>
      </c>
      <c r="BI142" s="163"/>
      <c r="BJ142" s="163"/>
      <c r="BK142" s="163"/>
      <c r="BL142" s="163"/>
      <c r="BM142" s="163"/>
      <c r="BN142" s="163"/>
      <c r="BO142" s="163"/>
      <c r="BP142" s="163"/>
      <c r="BQ142" s="163" t="b">
        <v>0</v>
      </c>
      <c r="BR142" s="163"/>
      <c r="BS142" s="163"/>
      <c r="BT142" s="163"/>
      <c r="BU142" s="163"/>
      <c r="BV142" s="163"/>
      <c r="BW142" s="163"/>
      <c r="BX142" s="163"/>
      <c r="BY142" s="163"/>
      <c r="BZ142" s="163"/>
      <c r="CA142" s="163"/>
      <c r="CB142" s="163"/>
      <c r="CC142" s="163"/>
      <c r="CD142" s="163"/>
      <c r="CE142" s="163"/>
      <c r="CF142" s="163"/>
      <c r="CG142" s="163"/>
      <c r="CH142" s="163"/>
      <c r="CI142" s="163"/>
      <c r="CJ142" s="163"/>
      <c r="CK142" s="163"/>
      <c r="CL142" s="163"/>
      <c r="CM142" s="163"/>
      <c r="CN142" s="163"/>
      <c r="CO142" s="163"/>
      <c r="CP142" s="163"/>
      <c r="CQ142" s="163"/>
      <c r="CR142" s="163"/>
      <c r="CS142" s="163"/>
      <c r="CT142" s="163"/>
      <c r="CU142" s="163"/>
      <c r="CV142" s="163"/>
      <c r="CW142" s="163"/>
      <c r="CX142" s="163"/>
      <c r="CY142" s="163"/>
      <c r="CZ142" s="163"/>
      <c r="DA142" s="163">
        <v>111</v>
      </c>
      <c r="DB142" s="163"/>
      <c r="DC142" s="163"/>
      <c r="DD142" s="163"/>
      <c r="DE142" s="163"/>
      <c r="DF142" s="163"/>
      <c r="DG142" s="208"/>
      <c r="DH142" s="163"/>
      <c r="DI142" s="163"/>
      <c r="DJ142" s="163"/>
      <c r="DK142" s="163"/>
      <c r="DL142" s="163"/>
      <c r="DM142" s="163"/>
      <c r="DN142" s="163"/>
      <c r="DO142" s="163"/>
      <c r="DP142" s="163"/>
      <c r="DQ142" s="163"/>
      <c r="DR142" s="163"/>
      <c r="DS142" s="163"/>
      <c r="DT142" s="163"/>
      <c r="DU142" s="163"/>
      <c r="DV142" s="163"/>
      <c r="DW142" s="163"/>
      <c r="DX142" s="163"/>
      <c r="DY142" s="163"/>
      <c r="DZ142" s="163"/>
      <c r="EA142" s="163"/>
      <c r="EB142" s="163"/>
      <c r="EC142" s="163"/>
      <c r="ED142" s="163"/>
      <c r="EE142" s="163"/>
      <c r="EF142" s="163"/>
      <c r="EG142" s="163"/>
      <c r="EH142" s="160">
        <f>IF([Chambre]*1='CHAMBRES FILLES 2e ETAGE'!$A$5,1,0)</f>
        <v>0</v>
      </c>
      <c r="EI142" s="161">
        <f>IF([Occurrence2]=0,0,SUM($EH$2:EH142))</f>
        <v>0</v>
      </c>
      <c r="EJ142" s="160">
        <f>IF([Chambre]*1='CHAMBRES FILLES 2e ETAGE'!$A$11,1,0)</f>
        <v>0</v>
      </c>
      <c r="EK142" s="160">
        <f>IF([Occurrence3]=0,0,SUM($EJ$2:EJ142))</f>
        <v>0</v>
      </c>
      <c r="EL142" s="160">
        <f>IF([Chambre]*1='CHAMBRES FILLES 2e ETAGE'!$A$17,1,0)</f>
        <v>0</v>
      </c>
      <c r="EM142" s="160">
        <f>IF([Occurrence4]=0,0,SUM($EL$2:EL142))</f>
        <v>0</v>
      </c>
      <c r="EN142" s="160">
        <f>IF([Chambre]*1='CHAMBRES FILLES 2e ETAGE'!$A$23,1,0)</f>
        <v>0</v>
      </c>
      <c r="EO142" s="160">
        <f>IF([Occurrence5]=0,0,SUM($EN$2:EN142))</f>
        <v>0</v>
      </c>
      <c r="EP142" s="160">
        <f>IF([Chambre]*1='CHAMBRES FILLES 2e ETAGE'!$A$29,1,0)</f>
        <v>0</v>
      </c>
      <c r="EQ142" s="160">
        <f>IF([Occurrence6]=0,0,SUM($EP$2:EP142))</f>
        <v>0</v>
      </c>
      <c r="ER142" s="160">
        <f>IF([Chambre]*1='CHAMBRES FILLES 2e ETAGE'!$A$35,1,0)</f>
        <v>0</v>
      </c>
      <c r="ES142" s="160">
        <f>IF([Occurrence7]=0,0,SUM($ER$2:ER142))</f>
        <v>0</v>
      </c>
      <c r="ET142" s="160">
        <f>IF([Chambre]*1='CHAMBRES FILLES 2e ETAGE'!$A$41,1,0)</f>
        <v>0</v>
      </c>
      <c r="EU142" s="160">
        <f>IF([Occurrence8]=0,0,SUM($ET$2:ET142))</f>
        <v>0</v>
      </c>
      <c r="EV142" s="160">
        <f>IF([Chambre]*1='CHAMBRES FILLES 2e ETAGE'!$A$47,1,0)</f>
        <v>0</v>
      </c>
      <c r="EW142" s="160">
        <f>IF([Occurrence9]=0,0,SUM($EV$2:EV142))</f>
        <v>0</v>
      </c>
      <c r="EX142" s="160">
        <f>IF([Chambre]*1='CHAMBRES FILLES 2e ETAGE'!$A$53,1,0)</f>
        <v>0</v>
      </c>
      <c r="EY142" s="160">
        <f>IF([Occurrence10]=0,0,SUM($EX$2:EX142))</f>
        <v>0</v>
      </c>
      <c r="EZ142" s="160">
        <f>IF([Chambre]*1='CHAMBRES FILLES 2e ETAGE'!$A$59,1,0)</f>
        <v>0</v>
      </c>
      <c r="FA142" s="160">
        <f>IF([Occurrence11]=0,0,SUM($EZ$2:EZ142))</f>
        <v>0</v>
      </c>
      <c r="FB142" s="160">
        <f>IF([Chambre]*1='CHAMBRES FILLES 2e ETAGE'!$A$65,1,0)</f>
        <v>0</v>
      </c>
      <c r="FC142" s="160">
        <f>IF([Occurrence12]=0,0,SUM($FB$2:FB142))</f>
        <v>0</v>
      </c>
      <c r="FD142" s="160">
        <f>IF([Chambre]*1='CHAMBRES FILLES 2e ETAGE'!$A$71,1,0)</f>
        <v>0</v>
      </c>
      <c r="FE142" s="160">
        <f>IF([Occurrence13]=0,0,SUM($FD$2:FD142))</f>
        <v>0</v>
      </c>
      <c r="FF142" s="160">
        <f>IF([Chambre]*1='CHAMBRES FILLES 2e ETAGE'!$A$77,1,0)</f>
        <v>0</v>
      </c>
      <c r="FG142" s="160">
        <f>IF([Occurrence14]=0,0,SUM($FF$2:FF142))</f>
        <v>0</v>
      </c>
      <c r="FH142" s="160">
        <f>IF([Chambre]*1='CHAMBRES FILLES 2e ETAGE'!$A$83,1,0)</f>
        <v>0</v>
      </c>
      <c r="FI142" s="160">
        <f>IF([Occurrence15]=0,0,SUM($FH$2:FH142))</f>
        <v>0</v>
      </c>
      <c r="FJ142" s="160">
        <f>IF([Chambre]*1='CHAMBRES FILLES 2e ETAGE'!$A$89,1,0)</f>
        <v>0</v>
      </c>
      <c r="FK142" s="160">
        <f>IF([Occurrence16]=0,0,SUM($FJ$2:FJ142))</f>
        <v>0</v>
      </c>
      <c r="FL142" s="160">
        <f>IF([Chambre]*1='CHAMBRES FILLES 2e ETAGE'!$A$95,1,0)</f>
        <v>0</v>
      </c>
      <c r="FM142" s="160">
        <f>IF([Occurrence17]=0,0,SUM($FL$2:FL142))</f>
        <v>0</v>
      </c>
      <c r="FN142" s="160">
        <f>IF([Chambre2]*1='CHAMBRES FILLES 1e ETAGE'!$A$5,1,0)</f>
        <v>0</v>
      </c>
      <c r="FO142" s="160">
        <f>IF([Occurrence18]=0,0,SUM($FN$2:FN142))</f>
        <v>0</v>
      </c>
      <c r="FP142" s="160">
        <f>IF([Chambre2]*1='CHAMBRES FILLES 1e ETAGE'!$A$11,1,0)</f>
        <v>0</v>
      </c>
      <c r="FQ142" s="160">
        <f>IF([Occurrence19]=0,0,SUM($FP$2:FP142))</f>
        <v>0</v>
      </c>
      <c r="FR142" s="160">
        <f>IF([Chambre2]*1='CHAMBRES FILLES 1e ETAGE'!$A$17,1,0)</f>
        <v>0</v>
      </c>
      <c r="FS142" s="160">
        <f>IF([Occurrence20]=0,0,SUM($FR$2:FR142))</f>
        <v>0</v>
      </c>
      <c r="FT142" s="160">
        <f>IF([Chambre2]*1='CHAMBRES FILLES 1e ETAGE'!$A$23,1,0)</f>
        <v>0</v>
      </c>
      <c r="FU142" s="160">
        <f>IF([Occurrence21]=0,0,SUM($FT$2:FT142))</f>
        <v>0</v>
      </c>
      <c r="FV142" s="160">
        <f>IF([Chambre2]*1='CHAMBRES FILLES 1e ETAGE'!$A$29,1,0)</f>
        <v>0</v>
      </c>
      <c r="FW142" s="160">
        <f>IF([Occurrence22]=0,0,SUM($FV$2:FV142))</f>
        <v>0</v>
      </c>
      <c r="FX142" s="160">
        <f>IF([Chambre2]*1='CHAMBRES FILLES 1e ETAGE'!$A$35,1,0)</f>
        <v>0</v>
      </c>
      <c r="FY142" s="160">
        <f>IF([Occurrence23]=0,0,SUM($FX$2:FX142))</f>
        <v>0</v>
      </c>
      <c r="FZ142" s="160">
        <f>IF([Chambre2]*1='CHAMBRES FILLES 1e ETAGE'!$A$41,1,0)</f>
        <v>0</v>
      </c>
      <c r="GA142" s="160">
        <f>IF([Occurrence24]=0,0,SUM($FZ$2:FZ142))</f>
        <v>0</v>
      </c>
      <c r="GB142" s="160">
        <f>IF([Chambre2]*1='CHAMBRES FILLES 1e ETAGE'!$A$47,1,0)</f>
        <v>0</v>
      </c>
      <c r="GC142" s="160">
        <f>IF([Occurrence25]=0,0,SUM($GB$2:GB142))</f>
        <v>0</v>
      </c>
      <c r="GD142" s="160">
        <f>IF([Chambre2]*1='CHAMBRES FILLES 1e ETAGE'!$A$53,1,0)</f>
        <v>0</v>
      </c>
      <c r="GE142" s="160">
        <f>IF([Occurrence26]=0,0,SUM($GD$2:GD142))</f>
        <v>0</v>
      </c>
      <c r="GF142" s="160">
        <f>IF([chambre4]*1='CHAMBRES GARCONS 1e ETAGE'!$A$5,1,0)</f>
        <v>0</v>
      </c>
      <c r="GG142" s="160">
        <f>IF([Occurrence27]=0,0,SUM($GF$2:GF142))</f>
        <v>0</v>
      </c>
      <c r="GH142" s="160">
        <f>IF([chambre4]*1='CHAMBRES GARCONS 1e ETAGE'!$A$11,1,0)</f>
        <v>0</v>
      </c>
      <c r="GI142" s="160">
        <f>IF([Occurrence28]=0,0,SUM($GH$2:GH142))</f>
        <v>0</v>
      </c>
      <c r="GJ142" s="160">
        <f>IF([chambre4]*1='CHAMBRES GARCONS 1e ETAGE'!$A$17,1,0)</f>
        <v>0</v>
      </c>
      <c r="GK142" s="160">
        <f>IF([Occurrence29]=0,0,SUM($GJ$2:GJ142))</f>
        <v>0</v>
      </c>
      <c r="GL142" s="160">
        <f>IF([chambre4]*1='CHAMBRES GARCONS 1e ETAGE'!$A$23,1,0)</f>
        <v>0</v>
      </c>
      <c r="GM142" s="160">
        <f>IF([Occurrence30]=0,0,SUM($GL$2:GL142))</f>
        <v>0</v>
      </c>
      <c r="GN142" s="160">
        <f>IF([chambre4]*1='CHAMBRES GARCONS 1e ETAGE'!$A$29,1,0)</f>
        <v>0</v>
      </c>
      <c r="GO142" s="160">
        <f>IF([Occurrence31]=0,0,SUM($GN$2:GN142))</f>
        <v>0</v>
      </c>
      <c r="GP142" s="160">
        <f>IF([chambre4]*1='CHAMBRES GARCONS 1e ETAGE'!$A$35,1,0)</f>
        <v>0</v>
      </c>
      <c r="GQ142" s="160">
        <f>IF([Occurrence32]=0,0,SUM($GP$2:GP142))</f>
        <v>0</v>
      </c>
      <c r="GR142" s="160">
        <f>IF([chambre3]*1='CHAMBRES GARCONS RDC'!$A$5,1,0)</f>
        <v>0</v>
      </c>
      <c r="GS142" s="160">
        <f>IF([Occurrence33]=0,0,SUM($GR$2:GR142))</f>
        <v>0</v>
      </c>
      <c r="GT142" s="160">
        <f>IF([chambre3]*1='CHAMBRES GARCONS RDC'!$A$11,1,0)</f>
        <v>0</v>
      </c>
      <c r="GU142" s="160">
        <f>IF([Occurrence34]=0,0,SUM($GT$2:GT142))</f>
        <v>0</v>
      </c>
      <c r="GV142" s="160">
        <f>IF([chambre3]*1='CHAMBRES GARCONS RDC'!$A$17,1,0)</f>
        <v>0</v>
      </c>
      <c r="GW142" s="160">
        <f>IF([Occurrence35]=0,0,SUM($GV$2:GV142))</f>
        <v>0</v>
      </c>
      <c r="GX142" s="160">
        <f>IF([chambre3]*1='CHAMBRES GARCONS RDC'!$A$23,1,0)</f>
        <v>0</v>
      </c>
      <c r="GY142" s="160">
        <f>IF([Occurrence36]=0,0,SUM($GX$2:GX142))</f>
        <v>0</v>
      </c>
      <c r="GZ142" s="160">
        <f>IF([chambre3]*1='CHAMBRES GARCONS RDC'!$A$29,1,0)</f>
        <v>0</v>
      </c>
      <c r="HA142" s="160">
        <f>IF([Occurrence37]=0,0,SUM($GZ$2:GZ142))</f>
        <v>0</v>
      </c>
      <c r="HB142" s="160">
        <f>IF([chambre3]*1='CHAMBRES GARCONS RDC'!$A$35,1,0)</f>
        <v>0</v>
      </c>
      <c r="HC142" s="160">
        <f>IF([Occurrence38]=0,0,SUM($HB$2:HB142))</f>
        <v>0</v>
      </c>
      <c r="HD142" s="160">
        <f>IF([chambre3]*1='CHAMBRES GARCONS RDC'!$A$41,1,0)</f>
        <v>0</v>
      </c>
      <c r="HE142" s="160">
        <f>IF([Occurrence39]=0,0,SUM($HD$2:HD142))</f>
        <v>0</v>
      </c>
      <c r="HF142" s="160">
        <f>IF([chambre3]*1='CHAMBRES GARCONS RDC'!$A$47,1,0)</f>
        <v>0</v>
      </c>
      <c r="HG142" s="160">
        <f>IF([Occurrence40]=0,0,SUM($HF$2:HF142))</f>
        <v>0</v>
      </c>
      <c r="HH142" s="160">
        <f>IF([chambre3]*1='CHAMBRES GARCONS RDC'!$A$53,1,0)</f>
        <v>0</v>
      </c>
      <c r="HI142" s="160">
        <f>IF([Occurrence41]=0,0,SUM($HH$2:HH142))</f>
        <v>0</v>
      </c>
      <c r="HJ142" s="160">
        <f>IF([chambre3]*1='CHAMBRES GARCONS RDC'!$A$59,1,0)</f>
        <v>1</v>
      </c>
      <c r="HK142" s="160">
        <f>IF([Occurrence42]=0,0,SUM($HJ$2:HJ142))</f>
        <v>2</v>
      </c>
      <c r="HL142" s="160">
        <f>IF([chambre3]*1='CHAMBRES GARCONS RDC'!$A$65,1,0)</f>
        <v>0</v>
      </c>
      <c r="HM142" s="160">
        <f>IF([Occurrence43]=0,0,SUM($HL$2:HL142))</f>
        <v>0</v>
      </c>
      <c r="HN142" s="160">
        <f>IF([chambre3]*1='CHAMBRES GARCONS RDC'!$A$71,1,0)</f>
        <v>0</v>
      </c>
      <c r="HO142" s="160">
        <f>IF([Occurrence44]=0,0,SUM($HN$2:HN142))</f>
        <v>0</v>
      </c>
      <c r="HP142" s="160">
        <f>IF([chambre3]*1='CHAMBRES GARCONS RDC'!$A$77,1,0)</f>
        <v>0</v>
      </c>
      <c r="HQ142" s="160">
        <f>IF([Occurrence45]=0,0,SUM($HP$2:HP142))</f>
        <v>0</v>
      </c>
      <c r="HR142" s="160">
        <f>IF([chambre3]*1='CHAMBRES GARCONS RDC'!$A$83,1,0)</f>
        <v>0</v>
      </c>
      <c r="HS142" s="160">
        <f>IF([Occurrence46]=0,0,SUM($HR$2:HR142))</f>
        <v>0</v>
      </c>
      <c r="HT142" s="160">
        <f>IF([chambre3]*1='CHAMBRES GARCONS RDC'!$A$89,1,0)</f>
        <v>0</v>
      </c>
      <c r="HU142" s="160">
        <f>IF([Occurrence47]=0,0,SUM($HT$2:HT142))</f>
        <v>0</v>
      </c>
      <c r="HV142" s="160">
        <f>IF([chambre3]*1='CHAMBRES GARCONS RDC'!$A$95,1,0)</f>
        <v>0</v>
      </c>
      <c r="HW142" s="160">
        <f>IF([Occurrence48]=0,0,SUM($HV$2:HV142))</f>
        <v>0</v>
      </c>
      <c r="HX142" s="160"/>
      <c r="HY142" s="160"/>
      <c r="HZ142" s="160">
        <f>IF([Classe]='Liste élève par classes'!$B$5,1,0)</f>
        <v>0</v>
      </c>
      <c r="IA142" s="160">
        <f>IF([Occurrence]=0,0,SUM($HZ$2:HZ142))</f>
        <v>0</v>
      </c>
      <c r="IB14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111</v>
      </c>
      <c r="IC142" s="208"/>
    </row>
    <row r="143" spans="1:237">
      <c r="A143" t="s">
        <v>490</v>
      </c>
      <c r="B143" t="s">
        <v>312</v>
      </c>
      <c r="C143" s="158">
        <v>37392</v>
      </c>
      <c r="D143" s="62">
        <f t="shared" ca="1" si="2"/>
        <v>15</v>
      </c>
      <c r="E143" t="s">
        <v>5</v>
      </c>
      <c r="F143" s="159" t="s">
        <v>50</v>
      </c>
      <c r="G143" t="s">
        <v>40</v>
      </c>
      <c r="H143" s="160"/>
      <c r="I143" s="62"/>
      <c r="J143" s="62"/>
      <c r="K143" s="62"/>
      <c r="L143" s="61"/>
      <c r="M143">
        <v>256</v>
      </c>
      <c r="N143" s="62"/>
      <c r="O143" s="62"/>
      <c r="P143" s="62"/>
      <c r="Q143" s="62"/>
      <c r="R143" s="62"/>
      <c r="S143" s="191"/>
      <c r="T143" s="62"/>
      <c r="U143" s="61"/>
      <c r="V143" s="62"/>
      <c r="W143" s="62"/>
      <c r="X143" s="62"/>
      <c r="Y143" s="62"/>
      <c r="Z143" s="62"/>
      <c r="AA143" s="62"/>
      <c r="AB143" s="62"/>
      <c r="AC143" s="62"/>
      <c r="AD143" s="62"/>
      <c r="AE143" s="62"/>
      <c r="AF143" s="163"/>
      <c r="AG143" s="163"/>
      <c r="AH143" s="163"/>
      <c r="AI143" s="163"/>
      <c r="AJ143" s="163"/>
      <c r="AK143" s="163"/>
      <c r="AL143" s="163"/>
      <c r="AM143" s="163"/>
      <c r="AN143" s="163"/>
      <c r="AO143" s="163"/>
      <c r="AP143" s="163"/>
      <c r="AQ143" s="163"/>
      <c r="AR143" s="163"/>
      <c r="AS143" s="163"/>
      <c r="AT143" s="163"/>
      <c r="AU143" s="163"/>
      <c r="AV143" s="163"/>
      <c r="AW143" s="163"/>
      <c r="AX143" s="163"/>
      <c r="AY143" s="163"/>
      <c r="AZ143" s="163"/>
      <c r="BA143" s="163"/>
      <c r="BB143" s="163"/>
      <c r="BC143" s="163" t="b">
        <v>0</v>
      </c>
      <c r="BD143" s="163" t="b">
        <v>1</v>
      </c>
      <c r="BE143" s="163" t="b">
        <v>1</v>
      </c>
      <c r="BF143" s="163" t="b">
        <v>0</v>
      </c>
      <c r="BG143" s="164" t="b">
        <v>0</v>
      </c>
      <c r="BH143" s="163" t="b">
        <v>1</v>
      </c>
      <c r="BI143" s="163"/>
      <c r="BJ143" s="163"/>
      <c r="BK143" s="163"/>
      <c r="BL143" s="163"/>
      <c r="BM143" s="163"/>
      <c r="BN143" s="163"/>
      <c r="BO143" s="163"/>
      <c r="BP143" s="163"/>
      <c r="BQ143" s="163" t="b">
        <v>0</v>
      </c>
      <c r="BR143" s="163"/>
      <c r="BS143" s="163"/>
      <c r="BT143" s="163"/>
      <c r="BU143" s="163"/>
      <c r="BV143" s="163"/>
      <c r="BW143" s="163"/>
      <c r="BX143" s="163"/>
      <c r="BY143" s="163"/>
      <c r="BZ143" s="163"/>
      <c r="CA143" s="163"/>
      <c r="CB143" s="163"/>
      <c r="CC143" s="163"/>
      <c r="CD143" s="163"/>
      <c r="CE143" s="163"/>
      <c r="CF143" s="163"/>
      <c r="CG143" s="163"/>
      <c r="CH143" s="163"/>
      <c r="CI143" s="163"/>
      <c r="CJ143" s="163"/>
      <c r="CK143" s="163"/>
      <c r="CL143" s="163"/>
      <c r="CM143" s="163"/>
      <c r="CN143" s="163"/>
      <c r="CO143" s="163"/>
      <c r="CP143" s="163"/>
      <c r="CQ143" s="163"/>
      <c r="CR143" s="163"/>
      <c r="CS143" s="163"/>
      <c r="CT143" s="163"/>
      <c r="CU143" s="163"/>
      <c r="CV143" s="163"/>
      <c r="CW143" s="163"/>
      <c r="CX143" s="163"/>
      <c r="CY143" s="163"/>
      <c r="CZ143" s="163"/>
      <c r="DA143" s="163">
        <v>111</v>
      </c>
      <c r="DB143" s="163"/>
      <c r="DC143" s="163"/>
      <c r="DD143" s="163"/>
      <c r="DE143" s="163"/>
      <c r="DF143" s="163"/>
      <c r="DG143" s="208"/>
      <c r="DH143" s="163"/>
      <c r="DI143" s="163"/>
      <c r="DJ143" s="163"/>
      <c r="DK143" s="163"/>
      <c r="DL143" s="163"/>
      <c r="DM143" s="163"/>
      <c r="DN143" s="163"/>
      <c r="DO143" s="163"/>
      <c r="DP143" s="163"/>
      <c r="DQ143" s="163"/>
      <c r="DR143" s="163"/>
      <c r="DS143" s="163"/>
      <c r="DT143" s="163"/>
      <c r="DU143" s="163"/>
      <c r="DV143" s="163"/>
      <c r="DW143" s="163"/>
      <c r="DX143" s="163"/>
      <c r="DY143" s="163"/>
      <c r="DZ143" s="163"/>
      <c r="EA143" s="163"/>
      <c r="EB143" s="163"/>
      <c r="EC143" s="163"/>
      <c r="ED143" s="163"/>
      <c r="EE143" s="163"/>
      <c r="EF143" s="163"/>
      <c r="EG143" s="163"/>
      <c r="EH143" s="160">
        <f>IF([Chambre]*1='CHAMBRES FILLES 2e ETAGE'!$A$5,1,0)</f>
        <v>0</v>
      </c>
      <c r="EI143" s="161">
        <f>IF([Occurrence2]=0,0,SUM($EH$2:EH143))</f>
        <v>0</v>
      </c>
      <c r="EJ143" s="160">
        <f>IF([Chambre]*1='CHAMBRES FILLES 2e ETAGE'!$A$11,1,0)</f>
        <v>0</v>
      </c>
      <c r="EK143" s="160">
        <f>IF([Occurrence3]=0,0,SUM($EJ$2:EJ143))</f>
        <v>0</v>
      </c>
      <c r="EL143" s="160">
        <f>IF([Chambre]*1='CHAMBRES FILLES 2e ETAGE'!$A$17,1,0)</f>
        <v>0</v>
      </c>
      <c r="EM143" s="160">
        <f>IF([Occurrence4]=0,0,SUM($EL$2:EL143))</f>
        <v>0</v>
      </c>
      <c r="EN143" s="160">
        <f>IF([Chambre]*1='CHAMBRES FILLES 2e ETAGE'!$A$23,1,0)</f>
        <v>0</v>
      </c>
      <c r="EO143" s="160">
        <f>IF([Occurrence5]=0,0,SUM($EN$2:EN143))</f>
        <v>0</v>
      </c>
      <c r="EP143" s="160">
        <f>IF([Chambre]*1='CHAMBRES FILLES 2e ETAGE'!$A$29,1,0)</f>
        <v>0</v>
      </c>
      <c r="EQ143" s="160">
        <f>IF([Occurrence6]=0,0,SUM($EP$2:EP143))</f>
        <v>0</v>
      </c>
      <c r="ER143" s="160">
        <f>IF([Chambre]*1='CHAMBRES FILLES 2e ETAGE'!$A$35,1,0)</f>
        <v>0</v>
      </c>
      <c r="ES143" s="160">
        <f>IF([Occurrence7]=0,0,SUM($ER$2:ER143))</f>
        <v>0</v>
      </c>
      <c r="ET143" s="160">
        <f>IF([Chambre]*1='CHAMBRES FILLES 2e ETAGE'!$A$41,1,0)</f>
        <v>0</v>
      </c>
      <c r="EU143" s="160">
        <f>IF([Occurrence8]=0,0,SUM($ET$2:ET143))</f>
        <v>0</v>
      </c>
      <c r="EV143" s="160">
        <f>IF([Chambre]*1='CHAMBRES FILLES 2e ETAGE'!$A$47,1,0)</f>
        <v>0</v>
      </c>
      <c r="EW143" s="160">
        <f>IF([Occurrence9]=0,0,SUM($EV$2:EV143))</f>
        <v>0</v>
      </c>
      <c r="EX143" s="160">
        <f>IF([Chambre]*1='CHAMBRES FILLES 2e ETAGE'!$A$53,1,0)</f>
        <v>0</v>
      </c>
      <c r="EY143" s="160">
        <f>IF([Occurrence10]=0,0,SUM($EX$2:EX143))</f>
        <v>0</v>
      </c>
      <c r="EZ143" s="160">
        <f>IF([Chambre]*1='CHAMBRES FILLES 2e ETAGE'!$A$59,1,0)</f>
        <v>0</v>
      </c>
      <c r="FA143" s="160">
        <f>IF([Occurrence11]=0,0,SUM($EZ$2:EZ143))</f>
        <v>0</v>
      </c>
      <c r="FB143" s="160">
        <f>IF([Chambre]*1='CHAMBRES FILLES 2e ETAGE'!$A$65,1,0)</f>
        <v>0</v>
      </c>
      <c r="FC143" s="160">
        <f>IF([Occurrence12]=0,0,SUM($FB$2:FB143))</f>
        <v>0</v>
      </c>
      <c r="FD143" s="160">
        <f>IF([Chambre]*1='CHAMBRES FILLES 2e ETAGE'!$A$71,1,0)</f>
        <v>0</v>
      </c>
      <c r="FE143" s="160">
        <f>IF([Occurrence13]=0,0,SUM($FD$2:FD143))</f>
        <v>0</v>
      </c>
      <c r="FF143" s="160">
        <f>IF([Chambre]*1='CHAMBRES FILLES 2e ETAGE'!$A$77,1,0)</f>
        <v>0</v>
      </c>
      <c r="FG143" s="160">
        <f>IF([Occurrence14]=0,0,SUM($FF$2:FF143))</f>
        <v>0</v>
      </c>
      <c r="FH143" s="160">
        <f>IF([Chambre]*1='CHAMBRES FILLES 2e ETAGE'!$A$83,1,0)</f>
        <v>0</v>
      </c>
      <c r="FI143" s="160">
        <f>IF([Occurrence15]=0,0,SUM($FH$2:FH143))</f>
        <v>0</v>
      </c>
      <c r="FJ143" s="160">
        <f>IF([Chambre]*1='CHAMBRES FILLES 2e ETAGE'!$A$89,1,0)</f>
        <v>0</v>
      </c>
      <c r="FK143" s="160">
        <f>IF([Occurrence16]=0,0,SUM($FJ$2:FJ143))</f>
        <v>0</v>
      </c>
      <c r="FL143" s="160">
        <f>IF([Chambre]*1='CHAMBRES FILLES 2e ETAGE'!$A$95,1,0)</f>
        <v>0</v>
      </c>
      <c r="FM143" s="160">
        <f>IF([Occurrence17]=0,0,SUM($FL$2:FL143))</f>
        <v>0</v>
      </c>
      <c r="FN143" s="160">
        <f>IF([Chambre2]*1='CHAMBRES FILLES 1e ETAGE'!$A$5,1,0)</f>
        <v>0</v>
      </c>
      <c r="FO143" s="160">
        <f>IF([Occurrence18]=0,0,SUM($FN$2:FN143))</f>
        <v>0</v>
      </c>
      <c r="FP143" s="160">
        <f>IF([Chambre2]*1='CHAMBRES FILLES 1e ETAGE'!$A$11,1,0)</f>
        <v>0</v>
      </c>
      <c r="FQ143" s="160">
        <f>IF([Occurrence19]=0,0,SUM($FP$2:FP143))</f>
        <v>0</v>
      </c>
      <c r="FR143" s="160">
        <f>IF([Chambre2]*1='CHAMBRES FILLES 1e ETAGE'!$A$17,1,0)</f>
        <v>0</v>
      </c>
      <c r="FS143" s="160">
        <f>IF([Occurrence20]=0,0,SUM($FR$2:FR143))</f>
        <v>0</v>
      </c>
      <c r="FT143" s="160">
        <f>IF([Chambre2]*1='CHAMBRES FILLES 1e ETAGE'!$A$23,1,0)</f>
        <v>0</v>
      </c>
      <c r="FU143" s="160">
        <f>IF([Occurrence21]=0,0,SUM($FT$2:FT143))</f>
        <v>0</v>
      </c>
      <c r="FV143" s="160">
        <f>IF([Chambre2]*1='CHAMBRES FILLES 1e ETAGE'!$A$29,1,0)</f>
        <v>0</v>
      </c>
      <c r="FW143" s="160">
        <f>IF([Occurrence22]=0,0,SUM($FV$2:FV143))</f>
        <v>0</v>
      </c>
      <c r="FX143" s="160">
        <f>IF([Chambre2]*1='CHAMBRES FILLES 1e ETAGE'!$A$35,1,0)</f>
        <v>0</v>
      </c>
      <c r="FY143" s="160">
        <f>IF([Occurrence23]=0,0,SUM($FX$2:FX143))</f>
        <v>0</v>
      </c>
      <c r="FZ143" s="160">
        <f>IF([Chambre2]*1='CHAMBRES FILLES 1e ETAGE'!$A$41,1,0)</f>
        <v>0</v>
      </c>
      <c r="GA143" s="160">
        <f>IF([Occurrence24]=0,0,SUM($FZ$2:FZ143))</f>
        <v>0</v>
      </c>
      <c r="GB143" s="160">
        <f>IF([Chambre2]*1='CHAMBRES FILLES 1e ETAGE'!$A$47,1,0)</f>
        <v>0</v>
      </c>
      <c r="GC143" s="160">
        <f>IF([Occurrence25]=0,0,SUM($GB$2:GB143))</f>
        <v>0</v>
      </c>
      <c r="GD143" s="160">
        <f>IF([Chambre2]*1='CHAMBRES FILLES 1e ETAGE'!$A$53,1,0)</f>
        <v>0</v>
      </c>
      <c r="GE143" s="160">
        <f>IF([Occurrence26]=0,0,SUM($GD$2:GD143))</f>
        <v>0</v>
      </c>
      <c r="GF143" s="160">
        <f>IF([chambre4]*1='CHAMBRES GARCONS 1e ETAGE'!$A$5,1,0)</f>
        <v>0</v>
      </c>
      <c r="GG143" s="160">
        <f>IF([Occurrence27]=0,0,SUM($GF$2:GF143))</f>
        <v>0</v>
      </c>
      <c r="GH143" s="160">
        <f>IF([chambre4]*1='CHAMBRES GARCONS 1e ETAGE'!$A$11,1,0)</f>
        <v>0</v>
      </c>
      <c r="GI143" s="160">
        <f>IF([Occurrence28]=0,0,SUM($GH$2:GH143))</f>
        <v>0</v>
      </c>
      <c r="GJ143" s="160">
        <f>IF([chambre4]*1='CHAMBRES GARCONS 1e ETAGE'!$A$17,1,0)</f>
        <v>0</v>
      </c>
      <c r="GK143" s="160">
        <f>IF([Occurrence29]=0,0,SUM($GJ$2:GJ143))</f>
        <v>0</v>
      </c>
      <c r="GL143" s="160">
        <f>IF([chambre4]*1='CHAMBRES GARCONS 1e ETAGE'!$A$23,1,0)</f>
        <v>0</v>
      </c>
      <c r="GM143" s="160">
        <f>IF([Occurrence30]=0,0,SUM($GL$2:GL143))</f>
        <v>0</v>
      </c>
      <c r="GN143" s="160">
        <f>IF([chambre4]*1='CHAMBRES GARCONS 1e ETAGE'!$A$29,1,0)</f>
        <v>0</v>
      </c>
      <c r="GO143" s="160">
        <f>IF([Occurrence31]=0,0,SUM($GN$2:GN143))</f>
        <v>0</v>
      </c>
      <c r="GP143" s="160">
        <f>IF([chambre4]*1='CHAMBRES GARCONS 1e ETAGE'!$A$35,1,0)</f>
        <v>0</v>
      </c>
      <c r="GQ143" s="160">
        <f>IF([Occurrence32]=0,0,SUM($GP$2:GP143))</f>
        <v>0</v>
      </c>
      <c r="GR143" s="160">
        <f>IF([chambre3]*1='CHAMBRES GARCONS RDC'!$A$5,1,0)</f>
        <v>0</v>
      </c>
      <c r="GS143" s="160">
        <f>IF([Occurrence33]=0,0,SUM($GR$2:GR143))</f>
        <v>0</v>
      </c>
      <c r="GT143" s="160">
        <f>IF([chambre3]*1='CHAMBRES GARCONS RDC'!$A$11,1,0)</f>
        <v>0</v>
      </c>
      <c r="GU143" s="160">
        <f>IF([Occurrence34]=0,0,SUM($GT$2:GT143))</f>
        <v>0</v>
      </c>
      <c r="GV143" s="160">
        <f>IF([chambre3]*1='CHAMBRES GARCONS RDC'!$A$17,1,0)</f>
        <v>0</v>
      </c>
      <c r="GW143" s="160">
        <f>IF([Occurrence35]=0,0,SUM($GV$2:GV143))</f>
        <v>0</v>
      </c>
      <c r="GX143" s="160">
        <f>IF([chambre3]*1='CHAMBRES GARCONS RDC'!$A$23,1,0)</f>
        <v>0</v>
      </c>
      <c r="GY143" s="160">
        <f>IF([Occurrence36]=0,0,SUM($GX$2:GX143))</f>
        <v>0</v>
      </c>
      <c r="GZ143" s="160">
        <f>IF([chambre3]*1='CHAMBRES GARCONS RDC'!$A$29,1,0)</f>
        <v>0</v>
      </c>
      <c r="HA143" s="160">
        <f>IF([Occurrence37]=0,0,SUM($GZ$2:GZ143))</f>
        <v>0</v>
      </c>
      <c r="HB143" s="160">
        <f>IF([chambre3]*1='CHAMBRES GARCONS RDC'!$A$35,1,0)</f>
        <v>0</v>
      </c>
      <c r="HC143" s="160">
        <f>IF([Occurrence38]=0,0,SUM($HB$2:HB143))</f>
        <v>0</v>
      </c>
      <c r="HD143" s="160">
        <f>IF([chambre3]*1='CHAMBRES GARCONS RDC'!$A$41,1,0)</f>
        <v>0</v>
      </c>
      <c r="HE143" s="160">
        <f>IF([Occurrence39]=0,0,SUM($HD$2:HD143))</f>
        <v>0</v>
      </c>
      <c r="HF143" s="160">
        <f>IF([chambre3]*1='CHAMBRES GARCONS RDC'!$A$47,1,0)</f>
        <v>0</v>
      </c>
      <c r="HG143" s="160">
        <f>IF([Occurrence40]=0,0,SUM($HF$2:HF143))</f>
        <v>0</v>
      </c>
      <c r="HH143" s="160">
        <f>IF([chambre3]*1='CHAMBRES GARCONS RDC'!$A$53,1,0)</f>
        <v>0</v>
      </c>
      <c r="HI143" s="160">
        <f>IF([Occurrence41]=0,0,SUM($HH$2:HH143))</f>
        <v>0</v>
      </c>
      <c r="HJ143" s="160">
        <f>IF([chambre3]*1='CHAMBRES GARCONS RDC'!$A$59,1,0)</f>
        <v>1</v>
      </c>
      <c r="HK143" s="160">
        <f>IF([Occurrence42]=0,0,SUM($HJ$2:HJ143))</f>
        <v>3</v>
      </c>
      <c r="HL143" s="160">
        <f>IF([chambre3]*1='CHAMBRES GARCONS RDC'!$A$65,1,0)</f>
        <v>0</v>
      </c>
      <c r="HM143" s="160">
        <f>IF([Occurrence43]=0,0,SUM($HL$2:HL143))</f>
        <v>0</v>
      </c>
      <c r="HN143" s="160">
        <f>IF([chambre3]*1='CHAMBRES GARCONS RDC'!$A$71,1,0)</f>
        <v>0</v>
      </c>
      <c r="HO143" s="160">
        <f>IF([Occurrence44]=0,0,SUM($HN$2:HN143))</f>
        <v>0</v>
      </c>
      <c r="HP143" s="160">
        <f>IF([chambre3]*1='CHAMBRES GARCONS RDC'!$A$77,1,0)</f>
        <v>0</v>
      </c>
      <c r="HQ143" s="160">
        <f>IF([Occurrence45]=0,0,SUM($HP$2:HP143))</f>
        <v>0</v>
      </c>
      <c r="HR143" s="160">
        <f>IF([chambre3]*1='CHAMBRES GARCONS RDC'!$A$83,1,0)</f>
        <v>0</v>
      </c>
      <c r="HS143" s="160">
        <f>IF([Occurrence46]=0,0,SUM($HR$2:HR143))</f>
        <v>0</v>
      </c>
      <c r="HT143" s="160">
        <f>IF([chambre3]*1='CHAMBRES GARCONS RDC'!$A$89,1,0)</f>
        <v>0</v>
      </c>
      <c r="HU143" s="160">
        <f>IF([Occurrence47]=0,0,SUM($HT$2:HT143))</f>
        <v>0</v>
      </c>
      <c r="HV143" s="160">
        <f>IF([chambre3]*1='CHAMBRES GARCONS RDC'!$A$95,1,0)</f>
        <v>0</v>
      </c>
      <c r="HW143" s="160">
        <f>IF([Occurrence48]=0,0,SUM($HV$2:HV143))</f>
        <v>0</v>
      </c>
      <c r="HX143" s="160"/>
      <c r="HY143" s="160"/>
      <c r="HZ143" s="160">
        <f>IF([Classe]='Liste élève par classes'!$B$5,1,0)</f>
        <v>0</v>
      </c>
      <c r="IA143" s="160">
        <f>IF([Occurrence]=0,0,SUM($HZ$2:HZ143))</f>
        <v>0</v>
      </c>
      <c r="IB14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111</v>
      </c>
      <c r="IC143" s="208"/>
    </row>
    <row r="144" spans="1:237">
      <c r="A144" t="s">
        <v>491</v>
      </c>
      <c r="B144" t="s">
        <v>492</v>
      </c>
      <c r="C144" s="158" t="s">
        <v>800</v>
      </c>
      <c r="D144" s="62" t="s">
        <v>795</v>
      </c>
      <c r="E144" t="s">
        <v>12</v>
      </c>
      <c r="F144" s="159" t="s">
        <v>50</v>
      </c>
      <c r="G144" t="s">
        <v>40</v>
      </c>
      <c r="H144" s="160"/>
      <c r="I144" s="62"/>
      <c r="J144" s="62" t="s">
        <v>244</v>
      </c>
      <c r="K144" s="62"/>
      <c r="L144" s="61"/>
      <c r="M144" t="s">
        <v>801</v>
      </c>
      <c r="N144" s="62" t="s">
        <v>244</v>
      </c>
      <c r="O144" s="62" t="s">
        <v>244</v>
      </c>
      <c r="P144" s="62" t="s">
        <v>244</v>
      </c>
      <c r="Q144" s="62" t="s">
        <v>244</v>
      </c>
      <c r="R144" s="62" t="s">
        <v>244</v>
      </c>
      <c r="S144" s="191"/>
      <c r="T144" s="62" t="s">
        <v>244</v>
      </c>
      <c r="U144" s="61"/>
      <c r="V144" s="62" t="s">
        <v>244</v>
      </c>
      <c r="W144" s="62" t="s">
        <v>244</v>
      </c>
      <c r="X144" s="62" t="s">
        <v>244</v>
      </c>
      <c r="Y144" s="62" t="s">
        <v>244</v>
      </c>
      <c r="Z144" s="62" t="s">
        <v>244</v>
      </c>
      <c r="AA144" s="62" t="s">
        <v>244</v>
      </c>
      <c r="AB144" s="62" t="s">
        <v>244</v>
      </c>
      <c r="AC144" s="62" t="s">
        <v>244</v>
      </c>
      <c r="AD144" s="62" t="s">
        <v>244</v>
      </c>
      <c r="AE144" s="62" t="s">
        <v>244</v>
      </c>
      <c r="AF144" s="163" t="s">
        <v>244</v>
      </c>
      <c r="AG144" s="163" t="s">
        <v>244</v>
      </c>
      <c r="AH144" s="163" t="s">
        <v>244</v>
      </c>
      <c r="AI144" s="163" t="b">
        <v>0</v>
      </c>
      <c r="AJ144" s="163" t="b">
        <v>0</v>
      </c>
      <c r="AK144" s="163" t="b">
        <v>0</v>
      </c>
      <c r="AL144" s="163" t="b">
        <v>0</v>
      </c>
      <c r="AM144" s="163" t="b">
        <v>0</v>
      </c>
      <c r="AN144" s="163" t="b">
        <v>0</v>
      </c>
      <c r="AO144" s="163" t="b">
        <v>0</v>
      </c>
      <c r="AP144" s="163" t="b">
        <v>0</v>
      </c>
      <c r="AQ144" s="163" t="b">
        <v>0</v>
      </c>
      <c r="AR144" s="163" t="b">
        <v>0</v>
      </c>
      <c r="AS144" s="163" t="b">
        <v>0</v>
      </c>
      <c r="AT144" s="163" t="b">
        <v>0</v>
      </c>
      <c r="AU144" s="163" t="b">
        <v>0</v>
      </c>
      <c r="AV144" s="163" t="b">
        <v>0</v>
      </c>
      <c r="AW144" s="163" t="b">
        <v>0</v>
      </c>
      <c r="AX144" s="163" t="b">
        <v>0</v>
      </c>
      <c r="AY144" s="163" t="b">
        <v>0</v>
      </c>
      <c r="AZ144" s="163" t="b">
        <v>0</v>
      </c>
      <c r="BA144" s="163" t="b">
        <v>0</v>
      </c>
      <c r="BB144" s="163" t="b">
        <v>0</v>
      </c>
      <c r="BC144" s="163" t="b">
        <v>0</v>
      </c>
      <c r="BD144" s="163" t="b">
        <v>1</v>
      </c>
      <c r="BE144" s="163" t="b">
        <v>1</v>
      </c>
      <c r="BF144" s="163" t="b">
        <v>0</v>
      </c>
      <c r="BG144" s="164" t="b">
        <v>0</v>
      </c>
      <c r="BH144" s="163" t="b">
        <v>1</v>
      </c>
      <c r="BI144" s="163" t="b">
        <v>0</v>
      </c>
      <c r="BJ144" s="163" t="b">
        <v>0</v>
      </c>
      <c r="BK144" s="163" t="b">
        <v>0</v>
      </c>
      <c r="BL144" s="163" t="b">
        <v>0</v>
      </c>
      <c r="BM144" s="163"/>
      <c r="BN144" s="163" t="b">
        <v>0</v>
      </c>
      <c r="BO144" s="163" t="b">
        <v>0</v>
      </c>
      <c r="BP144" s="163"/>
      <c r="BQ144" s="163" t="b">
        <v>0</v>
      </c>
      <c r="BR144" s="163" t="b">
        <v>0</v>
      </c>
      <c r="BS144" s="163"/>
      <c r="BT144" s="163" t="b">
        <v>0</v>
      </c>
      <c r="BU144" s="163" t="b">
        <v>0</v>
      </c>
      <c r="BV144" s="163"/>
      <c r="BW144" s="163" t="b">
        <v>0</v>
      </c>
      <c r="BX144" s="163" t="b">
        <v>0</v>
      </c>
      <c r="BY144" s="163"/>
      <c r="BZ144" s="163" t="b">
        <v>0</v>
      </c>
      <c r="CA144" s="163" t="b">
        <v>0</v>
      </c>
      <c r="CB144" s="163"/>
      <c r="CC144" s="163" t="b">
        <v>0</v>
      </c>
      <c r="CD144" s="163" t="b">
        <v>0</v>
      </c>
      <c r="CE144" s="163"/>
      <c r="CF144" s="163" t="b">
        <v>0</v>
      </c>
      <c r="CG144" s="163" t="b">
        <v>0</v>
      </c>
      <c r="CH144" s="163"/>
      <c r="CI144" s="163" t="b">
        <v>0</v>
      </c>
      <c r="CJ144" s="163" t="b">
        <v>0</v>
      </c>
      <c r="CK144" s="163"/>
      <c r="CL144" s="163" t="b">
        <v>0</v>
      </c>
      <c r="CM144" s="163" t="b">
        <v>0</v>
      </c>
      <c r="CN144" s="163"/>
      <c r="CO144" s="163" t="b">
        <v>0</v>
      </c>
      <c r="CP144" s="163" t="b">
        <v>0</v>
      </c>
      <c r="CQ144" s="163"/>
      <c r="CR144" s="163" t="b">
        <v>0</v>
      </c>
      <c r="CS144" s="163" t="b">
        <v>0</v>
      </c>
      <c r="CT144" s="163" t="b">
        <v>0</v>
      </c>
      <c r="CU144" s="163" t="b">
        <v>0</v>
      </c>
      <c r="CV144" s="163"/>
      <c r="CW144" s="163" t="b">
        <v>0</v>
      </c>
      <c r="CX144" s="163" t="b">
        <v>0</v>
      </c>
      <c r="CY144" s="163" t="b">
        <v>0</v>
      </c>
      <c r="CZ144" s="163" t="b">
        <v>0</v>
      </c>
      <c r="DA144" s="163" t="s">
        <v>797</v>
      </c>
      <c r="DB144" s="163"/>
      <c r="DC144" s="163"/>
      <c r="DD144" s="163"/>
      <c r="DE144" s="163"/>
      <c r="DF144" s="163"/>
      <c r="DG144" s="208"/>
      <c r="DH144" s="163"/>
      <c r="DI144" s="163"/>
      <c r="DJ144" s="163"/>
      <c r="DK144" s="163"/>
      <c r="DL144" s="163"/>
      <c r="DM144" s="163" t="b">
        <v>0</v>
      </c>
      <c r="DN144" s="163" t="b">
        <v>0</v>
      </c>
      <c r="DO144" s="163" t="b">
        <v>0</v>
      </c>
      <c r="DP144" s="163" t="b">
        <v>0</v>
      </c>
      <c r="DQ144" s="163" t="b">
        <v>0</v>
      </c>
      <c r="DR144" s="163" t="b">
        <v>0</v>
      </c>
      <c r="DS144" s="163" t="b">
        <v>0</v>
      </c>
      <c r="DT144" s="163" t="b">
        <v>0</v>
      </c>
      <c r="DU144" s="163" t="b">
        <v>0</v>
      </c>
      <c r="DV144" s="163" t="b">
        <v>0</v>
      </c>
      <c r="DW144" s="163" t="b">
        <v>0</v>
      </c>
      <c r="DX144" s="163" t="b">
        <v>0</v>
      </c>
      <c r="DY144" s="163" t="b">
        <v>0</v>
      </c>
      <c r="DZ144" s="163" t="b">
        <v>0</v>
      </c>
      <c r="EA144" s="163" t="b">
        <v>0</v>
      </c>
      <c r="EB144" s="163" t="b">
        <v>0</v>
      </c>
      <c r="EC144" s="163" t="b">
        <v>0</v>
      </c>
      <c r="ED144" s="163" t="b">
        <v>0</v>
      </c>
      <c r="EE144" s="163" t="b">
        <v>0</v>
      </c>
      <c r="EF144" s="163" t="b">
        <v>0</v>
      </c>
      <c r="EG144" s="163"/>
      <c r="EH144" s="160">
        <f>IF([Chambre]*1='CHAMBRES FILLES 2e ETAGE'!$A$5,1,0)</f>
        <v>0</v>
      </c>
      <c r="EI144" s="161">
        <f>IF([Occurrence2]=0,0,SUM($EH$2:EH144))</f>
        <v>0</v>
      </c>
      <c r="EJ144" s="160">
        <f>IF([Chambre]*1='CHAMBRES FILLES 2e ETAGE'!$A$11,1,0)</f>
        <v>0</v>
      </c>
      <c r="EK144" s="160">
        <f>IF([Occurrence3]=0,0,SUM($EJ$2:EJ144))</f>
        <v>0</v>
      </c>
      <c r="EL144" s="160">
        <f>IF([Chambre]*1='CHAMBRES FILLES 2e ETAGE'!$A$17,1,0)</f>
        <v>0</v>
      </c>
      <c r="EM144" s="160">
        <f>IF([Occurrence4]=0,0,SUM($EL$2:EL144))</f>
        <v>0</v>
      </c>
      <c r="EN144" s="160">
        <f>IF([Chambre]*1='CHAMBRES FILLES 2e ETAGE'!$A$23,1,0)</f>
        <v>0</v>
      </c>
      <c r="EO144" s="160">
        <f>IF([Occurrence5]=0,0,SUM($EN$2:EN144))</f>
        <v>0</v>
      </c>
      <c r="EP144" s="160">
        <f>IF([Chambre]*1='CHAMBRES FILLES 2e ETAGE'!$A$29,1,0)</f>
        <v>0</v>
      </c>
      <c r="EQ144" s="160">
        <f>IF([Occurrence6]=0,0,SUM($EP$2:EP144))</f>
        <v>0</v>
      </c>
      <c r="ER144" s="160">
        <f>IF([Chambre]*1='CHAMBRES FILLES 2e ETAGE'!$A$35,1,0)</f>
        <v>0</v>
      </c>
      <c r="ES144" s="160">
        <f>IF([Occurrence7]=0,0,SUM($ER$2:ER144))</f>
        <v>0</v>
      </c>
      <c r="ET144" s="160">
        <f>IF([Chambre]*1='CHAMBRES FILLES 2e ETAGE'!$A$41,1,0)</f>
        <v>0</v>
      </c>
      <c r="EU144" s="160">
        <f>IF([Occurrence8]=0,0,SUM($ET$2:ET144))</f>
        <v>0</v>
      </c>
      <c r="EV144" s="160">
        <f>IF([Chambre]*1='CHAMBRES FILLES 2e ETAGE'!$A$47,1,0)</f>
        <v>0</v>
      </c>
      <c r="EW144" s="160">
        <f>IF([Occurrence9]=0,0,SUM($EV$2:EV144))</f>
        <v>0</v>
      </c>
      <c r="EX144" s="160">
        <f>IF([Chambre]*1='CHAMBRES FILLES 2e ETAGE'!$A$53,1,0)</f>
        <v>0</v>
      </c>
      <c r="EY144" s="160">
        <f>IF([Occurrence10]=0,0,SUM($EX$2:EX144))</f>
        <v>0</v>
      </c>
      <c r="EZ144" s="160">
        <f>IF([Chambre]*1='CHAMBRES FILLES 2e ETAGE'!$A$59,1,0)</f>
        <v>0</v>
      </c>
      <c r="FA144" s="160">
        <f>IF([Occurrence11]=0,0,SUM($EZ$2:EZ144))</f>
        <v>0</v>
      </c>
      <c r="FB144" s="160">
        <f>IF([Chambre]*1='CHAMBRES FILLES 2e ETAGE'!$A$65,1,0)</f>
        <v>0</v>
      </c>
      <c r="FC144" s="160">
        <f>IF([Occurrence12]=0,0,SUM($FB$2:FB144))</f>
        <v>0</v>
      </c>
      <c r="FD144" s="160">
        <f>IF([Chambre]*1='CHAMBRES FILLES 2e ETAGE'!$A$71,1,0)</f>
        <v>0</v>
      </c>
      <c r="FE144" s="160">
        <f>IF([Occurrence13]=0,0,SUM($FD$2:FD144))</f>
        <v>0</v>
      </c>
      <c r="FF144" s="160">
        <f>IF([Chambre]*1='CHAMBRES FILLES 2e ETAGE'!$A$77,1,0)</f>
        <v>0</v>
      </c>
      <c r="FG144" s="160">
        <f>IF([Occurrence14]=0,0,SUM($FF$2:FF144))</f>
        <v>0</v>
      </c>
      <c r="FH144" s="160">
        <f>IF([Chambre]*1='CHAMBRES FILLES 2e ETAGE'!$A$83,1,0)</f>
        <v>0</v>
      </c>
      <c r="FI144" s="160">
        <f>IF([Occurrence15]=0,0,SUM($FH$2:FH144))</f>
        <v>0</v>
      </c>
      <c r="FJ144" s="160">
        <f>IF([Chambre]*1='CHAMBRES FILLES 2e ETAGE'!$A$89,1,0)</f>
        <v>0</v>
      </c>
      <c r="FK144" s="160">
        <f>IF([Occurrence16]=0,0,SUM($FJ$2:FJ144))</f>
        <v>0</v>
      </c>
      <c r="FL144" s="160">
        <f>IF([Chambre]*1='CHAMBRES FILLES 2e ETAGE'!$A$95,1,0)</f>
        <v>0</v>
      </c>
      <c r="FM144" s="160">
        <f>IF([Occurrence17]=0,0,SUM($FL$2:FL144))</f>
        <v>0</v>
      </c>
      <c r="FN144" s="160">
        <f>IF([Chambre2]*1='CHAMBRES FILLES 1e ETAGE'!$A$5,1,0)</f>
        <v>0</v>
      </c>
      <c r="FO144" s="160">
        <f>IF([Occurrence18]=0,0,SUM($FN$2:FN144))</f>
        <v>0</v>
      </c>
      <c r="FP144" s="160">
        <f>IF([Chambre2]*1='CHAMBRES FILLES 1e ETAGE'!$A$11,1,0)</f>
        <v>0</v>
      </c>
      <c r="FQ144" s="160">
        <f>IF([Occurrence19]=0,0,SUM($FP$2:FP144))</f>
        <v>0</v>
      </c>
      <c r="FR144" s="160">
        <f>IF([Chambre2]*1='CHAMBRES FILLES 1e ETAGE'!$A$17,1,0)</f>
        <v>0</v>
      </c>
      <c r="FS144" s="160">
        <f>IF([Occurrence20]=0,0,SUM($FR$2:FR144))</f>
        <v>0</v>
      </c>
      <c r="FT144" s="160">
        <f>IF([Chambre2]*1='CHAMBRES FILLES 1e ETAGE'!$A$23,1,0)</f>
        <v>0</v>
      </c>
      <c r="FU144" s="160">
        <f>IF([Occurrence21]=0,0,SUM($FT$2:FT144))</f>
        <v>0</v>
      </c>
      <c r="FV144" s="160">
        <f>IF([Chambre2]*1='CHAMBRES FILLES 1e ETAGE'!$A$29,1,0)</f>
        <v>0</v>
      </c>
      <c r="FW144" s="160">
        <f>IF([Occurrence22]=0,0,SUM($FV$2:FV144))</f>
        <v>0</v>
      </c>
      <c r="FX144" s="160">
        <f>IF([Chambre2]*1='CHAMBRES FILLES 1e ETAGE'!$A$35,1,0)</f>
        <v>0</v>
      </c>
      <c r="FY144" s="160">
        <f>IF([Occurrence23]=0,0,SUM($FX$2:FX144))</f>
        <v>0</v>
      </c>
      <c r="FZ144" s="160">
        <f>IF([Chambre2]*1='CHAMBRES FILLES 1e ETAGE'!$A$41,1,0)</f>
        <v>0</v>
      </c>
      <c r="GA144" s="160">
        <f>IF([Occurrence24]=0,0,SUM($FZ$2:FZ144))</f>
        <v>0</v>
      </c>
      <c r="GB144" s="160">
        <f>IF([Chambre2]*1='CHAMBRES FILLES 1e ETAGE'!$A$47,1,0)</f>
        <v>0</v>
      </c>
      <c r="GC144" s="160">
        <f>IF([Occurrence25]=0,0,SUM($GB$2:GB144))</f>
        <v>0</v>
      </c>
      <c r="GD144" s="160">
        <f>IF([Chambre2]*1='CHAMBRES FILLES 1e ETAGE'!$A$53,1,0)</f>
        <v>0</v>
      </c>
      <c r="GE144" s="160">
        <f>IF([Occurrence26]=0,0,SUM($GD$2:GD144))</f>
        <v>0</v>
      </c>
      <c r="GF144" s="160">
        <f>IF([chambre4]*1='CHAMBRES GARCONS 1e ETAGE'!$A$5,1,0)</f>
        <v>0</v>
      </c>
      <c r="GG144" s="160">
        <f>IF([Occurrence27]=0,0,SUM($GF$2:GF144))</f>
        <v>0</v>
      </c>
      <c r="GH144" s="160">
        <f>IF([chambre4]*1='CHAMBRES GARCONS 1e ETAGE'!$A$11,1,0)</f>
        <v>0</v>
      </c>
      <c r="GI144" s="160">
        <f>IF([Occurrence28]=0,0,SUM($GH$2:GH144))</f>
        <v>0</v>
      </c>
      <c r="GJ144" s="160">
        <f>IF([chambre4]*1='CHAMBRES GARCONS 1e ETAGE'!$A$17,1,0)</f>
        <v>0</v>
      </c>
      <c r="GK144" s="160">
        <f>IF([Occurrence29]=0,0,SUM($GJ$2:GJ144))</f>
        <v>0</v>
      </c>
      <c r="GL144" s="160">
        <f>IF([chambre4]*1='CHAMBRES GARCONS 1e ETAGE'!$A$23,1,0)</f>
        <v>0</v>
      </c>
      <c r="GM144" s="160">
        <f>IF([Occurrence30]=0,0,SUM($GL$2:GL144))</f>
        <v>0</v>
      </c>
      <c r="GN144" s="160">
        <f>IF([chambre4]*1='CHAMBRES GARCONS 1e ETAGE'!$A$29,1,0)</f>
        <v>0</v>
      </c>
      <c r="GO144" s="160">
        <f>IF([Occurrence31]=0,0,SUM($GN$2:GN144))</f>
        <v>0</v>
      </c>
      <c r="GP144" s="160">
        <f>IF([chambre4]*1='CHAMBRES GARCONS 1e ETAGE'!$A$35,1,0)</f>
        <v>0</v>
      </c>
      <c r="GQ144" s="160">
        <f>IF([Occurrence32]=0,0,SUM($GP$2:GP144))</f>
        <v>0</v>
      </c>
      <c r="GR144" s="160">
        <f>IF([chambre3]*1='CHAMBRES GARCONS RDC'!$A$5,1,0)</f>
        <v>0</v>
      </c>
      <c r="GS144" s="160">
        <f>IF([Occurrence33]=0,0,SUM($GR$2:GR144))</f>
        <v>0</v>
      </c>
      <c r="GT144" s="160">
        <f>IF([chambre3]*1='CHAMBRES GARCONS RDC'!$A$11,1,0)</f>
        <v>0</v>
      </c>
      <c r="GU144" s="160">
        <f>IF([Occurrence34]=0,0,SUM($GT$2:GT144))</f>
        <v>0</v>
      </c>
      <c r="GV144" s="160">
        <f>IF([chambre3]*1='CHAMBRES GARCONS RDC'!$A$17,1,0)</f>
        <v>0</v>
      </c>
      <c r="GW144" s="160">
        <f>IF([Occurrence35]=0,0,SUM($GV$2:GV144))</f>
        <v>0</v>
      </c>
      <c r="GX144" s="160">
        <f>IF([chambre3]*1='CHAMBRES GARCONS RDC'!$A$23,1,0)</f>
        <v>1</v>
      </c>
      <c r="GY144" s="160">
        <f>IF([Occurrence36]=0,0,SUM($GX$2:GX144))</f>
        <v>1</v>
      </c>
      <c r="GZ144" s="160">
        <f>IF([chambre3]*1='CHAMBRES GARCONS RDC'!$A$29,1,0)</f>
        <v>0</v>
      </c>
      <c r="HA144" s="160">
        <f>IF([Occurrence37]=0,0,SUM($GZ$2:GZ144))</f>
        <v>0</v>
      </c>
      <c r="HB144" s="160">
        <f>IF([chambre3]*1='CHAMBRES GARCONS RDC'!$A$35,1,0)</f>
        <v>0</v>
      </c>
      <c r="HC144" s="160">
        <f>IF([Occurrence38]=0,0,SUM($HB$2:HB144))</f>
        <v>0</v>
      </c>
      <c r="HD144" s="160">
        <f>IF([chambre3]*1='CHAMBRES GARCONS RDC'!$A$41,1,0)</f>
        <v>0</v>
      </c>
      <c r="HE144" s="160">
        <f>IF([Occurrence39]=0,0,SUM($HD$2:HD144))</f>
        <v>0</v>
      </c>
      <c r="HF144" s="160">
        <f>IF([chambre3]*1='CHAMBRES GARCONS RDC'!$A$47,1,0)</f>
        <v>0</v>
      </c>
      <c r="HG144" s="160">
        <f>IF([Occurrence40]=0,0,SUM($HF$2:HF144))</f>
        <v>0</v>
      </c>
      <c r="HH144" s="160">
        <f>IF([chambre3]*1='CHAMBRES GARCONS RDC'!$A$53,1,0)</f>
        <v>0</v>
      </c>
      <c r="HI144" s="160">
        <f>IF([Occurrence41]=0,0,SUM($HH$2:HH144))</f>
        <v>0</v>
      </c>
      <c r="HJ144" s="160">
        <f>IF([chambre3]*1='CHAMBRES GARCONS RDC'!$A$59,1,0)</f>
        <v>0</v>
      </c>
      <c r="HK144" s="160">
        <f>IF([Occurrence42]=0,0,SUM($HJ$2:HJ144))</f>
        <v>0</v>
      </c>
      <c r="HL144" s="160">
        <f>IF([chambre3]*1='CHAMBRES GARCONS RDC'!$A$65,1,0)</f>
        <v>0</v>
      </c>
      <c r="HM144" s="160">
        <f>IF([Occurrence43]=0,0,SUM($HL$2:HL144))</f>
        <v>0</v>
      </c>
      <c r="HN144" s="160">
        <f>IF([chambre3]*1='CHAMBRES GARCONS RDC'!$A$71,1,0)</f>
        <v>0</v>
      </c>
      <c r="HO144" s="160">
        <f>IF([Occurrence44]=0,0,SUM($HN$2:HN144))</f>
        <v>0</v>
      </c>
      <c r="HP144" s="160">
        <f>IF([chambre3]*1='CHAMBRES GARCONS RDC'!$A$77,1,0)</f>
        <v>0</v>
      </c>
      <c r="HQ144" s="160">
        <f>IF([Occurrence45]=0,0,SUM($HP$2:HP144))</f>
        <v>0</v>
      </c>
      <c r="HR144" s="160">
        <f>IF([chambre3]*1='CHAMBRES GARCONS RDC'!$A$83,1,0)</f>
        <v>0</v>
      </c>
      <c r="HS144" s="160">
        <f>IF([Occurrence46]=0,0,SUM($HR$2:HR144))</f>
        <v>0</v>
      </c>
      <c r="HT144" s="160">
        <f>IF([chambre3]*1='CHAMBRES GARCONS RDC'!$A$89,1,0)</f>
        <v>0</v>
      </c>
      <c r="HU144" s="160">
        <f>IF([Occurrence47]=0,0,SUM($HT$2:HT144))</f>
        <v>0</v>
      </c>
      <c r="HV144" s="160">
        <f>IF([chambre3]*1='CHAMBRES GARCONS RDC'!$A$95,1,0)</f>
        <v>0</v>
      </c>
      <c r="HW144" s="160">
        <f>IF([Occurrence48]=0,0,SUM($HV$2:HV144))</f>
        <v>0</v>
      </c>
      <c r="HX144" s="160"/>
      <c r="HY144" s="160"/>
      <c r="HZ144" s="160">
        <f>IF([Classe]='Liste élève par classes'!$B$5,1,0)</f>
        <v>0</v>
      </c>
      <c r="IA144" s="160">
        <f>IF([Occurrence]=0,0,SUM($HZ$2:HZ144))</f>
        <v>0</v>
      </c>
      <c r="IB14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114</v>
      </c>
      <c r="IC144" s="208"/>
    </row>
    <row r="145" spans="1:237">
      <c r="A145" t="s">
        <v>493</v>
      </c>
      <c r="B145" t="s">
        <v>494</v>
      </c>
      <c r="C145" s="158">
        <v>37272</v>
      </c>
      <c r="D145" s="62">
        <f t="shared" ca="1" si="2"/>
        <v>15</v>
      </c>
      <c r="E145" t="s">
        <v>5</v>
      </c>
      <c r="F145" s="159" t="s">
        <v>46</v>
      </c>
      <c r="G145" t="s">
        <v>45</v>
      </c>
      <c r="H145" s="160"/>
      <c r="I145" s="62"/>
      <c r="J145" s="62"/>
      <c r="K145" s="62"/>
      <c r="L145" s="61"/>
      <c r="M145">
        <v>257</v>
      </c>
      <c r="N145" s="62"/>
      <c r="O145" s="62"/>
      <c r="P145" s="62"/>
      <c r="Q145" s="62"/>
      <c r="R145" s="62"/>
      <c r="S145" s="62"/>
      <c r="T145" s="62"/>
      <c r="U145" s="61"/>
      <c r="V145" s="62"/>
      <c r="W145" s="62"/>
      <c r="X145" s="62"/>
      <c r="Y145" s="62"/>
      <c r="Z145" s="62"/>
      <c r="AA145" s="62"/>
      <c r="AB145" s="62"/>
      <c r="AC145" s="62"/>
      <c r="AD145" s="62"/>
      <c r="AE145" s="62"/>
      <c r="AF145" s="163"/>
      <c r="AG145" s="163"/>
      <c r="AH145" s="163"/>
      <c r="AI145" s="163"/>
      <c r="AJ145" s="163"/>
      <c r="AK145" s="163"/>
      <c r="AL145" s="163"/>
      <c r="AM145" s="163"/>
      <c r="AN145" s="163"/>
      <c r="AO145" s="163"/>
      <c r="AP145" s="163"/>
      <c r="AQ145" s="163"/>
      <c r="AR145" s="163"/>
      <c r="AS145" s="163"/>
      <c r="AT145" s="163"/>
      <c r="AU145" s="163"/>
      <c r="AV145" s="163"/>
      <c r="AW145" s="163"/>
      <c r="AX145" s="163"/>
      <c r="AY145" s="163"/>
      <c r="AZ145" s="163"/>
      <c r="BA145" s="163"/>
      <c r="BB145" s="163"/>
      <c r="BC145" s="163"/>
      <c r="BD145" s="163"/>
      <c r="BE145" s="163"/>
      <c r="BF145" s="163"/>
      <c r="BG145" s="163"/>
      <c r="BH145" s="163"/>
      <c r="BI145" s="163"/>
      <c r="BJ145" s="163"/>
      <c r="BK145" s="163"/>
      <c r="BL145" s="163"/>
      <c r="BM145" s="163"/>
      <c r="BN145" s="163"/>
      <c r="BO145" s="163"/>
      <c r="BP145" s="163"/>
      <c r="BQ145" s="163"/>
      <c r="BR145" s="163"/>
      <c r="BS145" s="163"/>
      <c r="BT145" s="163"/>
      <c r="BU145" s="163"/>
      <c r="BV145" s="163"/>
      <c r="BW145" s="163"/>
      <c r="BX145" s="163"/>
      <c r="BY145" s="163"/>
      <c r="BZ145" s="163"/>
      <c r="CA145" s="163"/>
      <c r="CB145" s="163"/>
      <c r="CC145" s="163"/>
      <c r="CD145" s="163"/>
      <c r="CE145" s="163"/>
      <c r="CF145" s="163"/>
      <c r="CG145" s="163"/>
      <c r="CH145" s="163"/>
      <c r="CI145" s="163"/>
      <c r="CJ145" s="163"/>
      <c r="CK145" s="163"/>
      <c r="CL145" s="163"/>
      <c r="CM145" s="163"/>
      <c r="CN145" s="163"/>
      <c r="CO145" s="163"/>
      <c r="CP145" s="163"/>
      <c r="CQ145" s="163"/>
      <c r="CR145" s="163"/>
      <c r="CS145" s="163"/>
      <c r="CT145" s="163"/>
      <c r="CU145" s="163"/>
      <c r="CV145" s="163"/>
      <c r="CW145" s="163"/>
      <c r="CX145" s="163"/>
      <c r="CY145" s="163"/>
      <c r="CZ145" s="163"/>
      <c r="DA145" s="163"/>
      <c r="DB145" s="163"/>
      <c r="DC145" s="163"/>
      <c r="DD145" s="163"/>
      <c r="DE145" s="163"/>
      <c r="DF145" s="163"/>
      <c r="DG145" s="163"/>
      <c r="DH145" s="163"/>
      <c r="DI145" s="163"/>
      <c r="DJ145" s="163"/>
      <c r="DK145" s="163"/>
      <c r="DL145" s="163"/>
      <c r="DM145" s="163"/>
      <c r="DN145" s="163"/>
      <c r="DO145" s="163"/>
      <c r="DP145" s="163"/>
      <c r="DQ145" s="163"/>
      <c r="DR145" s="163"/>
      <c r="DS145" s="163"/>
      <c r="DT145" s="163"/>
      <c r="DU145" s="163"/>
      <c r="DV145" s="163"/>
      <c r="DW145" s="163"/>
      <c r="DX145" s="163"/>
      <c r="DY145" s="163"/>
      <c r="DZ145" s="163"/>
      <c r="EA145" s="163"/>
      <c r="EB145" s="163"/>
      <c r="EC145" s="163"/>
      <c r="ED145" s="163"/>
      <c r="EE145" s="163"/>
      <c r="EF145" s="163"/>
      <c r="EG145" s="163"/>
      <c r="EH145" s="160">
        <f>IF([Chambre]*1='CHAMBRES FILLES 2e ETAGE'!$A$5,1,0)</f>
        <v>0</v>
      </c>
      <c r="EI145" s="161">
        <f>IF([Occurrence2]=0,0,SUM($EH$2:EH145))</f>
        <v>0</v>
      </c>
      <c r="EJ145" s="160">
        <f>IF([Chambre]*1='CHAMBRES FILLES 2e ETAGE'!$A$11,1,0)</f>
        <v>0</v>
      </c>
      <c r="EK145" s="160">
        <f>IF([Occurrence3]=0,0,SUM($EJ$2:EJ145))</f>
        <v>0</v>
      </c>
      <c r="EL145" s="160">
        <f>IF([Chambre]*1='CHAMBRES FILLES 2e ETAGE'!$A$17,1,0)</f>
        <v>0</v>
      </c>
      <c r="EM145" s="160">
        <f>IF([Occurrence4]=0,0,SUM($EL$2:EL145))</f>
        <v>0</v>
      </c>
      <c r="EN145" s="160">
        <f>IF([Chambre]*1='CHAMBRES FILLES 2e ETAGE'!$A$23,1,0)</f>
        <v>0</v>
      </c>
      <c r="EO145" s="160">
        <f>IF([Occurrence5]=0,0,SUM($EN$2:EN145))</f>
        <v>0</v>
      </c>
      <c r="EP145" s="160">
        <f>IF([Chambre]*1='CHAMBRES FILLES 2e ETAGE'!$A$29,1,0)</f>
        <v>0</v>
      </c>
      <c r="EQ145" s="160">
        <f>IF([Occurrence6]=0,0,SUM($EP$2:EP145))</f>
        <v>0</v>
      </c>
      <c r="ER145" s="160">
        <f>IF([Chambre]*1='CHAMBRES FILLES 2e ETAGE'!$A$35,1,0)</f>
        <v>0</v>
      </c>
      <c r="ES145" s="160">
        <f>IF([Occurrence7]=0,0,SUM($ER$2:ER145))</f>
        <v>0</v>
      </c>
      <c r="ET145" s="160">
        <f>IF([Chambre]*1='CHAMBRES FILLES 2e ETAGE'!$A$41,1,0)</f>
        <v>0</v>
      </c>
      <c r="EU145" s="160">
        <f>IF([Occurrence8]=0,0,SUM($ET$2:ET145))</f>
        <v>0</v>
      </c>
      <c r="EV145" s="160">
        <f>IF([Chambre]*1='CHAMBRES FILLES 2e ETAGE'!$A$47,1,0)</f>
        <v>0</v>
      </c>
      <c r="EW145" s="160">
        <f>IF([Occurrence9]=0,0,SUM($EV$2:EV145))</f>
        <v>0</v>
      </c>
      <c r="EX145" s="160">
        <f>IF([Chambre]*1='CHAMBRES FILLES 2e ETAGE'!$A$53,1,0)</f>
        <v>0</v>
      </c>
      <c r="EY145" s="160">
        <f>IF([Occurrence10]=0,0,SUM($EX$2:EX145))</f>
        <v>0</v>
      </c>
      <c r="EZ145" s="160">
        <f>IF([Chambre]*1='CHAMBRES FILLES 2e ETAGE'!$A$59,1,0)</f>
        <v>0</v>
      </c>
      <c r="FA145" s="160">
        <f>IF([Occurrence11]=0,0,SUM($EZ$2:EZ145))</f>
        <v>0</v>
      </c>
      <c r="FB145" s="160">
        <f>IF([Chambre]*1='CHAMBRES FILLES 2e ETAGE'!$A$65,1,0)</f>
        <v>0</v>
      </c>
      <c r="FC145" s="160">
        <f>IF([Occurrence12]=0,0,SUM($FB$2:FB145))</f>
        <v>0</v>
      </c>
      <c r="FD145" s="160">
        <f>IF([Chambre]*1='CHAMBRES FILLES 2e ETAGE'!$A$71,1,0)</f>
        <v>0</v>
      </c>
      <c r="FE145" s="160">
        <f>IF([Occurrence13]=0,0,SUM($FD$2:FD145))</f>
        <v>0</v>
      </c>
      <c r="FF145" s="160">
        <f>IF([Chambre]*1='CHAMBRES FILLES 2e ETAGE'!$A$77,1,0)</f>
        <v>0</v>
      </c>
      <c r="FG145" s="160">
        <f>IF([Occurrence14]=0,0,SUM($FF$2:FF145))</f>
        <v>0</v>
      </c>
      <c r="FH145" s="160">
        <f>IF([Chambre]*1='CHAMBRES FILLES 2e ETAGE'!$A$83,1,0)</f>
        <v>0</v>
      </c>
      <c r="FI145" s="160">
        <f>IF([Occurrence15]=0,0,SUM($FH$2:FH145))</f>
        <v>0</v>
      </c>
      <c r="FJ145" s="160">
        <f>IF([Chambre]*1='CHAMBRES FILLES 2e ETAGE'!$A$89,1,0)</f>
        <v>0</v>
      </c>
      <c r="FK145" s="160">
        <f>IF([Occurrence16]=0,0,SUM($FJ$2:FJ145))</f>
        <v>0</v>
      </c>
      <c r="FL145" s="160">
        <f>IF([Chambre]*1='CHAMBRES FILLES 2e ETAGE'!$A$95,1,0)</f>
        <v>0</v>
      </c>
      <c r="FM145" s="160">
        <f>IF([Occurrence17]=0,0,SUM($FL$2:FL145))</f>
        <v>0</v>
      </c>
      <c r="FN145" s="160">
        <f>IF([Chambre2]*1='CHAMBRES FILLES 1e ETAGE'!$A$5,1,0)</f>
        <v>0</v>
      </c>
      <c r="FO145" s="160">
        <f>IF([Occurrence18]=0,0,SUM($FN$2:FN145))</f>
        <v>0</v>
      </c>
      <c r="FP145" s="160">
        <f>IF([Chambre2]*1='CHAMBRES FILLES 1e ETAGE'!$A$11,1,0)</f>
        <v>0</v>
      </c>
      <c r="FQ145" s="160">
        <f>IF([Occurrence19]=0,0,SUM($FP$2:FP145))</f>
        <v>0</v>
      </c>
      <c r="FR145" s="160">
        <f>IF([Chambre2]*1='CHAMBRES FILLES 1e ETAGE'!$A$17,1,0)</f>
        <v>0</v>
      </c>
      <c r="FS145" s="160">
        <f>IF([Occurrence20]=0,0,SUM($FR$2:FR145))</f>
        <v>0</v>
      </c>
      <c r="FT145" s="160">
        <f>IF([Chambre2]*1='CHAMBRES FILLES 1e ETAGE'!$A$23,1,0)</f>
        <v>0</v>
      </c>
      <c r="FU145" s="160">
        <f>IF([Occurrence21]=0,0,SUM($FT$2:FT145))</f>
        <v>0</v>
      </c>
      <c r="FV145" s="160">
        <f>IF([Chambre2]*1='CHAMBRES FILLES 1e ETAGE'!$A$29,1,0)</f>
        <v>0</v>
      </c>
      <c r="FW145" s="160">
        <f>IF([Occurrence22]=0,0,SUM($FV$2:FV145))</f>
        <v>0</v>
      </c>
      <c r="FX145" s="160">
        <f>IF([Chambre2]*1='CHAMBRES FILLES 1e ETAGE'!$A$35,1,0)</f>
        <v>0</v>
      </c>
      <c r="FY145" s="160">
        <f>IF([Occurrence23]=0,0,SUM($FX$2:FX145))</f>
        <v>0</v>
      </c>
      <c r="FZ145" s="160">
        <f>IF([Chambre2]*1='CHAMBRES FILLES 1e ETAGE'!$A$41,1,0)</f>
        <v>0</v>
      </c>
      <c r="GA145" s="160">
        <f>IF([Occurrence24]=0,0,SUM($FZ$2:FZ145))</f>
        <v>0</v>
      </c>
      <c r="GB145" s="160">
        <f>IF([Chambre2]*1='CHAMBRES FILLES 1e ETAGE'!$A$47,1,0)</f>
        <v>0</v>
      </c>
      <c r="GC145" s="160">
        <f>IF([Occurrence25]=0,0,SUM($GB$2:GB145))</f>
        <v>0</v>
      </c>
      <c r="GD145" s="160">
        <f>IF([Chambre2]*1='CHAMBRES FILLES 1e ETAGE'!$A$53,1,0)</f>
        <v>0</v>
      </c>
      <c r="GE145" s="160">
        <f>IF([Occurrence26]=0,0,SUM($GD$2:GD145))</f>
        <v>0</v>
      </c>
      <c r="GF145" s="160">
        <f>IF([chambre4]*1='CHAMBRES GARCONS 1e ETAGE'!$A$5,1,0)</f>
        <v>0</v>
      </c>
      <c r="GG145" s="160">
        <f>IF([Occurrence27]=0,0,SUM($GF$2:GF145))</f>
        <v>0</v>
      </c>
      <c r="GH145" s="160">
        <f>IF([chambre4]*1='CHAMBRES GARCONS 1e ETAGE'!$A$11,1,0)</f>
        <v>0</v>
      </c>
      <c r="GI145" s="160">
        <f>IF([Occurrence28]=0,0,SUM($GH$2:GH145))</f>
        <v>0</v>
      </c>
      <c r="GJ145" s="160">
        <f>IF([chambre4]*1='CHAMBRES GARCONS 1e ETAGE'!$A$17,1,0)</f>
        <v>0</v>
      </c>
      <c r="GK145" s="160">
        <f>IF([Occurrence29]=0,0,SUM($GJ$2:GJ145))</f>
        <v>0</v>
      </c>
      <c r="GL145" s="160">
        <f>IF([chambre4]*1='CHAMBRES GARCONS 1e ETAGE'!$A$23,1,0)</f>
        <v>0</v>
      </c>
      <c r="GM145" s="160">
        <f>IF([Occurrence30]=0,0,SUM($GL$2:GL145))</f>
        <v>0</v>
      </c>
      <c r="GN145" s="160">
        <f>IF([chambre4]*1='CHAMBRES GARCONS 1e ETAGE'!$A$29,1,0)</f>
        <v>0</v>
      </c>
      <c r="GO145" s="160">
        <f>IF([Occurrence31]=0,0,SUM($GN$2:GN145))</f>
        <v>0</v>
      </c>
      <c r="GP145" s="160">
        <f>IF([chambre4]*1='CHAMBRES GARCONS 1e ETAGE'!$A$35,1,0)</f>
        <v>0</v>
      </c>
      <c r="GQ145" s="160">
        <f>IF([Occurrence32]=0,0,SUM($GP$2:GP145))</f>
        <v>0</v>
      </c>
      <c r="GR145" s="160">
        <f>IF([chambre3]*1='CHAMBRES GARCONS RDC'!$A$5,1,0)</f>
        <v>0</v>
      </c>
      <c r="GS145" s="160">
        <f>IF([Occurrence33]=0,0,SUM($GR$2:GR145))</f>
        <v>0</v>
      </c>
      <c r="GT145" s="160">
        <f>IF([chambre3]*1='CHAMBRES GARCONS RDC'!$A$11,1,0)</f>
        <v>0</v>
      </c>
      <c r="GU145" s="160">
        <f>IF([Occurrence34]=0,0,SUM($GT$2:GT145))</f>
        <v>0</v>
      </c>
      <c r="GV145" s="160">
        <f>IF([chambre3]*1='CHAMBRES GARCONS RDC'!$A$17,1,0)</f>
        <v>0</v>
      </c>
      <c r="GW145" s="160">
        <f>IF([Occurrence35]=0,0,SUM($GV$2:GV145))</f>
        <v>0</v>
      </c>
      <c r="GX145" s="160">
        <f>IF([chambre3]*1='CHAMBRES GARCONS RDC'!$A$23,1,0)</f>
        <v>0</v>
      </c>
      <c r="GY145" s="160">
        <f>IF([Occurrence36]=0,0,SUM($GX$2:GX145))</f>
        <v>0</v>
      </c>
      <c r="GZ145" s="160">
        <f>IF([chambre3]*1='CHAMBRES GARCONS RDC'!$A$29,1,0)</f>
        <v>0</v>
      </c>
      <c r="HA145" s="160">
        <f>IF([Occurrence37]=0,0,SUM($GZ$2:GZ145))</f>
        <v>0</v>
      </c>
      <c r="HB145" s="160">
        <f>IF([chambre3]*1='CHAMBRES GARCONS RDC'!$A$35,1,0)</f>
        <v>0</v>
      </c>
      <c r="HC145" s="160">
        <f>IF([Occurrence38]=0,0,SUM($HB$2:HB145))</f>
        <v>0</v>
      </c>
      <c r="HD145" s="160">
        <f>IF([chambre3]*1='CHAMBRES GARCONS RDC'!$A$41,1,0)</f>
        <v>0</v>
      </c>
      <c r="HE145" s="160">
        <f>IF([Occurrence39]=0,0,SUM($HD$2:HD145))</f>
        <v>0</v>
      </c>
      <c r="HF145" s="160">
        <f>IF([chambre3]*1='CHAMBRES GARCONS RDC'!$A$47,1,0)</f>
        <v>0</v>
      </c>
      <c r="HG145" s="160">
        <f>IF([Occurrence40]=0,0,SUM($HF$2:HF145))</f>
        <v>0</v>
      </c>
      <c r="HH145" s="160">
        <f>IF([chambre3]*1='CHAMBRES GARCONS RDC'!$A$53,1,0)</f>
        <v>0</v>
      </c>
      <c r="HI145" s="160">
        <f>IF([Occurrence41]=0,0,SUM($HH$2:HH145))</f>
        <v>0</v>
      </c>
      <c r="HJ145" s="160">
        <f>IF([chambre3]*1='CHAMBRES GARCONS RDC'!$A$59,1,0)</f>
        <v>0</v>
      </c>
      <c r="HK145" s="160">
        <f>IF([Occurrence42]=0,0,SUM($HJ$2:HJ145))</f>
        <v>0</v>
      </c>
      <c r="HL145" s="160">
        <f>IF([chambre3]*1='CHAMBRES GARCONS RDC'!$A$65,1,0)</f>
        <v>0</v>
      </c>
      <c r="HM145" s="160">
        <f>IF([Occurrence43]=0,0,SUM($HL$2:HL145))</f>
        <v>0</v>
      </c>
      <c r="HN145" s="160">
        <f>IF([chambre3]*1='CHAMBRES GARCONS RDC'!$A$71,1,0)</f>
        <v>0</v>
      </c>
      <c r="HO145" s="160">
        <f>IF([Occurrence44]=0,0,SUM($HN$2:HN145))</f>
        <v>0</v>
      </c>
      <c r="HP145" s="160">
        <f>IF([chambre3]*1='CHAMBRES GARCONS RDC'!$A$77,1,0)</f>
        <v>0</v>
      </c>
      <c r="HQ145" s="160">
        <f>IF([Occurrence45]=0,0,SUM($HP$2:HP145))</f>
        <v>0</v>
      </c>
      <c r="HR145" s="160">
        <f>IF([chambre3]*1='CHAMBRES GARCONS RDC'!$A$83,1,0)</f>
        <v>0</v>
      </c>
      <c r="HS145" s="160">
        <f>IF([Occurrence46]=0,0,SUM($HR$2:HR145))</f>
        <v>0</v>
      </c>
      <c r="HT145" s="160">
        <f>IF([chambre3]*1='CHAMBRES GARCONS RDC'!$A$89,1,0)</f>
        <v>0</v>
      </c>
      <c r="HU145" s="160">
        <f>IF([Occurrence47]=0,0,SUM($HT$2:HT145))</f>
        <v>0</v>
      </c>
      <c r="HV145" s="160">
        <f>IF([chambre3]*1='CHAMBRES GARCONS RDC'!$A$95,1,0)</f>
        <v>0</v>
      </c>
      <c r="HW145" s="160">
        <f>IF([Occurrence48]=0,0,SUM($HV$2:HV145))</f>
        <v>0</v>
      </c>
      <c r="HX145" s="160"/>
      <c r="HY145" s="160"/>
      <c r="HZ145" s="160">
        <f>IF([Classe]='Liste élève par classes'!$B$5,1,0)</f>
        <v>0</v>
      </c>
      <c r="IA145" s="160">
        <f>IF([Occurrence]=0,0,SUM($HZ$2:HZ145))</f>
        <v>0</v>
      </c>
      <c r="IB14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45" s="208"/>
    </row>
    <row r="146" spans="1:237">
      <c r="A146" t="s">
        <v>493</v>
      </c>
      <c r="B146" t="s">
        <v>495</v>
      </c>
      <c r="C146" s="158">
        <v>36601</v>
      </c>
      <c r="D146" s="62">
        <f t="shared" ca="1" si="2"/>
        <v>17</v>
      </c>
      <c r="E146" t="s">
        <v>13</v>
      </c>
      <c r="F146" s="159" t="s">
        <v>46</v>
      </c>
      <c r="G146" t="s">
        <v>45</v>
      </c>
      <c r="H146" s="160"/>
      <c r="I146" s="161"/>
      <c r="J146" s="161"/>
      <c r="K146" s="161"/>
      <c r="L146" s="160"/>
      <c r="M146">
        <v>123</v>
      </c>
      <c r="N146" s="161"/>
      <c r="O146" s="161"/>
      <c r="P146" s="161"/>
      <c r="Q146" s="161"/>
      <c r="R146" s="161"/>
      <c r="S146" s="161"/>
      <c r="T146" s="161"/>
      <c r="U146" s="160"/>
      <c r="V146" s="161"/>
      <c r="W146" s="161"/>
      <c r="X146" s="161"/>
      <c r="Y146" s="161"/>
      <c r="Z146" s="161"/>
      <c r="AA146" s="161"/>
      <c r="AB146" s="161"/>
      <c r="AC146" s="161"/>
      <c r="AD146" s="161"/>
      <c r="AE146" s="161"/>
      <c r="AF146" s="163"/>
      <c r="AG146" s="163"/>
      <c r="AH146" s="163"/>
      <c r="AI146" s="163"/>
      <c r="AJ146" s="163"/>
      <c r="AK146" s="163"/>
      <c r="AL146" s="163"/>
      <c r="AM146" s="163"/>
      <c r="AN146" s="163"/>
      <c r="AO146" s="163"/>
      <c r="AP146" s="163"/>
      <c r="AQ146" s="163"/>
      <c r="AR146" s="163"/>
      <c r="AS146" s="163"/>
      <c r="AT146" s="163"/>
      <c r="AU146" s="163"/>
      <c r="AV146" s="163"/>
      <c r="AW146" s="163"/>
      <c r="AX146" s="163"/>
      <c r="AY146" s="163"/>
      <c r="AZ146" s="163"/>
      <c r="BA146" s="163"/>
      <c r="BB146" s="163"/>
      <c r="BC146" s="163"/>
      <c r="BD146" s="163"/>
      <c r="BE146" s="163"/>
      <c r="BF146" s="163"/>
      <c r="BG146" s="163"/>
      <c r="BH146" s="163"/>
      <c r="BI146" s="163"/>
      <c r="BJ146" s="163"/>
      <c r="BK146" s="163"/>
      <c r="BL146" s="163"/>
      <c r="BM146" s="163"/>
      <c r="BN146" s="163"/>
      <c r="BO146" s="163"/>
      <c r="BP146" s="163"/>
      <c r="BQ146" s="163"/>
      <c r="BR146" s="163"/>
      <c r="BS146" s="163"/>
      <c r="BT146" s="163"/>
      <c r="BU146" s="163"/>
      <c r="BV146" s="163"/>
      <c r="BW146" s="163"/>
      <c r="BX146" s="163"/>
      <c r="BY146" s="163"/>
      <c r="BZ146" s="163"/>
      <c r="CA146" s="163"/>
      <c r="CB146" s="163"/>
      <c r="CC146" s="163"/>
      <c r="CD146" s="163"/>
      <c r="CE146" s="163"/>
      <c r="CF146" s="163"/>
      <c r="CG146" s="163"/>
      <c r="CH146" s="163"/>
      <c r="CI146" s="163"/>
      <c r="CJ146" s="163"/>
      <c r="CK146" s="163"/>
      <c r="CL146" s="163"/>
      <c r="CM146" s="163"/>
      <c r="CN146" s="163"/>
      <c r="CO146" s="163"/>
      <c r="CP146" s="163"/>
      <c r="CQ146" s="163"/>
      <c r="CR146" s="163"/>
      <c r="CS146" s="163"/>
      <c r="CT146" s="163"/>
      <c r="CU146" s="163"/>
      <c r="CV146" s="163"/>
      <c r="CW146" s="163"/>
      <c r="CX146" s="163"/>
      <c r="CY146" s="163"/>
      <c r="CZ146" s="163"/>
      <c r="DA146" s="163"/>
      <c r="DB146" s="163"/>
      <c r="DC146" s="163"/>
      <c r="DD146" s="163"/>
      <c r="DE146" s="163"/>
      <c r="DF146" s="163"/>
      <c r="DG146" s="163"/>
      <c r="DH146" s="163"/>
      <c r="DI146" s="163"/>
      <c r="DJ146" s="163"/>
      <c r="DK146" s="163"/>
      <c r="DL146" s="163"/>
      <c r="DM146" s="163"/>
      <c r="DN146" s="163"/>
      <c r="DO146" s="163"/>
      <c r="DP146" s="163"/>
      <c r="DQ146" s="163"/>
      <c r="DR146" s="163"/>
      <c r="DS146" s="163"/>
      <c r="DT146" s="163"/>
      <c r="DU146" s="163"/>
      <c r="DV146" s="163"/>
      <c r="DW146" s="163"/>
      <c r="DX146" s="163"/>
      <c r="DY146" s="163"/>
      <c r="DZ146" s="163"/>
      <c r="EA146" s="163"/>
      <c r="EB146" s="163"/>
      <c r="EC146" s="163"/>
      <c r="ED146" s="163"/>
      <c r="EE146" s="163"/>
      <c r="EF146" s="163"/>
      <c r="EG146" s="163"/>
      <c r="EH146" s="160">
        <f>IF([Chambre]*1='CHAMBRES FILLES 2e ETAGE'!$A$5,1,0)</f>
        <v>0</v>
      </c>
      <c r="EI146" s="161">
        <f>IF([Occurrence2]=0,0,SUM($EH$2:EH146))</f>
        <v>0</v>
      </c>
      <c r="EJ146" s="160">
        <f>IF([Chambre]*1='CHAMBRES FILLES 2e ETAGE'!$A$11,1,0)</f>
        <v>0</v>
      </c>
      <c r="EK146" s="160">
        <f>IF([Occurrence3]=0,0,SUM($EJ$2:EJ146))</f>
        <v>0</v>
      </c>
      <c r="EL146" s="160">
        <f>IF([Chambre]*1='CHAMBRES FILLES 2e ETAGE'!$A$17,1,0)</f>
        <v>0</v>
      </c>
      <c r="EM146" s="160">
        <f>IF([Occurrence4]=0,0,SUM($EL$2:EL146))</f>
        <v>0</v>
      </c>
      <c r="EN146" s="160">
        <f>IF([Chambre]*1='CHAMBRES FILLES 2e ETAGE'!$A$23,1,0)</f>
        <v>0</v>
      </c>
      <c r="EO146" s="160">
        <f>IF([Occurrence5]=0,0,SUM($EN$2:EN146))</f>
        <v>0</v>
      </c>
      <c r="EP146" s="160">
        <f>IF([Chambre]*1='CHAMBRES FILLES 2e ETAGE'!$A$29,1,0)</f>
        <v>0</v>
      </c>
      <c r="EQ146" s="160">
        <f>IF([Occurrence6]=0,0,SUM($EP$2:EP146))</f>
        <v>0</v>
      </c>
      <c r="ER146" s="160">
        <f>IF([Chambre]*1='CHAMBRES FILLES 2e ETAGE'!$A$35,1,0)</f>
        <v>0</v>
      </c>
      <c r="ES146" s="160">
        <f>IF([Occurrence7]=0,0,SUM($ER$2:ER146))</f>
        <v>0</v>
      </c>
      <c r="ET146" s="160">
        <f>IF([Chambre]*1='CHAMBRES FILLES 2e ETAGE'!$A$41,1,0)</f>
        <v>0</v>
      </c>
      <c r="EU146" s="160">
        <f>IF([Occurrence8]=0,0,SUM($ET$2:ET146))</f>
        <v>0</v>
      </c>
      <c r="EV146" s="160">
        <f>IF([Chambre]*1='CHAMBRES FILLES 2e ETAGE'!$A$47,1,0)</f>
        <v>0</v>
      </c>
      <c r="EW146" s="160">
        <f>IF([Occurrence9]=0,0,SUM($EV$2:EV146))</f>
        <v>0</v>
      </c>
      <c r="EX146" s="160">
        <f>IF([Chambre]*1='CHAMBRES FILLES 2e ETAGE'!$A$53,1,0)</f>
        <v>0</v>
      </c>
      <c r="EY146" s="160">
        <f>IF([Occurrence10]=0,0,SUM($EX$2:EX146))</f>
        <v>0</v>
      </c>
      <c r="EZ146" s="160">
        <f>IF([Chambre]*1='CHAMBRES FILLES 2e ETAGE'!$A$59,1,0)</f>
        <v>0</v>
      </c>
      <c r="FA146" s="160">
        <f>IF([Occurrence11]=0,0,SUM($EZ$2:EZ146))</f>
        <v>0</v>
      </c>
      <c r="FB146" s="160">
        <f>IF([Chambre]*1='CHAMBRES FILLES 2e ETAGE'!$A$65,1,0)</f>
        <v>0</v>
      </c>
      <c r="FC146" s="160">
        <f>IF([Occurrence12]=0,0,SUM($FB$2:FB146))</f>
        <v>0</v>
      </c>
      <c r="FD146" s="160">
        <f>IF([Chambre]*1='CHAMBRES FILLES 2e ETAGE'!$A$71,1,0)</f>
        <v>0</v>
      </c>
      <c r="FE146" s="160">
        <f>IF([Occurrence13]=0,0,SUM($FD$2:FD146))</f>
        <v>0</v>
      </c>
      <c r="FF146" s="160">
        <f>IF([Chambre]*1='CHAMBRES FILLES 2e ETAGE'!$A$77,1,0)</f>
        <v>0</v>
      </c>
      <c r="FG146" s="160">
        <f>IF([Occurrence14]=0,0,SUM($FF$2:FF146))</f>
        <v>0</v>
      </c>
      <c r="FH146" s="160">
        <f>IF([Chambre]*1='CHAMBRES FILLES 2e ETAGE'!$A$83,1,0)</f>
        <v>0</v>
      </c>
      <c r="FI146" s="160">
        <f>IF([Occurrence15]=0,0,SUM($FH$2:FH146))</f>
        <v>0</v>
      </c>
      <c r="FJ146" s="160">
        <f>IF([Chambre]*1='CHAMBRES FILLES 2e ETAGE'!$A$89,1,0)</f>
        <v>0</v>
      </c>
      <c r="FK146" s="160">
        <f>IF([Occurrence16]=0,0,SUM($FJ$2:FJ146))</f>
        <v>0</v>
      </c>
      <c r="FL146" s="160">
        <f>IF([Chambre]*1='CHAMBRES FILLES 2e ETAGE'!$A$95,1,0)</f>
        <v>0</v>
      </c>
      <c r="FM146" s="160">
        <f>IF([Occurrence17]=0,0,SUM($FL$2:FL146))</f>
        <v>0</v>
      </c>
      <c r="FN146" s="160">
        <f>IF([Chambre2]*1='CHAMBRES FILLES 1e ETAGE'!$A$5,1,0)</f>
        <v>0</v>
      </c>
      <c r="FO146" s="160">
        <f>IF([Occurrence18]=0,0,SUM($FN$2:FN146))</f>
        <v>0</v>
      </c>
      <c r="FP146" s="160">
        <f>IF([Chambre2]*1='CHAMBRES FILLES 1e ETAGE'!$A$11,1,0)</f>
        <v>0</v>
      </c>
      <c r="FQ146" s="160">
        <f>IF([Occurrence19]=0,0,SUM($FP$2:FP146))</f>
        <v>0</v>
      </c>
      <c r="FR146" s="160">
        <f>IF([Chambre2]*1='CHAMBRES FILLES 1e ETAGE'!$A$17,1,0)</f>
        <v>0</v>
      </c>
      <c r="FS146" s="160">
        <f>IF([Occurrence20]=0,0,SUM($FR$2:FR146))</f>
        <v>0</v>
      </c>
      <c r="FT146" s="160">
        <f>IF([Chambre2]*1='CHAMBRES FILLES 1e ETAGE'!$A$23,1,0)</f>
        <v>0</v>
      </c>
      <c r="FU146" s="160">
        <f>IF([Occurrence21]=0,0,SUM($FT$2:FT146))</f>
        <v>0</v>
      </c>
      <c r="FV146" s="160">
        <f>IF([Chambre2]*1='CHAMBRES FILLES 1e ETAGE'!$A$29,1,0)</f>
        <v>0</v>
      </c>
      <c r="FW146" s="160">
        <f>IF([Occurrence22]=0,0,SUM($FV$2:FV146))</f>
        <v>0</v>
      </c>
      <c r="FX146" s="160">
        <f>IF([Chambre2]*1='CHAMBRES FILLES 1e ETAGE'!$A$35,1,0)</f>
        <v>0</v>
      </c>
      <c r="FY146" s="160">
        <f>IF([Occurrence23]=0,0,SUM($FX$2:FX146))</f>
        <v>0</v>
      </c>
      <c r="FZ146" s="160">
        <f>IF([Chambre2]*1='CHAMBRES FILLES 1e ETAGE'!$A$41,1,0)</f>
        <v>0</v>
      </c>
      <c r="GA146" s="160">
        <f>IF([Occurrence24]=0,0,SUM($FZ$2:FZ146))</f>
        <v>0</v>
      </c>
      <c r="GB146" s="160">
        <f>IF([Chambre2]*1='CHAMBRES FILLES 1e ETAGE'!$A$47,1,0)</f>
        <v>0</v>
      </c>
      <c r="GC146" s="160">
        <f>IF([Occurrence25]=0,0,SUM($GB$2:GB146))</f>
        <v>0</v>
      </c>
      <c r="GD146" s="160">
        <f>IF([Chambre2]*1='CHAMBRES FILLES 1e ETAGE'!$A$53,1,0)</f>
        <v>0</v>
      </c>
      <c r="GE146" s="160">
        <f>IF([Occurrence26]=0,0,SUM($GD$2:GD146))</f>
        <v>0</v>
      </c>
      <c r="GF146" s="160">
        <f>IF([chambre4]*1='CHAMBRES GARCONS 1e ETAGE'!$A$5,1,0)</f>
        <v>0</v>
      </c>
      <c r="GG146" s="160">
        <f>IF([Occurrence27]=0,0,SUM($GF$2:GF146))</f>
        <v>0</v>
      </c>
      <c r="GH146" s="160">
        <f>IF([chambre4]*1='CHAMBRES GARCONS 1e ETAGE'!$A$11,1,0)</f>
        <v>0</v>
      </c>
      <c r="GI146" s="160">
        <f>IF([Occurrence28]=0,0,SUM($GH$2:GH146))</f>
        <v>0</v>
      </c>
      <c r="GJ146" s="160">
        <f>IF([chambre4]*1='CHAMBRES GARCONS 1e ETAGE'!$A$17,1,0)</f>
        <v>0</v>
      </c>
      <c r="GK146" s="160">
        <f>IF([Occurrence29]=0,0,SUM($GJ$2:GJ146))</f>
        <v>0</v>
      </c>
      <c r="GL146" s="160">
        <f>IF([chambre4]*1='CHAMBRES GARCONS 1e ETAGE'!$A$23,1,0)</f>
        <v>0</v>
      </c>
      <c r="GM146" s="160">
        <f>IF([Occurrence30]=0,0,SUM($GL$2:GL146))</f>
        <v>0</v>
      </c>
      <c r="GN146" s="160">
        <f>IF([chambre4]*1='CHAMBRES GARCONS 1e ETAGE'!$A$29,1,0)</f>
        <v>0</v>
      </c>
      <c r="GO146" s="160">
        <f>IF([Occurrence31]=0,0,SUM($GN$2:GN146))</f>
        <v>0</v>
      </c>
      <c r="GP146" s="160">
        <f>IF([chambre4]*1='CHAMBRES GARCONS 1e ETAGE'!$A$35,1,0)</f>
        <v>0</v>
      </c>
      <c r="GQ146" s="160">
        <f>IF([Occurrence32]=0,0,SUM($GP$2:GP146))</f>
        <v>0</v>
      </c>
      <c r="GR146" s="160">
        <f>IF([chambre3]*1='CHAMBRES GARCONS RDC'!$A$5,1,0)</f>
        <v>0</v>
      </c>
      <c r="GS146" s="160">
        <f>IF([Occurrence33]=0,0,SUM($GR$2:GR146))</f>
        <v>0</v>
      </c>
      <c r="GT146" s="160">
        <f>IF([chambre3]*1='CHAMBRES GARCONS RDC'!$A$11,1,0)</f>
        <v>0</v>
      </c>
      <c r="GU146" s="160">
        <f>IF([Occurrence34]=0,0,SUM($GT$2:GT146))</f>
        <v>0</v>
      </c>
      <c r="GV146" s="160">
        <f>IF([chambre3]*1='CHAMBRES GARCONS RDC'!$A$17,1,0)</f>
        <v>0</v>
      </c>
      <c r="GW146" s="160">
        <f>IF([Occurrence35]=0,0,SUM($GV$2:GV146))</f>
        <v>0</v>
      </c>
      <c r="GX146" s="160">
        <f>IF([chambre3]*1='CHAMBRES GARCONS RDC'!$A$23,1,0)</f>
        <v>0</v>
      </c>
      <c r="GY146" s="160">
        <f>IF([Occurrence36]=0,0,SUM($GX$2:GX146))</f>
        <v>0</v>
      </c>
      <c r="GZ146" s="160">
        <f>IF([chambre3]*1='CHAMBRES GARCONS RDC'!$A$29,1,0)</f>
        <v>0</v>
      </c>
      <c r="HA146" s="160">
        <f>IF([Occurrence37]=0,0,SUM($GZ$2:GZ146))</f>
        <v>0</v>
      </c>
      <c r="HB146" s="160">
        <f>IF([chambre3]*1='CHAMBRES GARCONS RDC'!$A$35,1,0)</f>
        <v>0</v>
      </c>
      <c r="HC146" s="160">
        <f>IF([Occurrence38]=0,0,SUM($HB$2:HB146))</f>
        <v>0</v>
      </c>
      <c r="HD146" s="160">
        <f>IF([chambre3]*1='CHAMBRES GARCONS RDC'!$A$41,1,0)</f>
        <v>0</v>
      </c>
      <c r="HE146" s="160">
        <f>IF([Occurrence39]=0,0,SUM($HD$2:HD146))</f>
        <v>0</v>
      </c>
      <c r="HF146" s="160">
        <f>IF([chambre3]*1='CHAMBRES GARCONS RDC'!$A$47,1,0)</f>
        <v>0</v>
      </c>
      <c r="HG146" s="160">
        <f>IF([Occurrence40]=0,0,SUM($HF$2:HF146))</f>
        <v>0</v>
      </c>
      <c r="HH146" s="160">
        <f>IF([chambre3]*1='CHAMBRES GARCONS RDC'!$A$53,1,0)</f>
        <v>0</v>
      </c>
      <c r="HI146" s="160">
        <f>IF([Occurrence41]=0,0,SUM($HH$2:HH146))</f>
        <v>0</v>
      </c>
      <c r="HJ146" s="160">
        <f>IF([chambre3]*1='CHAMBRES GARCONS RDC'!$A$59,1,0)</f>
        <v>0</v>
      </c>
      <c r="HK146" s="160">
        <f>IF([Occurrence42]=0,0,SUM($HJ$2:HJ146))</f>
        <v>0</v>
      </c>
      <c r="HL146" s="160">
        <f>IF([chambre3]*1='CHAMBRES GARCONS RDC'!$A$65,1,0)</f>
        <v>0</v>
      </c>
      <c r="HM146" s="160">
        <f>IF([Occurrence43]=0,0,SUM($HL$2:HL146))</f>
        <v>0</v>
      </c>
      <c r="HN146" s="160">
        <f>IF([chambre3]*1='CHAMBRES GARCONS RDC'!$A$71,1,0)</f>
        <v>0</v>
      </c>
      <c r="HO146" s="160">
        <f>IF([Occurrence44]=0,0,SUM($HN$2:HN146))</f>
        <v>0</v>
      </c>
      <c r="HP146" s="160">
        <f>IF([chambre3]*1='CHAMBRES GARCONS RDC'!$A$77,1,0)</f>
        <v>0</v>
      </c>
      <c r="HQ146" s="160">
        <f>IF([Occurrence45]=0,0,SUM($HP$2:HP146))</f>
        <v>0</v>
      </c>
      <c r="HR146" s="160">
        <f>IF([chambre3]*1='CHAMBRES GARCONS RDC'!$A$83,1,0)</f>
        <v>0</v>
      </c>
      <c r="HS146" s="160">
        <f>IF([Occurrence46]=0,0,SUM($HR$2:HR146))</f>
        <v>0</v>
      </c>
      <c r="HT146" s="160">
        <f>IF([chambre3]*1='CHAMBRES GARCONS RDC'!$A$89,1,0)</f>
        <v>0</v>
      </c>
      <c r="HU146" s="160">
        <f>IF([Occurrence47]=0,0,SUM($HT$2:HT146))</f>
        <v>0</v>
      </c>
      <c r="HV146" s="160">
        <f>IF([chambre3]*1='CHAMBRES GARCONS RDC'!$A$95,1,0)</f>
        <v>0</v>
      </c>
      <c r="HW146" s="160">
        <f>IF([Occurrence48]=0,0,SUM($HV$2:HV146))</f>
        <v>0</v>
      </c>
      <c r="HX146" s="160"/>
      <c r="HY146" s="160"/>
      <c r="HZ146" s="160">
        <f>IF([Classe]='Liste élève par classes'!$B$5,1,0)</f>
        <v>0</v>
      </c>
      <c r="IA146" s="160">
        <f>IF([Occurrence]=0,0,SUM($HZ$2:HZ146))</f>
        <v>0</v>
      </c>
      <c r="IB14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46" s="208"/>
    </row>
    <row r="147" spans="1:237">
      <c r="A147" t="s">
        <v>496</v>
      </c>
      <c r="B147" t="s">
        <v>497</v>
      </c>
      <c r="C147" s="158">
        <v>36153</v>
      </c>
      <c r="D147" s="62">
        <f t="shared" ca="1" si="2"/>
        <v>18</v>
      </c>
      <c r="E147" t="s">
        <v>4</v>
      </c>
      <c r="F147" s="159" t="s">
        <v>46</v>
      </c>
      <c r="G147" t="s">
        <v>45</v>
      </c>
      <c r="H147" s="160"/>
      <c r="I147" s="62"/>
      <c r="J147" s="62"/>
      <c r="K147" s="62"/>
      <c r="L147" s="61"/>
      <c r="M147" s="62"/>
      <c r="N147" s="62"/>
      <c r="O147" s="62"/>
      <c r="P147" s="62"/>
      <c r="Q147" s="62"/>
      <c r="R147" s="62"/>
      <c r="S147" s="62"/>
      <c r="T147" s="62"/>
      <c r="U147" s="61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163"/>
      <c r="AG147" s="163"/>
      <c r="AH147" s="163"/>
      <c r="AI147" s="163"/>
      <c r="AJ147" s="163"/>
      <c r="AK147" s="163"/>
      <c r="AL147" s="163"/>
      <c r="AM147" s="163"/>
      <c r="AN147" s="163"/>
      <c r="AO147" s="163"/>
      <c r="AP147" s="163"/>
      <c r="AQ147" s="163"/>
      <c r="AR147" s="163"/>
      <c r="AS147" s="163"/>
      <c r="AT147" s="163"/>
      <c r="AU147" s="163"/>
      <c r="AV147" s="163"/>
      <c r="AW147" s="163"/>
      <c r="AX147" s="163"/>
      <c r="AY147" s="163"/>
      <c r="AZ147" s="163"/>
      <c r="BA147" s="163"/>
      <c r="BB147" s="163"/>
      <c r="BC147" s="163" t="b">
        <v>0</v>
      </c>
      <c r="BD147" s="163" t="b">
        <v>0</v>
      </c>
      <c r="BE147" s="163" t="b">
        <v>0</v>
      </c>
      <c r="BF147" s="163" t="b">
        <v>0</v>
      </c>
      <c r="BG147" s="163" t="b">
        <v>0</v>
      </c>
      <c r="BH147" s="163" t="b">
        <v>0</v>
      </c>
      <c r="BI147" s="163" t="b">
        <v>1</v>
      </c>
      <c r="BJ147" s="163" t="b">
        <v>0</v>
      </c>
      <c r="BK147" s="163" t="b">
        <v>0</v>
      </c>
      <c r="BL147" s="163" t="b">
        <v>0</v>
      </c>
      <c r="BM147" s="163"/>
      <c r="BN147" s="163"/>
      <c r="BO147" s="163"/>
      <c r="BP147" s="163"/>
      <c r="BQ147" s="163"/>
      <c r="BR147" s="163"/>
      <c r="BS147" s="163"/>
      <c r="BT147" s="163"/>
      <c r="BU147" s="163"/>
      <c r="BV147" s="163"/>
      <c r="BW147" s="163"/>
      <c r="BX147" s="163"/>
      <c r="BY147" s="163"/>
      <c r="BZ147" s="163"/>
      <c r="CA147" s="163"/>
      <c r="CB147" s="163"/>
      <c r="CC147" s="163"/>
      <c r="CD147" s="163"/>
      <c r="CE147" s="163"/>
      <c r="CF147" s="163"/>
      <c r="CG147" s="163"/>
      <c r="CH147" s="163"/>
      <c r="CI147" s="163"/>
      <c r="CJ147" s="163"/>
      <c r="CK147" s="163"/>
      <c r="CL147" s="163"/>
      <c r="CM147" s="163"/>
      <c r="CN147" s="163"/>
      <c r="CO147" s="163"/>
      <c r="CP147" s="163"/>
      <c r="CQ147" s="163"/>
      <c r="CR147" s="163"/>
      <c r="CS147" s="163"/>
      <c r="CT147" s="163"/>
      <c r="CU147" s="163"/>
      <c r="CV147" s="163"/>
      <c r="CW147" s="163"/>
      <c r="CX147" s="163"/>
      <c r="CY147" s="163"/>
      <c r="CZ147" s="163"/>
      <c r="DA147" s="163"/>
      <c r="DB147" s="163"/>
      <c r="DC147" s="163"/>
      <c r="DD147" s="163"/>
      <c r="DE147" s="163"/>
      <c r="DF147" s="163"/>
      <c r="DG147" s="163"/>
      <c r="DH147" s="163"/>
      <c r="DI147" s="163"/>
      <c r="DJ147" s="163"/>
      <c r="DK147" s="163"/>
      <c r="DL147" s="163"/>
      <c r="DM147" s="163"/>
      <c r="DN147" s="163"/>
      <c r="DO147" s="163"/>
      <c r="DP147" s="163"/>
      <c r="DQ147" s="163"/>
      <c r="DR147" s="163"/>
      <c r="DS147" s="163"/>
      <c r="DT147" s="163"/>
      <c r="DU147" s="163"/>
      <c r="DV147" s="163"/>
      <c r="DW147" s="163"/>
      <c r="DX147" s="163"/>
      <c r="DY147" s="163"/>
      <c r="DZ147" s="163"/>
      <c r="EA147" s="163"/>
      <c r="EB147" s="163"/>
      <c r="EC147" s="163"/>
      <c r="ED147" s="163"/>
      <c r="EE147" s="163"/>
      <c r="EF147" s="163"/>
      <c r="EG147" s="163"/>
      <c r="EH147" s="160">
        <f>IF([Chambre]*1='CHAMBRES FILLES 2e ETAGE'!$A$5,1,0)</f>
        <v>0</v>
      </c>
      <c r="EI147" s="161">
        <f>IF([Occurrence2]=0,0,SUM($EH$2:EH147))</f>
        <v>0</v>
      </c>
      <c r="EJ147" s="160">
        <f>IF([Chambre]*1='CHAMBRES FILLES 2e ETAGE'!$A$11,1,0)</f>
        <v>0</v>
      </c>
      <c r="EK147" s="160">
        <f>IF([Occurrence3]=0,0,SUM($EJ$2:EJ147))</f>
        <v>0</v>
      </c>
      <c r="EL147" s="160">
        <f>IF([Chambre]*1='CHAMBRES FILLES 2e ETAGE'!$A$17,1,0)</f>
        <v>0</v>
      </c>
      <c r="EM147" s="160">
        <f>IF([Occurrence4]=0,0,SUM($EL$2:EL147))</f>
        <v>0</v>
      </c>
      <c r="EN147" s="160">
        <f>IF([Chambre]*1='CHAMBRES FILLES 2e ETAGE'!$A$23,1,0)</f>
        <v>0</v>
      </c>
      <c r="EO147" s="160">
        <f>IF([Occurrence5]=0,0,SUM($EN$2:EN147))</f>
        <v>0</v>
      </c>
      <c r="EP147" s="160">
        <f>IF([Chambre]*1='CHAMBRES FILLES 2e ETAGE'!$A$29,1,0)</f>
        <v>0</v>
      </c>
      <c r="EQ147" s="160">
        <f>IF([Occurrence6]=0,0,SUM($EP$2:EP147))</f>
        <v>0</v>
      </c>
      <c r="ER147" s="160">
        <f>IF([Chambre]*1='CHAMBRES FILLES 2e ETAGE'!$A$35,1,0)</f>
        <v>0</v>
      </c>
      <c r="ES147" s="160">
        <f>IF([Occurrence7]=0,0,SUM($ER$2:ER147))</f>
        <v>0</v>
      </c>
      <c r="ET147" s="160">
        <f>IF([Chambre]*1='CHAMBRES FILLES 2e ETAGE'!$A$41,1,0)</f>
        <v>0</v>
      </c>
      <c r="EU147" s="160">
        <f>IF([Occurrence8]=0,0,SUM($ET$2:ET147))</f>
        <v>0</v>
      </c>
      <c r="EV147" s="160">
        <f>IF([Chambre]*1='CHAMBRES FILLES 2e ETAGE'!$A$47,1,0)</f>
        <v>0</v>
      </c>
      <c r="EW147" s="160">
        <f>IF([Occurrence9]=0,0,SUM($EV$2:EV147))</f>
        <v>0</v>
      </c>
      <c r="EX147" s="160">
        <f>IF([Chambre]*1='CHAMBRES FILLES 2e ETAGE'!$A$53,1,0)</f>
        <v>0</v>
      </c>
      <c r="EY147" s="160">
        <f>IF([Occurrence10]=0,0,SUM($EX$2:EX147))</f>
        <v>0</v>
      </c>
      <c r="EZ147" s="160">
        <f>IF([Chambre]*1='CHAMBRES FILLES 2e ETAGE'!$A$59,1,0)</f>
        <v>0</v>
      </c>
      <c r="FA147" s="160">
        <f>IF([Occurrence11]=0,0,SUM($EZ$2:EZ147))</f>
        <v>0</v>
      </c>
      <c r="FB147" s="160">
        <f>IF([Chambre]*1='CHAMBRES FILLES 2e ETAGE'!$A$65,1,0)</f>
        <v>0</v>
      </c>
      <c r="FC147" s="160">
        <f>IF([Occurrence12]=0,0,SUM($FB$2:FB147))</f>
        <v>0</v>
      </c>
      <c r="FD147" s="160">
        <f>IF([Chambre]*1='CHAMBRES FILLES 2e ETAGE'!$A$71,1,0)</f>
        <v>0</v>
      </c>
      <c r="FE147" s="160">
        <f>IF([Occurrence13]=0,0,SUM($FD$2:FD147))</f>
        <v>0</v>
      </c>
      <c r="FF147" s="160">
        <f>IF([Chambre]*1='CHAMBRES FILLES 2e ETAGE'!$A$77,1,0)</f>
        <v>0</v>
      </c>
      <c r="FG147" s="160">
        <f>IF([Occurrence14]=0,0,SUM($FF$2:FF147))</f>
        <v>0</v>
      </c>
      <c r="FH147" s="160">
        <f>IF([Chambre]*1='CHAMBRES FILLES 2e ETAGE'!$A$83,1,0)</f>
        <v>0</v>
      </c>
      <c r="FI147" s="160">
        <f>IF([Occurrence15]=0,0,SUM($FH$2:FH147))</f>
        <v>0</v>
      </c>
      <c r="FJ147" s="160">
        <f>IF([Chambre]*1='CHAMBRES FILLES 2e ETAGE'!$A$89,1,0)</f>
        <v>0</v>
      </c>
      <c r="FK147" s="160">
        <f>IF([Occurrence16]=0,0,SUM($FJ$2:FJ147))</f>
        <v>0</v>
      </c>
      <c r="FL147" s="160">
        <f>IF([Chambre]*1='CHAMBRES FILLES 2e ETAGE'!$A$95,1,0)</f>
        <v>0</v>
      </c>
      <c r="FM147" s="160">
        <f>IF([Occurrence17]=0,0,SUM($FL$2:FL147))</f>
        <v>0</v>
      </c>
      <c r="FN147" s="160">
        <f>IF([Chambre2]*1='CHAMBRES FILLES 1e ETAGE'!$A$5,1,0)</f>
        <v>0</v>
      </c>
      <c r="FO147" s="160">
        <f>IF([Occurrence18]=0,0,SUM($FN$2:FN147))</f>
        <v>0</v>
      </c>
      <c r="FP147" s="160">
        <f>IF([Chambre2]*1='CHAMBRES FILLES 1e ETAGE'!$A$11,1,0)</f>
        <v>0</v>
      </c>
      <c r="FQ147" s="160">
        <f>IF([Occurrence19]=0,0,SUM($FP$2:FP147))</f>
        <v>0</v>
      </c>
      <c r="FR147" s="160">
        <f>IF([Chambre2]*1='CHAMBRES FILLES 1e ETAGE'!$A$17,1,0)</f>
        <v>0</v>
      </c>
      <c r="FS147" s="160">
        <f>IF([Occurrence20]=0,0,SUM($FR$2:FR147))</f>
        <v>0</v>
      </c>
      <c r="FT147" s="160">
        <f>IF([Chambre2]*1='CHAMBRES FILLES 1e ETAGE'!$A$23,1,0)</f>
        <v>0</v>
      </c>
      <c r="FU147" s="160">
        <f>IF([Occurrence21]=0,0,SUM($FT$2:FT147))</f>
        <v>0</v>
      </c>
      <c r="FV147" s="160">
        <f>IF([Chambre2]*1='CHAMBRES FILLES 1e ETAGE'!$A$29,1,0)</f>
        <v>0</v>
      </c>
      <c r="FW147" s="160">
        <f>IF([Occurrence22]=0,0,SUM($FV$2:FV147))</f>
        <v>0</v>
      </c>
      <c r="FX147" s="160">
        <f>IF([Chambre2]*1='CHAMBRES FILLES 1e ETAGE'!$A$35,1,0)</f>
        <v>0</v>
      </c>
      <c r="FY147" s="160">
        <f>IF([Occurrence23]=0,0,SUM($FX$2:FX147))</f>
        <v>0</v>
      </c>
      <c r="FZ147" s="160">
        <f>IF([Chambre2]*1='CHAMBRES FILLES 1e ETAGE'!$A$41,1,0)</f>
        <v>0</v>
      </c>
      <c r="GA147" s="160">
        <f>IF([Occurrence24]=0,0,SUM($FZ$2:FZ147))</f>
        <v>0</v>
      </c>
      <c r="GB147" s="160">
        <f>IF([Chambre2]*1='CHAMBRES FILLES 1e ETAGE'!$A$47,1,0)</f>
        <v>0</v>
      </c>
      <c r="GC147" s="160">
        <f>IF([Occurrence25]=0,0,SUM($GB$2:GB147))</f>
        <v>0</v>
      </c>
      <c r="GD147" s="160">
        <f>IF([Chambre2]*1='CHAMBRES FILLES 1e ETAGE'!$A$53,1,0)</f>
        <v>0</v>
      </c>
      <c r="GE147" s="160">
        <f>IF([Occurrence26]=0,0,SUM($GD$2:GD147))</f>
        <v>0</v>
      </c>
      <c r="GF147" s="160">
        <f>IF([chambre4]*1='CHAMBRES GARCONS 1e ETAGE'!$A$5,1,0)</f>
        <v>0</v>
      </c>
      <c r="GG147" s="160">
        <f>IF([Occurrence27]=0,0,SUM($GF$2:GF147))</f>
        <v>0</v>
      </c>
      <c r="GH147" s="160">
        <f>IF([chambre4]*1='CHAMBRES GARCONS 1e ETAGE'!$A$11,1,0)</f>
        <v>0</v>
      </c>
      <c r="GI147" s="160">
        <f>IF([Occurrence28]=0,0,SUM($GH$2:GH147))</f>
        <v>0</v>
      </c>
      <c r="GJ147" s="160">
        <f>IF([chambre4]*1='CHAMBRES GARCONS 1e ETAGE'!$A$17,1,0)</f>
        <v>0</v>
      </c>
      <c r="GK147" s="160">
        <f>IF([Occurrence29]=0,0,SUM($GJ$2:GJ147))</f>
        <v>0</v>
      </c>
      <c r="GL147" s="160">
        <f>IF([chambre4]*1='CHAMBRES GARCONS 1e ETAGE'!$A$23,1,0)</f>
        <v>0</v>
      </c>
      <c r="GM147" s="160">
        <f>IF([Occurrence30]=0,0,SUM($GL$2:GL147))</f>
        <v>0</v>
      </c>
      <c r="GN147" s="160">
        <f>IF([chambre4]*1='CHAMBRES GARCONS 1e ETAGE'!$A$29,1,0)</f>
        <v>0</v>
      </c>
      <c r="GO147" s="160">
        <f>IF([Occurrence31]=0,0,SUM($GN$2:GN147))</f>
        <v>0</v>
      </c>
      <c r="GP147" s="160">
        <f>IF([chambre4]*1='CHAMBRES GARCONS 1e ETAGE'!$A$35,1,0)</f>
        <v>0</v>
      </c>
      <c r="GQ147" s="160">
        <f>IF([Occurrence32]=0,0,SUM($GP$2:GP147))</f>
        <v>0</v>
      </c>
      <c r="GR147" s="160">
        <f>IF([chambre3]*1='CHAMBRES GARCONS RDC'!$A$5,1,0)</f>
        <v>0</v>
      </c>
      <c r="GS147" s="160">
        <f>IF([Occurrence33]=0,0,SUM($GR$2:GR147))</f>
        <v>0</v>
      </c>
      <c r="GT147" s="160">
        <f>IF([chambre3]*1='CHAMBRES GARCONS RDC'!$A$11,1,0)</f>
        <v>0</v>
      </c>
      <c r="GU147" s="160">
        <f>IF([Occurrence34]=0,0,SUM($GT$2:GT147))</f>
        <v>0</v>
      </c>
      <c r="GV147" s="160">
        <f>IF([chambre3]*1='CHAMBRES GARCONS RDC'!$A$17,1,0)</f>
        <v>0</v>
      </c>
      <c r="GW147" s="160">
        <f>IF([Occurrence35]=0,0,SUM($GV$2:GV147))</f>
        <v>0</v>
      </c>
      <c r="GX147" s="160">
        <f>IF([chambre3]*1='CHAMBRES GARCONS RDC'!$A$23,1,0)</f>
        <v>0</v>
      </c>
      <c r="GY147" s="160">
        <f>IF([Occurrence36]=0,0,SUM($GX$2:GX147))</f>
        <v>0</v>
      </c>
      <c r="GZ147" s="160">
        <f>IF([chambre3]*1='CHAMBRES GARCONS RDC'!$A$29,1,0)</f>
        <v>0</v>
      </c>
      <c r="HA147" s="160">
        <f>IF([Occurrence37]=0,0,SUM($GZ$2:GZ147))</f>
        <v>0</v>
      </c>
      <c r="HB147" s="160">
        <f>IF([chambre3]*1='CHAMBRES GARCONS RDC'!$A$35,1,0)</f>
        <v>0</v>
      </c>
      <c r="HC147" s="160">
        <f>IF([Occurrence38]=0,0,SUM($HB$2:HB147))</f>
        <v>0</v>
      </c>
      <c r="HD147" s="160">
        <f>IF([chambre3]*1='CHAMBRES GARCONS RDC'!$A$41,1,0)</f>
        <v>0</v>
      </c>
      <c r="HE147" s="160">
        <f>IF([Occurrence39]=0,0,SUM($HD$2:HD147))</f>
        <v>0</v>
      </c>
      <c r="HF147" s="160">
        <f>IF([chambre3]*1='CHAMBRES GARCONS RDC'!$A$47,1,0)</f>
        <v>0</v>
      </c>
      <c r="HG147" s="160">
        <f>IF([Occurrence40]=0,0,SUM($HF$2:HF147))</f>
        <v>0</v>
      </c>
      <c r="HH147" s="160">
        <f>IF([chambre3]*1='CHAMBRES GARCONS RDC'!$A$53,1,0)</f>
        <v>0</v>
      </c>
      <c r="HI147" s="160">
        <f>IF([Occurrence41]=0,0,SUM($HH$2:HH147))</f>
        <v>0</v>
      </c>
      <c r="HJ147" s="160">
        <f>IF([chambre3]*1='CHAMBRES GARCONS RDC'!$A$59,1,0)</f>
        <v>0</v>
      </c>
      <c r="HK147" s="160">
        <f>IF([Occurrence42]=0,0,SUM($HJ$2:HJ147))</f>
        <v>0</v>
      </c>
      <c r="HL147" s="160">
        <f>IF([chambre3]*1='CHAMBRES GARCONS RDC'!$A$65,1,0)</f>
        <v>0</v>
      </c>
      <c r="HM147" s="160">
        <f>IF([Occurrence43]=0,0,SUM($HL$2:HL147))</f>
        <v>0</v>
      </c>
      <c r="HN147" s="160">
        <f>IF([chambre3]*1='CHAMBRES GARCONS RDC'!$A$71,1,0)</f>
        <v>0</v>
      </c>
      <c r="HO147" s="160">
        <f>IF([Occurrence44]=0,0,SUM($HN$2:HN147))</f>
        <v>0</v>
      </c>
      <c r="HP147" s="160">
        <f>IF([chambre3]*1='CHAMBRES GARCONS RDC'!$A$77,1,0)</f>
        <v>0</v>
      </c>
      <c r="HQ147" s="160">
        <f>IF([Occurrence45]=0,0,SUM($HP$2:HP147))</f>
        <v>0</v>
      </c>
      <c r="HR147" s="160">
        <f>IF([chambre3]*1='CHAMBRES GARCONS RDC'!$A$83,1,0)</f>
        <v>0</v>
      </c>
      <c r="HS147" s="160">
        <f>IF([Occurrence46]=0,0,SUM($HR$2:HR147))</f>
        <v>0</v>
      </c>
      <c r="HT147" s="160">
        <f>IF([chambre3]*1='CHAMBRES GARCONS RDC'!$A$89,1,0)</f>
        <v>0</v>
      </c>
      <c r="HU147" s="160">
        <f>IF([Occurrence47]=0,0,SUM($HT$2:HT147))</f>
        <v>0</v>
      </c>
      <c r="HV147" s="160">
        <f>IF([chambre3]*1='CHAMBRES GARCONS RDC'!$A$95,1,0)</f>
        <v>0</v>
      </c>
      <c r="HW147" s="160">
        <f>IF([Occurrence48]=0,0,SUM($HV$2:HV147))</f>
        <v>0</v>
      </c>
      <c r="HX147" s="160"/>
      <c r="HY147" s="160"/>
      <c r="HZ147" s="160">
        <f>IF([Classe]='Liste élève par classes'!$B$5,1,0)</f>
        <v>0</v>
      </c>
      <c r="IA147" s="160">
        <f>IF([Occurrence]=0,0,SUM($HZ$2:HZ147))</f>
        <v>0</v>
      </c>
      <c r="IB14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47" s="208"/>
    </row>
    <row r="148" spans="1:237">
      <c r="A148" t="s">
        <v>498</v>
      </c>
      <c r="B148" t="s">
        <v>499</v>
      </c>
      <c r="C148" s="158">
        <v>37098</v>
      </c>
      <c r="D148" s="62">
        <f t="shared" ca="1" si="2"/>
        <v>16</v>
      </c>
      <c r="E148" t="s">
        <v>6</v>
      </c>
      <c r="F148" s="159" t="s">
        <v>50</v>
      </c>
      <c r="G148" t="s">
        <v>40</v>
      </c>
      <c r="H148" s="160"/>
      <c r="I148" s="62"/>
      <c r="J148" s="62" t="s">
        <v>244</v>
      </c>
      <c r="K148" s="62"/>
      <c r="L148" s="61"/>
      <c r="M148">
        <v>63</v>
      </c>
      <c r="N148" s="62" t="s">
        <v>244</v>
      </c>
      <c r="O148" s="62" t="s">
        <v>244</v>
      </c>
      <c r="P148" s="62" t="s">
        <v>244</v>
      </c>
      <c r="Q148" s="62" t="s">
        <v>244</v>
      </c>
      <c r="R148" s="62" t="s">
        <v>244</v>
      </c>
      <c r="S148" s="191"/>
      <c r="T148" s="62" t="s">
        <v>244</v>
      </c>
      <c r="U148" s="61"/>
      <c r="V148" s="62" t="s">
        <v>244</v>
      </c>
      <c r="W148" s="62" t="s">
        <v>244</v>
      </c>
      <c r="X148" s="62" t="s">
        <v>244</v>
      </c>
      <c r="Y148" s="62" t="s">
        <v>244</v>
      </c>
      <c r="Z148" s="62" t="s">
        <v>244</v>
      </c>
      <c r="AA148" s="62" t="s">
        <v>244</v>
      </c>
      <c r="AB148" s="62" t="s">
        <v>244</v>
      </c>
      <c r="AC148" s="62" t="s">
        <v>244</v>
      </c>
      <c r="AD148" s="62" t="s">
        <v>244</v>
      </c>
      <c r="AE148" s="62" t="s">
        <v>244</v>
      </c>
      <c r="AF148" s="163" t="s">
        <v>244</v>
      </c>
      <c r="AG148" s="163" t="s">
        <v>244</v>
      </c>
      <c r="AH148" s="163" t="s">
        <v>244</v>
      </c>
      <c r="AI148" s="163"/>
      <c r="AJ148" s="163"/>
      <c r="AK148" s="163"/>
      <c r="AL148" s="163"/>
      <c r="AM148" s="163"/>
      <c r="AN148" s="163"/>
      <c r="AO148" s="163"/>
      <c r="AP148" s="163"/>
      <c r="AQ148" s="163"/>
      <c r="AR148" s="163"/>
      <c r="AS148" s="163"/>
      <c r="AT148" s="163"/>
      <c r="AU148" s="163"/>
      <c r="AV148" s="163"/>
      <c r="AW148" s="163"/>
      <c r="AX148" s="163"/>
      <c r="AY148" s="163"/>
      <c r="AZ148" s="163"/>
      <c r="BA148" s="163"/>
      <c r="BB148" s="163"/>
      <c r="BC148" s="163" t="b">
        <v>0</v>
      </c>
      <c r="BD148" s="163" t="b">
        <v>1</v>
      </c>
      <c r="BE148" s="163" t="b">
        <v>1</v>
      </c>
      <c r="BF148" s="163" t="b">
        <v>0</v>
      </c>
      <c r="BG148" s="164" t="b">
        <v>0</v>
      </c>
      <c r="BH148" s="163" t="b">
        <v>1</v>
      </c>
      <c r="BI148" s="163"/>
      <c r="BJ148" s="163"/>
      <c r="BK148" s="163"/>
      <c r="BL148" s="163"/>
      <c r="BM148" s="163"/>
      <c r="BN148" s="163"/>
      <c r="BO148" s="163"/>
      <c r="BP148" s="163"/>
      <c r="BQ148" s="163" t="b">
        <v>1</v>
      </c>
      <c r="BR148" s="163"/>
      <c r="BS148" s="163"/>
      <c r="BT148" s="163"/>
      <c r="BU148" s="163"/>
      <c r="BV148" s="163"/>
      <c r="BW148" s="163"/>
      <c r="BX148" s="163"/>
      <c r="BY148" s="163"/>
      <c r="BZ148" s="163"/>
      <c r="CA148" s="163"/>
      <c r="CB148" s="163"/>
      <c r="CC148" s="163"/>
      <c r="CD148" s="163"/>
      <c r="CE148" s="163"/>
      <c r="CF148" s="163"/>
      <c r="CG148" s="163"/>
      <c r="CH148" s="163"/>
      <c r="CI148" s="163"/>
      <c r="CJ148" s="163"/>
      <c r="CK148" s="163"/>
      <c r="CL148" s="163"/>
      <c r="CM148" s="163"/>
      <c r="CN148" s="163"/>
      <c r="CO148" s="163"/>
      <c r="CP148" s="163"/>
      <c r="CQ148" s="163"/>
      <c r="CR148" s="163"/>
      <c r="CS148" s="163"/>
      <c r="CT148" s="163"/>
      <c r="CU148" s="163"/>
      <c r="CV148" s="163"/>
      <c r="CW148" s="163"/>
      <c r="CX148" s="163"/>
      <c r="CY148" s="163"/>
      <c r="CZ148" s="163"/>
      <c r="DA148" s="163">
        <v>113</v>
      </c>
      <c r="DB148" s="163"/>
      <c r="DC148" s="163"/>
      <c r="DD148" s="163"/>
      <c r="DE148" s="163"/>
      <c r="DF148" s="163"/>
      <c r="DG148" s="208"/>
      <c r="DH148" s="163"/>
      <c r="DI148" s="163"/>
      <c r="DJ148" s="163"/>
      <c r="DK148" s="163"/>
      <c r="DL148" s="163"/>
      <c r="DM148" s="163"/>
      <c r="DN148" s="163"/>
      <c r="DO148" s="163"/>
      <c r="DP148" s="163"/>
      <c r="DQ148" s="163"/>
      <c r="DR148" s="163"/>
      <c r="DS148" s="163"/>
      <c r="DT148" s="163"/>
      <c r="DU148" s="163"/>
      <c r="DV148" s="163"/>
      <c r="DW148" s="163"/>
      <c r="DX148" s="163"/>
      <c r="DY148" s="163"/>
      <c r="DZ148" s="163"/>
      <c r="EA148" s="163"/>
      <c r="EB148" s="163"/>
      <c r="EC148" s="163"/>
      <c r="ED148" s="163"/>
      <c r="EE148" s="163"/>
      <c r="EF148" s="163"/>
      <c r="EG148" s="163"/>
      <c r="EH148" s="160">
        <f>IF([Chambre]*1='CHAMBRES FILLES 2e ETAGE'!$A$5,1,0)</f>
        <v>0</v>
      </c>
      <c r="EI148" s="161">
        <f>IF([Occurrence2]=0,0,SUM($EH$2:EH148))</f>
        <v>0</v>
      </c>
      <c r="EJ148" s="160">
        <f>IF([Chambre]*1='CHAMBRES FILLES 2e ETAGE'!$A$11,1,0)</f>
        <v>0</v>
      </c>
      <c r="EK148" s="160">
        <f>IF([Occurrence3]=0,0,SUM($EJ$2:EJ148))</f>
        <v>0</v>
      </c>
      <c r="EL148" s="160">
        <f>IF([Chambre]*1='CHAMBRES FILLES 2e ETAGE'!$A$17,1,0)</f>
        <v>0</v>
      </c>
      <c r="EM148" s="160">
        <f>IF([Occurrence4]=0,0,SUM($EL$2:EL148))</f>
        <v>0</v>
      </c>
      <c r="EN148" s="160">
        <f>IF([Chambre]*1='CHAMBRES FILLES 2e ETAGE'!$A$23,1,0)</f>
        <v>0</v>
      </c>
      <c r="EO148" s="160">
        <f>IF([Occurrence5]=0,0,SUM($EN$2:EN148))</f>
        <v>0</v>
      </c>
      <c r="EP148" s="160">
        <f>IF([Chambre]*1='CHAMBRES FILLES 2e ETAGE'!$A$29,1,0)</f>
        <v>0</v>
      </c>
      <c r="EQ148" s="160">
        <f>IF([Occurrence6]=0,0,SUM($EP$2:EP148))</f>
        <v>0</v>
      </c>
      <c r="ER148" s="160">
        <f>IF([Chambre]*1='CHAMBRES FILLES 2e ETAGE'!$A$35,1,0)</f>
        <v>0</v>
      </c>
      <c r="ES148" s="160">
        <f>IF([Occurrence7]=0,0,SUM($ER$2:ER148))</f>
        <v>0</v>
      </c>
      <c r="ET148" s="160">
        <f>IF([Chambre]*1='CHAMBRES FILLES 2e ETAGE'!$A$41,1,0)</f>
        <v>0</v>
      </c>
      <c r="EU148" s="160">
        <f>IF([Occurrence8]=0,0,SUM($ET$2:ET148))</f>
        <v>0</v>
      </c>
      <c r="EV148" s="160">
        <f>IF([Chambre]*1='CHAMBRES FILLES 2e ETAGE'!$A$47,1,0)</f>
        <v>0</v>
      </c>
      <c r="EW148" s="160">
        <f>IF([Occurrence9]=0,0,SUM($EV$2:EV148))</f>
        <v>0</v>
      </c>
      <c r="EX148" s="160">
        <f>IF([Chambre]*1='CHAMBRES FILLES 2e ETAGE'!$A$53,1,0)</f>
        <v>0</v>
      </c>
      <c r="EY148" s="160">
        <f>IF([Occurrence10]=0,0,SUM($EX$2:EX148))</f>
        <v>0</v>
      </c>
      <c r="EZ148" s="160">
        <f>IF([Chambre]*1='CHAMBRES FILLES 2e ETAGE'!$A$59,1,0)</f>
        <v>0</v>
      </c>
      <c r="FA148" s="160">
        <f>IF([Occurrence11]=0,0,SUM($EZ$2:EZ148))</f>
        <v>0</v>
      </c>
      <c r="FB148" s="160">
        <f>IF([Chambre]*1='CHAMBRES FILLES 2e ETAGE'!$A$65,1,0)</f>
        <v>0</v>
      </c>
      <c r="FC148" s="160">
        <f>IF([Occurrence12]=0,0,SUM($FB$2:FB148))</f>
        <v>0</v>
      </c>
      <c r="FD148" s="160">
        <f>IF([Chambre]*1='CHAMBRES FILLES 2e ETAGE'!$A$71,1,0)</f>
        <v>0</v>
      </c>
      <c r="FE148" s="160">
        <f>IF([Occurrence13]=0,0,SUM($FD$2:FD148))</f>
        <v>0</v>
      </c>
      <c r="FF148" s="160">
        <f>IF([Chambre]*1='CHAMBRES FILLES 2e ETAGE'!$A$77,1,0)</f>
        <v>0</v>
      </c>
      <c r="FG148" s="160">
        <f>IF([Occurrence14]=0,0,SUM($FF$2:FF148))</f>
        <v>0</v>
      </c>
      <c r="FH148" s="160">
        <f>IF([Chambre]*1='CHAMBRES FILLES 2e ETAGE'!$A$83,1,0)</f>
        <v>0</v>
      </c>
      <c r="FI148" s="160">
        <f>IF([Occurrence15]=0,0,SUM($FH$2:FH148))</f>
        <v>0</v>
      </c>
      <c r="FJ148" s="160">
        <f>IF([Chambre]*1='CHAMBRES FILLES 2e ETAGE'!$A$89,1,0)</f>
        <v>0</v>
      </c>
      <c r="FK148" s="160">
        <f>IF([Occurrence16]=0,0,SUM($FJ$2:FJ148))</f>
        <v>0</v>
      </c>
      <c r="FL148" s="160">
        <f>IF([Chambre]*1='CHAMBRES FILLES 2e ETAGE'!$A$95,1,0)</f>
        <v>0</v>
      </c>
      <c r="FM148" s="160">
        <f>IF([Occurrence17]=0,0,SUM($FL$2:FL148))</f>
        <v>0</v>
      </c>
      <c r="FN148" s="160">
        <f>IF([Chambre2]*1='CHAMBRES FILLES 1e ETAGE'!$A$5,1,0)</f>
        <v>0</v>
      </c>
      <c r="FO148" s="160">
        <f>IF([Occurrence18]=0,0,SUM($FN$2:FN148))</f>
        <v>0</v>
      </c>
      <c r="FP148" s="160">
        <f>IF([Chambre2]*1='CHAMBRES FILLES 1e ETAGE'!$A$11,1,0)</f>
        <v>0</v>
      </c>
      <c r="FQ148" s="160">
        <f>IF([Occurrence19]=0,0,SUM($FP$2:FP148))</f>
        <v>0</v>
      </c>
      <c r="FR148" s="160">
        <f>IF([Chambre2]*1='CHAMBRES FILLES 1e ETAGE'!$A$17,1,0)</f>
        <v>0</v>
      </c>
      <c r="FS148" s="160">
        <f>IF([Occurrence20]=0,0,SUM($FR$2:FR148))</f>
        <v>0</v>
      </c>
      <c r="FT148" s="160">
        <f>IF([Chambre2]*1='CHAMBRES FILLES 1e ETAGE'!$A$23,1,0)</f>
        <v>0</v>
      </c>
      <c r="FU148" s="160">
        <f>IF([Occurrence21]=0,0,SUM($FT$2:FT148))</f>
        <v>0</v>
      </c>
      <c r="FV148" s="160">
        <f>IF([Chambre2]*1='CHAMBRES FILLES 1e ETAGE'!$A$29,1,0)</f>
        <v>0</v>
      </c>
      <c r="FW148" s="160">
        <f>IF([Occurrence22]=0,0,SUM($FV$2:FV148))</f>
        <v>0</v>
      </c>
      <c r="FX148" s="160">
        <f>IF([Chambre2]*1='CHAMBRES FILLES 1e ETAGE'!$A$35,1,0)</f>
        <v>0</v>
      </c>
      <c r="FY148" s="160">
        <f>IF([Occurrence23]=0,0,SUM($FX$2:FX148))</f>
        <v>0</v>
      </c>
      <c r="FZ148" s="160">
        <f>IF([Chambre2]*1='CHAMBRES FILLES 1e ETAGE'!$A$41,1,0)</f>
        <v>0</v>
      </c>
      <c r="GA148" s="160">
        <f>IF([Occurrence24]=0,0,SUM($FZ$2:FZ148))</f>
        <v>0</v>
      </c>
      <c r="GB148" s="160">
        <f>IF([Chambre2]*1='CHAMBRES FILLES 1e ETAGE'!$A$47,1,0)</f>
        <v>0</v>
      </c>
      <c r="GC148" s="160">
        <f>IF([Occurrence25]=0,0,SUM($GB$2:GB148))</f>
        <v>0</v>
      </c>
      <c r="GD148" s="160">
        <f>IF([Chambre2]*1='CHAMBRES FILLES 1e ETAGE'!$A$53,1,0)</f>
        <v>0</v>
      </c>
      <c r="GE148" s="160">
        <f>IF([Occurrence26]=0,0,SUM($GD$2:GD148))</f>
        <v>0</v>
      </c>
      <c r="GF148" s="160">
        <f>IF([chambre4]*1='CHAMBRES GARCONS 1e ETAGE'!$A$5,1,0)</f>
        <v>0</v>
      </c>
      <c r="GG148" s="160">
        <f>IF([Occurrence27]=0,0,SUM($GF$2:GF148))</f>
        <v>0</v>
      </c>
      <c r="GH148" s="160">
        <f>IF([chambre4]*1='CHAMBRES GARCONS 1e ETAGE'!$A$11,1,0)</f>
        <v>0</v>
      </c>
      <c r="GI148" s="160">
        <f>IF([Occurrence28]=0,0,SUM($GH$2:GH148))</f>
        <v>0</v>
      </c>
      <c r="GJ148" s="160">
        <f>IF([chambre4]*1='CHAMBRES GARCONS 1e ETAGE'!$A$17,1,0)</f>
        <v>0</v>
      </c>
      <c r="GK148" s="160">
        <f>IF([Occurrence29]=0,0,SUM($GJ$2:GJ148))</f>
        <v>0</v>
      </c>
      <c r="GL148" s="160">
        <f>IF([chambre4]*1='CHAMBRES GARCONS 1e ETAGE'!$A$23,1,0)</f>
        <v>0</v>
      </c>
      <c r="GM148" s="160">
        <f>IF([Occurrence30]=0,0,SUM($GL$2:GL148))</f>
        <v>0</v>
      </c>
      <c r="GN148" s="160">
        <f>IF([chambre4]*1='CHAMBRES GARCONS 1e ETAGE'!$A$29,1,0)</f>
        <v>0</v>
      </c>
      <c r="GO148" s="160">
        <f>IF([Occurrence31]=0,0,SUM($GN$2:GN148))</f>
        <v>0</v>
      </c>
      <c r="GP148" s="160">
        <f>IF([chambre4]*1='CHAMBRES GARCONS 1e ETAGE'!$A$35,1,0)</f>
        <v>0</v>
      </c>
      <c r="GQ148" s="160">
        <f>IF([Occurrence32]=0,0,SUM($GP$2:GP148))</f>
        <v>0</v>
      </c>
      <c r="GR148" s="160">
        <f>IF([chambre3]*1='CHAMBRES GARCONS RDC'!$A$5,1,0)</f>
        <v>0</v>
      </c>
      <c r="GS148" s="160">
        <f>IF([Occurrence33]=0,0,SUM($GR$2:GR148))</f>
        <v>0</v>
      </c>
      <c r="GT148" s="160">
        <f>IF([chambre3]*1='CHAMBRES GARCONS RDC'!$A$11,1,0)</f>
        <v>0</v>
      </c>
      <c r="GU148" s="160">
        <f>IF([Occurrence34]=0,0,SUM($GT$2:GT148))</f>
        <v>0</v>
      </c>
      <c r="GV148" s="160">
        <f>IF([chambre3]*1='CHAMBRES GARCONS RDC'!$A$17,1,0)</f>
        <v>0</v>
      </c>
      <c r="GW148" s="160">
        <f>IF([Occurrence35]=0,0,SUM($GV$2:GV148))</f>
        <v>0</v>
      </c>
      <c r="GX148" s="160">
        <f>IF([chambre3]*1='CHAMBRES GARCONS RDC'!$A$23,1,0)</f>
        <v>0</v>
      </c>
      <c r="GY148" s="160">
        <f>IF([Occurrence36]=0,0,SUM($GX$2:GX148))</f>
        <v>0</v>
      </c>
      <c r="GZ148" s="160">
        <f>IF([chambre3]*1='CHAMBRES GARCONS RDC'!$A$29,1,0)</f>
        <v>1</v>
      </c>
      <c r="HA148" s="160">
        <f>IF([Occurrence37]=0,0,SUM($GZ$2:GZ148))</f>
        <v>2</v>
      </c>
      <c r="HB148" s="160">
        <f>IF([chambre3]*1='CHAMBRES GARCONS RDC'!$A$35,1,0)</f>
        <v>0</v>
      </c>
      <c r="HC148" s="160">
        <f>IF([Occurrence38]=0,0,SUM($HB$2:HB148))</f>
        <v>0</v>
      </c>
      <c r="HD148" s="160">
        <f>IF([chambre3]*1='CHAMBRES GARCONS RDC'!$A$41,1,0)</f>
        <v>0</v>
      </c>
      <c r="HE148" s="160">
        <f>IF([Occurrence39]=0,0,SUM($HD$2:HD148))</f>
        <v>0</v>
      </c>
      <c r="HF148" s="160">
        <f>IF([chambre3]*1='CHAMBRES GARCONS RDC'!$A$47,1,0)</f>
        <v>0</v>
      </c>
      <c r="HG148" s="160">
        <f>IF([Occurrence40]=0,0,SUM($HF$2:HF148))</f>
        <v>0</v>
      </c>
      <c r="HH148" s="160">
        <f>IF([chambre3]*1='CHAMBRES GARCONS RDC'!$A$53,1,0)</f>
        <v>0</v>
      </c>
      <c r="HI148" s="160">
        <f>IF([Occurrence41]=0,0,SUM($HH$2:HH148))</f>
        <v>0</v>
      </c>
      <c r="HJ148" s="160">
        <f>IF([chambre3]*1='CHAMBRES GARCONS RDC'!$A$59,1,0)</f>
        <v>0</v>
      </c>
      <c r="HK148" s="160">
        <f>IF([Occurrence42]=0,0,SUM($HJ$2:HJ148))</f>
        <v>0</v>
      </c>
      <c r="HL148" s="160">
        <f>IF([chambre3]*1='CHAMBRES GARCONS RDC'!$A$65,1,0)</f>
        <v>0</v>
      </c>
      <c r="HM148" s="160">
        <f>IF([Occurrence43]=0,0,SUM($HL$2:HL148))</f>
        <v>0</v>
      </c>
      <c r="HN148" s="160">
        <f>IF([chambre3]*1='CHAMBRES GARCONS RDC'!$A$71,1,0)</f>
        <v>0</v>
      </c>
      <c r="HO148" s="160">
        <f>IF([Occurrence44]=0,0,SUM($HN$2:HN148))</f>
        <v>0</v>
      </c>
      <c r="HP148" s="160">
        <f>IF([chambre3]*1='CHAMBRES GARCONS RDC'!$A$77,1,0)</f>
        <v>0</v>
      </c>
      <c r="HQ148" s="160">
        <f>IF([Occurrence45]=0,0,SUM($HP$2:HP148))</f>
        <v>0</v>
      </c>
      <c r="HR148" s="160">
        <f>IF([chambre3]*1='CHAMBRES GARCONS RDC'!$A$83,1,0)</f>
        <v>0</v>
      </c>
      <c r="HS148" s="160">
        <f>IF([Occurrence46]=0,0,SUM($HR$2:HR148))</f>
        <v>0</v>
      </c>
      <c r="HT148" s="160">
        <f>IF([chambre3]*1='CHAMBRES GARCONS RDC'!$A$89,1,0)</f>
        <v>0</v>
      </c>
      <c r="HU148" s="160">
        <f>IF([Occurrence47]=0,0,SUM($HT$2:HT148))</f>
        <v>0</v>
      </c>
      <c r="HV148" s="160">
        <f>IF([chambre3]*1='CHAMBRES GARCONS RDC'!$A$95,1,0)</f>
        <v>0</v>
      </c>
      <c r="HW148" s="160">
        <f>IF([Occurrence48]=0,0,SUM($HV$2:HV148))</f>
        <v>0</v>
      </c>
      <c r="HX148" s="160"/>
      <c r="HY148" s="160"/>
      <c r="HZ148" s="160">
        <f>IF([Classe]='Liste élève par classes'!$B$5,1,0)</f>
        <v>0</v>
      </c>
      <c r="IA148" s="160">
        <f>IF([Occurrence]=0,0,SUM($HZ$2:HZ148))</f>
        <v>0</v>
      </c>
      <c r="IB14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113</v>
      </c>
      <c r="IC148" s="208"/>
    </row>
    <row r="149" spans="1:237">
      <c r="A149" t="s">
        <v>500</v>
      </c>
      <c r="B149" t="s">
        <v>501</v>
      </c>
      <c r="C149" s="158">
        <v>36182</v>
      </c>
      <c r="D149" s="62">
        <f t="shared" ca="1" si="2"/>
        <v>18</v>
      </c>
      <c r="E149" t="s">
        <v>13</v>
      </c>
      <c r="F149" s="159" t="s">
        <v>50</v>
      </c>
      <c r="G149" t="s">
        <v>45</v>
      </c>
      <c r="H149" s="160"/>
      <c r="I149" s="161"/>
      <c r="J149" s="161"/>
      <c r="K149" s="161"/>
      <c r="L149" s="61">
        <v>177</v>
      </c>
      <c r="M149">
        <v>124</v>
      </c>
      <c r="N149" s="161"/>
      <c r="O149" s="161"/>
      <c r="P149" s="161"/>
      <c r="Q149" s="161"/>
      <c r="R149" s="161"/>
      <c r="S149" s="190"/>
      <c r="T149" s="161"/>
      <c r="U149" s="160"/>
      <c r="V149" s="161"/>
      <c r="W149" s="161"/>
      <c r="X149" s="161"/>
      <c r="Y149" s="161"/>
      <c r="Z149" s="161"/>
      <c r="AA149" s="161"/>
      <c r="AB149" s="161"/>
      <c r="AC149" s="161"/>
      <c r="AD149" s="161"/>
      <c r="AE149" s="161"/>
      <c r="AF149" s="163"/>
      <c r="AG149" s="163"/>
      <c r="AH149" s="163"/>
      <c r="AI149" s="163"/>
      <c r="AJ149" s="163"/>
      <c r="AK149" s="163"/>
      <c r="AL149" s="163"/>
      <c r="AM149" s="163"/>
      <c r="AN149" s="163"/>
      <c r="AO149" s="163"/>
      <c r="AP149" s="163"/>
      <c r="AQ149" s="163"/>
      <c r="AR149" s="163"/>
      <c r="AS149" s="163"/>
      <c r="AT149" s="163"/>
      <c r="AU149" s="163"/>
      <c r="AV149" s="163"/>
      <c r="AW149" s="163"/>
      <c r="AX149" s="163"/>
      <c r="AY149" s="163"/>
      <c r="AZ149" s="163"/>
      <c r="BA149" s="163"/>
      <c r="BB149" s="163"/>
      <c r="BC149" s="163" t="b">
        <v>0</v>
      </c>
      <c r="BD149" s="163" t="b">
        <v>1</v>
      </c>
      <c r="BE149" s="163" t="b">
        <v>1</v>
      </c>
      <c r="BF149" s="163" t="b">
        <v>0</v>
      </c>
      <c r="BG149" s="164" t="b">
        <v>0</v>
      </c>
      <c r="BH149" s="163" t="b">
        <v>1</v>
      </c>
      <c r="BI149" s="163"/>
      <c r="BJ149" s="163"/>
      <c r="BK149" s="163"/>
      <c r="BL149" s="163"/>
      <c r="BM149" s="163"/>
      <c r="BN149" s="163"/>
      <c r="BO149" s="163"/>
      <c r="BP149" s="163"/>
      <c r="BQ149" s="163" t="b">
        <v>1</v>
      </c>
      <c r="BR149" s="163"/>
      <c r="BS149" s="163"/>
      <c r="BT149" s="163"/>
      <c r="BU149" s="163"/>
      <c r="BV149" s="163"/>
      <c r="BW149" s="163"/>
      <c r="BX149" s="163"/>
      <c r="BY149" s="163"/>
      <c r="BZ149" s="163"/>
      <c r="CA149" s="163"/>
      <c r="CB149" s="163"/>
      <c r="CC149" s="163"/>
      <c r="CD149" s="163"/>
      <c r="CE149" s="163"/>
      <c r="CF149" s="163"/>
      <c r="CG149" s="163"/>
      <c r="CH149" s="163"/>
      <c r="CI149" s="163"/>
      <c r="CJ149" s="163"/>
      <c r="CK149" s="163"/>
      <c r="CL149" s="163"/>
      <c r="CM149" s="163"/>
      <c r="CN149" s="163"/>
      <c r="CO149" s="163"/>
      <c r="CP149" s="163"/>
      <c r="CQ149" s="163"/>
      <c r="CR149" s="163"/>
      <c r="CS149" s="163"/>
      <c r="CT149" s="163"/>
      <c r="CU149" s="163"/>
      <c r="CV149" s="163"/>
      <c r="CW149" s="163"/>
      <c r="CX149" s="163"/>
      <c r="CY149" s="163"/>
      <c r="CZ149" s="163"/>
      <c r="DA149" s="163"/>
      <c r="DB149" s="163"/>
      <c r="DC149" s="163"/>
      <c r="DD149" s="163"/>
      <c r="DE149" s="163"/>
      <c r="DF149" s="163"/>
      <c r="DG149" s="208"/>
      <c r="DH149" s="163"/>
      <c r="DI149" s="163"/>
      <c r="DJ149" s="163"/>
      <c r="DK149" s="163"/>
      <c r="DL149" s="163"/>
      <c r="DM149" s="163"/>
      <c r="DN149" s="163"/>
      <c r="DO149" s="163"/>
      <c r="DP149" s="163"/>
      <c r="DQ149" s="163"/>
      <c r="DR149" s="163"/>
      <c r="DS149" s="163"/>
      <c r="DT149" s="163"/>
      <c r="DU149" s="163"/>
      <c r="DV149" s="163"/>
      <c r="DW149" s="163"/>
      <c r="DX149" s="163"/>
      <c r="DY149" s="163"/>
      <c r="DZ149" s="163"/>
      <c r="EA149" s="163"/>
      <c r="EB149" s="163"/>
      <c r="EC149" s="163"/>
      <c r="ED149" s="163"/>
      <c r="EE149" s="163"/>
      <c r="EF149" s="163"/>
      <c r="EG149" s="163"/>
      <c r="EH149" s="160">
        <f>IF([Chambre]*1='CHAMBRES FILLES 2e ETAGE'!$A$5,1,0)</f>
        <v>0</v>
      </c>
      <c r="EI149" s="161">
        <f>IF([Occurrence2]=0,0,SUM($EH$2:EH149))</f>
        <v>0</v>
      </c>
      <c r="EJ149" s="160">
        <f>IF([Chambre]*1='CHAMBRES FILLES 2e ETAGE'!$A$11,1,0)</f>
        <v>0</v>
      </c>
      <c r="EK149" s="160">
        <f>IF([Occurrence3]=0,0,SUM($EJ$2:EJ149))</f>
        <v>0</v>
      </c>
      <c r="EL149" s="160">
        <f>IF([Chambre]*1='CHAMBRES FILLES 2e ETAGE'!$A$17,1,0)</f>
        <v>0</v>
      </c>
      <c r="EM149" s="160">
        <f>IF([Occurrence4]=0,0,SUM($EL$2:EL149))</f>
        <v>0</v>
      </c>
      <c r="EN149" s="160">
        <f>IF([Chambre]*1='CHAMBRES FILLES 2e ETAGE'!$A$23,1,0)</f>
        <v>0</v>
      </c>
      <c r="EO149" s="160">
        <f>IF([Occurrence5]=0,0,SUM($EN$2:EN149))</f>
        <v>0</v>
      </c>
      <c r="EP149" s="160">
        <f>IF([Chambre]*1='CHAMBRES FILLES 2e ETAGE'!$A$29,1,0)</f>
        <v>0</v>
      </c>
      <c r="EQ149" s="160">
        <f>IF([Occurrence6]=0,0,SUM($EP$2:EP149))</f>
        <v>0</v>
      </c>
      <c r="ER149" s="160">
        <f>IF([Chambre]*1='CHAMBRES FILLES 2e ETAGE'!$A$35,1,0)</f>
        <v>0</v>
      </c>
      <c r="ES149" s="160">
        <f>IF([Occurrence7]=0,0,SUM($ER$2:ER149))</f>
        <v>0</v>
      </c>
      <c r="ET149" s="160">
        <f>IF([Chambre]*1='CHAMBRES FILLES 2e ETAGE'!$A$41,1,0)</f>
        <v>0</v>
      </c>
      <c r="EU149" s="160">
        <f>IF([Occurrence8]=0,0,SUM($ET$2:ET149))</f>
        <v>0</v>
      </c>
      <c r="EV149" s="160">
        <f>IF([Chambre]*1='CHAMBRES FILLES 2e ETAGE'!$A$47,1,0)</f>
        <v>0</v>
      </c>
      <c r="EW149" s="160">
        <f>IF([Occurrence9]=0,0,SUM($EV$2:EV149))</f>
        <v>0</v>
      </c>
      <c r="EX149" s="160">
        <f>IF([Chambre]*1='CHAMBRES FILLES 2e ETAGE'!$A$53,1,0)</f>
        <v>0</v>
      </c>
      <c r="EY149" s="160">
        <f>IF([Occurrence10]=0,0,SUM($EX$2:EX149))</f>
        <v>0</v>
      </c>
      <c r="EZ149" s="160">
        <f>IF([Chambre]*1='CHAMBRES FILLES 2e ETAGE'!$A$59,1,0)</f>
        <v>0</v>
      </c>
      <c r="FA149" s="160">
        <f>IF([Occurrence11]=0,0,SUM($EZ$2:EZ149))</f>
        <v>0</v>
      </c>
      <c r="FB149" s="160">
        <f>IF([Chambre]*1='CHAMBRES FILLES 2e ETAGE'!$A$65,1,0)</f>
        <v>0</v>
      </c>
      <c r="FC149" s="160">
        <f>IF([Occurrence12]=0,0,SUM($FB$2:FB149))</f>
        <v>0</v>
      </c>
      <c r="FD149" s="160">
        <f>IF([Chambre]*1='CHAMBRES FILLES 2e ETAGE'!$A$71,1,0)</f>
        <v>0</v>
      </c>
      <c r="FE149" s="160">
        <f>IF([Occurrence13]=0,0,SUM($FD$2:FD149))</f>
        <v>0</v>
      </c>
      <c r="FF149" s="160">
        <f>IF([Chambre]*1='CHAMBRES FILLES 2e ETAGE'!$A$77,1,0)</f>
        <v>0</v>
      </c>
      <c r="FG149" s="160">
        <f>IF([Occurrence14]=0,0,SUM($FF$2:FF149))</f>
        <v>0</v>
      </c>
      <c r="FH149" s="160">
        <f>IF([Chambre]*1='CHAMBRES FILLES 2e ETAGE'!$A$83,1,0)</f>
        <v>1</v>
      </c>
      <c r="FI149" s="160">
        <f>IF([Occurrence15]=0,0,SUM($FH$2:FH149))</f>
        <v>3</v>
      </c>
      <c r="FJ149" s="160">
        <f>IF([Chambre]*1='CHAMBRES FILLES 2e ETAGE'!$A$89,1,0)</f>
        <v>0</v>
      </c>
      <c r="FK149" s="160">
        <f>IF([Occurrence16]=0,0,SUM($FJ$2:FJ149))</f>
        <v>0</v>
      </c>
      <c r="FL149" s="160">
        <f>IF([Chambre]*1='CHAMBRES FILLES 2e ETAGE'!$A$95,1,0)</f>
        <v>0</v>
      </c>
      <c r="FM149" s="160">
        <f>IF([Occurrence17]=0,0,SUM($FL$2:FL149))</f>
        <v>0</v>
      </c>
      <c r="FN149" s="160">
        <f>IF([Chambre2]*1='CHAMBRES FILLES 1e ETAGE'!$A$5,1,0)</f>
        <v>0</v>
      </c>
      <c r="FO149" s="160">
        <f>IF([Occurrence18]=0,0,SUM($FN$2:FN149))</f>
        <v>0</v>
      </c>
      <c r="FP149" s="160">
        <f>IF([Chambre2]*1='CHAMBRES FILLES 1e ETAGE'!$A$11,1,0)</f>
        <v>0</v>
      </c>
      <c r="FQ149" s="160">
        <f>IF([Occurrence19]=0,0,SUM($FP$2:FP149))</f>
        <v>0</v>
      </c>
      <c r="FR149" s="160">
        <f>IF([Chambre2]*1='CHAMBRES FILLES 1e ETAGE'!$A$17,1,0)</f>
        <v>0</v>
      </c>
      <c r="FS149" s="160">
        <f>IF([Occurrence20]=0,0,SUM($FR$2:FR149))</f>
        <v>0</v>
      </c>
      <c r="FT149" s="160">
        <f>IF([Chambre2]*1='CHAMBRES FILLES 1e ETAGE'!$A$23,1,0)</f>
        <v>0</v>
      </c>
      <c r="FU149" s="160">
        <f>IF([Occurrence21]=0,0,SUM($FT$2:FT149))</f>
        <v>0</v>
      </c>
      <c r="FV149" s="160">
        <f>IF([Chambre2]*1='CHAMBRES FILLES 1e ETAGE'!$A$29,1,0)</f>
        <v>0</v>
      </c>
      <c r="FW149" s="160">
        <f>IF([Occurrence22]=0,0,SUM($FV$2:FV149))</f>
        <v>0</v>
      </c>
      <c r="FX149" s="160">
        <f>IF([Chambre2]*1='CHAMBRES FILLES 1e ETAGE'!$A$35,1,0)</f>
        <v>0</v>
      </c>
      <c r="FY149" s="160">
        <f>IF([Occurrence23]=0,0,SUM($FX$2:FX149))</f>
        <v>0</v>
      </c>
      <c r="FZ149" s="160">
        <f>IF([Chambre2]*1='CHAMBRES FILLES 1e ETAGE'!$A$41,1,0)</f>
        <v>0</v>
      </c>
      <c r="GA149" s="160">
        <f>IF([Occurrence24]=0,0,SUM($FZ$2:FZ149))</f>
        <v>0</v>
      </c>
      <c r="GB149" s="160">
        <f>IF([Chambre2]*1='CHAMBRES FILLES 1e ETAGE'!$A$47,1,0)</f>
        <v>0</v>
      </c>
      <c r="GC149" s="160">
        <f>IF([Occurrence25]=0,0,SUM($GB$2:GB149))</f>
        <v>0</v>
      </c>
      <c r="GD149" s="160">
        <f>IF([Chambre2]*1='CHAMBRES FILLES 1e ETAGE'!$A$53,1,0)</f>
        <v>0</v>
      </c>
      <c r="GE149" s="160">
        <f>IF([Occurrence26]=0,0,SUM($GD$2:GD149))</f>
        <v>0</v>
      </c>
      <c r="GF149" s="160">
        <f>IF([chambre4]*1='CHAMBRES GARCONS 1e ETAGE'!$A$5,1,0)</f>
        <v>0</v>
      </c>
      <c r="GG149" s="160">
        <f>IF([Occurrence27]=0,0,SUM($GF$2:GF149))</f>
        <v>0</v>
      </c>
      <c r="GH149" s="160">
        <f>IF([chambre4]*1='CHAMBRES GARCONS 1e ETAGE'!$A$11,1,0)</f>
        <v>0</v>
      </c>
      <c r="GI149" s="160">
        <f>IF([Occurrence28]=0,0,SUM($GH$2:GH149))</f>
        <v>0</v>
      </c>
      <c r="GJ149" s="160">
        <f>IF([chambre4]*1='CHAMBRES GARCONS 1e ETAGE'!$A$17,1,0)</f>
        <v>0</v>
      </c>
      <c r="GK149" s="160">
        <f>IF([Occurrence29]=0,0,SUM($GJ$2:GJ149))</f>
        <v>0</v>
      </c>
      <c r="GL149" s="160">
        <f>IF([chambre4]*1='CHAMBRES GARCONS 1e ETAGE'!$A$23,1,0)</f>
        <v>0</v>
      </c>
      <c r="GM149" s="160">
        <f>IF([Occurrence30]=0,0,SUM($GL$2:GL149))</f>
        <v>0</v>
      </c>
      <c r="GN149" s="160">
        <f>IF([chambre4]*1='CHAMBRES GARCONS 1e ETAGE'!$A$29,1,0)</f>
        <v>0</v>
      </c>
      <c r="GO149" s="160">
        <f>IF([Occurrence31]=0,0,SUM($GN$2:GN149))</f>
        <v>0</v>
      </c>
      <c r="GP149" s="160">
        <f>IF([chambre4]*1='CHAMBRES GARCONS 1e ETAGE'!$A$35,1,0)</f>
        <v>0</v>
      </c>
      <c r="GQ149" s="160">
        <f>IF([Occurrence32]=0,0,SUM($GP$2:GP149))</f>
        <v>0</v>
      </c>
      <c r="GR149" s="160">
        <f>IF([chambre3]*1='CHAMBRES GARCONS RDC'!$A$5,1,0)</f>
        <v>0</v>
      </c>
      <c r="GS149" s="160">
        <f>IF([Occurrence33]=0,0,SUM($GR$2:GR149))</f>
        <v>0</v>
      </c>
      <c r="GT149" s="160">
        <f>IF([chambre3]*1='CHAMBRES GARCONS RDC'!$A$11,1,0)</f>
        <v>0</v>
      </c>
      <c r="GU149" s="160">
        <f>IF([Occurrence34]=0,0,SUM($GT$2:GT149))</f>
        <v>0</v>
      </c>
      <c r="GV149" s="160">
        <f>IF([chambre3]*1='CHAMBRES GARCONS RDC'!$A$17,1,0)</f>
        <v>0</v>
      </c>
      <c r="GW149" s="160">
        <f>IF([Occurrence35]=0,0,SUM($GV$2:GV149))</f>
        <v>0</v>
      </c>
      <c r="GX149" s="160">
        <f>IF([chambre3]*1='CHAMBRES GARCONS RDC'!$A$23,1,0)</f>
        <v>0</v>
      </c>
      <c r="GY149" s="160">
        <f>IF([Occurrence36]=0,0,SUM($GX$2:GX149))</f>
        <v>0</v>
      </c>
      <c r="GZ149" s="160">
        <f>IF([chambre3]*1='CHAMBRES GARCONS RDC'!$A$29,1,0)</f>
        <v>0</v>
      </c>
      <c r="HA149" s="160">
        <f>IF([Occurrence37]=0,0,SUM($GZ$2:GZ149))</f>
        <v>0</v>
      </c>
      <c r="HB149" s="160">
        <f>IF([chambre3]*1='CHAMBRES GARCONS RDC'!$A$35,1,0)</f>
        <v>0</v>
      </c>
      <c r="HC149" s="160">
        <f>IF([Occurrence38]=0,0,SUM($HB$2:HB149))</f>
        <v>0</v>
      </c>
      <c r="HD149" s="160">
        <f>IF([chambre3]*1='CHAMBRES GARCONS RDC'!$A$41,1,0)</f>
        <v>0</v>
      </c>
      <c r="HE149" s="160">
        <f>IF([Occurrence39]=0,0,SUM($HD$2:HD149))</f>
        <v>0</v>
      </c>
      <c r="HF149" s="160">
        <f>IF([chambre3]*1='CHAMBRES GARCONS RDC'!$A$47,1,0)</f>
        <v>0</v>
      </c>
      <c r="HG149" s="160">
        <f>IF([Occurrence40]=0,0,SUM($HF$2:HF149))</f>
        <v>0</v>
      </c>
      <c r="HH149" s="160">
        <f>IF([chambre3]*1='CHAMBRES GARCONS RDC'!$A$53,1,0)</f>
        <v>0</v>
      </c>
      <c r="HI149" s="160">
        <f>IF([Occurrence41]=0,0,SUM($HH$2:HH149))</f>
        <v>0</v>
      </c>
      <c r="HJ149" s="160">
        <f>IF([chambre3]*1='CHAMBRES GARCONS RDC'!$A$59,1,0)</f>
        <v>0</v>
      </c>
      <c r="HK149" s="160">
        <f>IF([Occurrence42]=0,0,SUM($HJ$2:HJ149))</f>
        <v>0</v>
      </c>
      <c r="HL149" s="160">
        <f>IF([chambre3]*1='CHAMBRES GARCONS RDC'!$A$65,1,0)</f>
        <v>0</v>
      </c>
      <c r="HM149" s="160">
        <f>IF([Occurrence43]=0,0,SUM($HL$2:HL149))</f>
        <v>0</v>
      </c>
      <c r="HN149" s="160">
        <f>IF([chambre3]*1='CHAMBRES GARCONS RDC'!$A$71,1,0)</f>
        <v>0</v>
      </c>
      <c r="HO149" s="160">
        <f>IF([Occurrence44]=0,0,SUM($HN$2:HN149))</f>
        <v>0</v>
      </c>
      <c r="HP149" s="160">
        <f>IF([chambre3]*1='CHAMBRES GARCONS RDC'!$A$77,1,0)</f>
        <v>0</v>
      </c>
      <c r="HQ149" s="160">
        <f>IF([Occurrence45]=0,0,SUM($HP$2:HP149))</f>
        <v>0</v>
      </c>
      <c r="HR149" s="160">
        <f>IF([chambre3]*1='CHAMBRES GARCONS RDC'!$A$83,1,0)</f>
        <v>0</v>
      </c>
      <c r="HS149" s="160">
        <f>IF([Occurrence46]=0,0,SUM($HR$2:HR149))</f>
        <v>0</v>
      </c>
      <c r="HT149" s="160">
        <f>IF([chambre3]*1='CHAMBRES GARCONS RDC'!$A$89,1,0)</f>
        <v>0</v>
      </c>
      <c r="HU149" s="160">
        <f>IF([Occurrence47]=0,0,SUM($HT$2:HT149))</f>
        <v>0</v>
      </c>
      <c r="HV149" s="160">
        <f>IF([chambre3]*1='CHAMBRES GARCONS RDC'!$A$95,1,0)</f>
        <v>0</v>
      </c>
      <c r="HW149" s="160">
        <f>IF([Occurrence48]=0,0,SUM($HV$2:HV149))</f>
        <v>0</v>
      </c>
      <c r="HX149" s="160"/>
      <c r="HY149" s="160"/>
      <c r="HZ149" s="160">
        <f>IF([Classe]='Liste élève par classes'!$B$5,1,0)</f>
        <v>0</v>
      </c>
      <c r="IA149" s="160">
        <f>IF([Occurrence]=0,0,SUM($HZ$2:HZ149))</f>
        <v>0</v>
      </c>
      <c r="IB14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177</v>
      </c>
      <c r="IC149" s="208"/>
    </row>
    <row r="150" spans="1:237">
      <c r="A150" t="s">
        <v>502</v>
      </c>
      <c r="B150" t="s">
        <v>503</v>
      </c>
      <c r="C150" s="158">
        <v>37327</v>
      </c>
      <c r="D150" s="62">
        <f t="shared" ca="1" si="2"/>
        <v>15</v>
      </c>
      <c r="E150" t="s">
        <v>5</v>
      </c>
      <c r="F150" s="159" t="s">
        <v>50</v>
      </c>
      <c r="G150" t="s">
        <v>45</v>
      </c>
      <c r="H150" s="160"/>
      <c r="I150" s="62"/>
      <c r="J150" s="62"/>
      <c r="K150" s="62"/>
      <c r="L150" s="61">
        <v>159</v>
      </c>
      <c r="M150">
        <v>258</v>
      </c>
      <c r="N150" s="62"/>
      <c r="O150" s="62"/>
      <c r="P150" s="62"/>
      <c r="Q150" s="62"/>
      <c r="R150" s="62"/>
      <c r="S150" s="191"/>
      <c r="T150" s="62"/>
      <c r="U150" s="61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163"/>
      <c r="AG150" s="163"/>
      <c r="AH150" s="163"/>
      <c r="AI150" s="163"/>
      <c r="AJ150" s="163"/>
      <c r="AK150" s="163"/>
      <c r="AL150" s="163"/>
      <c r="AM150" s="163"/>
      <c r="AN150" s="163"/>
      <c r="AO150" s="163"/>
      <c r="AP150" s="163"/>
      <c r="AQ150" s="163"/>
      <c r="AR150" s="163"/>
      <c r="AS150" s="163"/>
      <c r="AT150" s="163"/>
      <c r="AU150" s="163"/>
      <c r="AV150" s="163"/>
      <c r="AW150" s="163"/>
      <c r="AX150" s="163"/>
      <c r="AY150" s="163"/>
      <c r="AZ150" s="163"/>
      <c r="BA150" s="163"/>
      <c r="BB150" s="163"/>
      <c r="BC150" s="163" t="b">
        <v>0</v>
      </c>
      <c r="BD150" s="163" t="b">
        <v>1</v>
      </c>
      <c r="BE150" s="163" t="b">
        <v>1</v>
      </c>
      <c r="BF150" s="163" t="b">
        <v>0</v>
      </c>
      <c r="BG150" s="164" t="b">
        <v>0</v>
      </c>
      <c r="BH150" s="163" t="b">
        <v>1</v>
      </c>
      <c r="BI150" s="163"/>
      <c r="BJ150" s="163"/>
      <c r="BK150" s="163"/>
      <c r="BL150" s="163"/>
      <c r="BM150" s="163"/>
      <c r="BN150" s="163"/>
      <c r="BO150" s="163"/>
      <c r="BP150" s="163"/>
      <c r="BQ150" s="163" t="b">
        <v>1</v>
      </c>
      <c r="BR150" s="163"/>
      <c r="BS150" s="163"/>
      <c r="BT150" s="163"/>
      <c r="BU150" s="163"/>
      <c r="BV150" s="163"/>
      <c r="BW150" s="163"/>
      <c r="BX150" s="163"/>
      <c r="BY150" s="163"/>
      <c r="BZ150" s="163"/>
      <c r="CA150" s="163"/>
      <c r="CB150" s="163"/>
      <c r="CC150" s="163"/>
      <c r="CD150" s="163"/>
      <c r="CE150" s="163"/>
      <c r="CF150" s="163"/>
      <c r="CG150" s="163"/>
      <c r="CH150" s="163"/>
      <c r="CI150" s="163"/>
      <c r="CJ150" s="163"/>
      <c r="CK150" s="163"/>
      <c r="CL150" s="163"/>
      <c r="CM150" s="163"/>
      <c r="CN150" s="163"/>
      <c r="CO150" s="163"/>
      <c r="CP150" s="163"/>
      <c r="CQ150" s="163"/>
      <c r="CR150" s="163"/>
      <c r="CS150" s="163"/>
      <c r="CT150" s="163"/>
      <c r="CU150" s="163"/>
      <c r="CV150" s="163"/>
      <c r="CW150" s="163"/>
      <c r="CX150" s="163"/>
      <c r="CY150" s="163"/>
      <c r="CZ150" s="163"/>
      <c r="DA150" s="163"/>
      <c r="DB150" s="163"/>
      <c r="DC150" s="163"/>
      <c r="DD150" s="163"/>
      <c r="DE150" s="163"/>
      <c r="DF150" s="163"/>
      <c r="DG150" s="208"/>
      <c r="DH150" s="163"/>
      <c r="DI150" s="163"/>
      <c r="DJ150" s="163"/>
      <c r="DK150" s="163"/>
      <c r="DL150" s="163"/>
      <c r="DM150" s="163"/>
      <c r="DN150" s="163"/>
      <c r="DO150" s="163"/>
      <c r="DP150" s="163"/>
      <c r="DQ150" s="163"/>
      <c r="DR150" s="163"/>
      <c r="DS150" s="163"/>
      <c r="DT150" s="163"/>
      <c r="DU150" s="163"/>
      <c r="DV150" s="163"/>
      <c r="DW150" s="163"/>
      <c r="DX150" s="163"/>
      <c r="DY150" s="163"/>
      <c r="DZ150" s="163"/>
      <c r="EA150" s="163"/>
      <c r="EB150" s="163"/>
      <c r="EC150" s="163"/>
      <c r="ED150" s="163"/>
      <c r="EE150" s="163"/>
      <c r="EF150" s="163"/>
      <c r="EG150" s="163"/>
      <c r="EH150" s="160">
        <f>IF([Chambre]*1='CHAMBRES FILLES 2e ETAGE'!$A$5,1,0)</f>
        <v>0</v>
      </c>
      <c r="EI150" s="161">
        <f>IF([Occurrence2]=0,0,SUM($EH$2:EH150))</f>
        <v>0</v>
      </c>
      <c r="EJ150" s="160">
        <f>IF([Chambre]*1='CHAMBRES FILLES 2e ETAGE'!$A$11,1,0)</f>
        <v>1</v>
      </c>
      <c r="EK150" s="160">
        <f>IF([Occurrence3]=0,0,SUM($EJ$2:EJ150))</f>
        <v>2</v>
      </c>
      <c r="EL150" s="160">
        <f>IF([Chambre]*1='CHAMBRES FILLES 2e ETAGE'!$A$17,1,0)</f>
        <v>0</v>
      </c>
      <c r="EM150" s="160">
        <f>IF([Occurrence4]=0,0,SUM($EL$2:EL150))</f>
        <v>0</v>
      </c>
      <c r="EN150" s="160">
        <f>IF([Chambre]*1='CHAMBRES FILLES 2e ETAGE'!$A$23,1,0)</f>
        <v>0</v>
      </c>
      <c r="EO150" s="160">
        <f>IF([Occurrence5]=0,0,SUM($EN$2:EN150))</f>
        <v>0</v>
      </c>
      <c r="EP150" s="160">
        <f>IF([Chambre]*1='CHAMBRES FILLES 2e ETAGE'!$A$29,1,0)</f>
        <v>0</v>
      </c>
      <c r="EQ150" s="160">
        <f>IF([Occurrence6]=0,0,SUM($EP$2:EP150))</f>
        <v>0</v>
      </c>
      <c r="ER150" s="160">
        <f>IF([Chambre]*1='CHAMBRES FILLES 2e ETAGE'!$A$35,1,0)</f>
        <v>0</v>
      </c>
      <c r="ES150" s="160">
        <f>IF([Occurrence7]=0,0,SUM($ER$2:ER150))</f>
        <v>0</v>
      </c>
      <c r="ET150" s="160">
        <f>IF([Chambre]*1='CHAMBRES FILLES 2e ETAGE'!$A$41,1,0)</f>
        <v>0</v>
      </c>
      <c r="EU150" s="160">
        <f>IF([Occurrence8]=0,0,SUM($ET$2:ET150))</f>
        <v>0</v>
      </c>
      <c r="EV150" s="160">
        <f>IF([Chambre]*1='CHAMBRES FILLES 2e ETAGE'!$A$47,1,0)</f>
        <v>0</v>
      </c>
      <c r="EW150" s="160">
        <f>IF([Occurrence9]=0,0,SUM($EV$2:EV150))</f>
        <v>0</v>
      </c>
      <c r="EX150" s="160">
        <f>IF([Chambre]*1='CHAMBRES FILLES 2e ETAGE'!$A$53,1,0)</f>
        <v>0</v>
      </c>
      <c r="EY150" s="160">
        <f>IF([Occurrence10]=0,0,SUM($EX$2:EX150))</f>
        <v>0</v>
      </c>
      <c r="EZ150" s="160">
        <f>IF([Chambre]*1='CHAMBRES FILLES 2e ETAGE'!$A$59,1,0)</f>
        <v>0</v>
      </c>
      <c r="FA150" s="160">
        <f>IF([Occurrence11]=0,0,SUM($EZ$2:EZ150))</f>
        <v>0</v>
      </c>
      <c r="FB150" s="160">
        <f>IF([Chambre]*1='CHAMBRES FILLES 2e ETAGE'!$A$65,1,0)</f>
        <v>0</v>
      </c>
      <c r="FC150" s="160">
        <f>IF([Occurrence12]=0,0,SUM($FB$2:FB150))</f>
        <v>0</v>
      </c>
      <c r="FD150" s="160">
        <f>IF([Chambre]*1='CHAMBRES FILLES 2e ETAGE'!$A$71,1,0)</f>
        <v>0</v>
      </c>
      <c r="FE150" s="160">
        <f>IF([Occurrence13]=0,0,SUM($FD$2:FD150))</f>
        <v>0</v>
      </c>
      <c r="FF150" s="160">
        <f>IF([Chambre]*1='CHAMBRES FILLES 2e ETAGE'!$A$77,1,0)</f>
        <v>0</v>
      </c>
      <c r="FG150" s="160">
        <f>IF([Occurrence14]=0,0,SUM($FF$2:FF150))</f>
        <v>0</v>
      </c>
      <c r="FH150" s="160">
        <f>IF([Chambre]*1='CHAMBRES FILLES 2e ETAGE'!$A$83,1,0)</f>
        <v>0</v>
      </c>
      <c r="FI150" s="160">
        <f>IF([Occurrence15]=0,0,SUM($FH$2:FH150))</f>
        <v>0</v>
      </c>
      <c r="FJ150" s="160">
        <f>IF([Chambre]*1='CHAMBRES FILLES 2e ETAGE'!$A$89,1,0)</f>
        <v>0</v>
      </c>
      <c r="FK150" s="160">
        <f>IF([Occurrence16]=0,0,SUM($FJ$2:FJ150))</f>
        <v>0</v>
      </c>
      <c r="FL150" s="160">
        <f>IF([Chambre]*1='CHAMBRES FILLES 2e ETAGE'!$A$95,1,0)</f>
        <v>0</v>
      </c>
      <c r="FM150" s="160">
        <f>IF([Occurrence17]=0,0,SUM($FL$2:FL150))</f>
        <v>0</v>
      </c>
      <c r="FN150" s="160">
        <f>IF([Chambre2]*1='CHAMBRES FILLES 1e ETAGE'!$A$5,1,0)</f>
        <v>0</v>
      </c>
      <c r="FO150" s="160">
        <f>IF([Occurrence18]=0,0,SUM($FN$2:FN150))</f>
        <v>0</v>
      </c>
      <c r="FP150" s="160">
        <f>IF([Chambre2]*1='CHAMBRES FILLES 1e ETAGE'!$A$11,1,0)</f>
        <v>0</v>
      </c>
      <c r="FQ150" s="160">
        <f>IF([Occurrence19]=0,0,SUM($FP$2:FP150))</f>
        <v>0</v>
      </c>
      <c r="FR150" s="160">
        <f>IF([Chambre2]*1='CHAMBRES FILLES 1e ETAGE'!$A$17,1,0)</f>
        <v>0</v>
      </c>
      <c r="FS150" s="160">
        <f>IF([Occurrence20]=0,0,SUM($FR$2:FR150))</f>
        <v>0</v>
      </c>
      <c r="FT150" s="160">
        <f>IF([Chambre2]*1='CHAMBRES FILLES 1e ETAGE'!$A$23,1,0)</f>
        <v>0</v>
      </c>
      <c r="FU150" s="160">
        <f>IF([Occurrence21]=0,0,SUM($FT$2:FT150))</f>
        <v>0</v>
      </c>
      <c r="FV150" s="160">
        <f>IF([Chambre2]*1='CHAMBRES FILLES 1e ETAGE'!$A$29,1,0)</f>
        <v>0</v>
      </c>
      <c r="FW150" s="160">
        <f>IF([Occurrence22]=0,0,SUM($FV$2:FV150))</f>
        <v>0</v>
      </c>
      <c r="FX150" s="160">
        <f>IF([Chambre2]*1='CHAMBRES FILLES 1e ETAGE'!$A$35,1,0)</f>
        <v>0</v>
      </c>
      <c r="FY150" s="160">
        <f>IF([Occurrence23]=0,0,SUM($FX$2:FX150))</f>
        <v>0</v>
      </c>
      <c r="FZ150" s="160">
        <f>IF([Chambre2]*1='CHAMBRES FILLES 1e ETAGE'!$A$41,1,0)</f>
        <v>0</v>
      </c>
      <c r="GA150" s="160">
        <f>IF([Occurrence24]=0,0,SUM($FZ$2:FZ150))</f>
        <v>0</v>
      </c>
      <c r="GB150" s="160">
        <f>IF([Chambre2]*1='CHAMBRES FILLES 1e ETAGE'!$A$47,1,0)</f>
        <v>0</v>
      </c>
      <c r="GC150" s="160">
        <f>IF([Occurrence25]=0,0,SUM($GB$2:GB150))</f>
        <v>0</v>
      </c>
      <c r="GD150" s="160">
        <f>IF([Chambre2]*1='CHAMBRES FILLES 1e ETAGE'!$A$53,1,0)</f>
        <v>0</v>
      </c>
      <c r="GE150" s="160">
        <f>IF([Occurrence26]=0,0,SUM($GD$2:GD150))</f>
        <v>0</v>
      </c>
      <c r="GF150" s="160">
        <f>IF([chambre4]*1='CHAMBRES GARCONS 1e ETAGE'!$A$5,1,0)</f>
        <v>0</v>
      </c>
      <c r="GG150" s="160">
        <f>IF([Occurrence27]=0,0,SUM($GF$2:GF150))</f>
        <v>0</v>
      </c>
      <c r="GH150" s="160">
        <f>IF([chambre4]*1='CHAMBRES GARCONS 1e ETAGE'!$A$11,1,0)</f>
        <v>0</v>
      </c>
      <c r="GI150" s="160">
        <f>IF([Occurrence28]=0,0,SUM($GH$2:GH150))</f>
        <v>0</v>
      </c>
      <c r="GJ150" s="160">
        <f>IF([chambre4]*1='CHAMBRES GARCONS 1e ETAGE'!$A$17,1,0)</f>
        <v>0</v>
      </c>
      <c r="GK150" s="160">
        <f>IF([Occurrence29]=0,0,SUM($GJ$2:GJ150))</f>
        <v>0</v>
      </c>
      <c r="GL150" s="160">
        <f>IF([chambre4]*1='CHAMBRES GARCONS 1e ETAGE'!$A$23,1,0)</f>
        <v>0</v>
      </c>
      <c r="GM150" s="160">
        <f>IF([Occurrence30]=0,0,SUM($GL$2:GL150))</f>
        <v>0</v>
      </c>
      <c r="GN150" s="160">
        <f>IF([chambre4]*1='CHAMBRES GARCONS 1e ETAGE'!$A$29,1,0)</f>
        <v>0</v>
      </c>
      <c r="GO150" s="160">
        <f>IF([Occurrence31]=0,0,SUM($GN$2:GN150))</f>
        <v>0</v>
      </c>
      <c r="GP150" s="160">
        <f>IF([chambre4]*1='CHAMBRES GARCONS 1e ETAGE'!$A$35,1,0)</f>
        <v>0</v>
      </c>
      <c r="GQ150" s="160">
        <f>IF([Occurrence32]=0,0,SUM($GP$2:GP150))</f>
        <v>0</v>
      </c>
      <c r="GR150" s="160">
        <f>IF([chambre3]*1='CHAMBRES GARCONS RDC'!$A$5,1,0)</f>
        <v>0</v>
      </c>
      <c r="GS150" s="160">
        <f>IF([Occurrence33]=0,0,SUM($GR$2:GR150))</f>
        <v>0</v>
      </c>
      <c r="GT150" s="160">
        <f>IF([chambre3]*1='CHAMBRES GARCONS RDC'!$A$11,1,0)</f>
        <v>0</v>
      </c>
      <c r="GU150" s="160">
        <f>IF([Occurrence34]=0,0,SUM($GT$2:GT150))</f>
        <v>0</v>
      </c>
      <c r="GV150" s="160">
        <f>IF([chambre3]*1='CHAMBRES GARCONS RDC'!$A$17,1,0)</f>
        <v>0</v>
      </c>
      <c r="GW150" s="160">
        <f>IF([Occurrence35]=0,0,SUM($GV$2:GV150))</f>
        <v>0</v>
      </c>
      <c r="GX150" s="160">
        <f>IF([chambre3]*1='CHAMBRES GARCONS RDC'!$A$23,1,0)</f>
        <v>0</v>
      </c>
      <c r="GY150" s="160">
        <f>IF([Occurrence36]=0,0,SUM($GX$2:GX150))</f>
        <v>0</v>
      </c>
      <c r="GZ150" s="160">
        <f>IF([chambre3]*1='CHAMBRES GARCONS RDC'!$A$29,1,0)</f>
        <v>0</v>
      </c>
      <c r="HA150" s="160">
        <f>IF([Occurrence37]=0,0,SUM($GZ$2:GZ150))</f>
        <v>0</v>
      </c>
      <c r="HB150" s="160">
        <f>IF([chambre3]*1='CHAMBRES GARCONS RDC'!$A$35,1,0)</f>
        <v>0</v>
      </c>
      <c r="HC150" s="160">
        <f>IF([Occurrence38]=0,0,SUM($HB$2:HB150))</f>
        <v>0</v>
      </c>
      <c r="HD150" s="160">
        <f>IF([chambre3]*1='CHAMBRES GARCONS RDC'!$A$41,1,0)</f>
        <v>0</v>
      </c>
      <c r="HE150" s="160">
        <f>IF([Occurrence39]=0,0,SUM($HD$2:HD150))</f>
        <v>0</v>
      </c>
      <c r="HF150" s="160">
        <f>IF([chambre3]*1='CHAMBRES GARCONS RDC'!$A$47,1,0)</f>
        <v>0</v>
      </c>
      <c r="HG150" s="160">
        <f>IF([Occurrence40]=0,0,SUM($HF$2:HF150))</f>
        <v>0</v>
      </c>
      <c r="HH150" s="160">
        <f>IF([chambre3]*1='CHAMBRES GARCONS RDC'!$A$53,1,0)</f>
        <v>0</v>
      </c>
      <c r="HI150" s="160">
        <f>IF([Occurrence41]=0,0,SUM($HH$2:HH150))</f>
        <v>0</v>
      </c>
      <c r="HJ150" s="160">
        <f>IF([chambre3]*1='CHAMBRES GARCONS RDC'!$A$59,1,0)</f>
        <v>0</v>
      </c>
      <c r="HK150" s="160">
        <f>IF([Occurrence42]=0,0,SUM($HJ$2:HJ150))</f>
        <v>0</v>
      </c>
      <c r="HL150" s="160">
        <f>IF([chambre3]*1='CHAMBRES GARCONS RDC'!$A$65,1,0)</f>
        <v>0</v>
      </c>
      <c r="HM150" s="160">
        <f>IF([Occurrence43]=0,0,SUM($HL$2:HL150))</f>
        <v>0</v>
      </c>
      <c r="HN150" s="160">
        <f>IF([chambre3]*1='CHAMBRES GARCONS RDC'!$A$71,1,0)</f>
        <v>0</v>
      </c>
      <c r="HO150" s="160">
        <f>IF([Occurrence44]=0,0,SUM($HN$2:HN150))</f>
        <v>0</v>
      </c>
      <c r="HP150" s="160">
        <f>IF([chambre3]*1='CHAMBRES GARCONS RDC'!$A$77,1,0)</f>
        <v>0</v>
      </c>
      <c r="HQ150" s="160">
        <f>IF([Occurrence45]=0,0,SUM($HP$2:HP150))</f>
        <v>0</v>
      </c>
      <c r="HR150" s="160">
        <f>IF([chambre3]*1='CHAMBRES GARCONS RDC'!$A$83,1,0)</f>
        <v>0</v>
      </c>
      <c r="HS150" s="160">
        <f>IF([Occurrence46]=0,0,SUM($HR$2:HR150))</f>
        <v>0</v>
      </c>
      <c r="HT150" s="160">
        <f>IF([chambre3]*1='CHAMBRES GARCONS RDC'!$A$89,1,0)</f>
        <v>0</v>
      </c>
      <c r="HU150" s="160">
        <f>IF([Occurrence47]=0,0,SUM($HT$2:HT150))</f>
        <v>0</v>
      </c>
      <c r="HV150" s="160">
        <f>IF([chambre3]*1='CHAMBRES GARCONS RDC'!$A$95,1,0)</f>
        <v>0</v>
      </c>
      <c r="HW150" s="160">
        <f>IF([Occurrence48]=0,0,SUM($HV$2:HV150))</f>
        <v>0</v>
      </c>
      <c r="HX150" s="160"/>
      <c r="HY150" s="160"/>
      <c r="HZ150" s="160">
        <f>IF([Classe]='Liste élève par classes'!$B$5,1,0)</f>
        <v>0</v>
      </c>
      <c r="IA150" s="160">
        <f>IF([Occurrence]=0,0,SUM($HZ$2:HZ150))</f>
        <v>0</v>
      </c>
      <c r="IB15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159</v>
      </c>
      <c r="IC150" s="208"/>
    </row>
    <row r="151" spans="1:237">
      <c r="A151" t="s">
        <v>504</v>
      </c>
      <c r="B151" t="s">
        <v>505</v>
      </c>
      <c r="C151" s="158">
        <v>37245</v>
      </c>
      <c r="D151" s="62">
        <f t="shared" ca="1" si="2"/>
        <v>15</v>
      </c>
      <c r="E151" t="s">
        <v>6</v>
      </c>
      <c r="F151" s="159" t="s">
        <v>50</v>
      </c>
      <c r="G151" t="s">
        <v>45</v>
      </c>
      <c r="H151" s="160"/>
      <c r="I151" s="62"/>
      <c r="J151" s="62"/>
      <c r="K151" s="62"/>
      <c r="L151" s="61">
        <v>172</v>
      </c>
      <c r="M151">
        <v>64</v>
      </c>
      <c r="N151" s="62"/>
      <c r="O151" s="62"/>
      <c r="P151" s="62"/>
      <c r="Q151" s="62"/>
      <c r="R151" s="62"/>
      <c r="S151" s="191"/>
      <c r="T151" s="62"/>
      <c r="U151" s="61"/>
      <c r="V151" s="62"/>
      <c r="W151" s="62"/>
      <c r="X151" s="62"/>
      <c r="Y151" s="62"/>
      <c r="Z151" s="62"/>
      <c r="AA151" s="62"/>
      <c r="AB151" s="62"/>
      <c r="AC151" s="62"/>
      <c r="AD151" s="62"/>
      <c r="AE151" s="62"/>
      <c r="AF151" s="163"/>
      <c r="AG151" s="163"/>
      <c r="AH151" s="163"/>
      <c r="AI151" s="163"/>
      <c r="AJ151" s="163"/>
      <c r="AK151" s="163"/>
      <c r="AL151" s="163"/>
      <c r="AM151" s="163"/>
      <c r="AN151" s="163"/>
      <c r="AO151" s="163"/>
      <c r="AP151" s="163"/>
      <c r="AQ151" s="163"/>
      <c r="AR151" s="163"/>
      <c r="AS151" s="163"/>
      <c r="AT151" s="163"/>
      <c r="AU151" s="163"/>
      <c r="AV151" s="163"/>
      <c r="AW151" s="163"/>
      <c r="AX151" s="163"/>
      <c r="AY151" s="163"/>
      <c r="AZ151" s="163"/>
      <c r="BA151" s="163"/>
      <c r="BB151" s="163"/>
      <c r="BC151" s="163" t="b">
        <v>0</v>
      </c>
      <c r="BD151" s="163" t="b">
        <v>1</v>
      </c>
      <c r="BE151" s="163" t="b">
        <v>1</v>
      </c>
      <c r="BF151" s="163" t="b">
        <v>0</v>
      </c>
      <c r="BG151" s="164" t="b">
        <v>0</v>
      </c>
      <c r="BH151" s="163" t="b">
        <v>1</v>
      </c>
      <c r="BI151" s="163"/>
      <c r="BJ151" s="163"/>
      <c r="BK151" s="163"/>
      <c r="BL151" s="163"/>
      <c r="BM151" s="163"/>
      <c r="BN151" s="163"/>
      <c r="BO151" s="163"/>
      <c r="BP151" s="163"/>
      <c r="BQ151" s="163" t="b">
        <v>1</v>
      </c>
      <c r="BR151" s="163"/>
      <c r="BS151" s="163"/>
      <c r="BT151" s="163"/>
      <c r="BU151" s="163"/>
      <c r="BV151" s="163"/>
      <c r="BW151" s="163"/>
      <c r="BX151" s="163"/>
      <c r="BY151" s="163"/>
      <c r="BZ151" s="163"/>
      <c r="CA151" s="163"/>
      <c r="CB151" s="163"/>
      <c r="CC151" s="163"/>
      <c r="CD151" s="163"/>
      <c r="CE151" s="163"/>
      <c r="CF151" s="163"/>
      <c r="CG151" s="163"/>
      <c r="CH151" s="163"/>
      <c r="CI151" s="163"/>
      <c r="CJ151" s="163"/>
      <c r="CK151" s="163"/>
      <c r="CL151" s="163"/>
      <c r="CM151" s="163"/>
      <c r="CN151" s="163"/>
      <c r="CO151" s="163"/>
      <c r="CP151" s="163"/>
      <c r="CQ151" s="163"/>
      <c r="CR151" s="163"/>
      <c r="CS151" s="163"/>
      <c r="CT151" s="163"/>
      <c r="CU151" s="163"/>
      <c r="CV151" s="163"/>
      <c r="CW151" s="163"/>
      <c r="CX151" s="163"/>
      <c r="CY151" s="163"/>
      <c r="CZ151" s="163"/>
      <c r="DA151" s="163"/>
      <c r="DB151" s="163"/>
      <c r="DC151" s="163"/>
      <c r="DD151" s="163"/>
      <c r="DE151" s="163"/>
      <c r="DF151" s="163"/>
      <c r="DG151" s="208"/>
      <c r="DH151" s="163"/>
      <c r="DI151" s="163"/>
      <c r="DJ151" s="163"/>
      <c r="DK151" s="163"/>
      <c r="DL151" s="163"/>
      <c r="DM151" s="163"/>
      <c r="DN151" s="163"/>
      <c r="DO151" s="163"/>
      <c r="DP151" s="163"/>
      <c r="DQ151" s="163"/>
      <c r="DR151" s="163"/>
      <c r="DS151" s="163"/>
      <c r="DT151" s="163"/>
      <c r="DU151" s="163"/>
      <c r="DV151" s="163"/>
      <c r="DW151" s="163"/>
      <c r="DX151" s="163"/>
      <c r="DY151" s="163"/>
      <c r="DZ151" s="163"/>
      <c r="EA151" s="163"/>
      <c r="EB151" s="163"/>
      <c r="EC151" s="163"/>
      <c r="ED151" s="163"/>
      <c r="EE151" s="163"/>
      <c r="EF151" s="163"/>
      <c r="EG151" s="163"/>
      <c r="EH151" s="160">
        <f>IF([Chambre]*1='CHAMBRES FILLES 2e ETAGE'!$A$5,1,0)</f>
        <v>0</v>
      </c>
      <c r="EI151" s="161">
        <f>IF([Occurrence2]=0,0,SUM($EH$2:EH151))</f>
        <v>0</v>
      </c>
      <c r="EJ151" s="160">
        <f>IF([Chambre]*1='CHAMBRES FILLES 2e ETAGE'!$A$11,1,0)</f>
        <v>0</v>
      </c>
      <c r="EK151" s="160">
        <f>IF([Occurrence3]=0,0,SUM($EJ$2:EJ151))</f>
        <v>0</v>
      </c>
      <c r="EL151" s="160">
        <f>IF([Chambre]*1='CHAMBRES FILLES 2e ETAGE'!$A$17,1,0)</f>
        <v>0</v>
      </c>
      <c r="EM151" s="160">
        <f>IF([Occurrence4]=0,0,SUM($EL$2:EL151))</f>
        <v>0</v>
      </c>
      <c r="EN151" s="160">
        <f>IF([Chambre]*1='CHAMBRES FILLES 2e ETAGE'!$A$23,1,0)</f>
        <v>0</v>
      </c>
      <c r="EO151" s="160">
        <f>IF([Occurrence5]=0,0,SUM($EN$2:EN151))</f>
        <v>0</v>
      </c>
      <c r="EP151" s="160">
        <f>IF([Chambre]*1='CHAMBRES FILLES 2e ETAGE'!$A$29,1,0)</f>
        <v>0</v>
      </c>
      <c r="EQ151" s="160">
        <f>IF([Occurrence6]=0,0,SUM($EP$2:EP151))</f>
        <v>0</v>
      </c>
      <c r="ER151" s="160">
        <f>IF([Chambre]*1='CHAMBRES FILLES 2e ETAGE'!$A$35,1,0)</f>
        <v>0</v>
      </c>
      <c r="ES151" s="160">
        <f>IF([Occurrence7]=0,0,SUM($ER$2:ER151))</f>
        <v>0</v>
      </c>
      <c r="ET151" s="160">
        <f>IF([Chambre]*1='CHAMBRES FILLES 2e ETAGE'!$A$41,1,0)</f>
        <v>0</v>
      </c>
      <c r="EU151" s="160">
        <f>IF([Occurrence8]=0,0,SUM($ET$2:ET151))</f>
        <v>0</v>
      </c>
      <c r="EV151" s="160">
        <f>IF([Chambre]*1='CHAMBRES FILLES 2e ETAGE'!$A$47,1,0)</f>
        <v>0</v>
      </c>
      <c r="EW151" s="160">
        <f>IF([Occurrence9]=0,0,SUM($EV$2:EV151))</f>
        <v>0</v>
      </c>
      <c r="EX151" s="160">
        <f>IF([Chambre]*1='CHAMBRES FILLES 2e ETAGE'!$A$53,1,0)</f>
        <v>0</v>
      </c>
      <c r="EY151" s="160">
        <f>IF([Occurrence10]=0,0,SUM($EX$2:EX151))</f>
        <v>0</v>
      </c>
      <c r="EZ151" s="160">
        <f>IF([Chambre]*1='CHAMBRES FILLES 2e ETAGE'!$A$59,1,0)</f>
        <v>0</v>
      </c>
      <c r="FA151" s="160">
        <f>IF([Occurrence11]=0,0,SUM($EZ$2:EZ151))</f>
        <v>0</v>
      </c>
      <c r="FB151" s="160">
        <f>IF([Chambre]*1='CHAMBRES FILLES 2e ETAGE'!$A$65,1,0)</f>
        <v>1</v>
      </c>
      <c r="FC151" s="160">
        <f>IF([Occurrence12]=0,0,SUM($FB$2:FB151))</f>
        <v>3</v>
      </c>
      <c r="FD151" s="160">
        <f>IF([Chambre]*1='CHAMBRES FILLES 2e ETAGE'!$A$71,1,0)</f>
        <v>0</v>
      </c>
      <c r="FE151" s="160">
        <f>IF([Occurrence13]=0,0,SUM($FD$2:FD151))</f>
        <v>0</v>
      </c>
      <c r="FF151" s="160">
        <f>IF([Chambre]*1='CHAMBRES FILLES 2e ETAGE'!$A$77,1,0)</f>
        <v>0</v>
      </c>
      <c r="FG151" s="160">
        <f>IF([Occurrence14]=0,0,SUM($FF$2:FF151))</f>
        <v>0</v>
      </c>
      <c r="FH151" s="160">
        <f>IF([Chambre]*1='CHAMBRES FILLES 2e ETAGE'!$A$83,1,0)</f>
        <v>0</v>
      </c>
      <c r="FI151" s="160">
        <f>IF([Occurrence15]=0,0,SUM($FH$2:FH151))</f>
        <v>0</v>
      </c>
      <c r="FJ151" s="160">
        <f>IF([Chambre]*1='CHAMBRES FILLES 2e ETAGE'!$A$89,1,0)</f>
        <v>0</v>
      </c>
      <c r="FK151" s="160">
        <f>IF([Occurrence16]=0,0,SUM($FJ$2:FJ151))</f>
        <v>0</v>
      </c>
      <c r="FL151" s="160">
        <f>IF([Chambre]*1='CHAMBRES FILLES 2e ETAGE'!$A$95,1,0)</f>
        <v>0</v>
      </c>
      <c r="FM151" s="160">
        <f>IF([Occurrence17]=0,0,SUM($FL$2:FL151))</f>
        <v>0</v>
      </c>
      <c r="FN151" s="160">
        <f>IF([Chambre2]*1='CHAMBRES FILLES 1e ETAGE'!$A$5,1,0)</f>
        <v>0</v>
      </c>
      <c r="FO151" s="160">
        <f>IF([Occurrence18]=0,0,SUM($FN$2:FN151))</f>
        <v>0</v>
      </c>
      <c r="FP151" s="160">
        <f>IF([Chambre2]*1='CHAMBRES FILLES 1e ETAGE'!$A$11,1,0)</f>
        <v>0</v>
      </c>
      <c r="FQ151" s="160">
        <f>IF([Occurrence19]=0,0,SUM($FP$2:FP151))</f>
        <v>0</v>
      </c>
      <c r="FR151" s="160">
        <f>IF([Chambre2]*1='CHAMBRES FILLES 1e ETAGE'!$A$17,1,0)</f>
        <v>0</v>
      </c>
      <c r="FS151" s="160">
        <f>IF([Occurrence20]=0,0,SUM($FR$2:FR151))</f>
        <v>0</v>
      </c>
      <c r="FT151" s="160">
        <f>IF([Chambre2]*1='CHAMBRES FILLES 1e ETAGE'!$A$23,1,0)</f>
        <v>0</v>
      </c>
      <c r="FU151" s="160">
        <f>IF([Occurrence21]=0,0,SUM($FT$2:FT151))</f>
        <v>0</v>
      </c>
      <c r="FV151" s="160">
        <f>IF([Chambre2]*1='CHAMBRES FILLES 1e ETAGE'!$A$29,1,0)</f>
        <v>0</v>
      </c>
      <c r="FW151" s="160">
        <f>IF([Occurrence22]=0,0,SUM($FV$2:FV151))</f>
        <v>0</v>
      </c>
      <c r="FX151" s="160">
        <f>IF([Chambre2]*1='CHAMBRES FILLES 1e ETAGE'!$A$35,1,0)</f>
        <v>0</v>
      </c>
      <c r="FY151" s="160">
        <f>IF([Occurrence23]=0,0,SUM($FX$2:FX151))</f>
        <v>0</v>
      </c>
      <c r="FZ151" s="160">
        <f>IF([Chambre2]*1='CHAMBRES FILLES 1e ETAGE'!$A$41,1,0)</f>
        <v>0</v>
      </c>
      <c r="GA151" s="160">
        <f>IF([Occurrence24]=0,0,SUM($FZ$2:FZ151))</f>
        <v>0</v>
      </c>
      <c r="GB151" s="160">
        <f>IF([Chambre2]*1='CHAMBRES FILLES 1e ETAGE'!$A$47,1,0)</f>
        <v>0</v>
      </c>
      <c r="GC151" s="160">
        <f>IF([Occurrence25]=0,0,SUM($GB$2:GB151))</f>
        <v>0</v>
      </c>
      <c r="GD151" s="160">
        <f>IF([Chambre2]*1='CHAMBRES FILLES 1e ETAGE'!$A$53,1,0)</f>
        <v>0</v>
      </c>
      <c r="GE151" s="160">
        <f>IF([Occurrence26]=0,0,SUM($GD$2:GD151))</f>
        <v>0</v>
      </c>
      <c r="GF151" s="160">
        <f>IF([chambre4]*1='CHAMBRES GARCONS 1e ETAGE'!$A$5,1,0)</f>
        <v>0</v>
      </c>
      <c r="GG151" s="160">
        <f>IF([Occurrence27]=0,0,SUM($GF$2:GF151))</f>
        <v>0</v>
      </c>
      <c r="GH151" s="160">
        <f>IF([chambre4]*1='CHAMBRES GARCONS 1e ETAGE'!$A$11,1,0)</f>
        <v>0</v>
      </c>
      <c r="GI151" s="160">
        <f>IF([Occurrence28]=0,0,SUM($GH$2:GH151))</f>
        <v>0</v>
      </c>
      <c r="GJ151" s="160">
        <f>IF([chambre4]*1='CHAMBRES GARCONS 1e ETAGE'!$A$17,1,0)</f>
        <v>0</v>
      </c>
      <c r="GK151" s="160">
        <f>IF([Occurrence29]=0,0,SUM($GJ$2:GJ151))</f>
        <v>0</v>
      </c>
      <c r="GL151" s="160">
        <f>IF([chambre4]*1='CHAMBRES GARCONS 1e ETAGE'!$A$23,1,0)</f>
        <v>0</v>
      </c>
      <c r="GM151" s="160">
        <f>IF([Occurrence30]=0,0,SUM($GL$2:GL151))</f>
        <v>0</v>
      </c>
      <c r="GN151" s="160">
        <f>IF([chambre4]*1='CHAMBRES GARCONS 1e ETAGE'!$A$29,1,0)</f>
        <v>0</v>
      </c>
      <c r="GO151" s="160">
        <f>IF([Occurrence31]=0,0,SUM($GN$2:GN151))</f>
        <v>0</v>
      </c>
      <c r="GP151" s="160">
        <f>IF([chambre4]*1='CHAMBRES GARCONS 1e ETAGE'!$A$35,1,0)</f>
        <v>0</v>
      </c>
      <c r="GQ151" s="160">
        <f>IF([Occurrence32]=0,0,SUM($GP$2:GP151))</f>
        <v>0</v>
      </c>
      <c r="GR151" s="160">
        <f>IF([chambre3]*1='CHAMBRES GARCONS RDC'!$A$5,1,0)</f>
        <v>0</v>
      </c>
      <c r="GS151" s="160">
        <f>IF([Occurrence33]=0,0,SUM($GR$2:GR151))</f>
        <v>0</v>
      </c>
      <c r="GT151" s="160">
        <f>IF([chambre3]*1='CHAMBRES GARCONS RDC'!$A$11,1,0)</f>
        <v>0</v>
      </c>
      <c r="GU151" s="160">
        <f>IF([Occurrence34]=0,0,SUM($GT$2:GT151))</f>
        <v>0</v>
      </c>
      <c r="GV151" s="160">
        <f>IF([chambre3]*1='CHAMBRES GARCONS RDC'!$A$17,1,0)</f>
        <v>0</v>
      </c>
      <c r="GW151" s="160">
        <f>IF([Occurrence35]=0,0,SUM($GV$2:GV151))</f>
        <v>0</v>
      </c>
      <c r="GX151" s="160">
        <f>IF([chambre3]*1='CHAMBRES GARCONS RDC'!$A$23,1,0)</f>
        <v>0</v>
      </c>
      <c r="GY151" s="160">
        <f>IF([Occurrence36]=0,0,SUM($GX$2:GX151))</f>
        <v>0</v>
      </c>
      <c r="GZ151" s="160">
        <f>IF([chambre3]*1='CHAMBRES GARCONS RDC'!$A$29,1,0)</f>
        <v>0</v>
      </c>
      <c r="HA151" s="160">
        <f>IF([Occurrence37]=0,0,SUM($GZ$2:GZ151))</f>
        <v>0</v>
      </c>
      <c r="HB151" s="160">
        <f>IF([chambre3]*1='CHAMBRES GARCONS RDC'!$A$35,1,0)</f>
        <v>0</v>
      </c>
      <c r="HC151" s="160">
        <f>IF([Occurrence38]=0,0,SUM($HB$2:HB151))</f>
        <v>0</v>
      </c>
      <c r="HD151" s="160">
        <f>IF([chambre3]*1='CHAMBRES GARCONS RDC'!$A$41,1,0)</f>
        <v>0</v>
      </c>
      <c r="HE151" s="160">
        <f>IF([Occurrence39]=0,0,SUM($HD$2:HD151))</f>
        <v>0</v>
      </c>
      <c r="HF151" s="160">
        <f>IF([chambre3]*1='CHAMBRES GARCONS RDC'!$A$47,1,0)</f>
        <v>0</v>
      </c>
      <c r="HG151" s="160">
        <f>IF([Occurrence40]=0,0,SUM($HF$2:HF151))</f>
        <v>0</v>
      </c>
      <c r="HH151" s="160">
        <f>IF([chambre3]*1='CHAMBRES GARCONS RDC'!$A$53,1,0)</f>
        <v>0</v>
      </c>
      <c r="HI151" s="160">
        <f>IF([Occurrence41]=0,0,SUM($HH$2:HH151))</f>
        <v>0</v>
      </c>
      <c r="HJ151" s="160">
        <f>IF([chambre3]*1='CHAMBRES GARCONS RDC'!$A$59,1,0)</f>
        <v>0</v>
      </c>
      <c r="HK151" s="160">
        <f>IF([Occurrence42]=0,0,SUM($HJ$2:HJ151))</f>
        <v>0</v>
      </c>
      <c r="HL151" s="160">
        <f>IF([chambre3]*1='CHAMBRES GARCONS RDC'!$A$65,1,0)</f>
        <v>0</v>
      </c>
      <c r="HM151" s="160">
        <f>IF([Occurrence43]=0,0,SUM($HL$2:HL151))</f>
        <v>0</v>
      </c>
      <c r="HN151" s="160">
        <f>IF([chambre3]*1='CHAMBRES GARCONS RDC'!$A$71,1,0)</f>
        <v>0</v>
      </c>
      <c r="HO151" s="160">
        <f>IF([Occurrence44]=0,0,SUM($HN$2:HN151))</f>
        <v>0</v>
      </c>
      <c r="HP151" s="160">
        <f>IF([chambre3]*1='CHAMBRES GARCONS RDC'!$A$77,1,0)</f>
        <v>0</v>
      </c>
      <c r="HQ151" s="160">
        <f>IF([Occurrence45]=0,0,SUM($HP$2:HP151))</f>
        <v>0</v>
      </c>
      <c r="HR151" s="160">
        <f>IF([chambre3]*1='CHAMBRES GARCONS RDC'!$A$83,1,0)</f>
        <v>0</v>
      </c>
      <c r="HS151" s="160">
        <f>IF([Occurrence46]=0,0,SUM($HR$2:HR151))</f>
        <v>0</v>
      </c>
      <c r="HT151" s="160">
        <f>IF([chambre3]*1='CHAMBRES GARCONS RDC'!$A$89,1,0)</f>
        <v>0</v>
      </c>
      <c r="HU151" s="160">
        <f>IF([Occurrence47]=0,0,SUM($HT$2:HT151))</f>
        <v>0</v>
      </c>
      <c r="HV151" s="160">
        <f>IF([chambre3]*1='CHAMBRES GARCONS RDC'!$A$95,1,0)</f>
        <v>0</v>
      </c>
      <c r="HW151" s="160">
        <f>IF([Occurrence48]=0,0,SUM($HV$2:HV151))</f>
        <v>0</v>
      </c>
      <c r="HX151" s="160"/>
      <c r="HY151" s="160"/>
      <c r="HZ151" s="160">
        <f>IF([Classe]='Liste élève par classes'!$B$5,1,0)</f>
        <v>0</v>
      </c>
      <c r="IA151" s="160">
        <f>IF([Occurrence]=0,0,SUM($HZ$2:HZ151))</f>
        <v>0</v>
      </c>
      <c r="IB15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172</v>
      </c>
      <c r="IC151" s="208"/>
    </row>
    <row r="152" spans="1:237" ht="15.75">
      <c r="A152" t="s">
        <v>506</v>
      </c>
      <c r="B152" t="s">
        <v>507</v>
      </c>
      <c r="C152" s="158">
        <v>36790</v>
      </c>
      <c r="D152" s="62">
        <f t="shared" ca="1" si="2"/>
        <v>17</v>
      </c>
      <c r="E152" t="s">
        <v>14</v>
      </c>
      <c r="F152" s="159" t="s">
        <v>50</v>
      </c>
      <c r="G152" t="s">
        <v>45</v>
      </c>
      <c r="H152" s="160"/>
      <c r="I152" s="62"/>
      <c r="J152" s="167"/>
      <c r="K152" s="168"/>
      <c r="L152" s="61">
        <v>167</v>
      </c>
      <c r="M152">
        <v>181</v>
      </c>
      <c r="N152" s="62"/>
      <c r="O152" s="62"/>
      <c r="P152" s="62"/>
      <c r="Q152" s="62"/>
      <c r="R152" s="62"/>
      <c r="S152" s="191"/>
      <c r="T152" s="62"/>
      <c r="U152" s="61"/>
      <c r="V152" s="62"/>
      <c r="W152" s="62"/>
      <c r="X152" s="62"/>
      <c r="Y152" s="62"/>
      <c r="Z152" s="62"/>
      <c r="AA152" s="62"/>
      <c r="AB152" s="62"/>
      <c r="AC152" s="62"/>
      <c r="AD152" s="62"/>
      <c r="AE152" s="62"/>
      <c r="AF152" s="163"/>
      <c r="AG152" s="163"/>
      <c r="AH152" s="163"/>
      <c r="AI152" s="163"/>
      <c r="AJ152" s="163"/>
      <c r="AK152" s="163"/>
      <c r="AL152" s="163"/>
      <c r="AM152" s="163"/>
      <c r="AN152" s="163"/>
      <c r="AO152" s="163"/>
      <c r="AP152" s="163"/>
      <c r="AQ152" s="163"/>
      <c r="AR152" s="163"/>
      <c r="AS152" s="163"/>
      <c r="AT152" s="163"/>
      <c r="AU152" s="163"/>
      <c r="AV152" s="163"/>
      <c r="AW152" s="163"/>
      <c r="AX152" s="163"/>
      <c r="AY152" s="163"/>
      <c r="AZ152" s="163"/>
      <c r="BA152" s="163"/>
      <c r="BB152" s="163"/>
      <c r="BC152" s="163" t="b">
        <v>0</v>
      </c>
      <c r="BD152" s="163" t="b">
        <v>1</v>
      </c>
      <c r="BE152" s="163" t="b">
        <v>1</v>
      </c>
      <c r="BF152" s="163" t="b">
        <v>0</v>
      </c>
      <c r="BG152" s="164" t="b">
        <v>0</v>
      </c>
      <c r="BH152" s="163" t="b">
        <v>1</v>
      </c>
      <c r="BI152" s="163"/>
      <c r="BJ152" s="163"/>
      <c r="BK152" s="163"/>
      <c r="BL152" s="163"/>
      <c r="BM152" s="163"/>
      <c r="BN152" s="163"/>
      <c r="BO152" s="163"/>
      <c r="BP152" s="163"/>
      <c r="BQ152" s="163" t="b">
        <v>1</v>
      </c>
      <c r="BR152" s="163"/>
      <c r="BS152" s="163"/>
      <c r="BT152" s="163"/>
      <c r="BU152" s="163"/>
      <c r="BV152" s="163"/>
      <c r="BW152" s="163"/>
      <c r="BX152" s="163"/>
      <c r="BY152" s="163"/>
      <c r="BZ152" s="163"/>
      <c r="CA152" s="163"/>
      <c r="CB152" s="163"/>
      <c r="CC152" s="163"/>
      <c r="CD152" s="163"/>
      <c r="CE152" s="163"/>
      <c r="CF152" s="163"/>
      <c r="CG152" s="163"/>
      <c r="CH152" s="163"/>
      <c r="CI152" s="163"/>
      <c r="CJ152" s="163"/>
      <c r="CK152" s="163"/>
      <c r="CL152" s="163"/>
      <c r="CM152" s="163"/>
      <c r="CN152" s="163"/>
      <c r="CO152" s="163"/>
      <c r="CP152" s="163"/>
      <c r="CQ152" s="163"/>
      <c r="CR152" s="163"/>
      <c r="CS152" s="163"/>
      <c r="CT152" s="163"/>
      <c r="CU152" s="163"/>
      <c r="CV152" s="163"/>
      <c r="CW152" s="163"/>
      <c r="CX152" s="163"/>
      <c r="CY152" s="163"/>
      <c r="CZ152" s="163"/>
      <c r="DA152" s="163"/>
      <c r="DB152" s="163"/>
      <c r="DC152" s="163"/>
      <c r="DD152" s="163"/>
      <c r="DE152" s="163"/>
      <c r="DF152" s="163"/>
      <c r="DG152" s="208"/>
      <c r="DH152" s="163"/>
      <c r="DI152" s="163"/>
      <c r="DJ152" s="163"/>
      <c r="DK152" s="163"/>
      <c r="DL152" s="163"/>
      <c r="DM152" s="163"/>
      <c r="DN152" s="163"/>
      <c r="DO152" s="163"/>
      <c r="DP152" s="163"/>
      <c r="DQ152" s="163"/>
      <c r="DR152" s="163"/>
      <c r="DS152" s="163"/>
      <c r="DT152" s="163"/>
      <c r="DU152" s="163"/>
      <c r="DV152" s="163"/>
      <c r="DW152" s="163"/>
      <c r="DX152" s="163"/>
      <c r="DY152" s="163"/>
      <c r="DZ152" s="163"/>
      <c r="EA152" s="163"/>
      <c r="EB152" s="163"/>
      <c r="EC152" s="163"/>
      <c r="ED152" s="163"/>
      <c r="EE152" s="163"/>
      <c r="EF152" s="163"/>
      <c r="EG152" s="163"/>
      <c r="EH152" s="160">
        <f>IF([Chambre]*1='CHAMBRES FILLES 2e ETAGE'!$A$5,1,0)</f>
        <v>0</v>
      </c>
      <c r="EI152" s="161">
        <f>IF([Occurrence2]=0,0,SUM($EH$2:EH152))</f>
        <v>0</v>
      </c>
      <c r="EJ152" s="160">
        <f>IF([Chambre]*1='CHAMBRES FILLES 2e ETAGE'!$A$11,1,0)</f>
        <v>0</v>
      </c>
      <c r="EK152" s="160">
        <f>IF([Occurrence3]=0,0,SUM($EJ$2:EJ152))</f>
        <v>0</v>
      </c>
      <c r="EL152" s="160">
        <f>IF([Chambre]*1='CHAMBRES FILLES 2e ETAGE'!$A$17,1,0)</f>
        <v>0</v>
      </c>
      <c r="EM152" s="160">
        <f>IF([Occurrence4]=0,0,SUM($EL$2:EL152))</f>
        <v>0</v>
      </c>
      <c r="EN152" s="160">
        <f>IF([Chambre]*1='CHAMBRES FILLES 2e ETAGE'!$A$23,1,0)</f>
        <v>1</v>
      </c>
      <c r="EO152" s="160">
        <f>IF([Occurrence5]=0,0,SUM($EN$2:EN152))</f>
        <v>3</v>
      </c>
      <c r="EP152" s="160">
        <f>IF([Chambre]*1='CHAMBRES FILLES 2e ETAGE'!$A$29,1,0)</f>
        <v>0</v>
      </c>
      <c r="EQ152" s="160">
        <f>IF([Occurrence6]=0,0,SUM($EP$2:EP152))</f>
        <v>0</v>
      </c>
      <c r="ER152" s="160">
        <f>IF([Chambre]*1='CHAMBRES FILLES 2e ETAGE'!$A$35,1,0)</f>
        <v>0</v>
      </c>
      <c r="ES152" s="160">
        <f>IF([Occurrence7]=0,0,SUM($ER$2:ER152))</f>
        <v>0</v>
      </c>
      <c r="ET152" s="160">
        <f>IF([Chambre]*1='CHAMBRES FILLES 2e ETAGE'!$A$41,1,0)</f>
        <v>0</v>
      </c>
      <c r="EU152" s="160">
        <f>IF([Occurrence8]=0,0,SUM($ET$2:ET152))</f>
        <v>0</v>
      </c>
      <c r="EV152" s="160">
        <f>IF([Chambre]*1='CHAMBRES FILLES 2e ETAGE'!$A$47,1,0)</f>
        <v>0</v>
      </c>
      <c r="EW152" s="160">
        <f>IF([Occurrence9]=0,0,SUM($EV$2:EV152))</f>
        <v>0</v>
      </c>
      <c r="EX152" s="160">
        <f>IF([Chambre]*1='CHAMBRES FILLES 2e ETAGE'!$A$53,1,0)</f>
        <v>0</v>
      </c>
      <c r="EY152" s="160">
        <f>IF([Occurrence10]=0,0,SUM($EX$2:EX152))</f>
        <v>0</v>
      </c>
      <c r="EZ152" s="160">
        <f>IF([Chambre]*1='CHAMBRES FILLES 2e ETAGE'!$A$59,1,0)</f>
        <v>0</v>
      </c>
      <c r="FA152" s="160">
        <f>IF([Occurrence11]=0,0,SUM($EZ$2:EZ152))</f>
        <v>0</v>
      </c>
      <c r="FB152" s="160">
        <f>IF([Chambre]*1='CHAMBRES FILLES 2e ETAGE'!$A$65,1,0)</f>
        <v>0</v>
      </c>
      <c r="FC152" s="160">
        <f>IF([Occurrence12]=0,0,SUM($FB$2:FB152))</f>
        <v>0</v>
      </c>
      <c r="FD152" s="160">
        <f>IF([Chambre]*1='CHAMBRES FILLES 2e ETAGE'!$A$71,1,0)</f>
        <v>0</v>
      </c>
      <c r="FE152" s="160">
        <f>IF([Occurrence13]=0,0,SUM($FD$2:FD152))</f>
        <v>0</v>
      </c>
      <c r="FF152" s="160">
        <f>IF([Chambre]*1='CHAMBRES FILLES 2e ETAGE'!$A$77,1,0)</f>
        <v>0</v>
      </c>
      <c r="FG152" s="160">
        <f>IF([Occurrence14]=0,0,SUM($FF$2:FF152))</f>
        <v>0</v>
      </c>
      <c r="FH152" s="160">
        <f>IF([Chambre]*1='CHAMBRES FILLES 2e ETAGE'!$A$83,1,0)</f>
        <v>0</v>
      </c>
      <c r="FI152" s="160">
        <f>IF([Occurrence15]=0,0,SUM($FH$2:FH152))</f>
        <v>0</v>
      </c>
      <c r="FJ152" s="160">
        <f>IF([Chambre]*1='CHAMBRES FILLES 2e ETAGE'!$A$89,1,0)</f>
        <v>0</v>
      </c>
      <c r="FK152" s="160">
        <f>IF([Occurrence16]=0,0,SUM($FJ$2:FJ152))</f>
        <v>0</v>
      </c>
      <c r="FL152" s="160">
        <f>IF([Chambre]*1='CHAMBRES FILLES 2e ETAGE'!$A$95,1,0)</f>
        <v>0</v>
      </c>
      <c r="FM152" s="160">
        <f>IF([Occurrence17]=0,0,SUM($FL$2:FL152))</f>
        <v>0</v>
      </c>
      <c r="FN152" s="160">
        <f>IF([Chambre2]*1='CHAMBRES FILLES 1e ETAGE'!$A$5,1,0)</f>
        <v>0</v>
      </c>
      <c r="FO152" s="160">
        <f>IF([Occurrence18]=0,0,SUM($FN$2:FN152))</f>
        <v>0</v>
      </c>
      <c r="FP152" s="160">
        <f>IF([Chambre2]*1='CHAMBRES FILLES 1e ETAGE'!$A$11,1,0)</f>
        <v>0</v>
      </c>
      <c r="FQ152" s="160">
        <f>IF([Occurrence19]=0,0,SUM($FP$2:FP152))</f>
        <v>0</v>
      </c>
      <c r="FR152" s="160">
        <f>IF([Chambre2]*1='CHAMBRES FILLES 1e ETAGE'!$A$17,1,0)</f>
        <v>0</v>
      </c>
      <c r="FS152" s="160">
        <f>IF([Occurrence20]=0,0,SUM($FR$2:FR152))</f>
        <v>0</v>
      </c>
      <c r="FT152" s="160">
        <f>IF([Chambre2]*1='CHAMBRES FILLES 1e ETAGE'!$A$23,1,0)</f>
        <v>0</v>
      </c>
      <c r="FU152" s="160">
        <f>IF([Occurrence21]=0,0,SUM($FT$2:FT152))</f>
        <v>0</v>
      </c>
      <c r="FV152" s="160">
        <f>IF([Chambre2]*1='CHAMBRES FILLES 1e ETAGE'!$A$29,1,0)</f>
        <v>0</v>
      </c>
      <c r="FW152" s="160">
        <f>IF([Occurrence22]=0,0,SUM($FV$2:FV152))</f>
        <v>0</v>
      </c>
      <c r="FX152" s="160">
        <f>IF([Chambre2]*1='CHAMBRES FILLES 1e ETAGE'!$A$35,1,0)</f>
        <v>0</v>
      </c>
      <c r="FY152" s="160">
        <f>IF([Occurrence23]=0,0,SUM($FX$2:FX152))</f>
        <v>0</v>
      </c>
      <c r="FZ152" s="160">
        <f>IF([Chambre2]*1='CHAMBRES FILLES 1e ETAGE'!$A$41,1,0)</f>
        <v>0</v>
      </c>
      <c r="GA152" s="160">
        <f>IF([Occurrence24]=0,0,SUM($FZ$2:FZ152))</f>
        <v>0</v>
      </c>
      <c r="GB152" s="160">
        <f>IF([Chambre2]*1='CHAMBRES FILLES 1e ETAGE'!$A$47,1,0)</f>
        <v>0</v>
      </c>
      <c r="GC152" s="160">
        <f>IF([Occurrence25]=0,0,SUM($GB$2:GB152))</f>
        <v>0</v>
      </c>
      <c r="GD152" s="160">
        <f>IF([Chambre2]*1='CHAMBRES FILLES 1e ETAGE'!$A$53,1,0)</f>
        <v>0</v>
      </c>
      <c r="GE152" s="160">
        <f>IF([Occurrence26]=0,0,SUM($GD$2:GD152))</f>
        <v>0</v>
      </c>
      <c r="GF152" s="160">
        <f>IF([chambre4]*1='CHAMBRES GARCONS 1e ETAGE'!$A$5,1,0)</f>
        <v>0</v>
      </c>
      <c r="GG152" s="160">
        <f>IF([Occurrence27]=0,0,SUM($GF$2:GF152))</f>
        <v>0</v>
      </c>
      <c r="GH152" s="160">
        <f>IF([chambre4]*1='CHAMBRES GARCONS 1e ETAGE'!$A$11,1,0)</f>
        <v>0</v>
      </c>
      <c r="GI152" s="160">
        <f>IF([Occurrence28]=0,0,SUM($GH$2:GH152))</f>
        <v>0</v>
      </c>
      <c r="GJ152" s="160">
        <f>IF([chambre4]*1='CHAMBRES GARCONS 1e ETAGE'!$A$17,1,0)</f>
        <v>0</v>
      </c>
      <c r="GK152" s="160">
        <f>IF([Occurrence29]=0,0,SUM($GJ$2:GJ152))</f>
        <v>0</v>
      </c>
      <c r="GL152" s="160">
        <f>IF([chambre4]*1='CHAMBRES GARCONS 1e ETAGE'!$A$23,1,0)</f>
        <v>0</v>
      </c>
      <c r="GM152" s="160">
        <f>IF([Occurrence30]=0,0,SUM($GL$2:GL152))</f>
        <v>0</v>
      </c>
      <c r="GN152" s="160">
        <f>IF([chambre4]*1='CHAMBRES GARCONS 1e ETAGE'!$A$29,1,0)</f>
        <v>0</v>
      </c>
      <c r="GO152" s="160">
        <f>IF([Occurrence31]=0,0,SUM($GN$2:GN152))</f>
        <v>0</v>
      </c>
      <c r="GP152" s="160">
        <f>IF([chambre4]*1='CHAMBRES GARCONS 1e ETAGE'!$A$35,1,0)</f>
        <v>0</v>
      </c>
      <c r="GQ152" s="160">
        <f>IF([Occurrence32]=0,0,SUM($GP$2:GP152))</f>
        <v>0</v>
      </c>
      <c r="GR152" s="160">
        <f>IF([chambre3]*1='CHAMBRES GARCONS RDC'!$A$5,1,0)</f>
        <v>0</v>
      </c>
      <c r="GS152" s="160">
        <f>IF([Occurrence33]=0,0,SUM($GR$2:GR152))</f>
        <v>0</v>
      </c>
      <c r="GT152" s="160">
        <f>IF([chambre3]*1='CHAMBRES GARCONS RDC'!$A$11,1,0)</f>
        <v>0</v>
      </c>
      <c r="GU152" s="160">
        <f>IF([Occurrence34]=0,0,SUM($GT$2:GT152))</f>
        <v>0</v>
      </c>
      <c r="GV152" s="160">
        <f>IF([chambre3]*1='CHAMBRES GARCONS RDC'!$A$17,1,0)</f>
        <v>0</v>
      </c>
      <c r="GW152" s="160">
        <f>IF([Occurrence35]=0,0,SUM($GV$2:GV152))</f>
        <v>0</v>
      </c>
      <c r="GX152" s="160">
        <f>IF([chambre3]*1='CHAMBRES GARCONS RDC'!$A$23,1,0)</f>
        <v>0</v>
      </c>
      <c r="GY152" s="160">
        <f>IF([Occurrence36]=0,0,SUM($GX$2:GX152))</f>
        <v>0</v>
      </c>
      <c r="GZ152" s="160">
        <f>IF([chambre3]*1='CHAMBRES GARCONS RDC'!$A$29,1,0)</f>
        <v>0</v>
      </c>
      <c r="HA152" s="160">
        <f>IF([Occurrence37]=0,0,SUM($GZ$2:GZ152))</f>
        <v>0</v>
      </c>
      <c r="HB152" s="160">
        <f>IF([chambre3]*1='CHAMBRES GARCONS RDC'!$A$35,1,0)</f>
        <v>0</v>
      </c>
      <c r="HC152" s="160">
        <f>IF([Occurrence38]=0,0,SUM($HB$2:HB152))</f>
        <v>0</v>
      </c>
      <c r="HD152" s="160">
        <f>IF([chambre3]*1='CHAMBRES GARCONS RDC'!$A$41,1,0)</f>
        <v>0</v>
      </c>
      <c r="HE152" s="160">
        <f>IF([Occurrence39]=0,0,SUM($HD$2:HD152))</f>
        <v>0</v>
      </c>
      <c r="HF152" s="160">
        <f>IF([chambre3]*1='CHAMBRES GARCONS RDC'!$A$47,1,0)</f>
        <v>0</v>
      </c>
      <c r="HG152" s="160">
        <f>IF([Occurrence40]=0,0,SUM($HF$2:HF152))</f>
        <v>0</v>
      </c>
      <c r="HH152" s="160">
        <f>IF([chambre3]*1='CHAMBRES GARCONS RDC'!$A$53,1,0)</f>
        <v>0</v>
      </c>
      <c r="HI152" s="160">
        <f>IF([Occurrence41]=0,0,SUM($HH$2:HH152))</f>
        <v>0</v>
      </c>
      <c r="HJ152" s="160">
        <f>IF([chambre3]*1='CHAMBRES GARCONS RDC'!$A$59,1,0)</f>
        <v>0</v>
      </c>
      <c r="HK152" s="160">
        <f>IF([Occurrence42]=0,0,SUM($HJ$2:HJ152))</f>
        <v>0</v>
      </c>
      <c r="HL152" s="160">
        <f>IF([chambre3]*1='CHAMBRES GARCONS RDC'!$A$65,1,0)</f>
        <v>0</v>
      </c>
      <c r="HM152" s="160">
        <f>IF([Occurrence43]=0,0,SUM($HL$2:HL152))</f>
        <v>0</v>
      </c>
      <c r="HN152" s="160">
        <f>IF([chambre3]*1='CHAMBRES GARCONS RDC'!$A$71,1,0)</f>
        <v>0</v>
      </c>
      <c r="HO152" s="160">
        <f>IF([Occurrence44]=0,0,SUM($HN$2:HN152))</f>
        <v>0</v>
      </c>
      <c r="HP152" s="160">
        <f>IF([chambre3]*1='CHAMBRES GARCONS RDC'!$A$77,1,0)</f>
        <v>0</v>
      </c>
      <c r="HQ152" s="160">
        <f>IF([Occurrence45]=0,0,SUM($HP$2:HP152))</f>
        <v>0</v>
      </c>
      <c r="HR152" s="160">
        <f>IF([chambre3]*1='CHAMBRES GARCONS RDC'!$A$83,1,0)</f>
        <v>0</v>
      </c>
      <c r="HS152" s="160">
        <f>IF([Occurrence46]=0,0,SUM($HR$2:HR152))</f>
        <v>0</v>
      </c>
      <c r="HT152" s="160">
        <f>IF([chambre3]*1='CHAMBRES GARCONS RDC'!$A$89,1,0)</f>
        <v>0</v>
      </c>
      <c r="HU152" s="160">
        <f>IF([Occurrence47]=0,0,SUM($HT$2:HT152))</f>
        <v>0</v>
      </c>
      <c r="HV152" s="160">
        <f>IF([chambre3]*1='CHAMBRES GARCONS RDC'!$A$95,1,0)</f>
        <v>0</v>
      </c>
      <c r="HW152" s="160">
        <f>IF([Occurrence48]=0,0,SUM($HV$2:HV152))</f>
        <v>0</v>
      </c>
      <c r="HX152" s="160"/>
      <c r="HY152" s="160"/>
      <c r="HZ152" s="160">
        <f>IF([Classe]='Liste élève par classes'!$B$5,1,0)</f>
        <v>0</v>
      </c>
      <c r="IA152" s="160">
        <f>IF([Occurrence]=0,0,SUM($HZ$2:HZ152))</f>
        <v>0</v>
      </c>
      <c r="IB15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167</v>
      </c>
      <c r="IC152" s="208"/>
    </row>
    <row r="153" spans="1:237">
      <c r="A153" t="s">
        <v>508</v>
      </c>
      <c r="B153" t="s">
        <v>509</v>
      </c>
      <c r="C153" s="158">
        <v>37193</v>
      </c>
      <c r="D153" s="62">
        <f t="shared" ca="1" si="2"/>
        <v>16</v>
      </c>
      <c r="E153" t="s">
        <v>10</v>
      </c>
      <c r="F153" s="159" t="s">
        <v>50</v>
      </c>
      <c r="G153" t="s">
        <v>45</v>
      </c>
      <c r="H153" s="160"/>
      <c r="I153" s="62"/>
      <c r="J153" s="62" t="s">
        <v>244</v>
      </c>
      <c r="K153" s="62"/>
      <c r="L153" s="61">
        <v>178</v>
      </c>
      <c r="M153">
        <v>196</v>
      </c>
      <c r="N153" s="62" t="s">
        <v>244</v>
      </c>
      <c r="O153" s="62" t="s">
        <v>244</v>
      </c>
      <c r="P153" s="62" t="s">
        <v>244</v>
      </c>
      <c r="Q153" s="62" t="s">
        <v>244</v>
      </c>
      <c r="R153" s="62" t="s">
        <v>244</v>
      </c>
      <c r="S153" s="191"/>
      <c r="T153" s="62" t="s">
        <v>244</v>
      </c>
      <c r="U153" s="61"/>
      <c r="V153" s="62" t="s">
        <v>244</v>
      </c>
      <c r="W153" s="62" t="s">
        <v>244</v>
      </c>
      <c r="X153" s="62" t="s">
        <v>244</v>
      </c>
      <c r="Y153" s="62" t="s">
        <v>244</v>
      </c>
      <c r="Z153" s="62" t="s">
        <v>244</v>
      </c>
      <c r="AA153" s="62" t="s">
        <v>244</v>
      </c>
      <c r="AB153" s="62" t="s">
        <v>244</v>
      </c>
      <c r="AC153" s="62" t="s">
        <v>244</v>
      </c>
      <c r="AD153" s="62" t="s">
        <v>244</v>
      </c>
      <c r="AE153" s="62" t="s">
        <v>244</v>
      </c>
      <c r="AF153" s="166" t="s">
        <v>244</v>
      </c>
      <c r="AG153" s="166"/>
      <c r="AH153" s="166"/>
      <c r="AI153" s="166"/>
      <c r="AJ153" s="166"/>
      <c r="AK153" s="166"/>
      <c r="AL153" s="166"/>
      <c r="AM153" s="166"/>
      <c r="AN153" s="166"/>
      <c r="AO153" s="166"/>
      <c r="AP153" s="166"/>
      <c r="AQ153" s="166"/>
      <c r="AR153" s="166"/>
      <c r="AS153" s="166"/>
      <c r="AT153" s="166"/>
      <c r="AU153" s="166"/>
      <c r="AV153" s="166"/>
      <c r="AW153" s="166"/>
      <c r="AX153" s="166"/>
      <c r="AY153" s="166"/>
      <c r="AZ153" s="166"/>
      <c r="BA153" s="166"/>
      <c r="BB153" s="166"/>
      <c r="BC153" s="163" t="b">
        <v>0</v>
      </c>
      <c r="BD153" s="163" t="b">
        <v>1</v>
      </c>
      <c r="BE153" s="163" t="b">
        <v>1</v>
      </c>
      <c r="BF153" s="163" t="b">
        <v>0</v>
      </c>
      <c r="BG153" s="164" t="b">
        <v>0</v>
      </c>
      <c r="BH153" s="163" t="b">
        <v>1</v>
      </c>
      <c r="BI153" s="166"/>
      <c r="BJ153" s="166"/>
      <c r="BK153" s="166"/>
      <c r="BL153" s="166"/>
      <c r="BM153" s="166"/>
      <c r="BN153" s="166"/>
      <c r="BO153" s="166"/>
      <c r="BP153" s="166"/>
      <c r="BQ153" s="166" t="b">
        <v>1</v>
      </c>
      <c r="BR153" s="166"/>
      <c r="BS153" s="166"/>
      <c r="BT153" s="166"/>
      <c r="BU153" s="166"/>
      <c r="BV153" s="166"/>
      <c r="BW153" s="166"/>
      <c r="BX153" s="166"/>
      <c r="BY153" s="166"/>
      <c r="BZ153" s="166"/>
      <c r="CA153" s="166"/>
      <c r="CB153" s="166"/>
      <c r="CC153" s="166"/>
      <c r="CD153" s="166"/>
      <c r="CE153" s="166"/>
      <c r="CF153" s="166"/>
      <c r="CG153" s="166"/>
      <c r="CH153" s="166"/>
      <c r="CI153" s="166"/>
      <c r="CJ153" s="166"/>
      <c r="CK153" s="166"/>
      <c r="CL153" s="166"/>
      <c r="CM153" s="166"/>
      <c r="CN153" s="166"/>
      <c r="CO153" s="166"/>
      <c r="CP153" s="166"/>
      <c r="CQ153" s="166"/>
      <c r="CR153" s="166"/>
      <c r="CS153" s="166"/>
      <c r="CT153" s="166"/>
      <c r="CU153" s="166"/>
      <c r="CV153" s="166"/>
      <c r="CW153" s="166"/>
      <c r="CX153" s="166"/>
      <c r="CY153" s="166"/>
      <c r="CZ153" s="166"/>
      <c r="DA153" s="166"/>
      <c r="DB153" s="166"/>
      <c r="DC153" s="166"/>
      <c r="DD153" s="166"/>
      <c r="DE153" s="166"/>
      <c r="DF153" s="166"/>
      <c r="DG153" s="212"/>
      <c r="DH153" s="166"/>
      <c r="DI153" s="166"/>
      <c r="DJ153" s="166"/>
      <c r="DK153" s="166"/>
      <c r="DL153" s="166"/>
      <c r="DM153" s="166"/>
      <c r="DN153" s="166"/>
      <c r="DO153" s="166"/>
      <c r="DP153" s="166"/>
      <c r="DQ153" s="166"/>
      <c r="DR153" s="166"/>
      <c r="DS153" s="166"/>
      <c r="DT153" s="166"/>
      <c r="DU153" s="166"/>
      <c r="DV153" s="166"/>
      <c r="DW153" s="166"/>
      <c r="DX153" s="166"/>
      <c r="DY153" s="166"/>
      <c r="DZ153" s="166"/>
      <c r="EA153" s="166"/>
      <c r="EB153" s="166"/>
      <c r="EC153" s="166"/>
      <c r="ED153" s="166"/>
      <c r="EE153" s="166"/>
      <c r="EF153" s="166"/>
      <c r="EG153" s="166"/>
      <c r="EH153" s="160">
        <f>IF([Chambre]*1='CHAMBRES FILLES 2e ETAGE'!$A$5,1,0)</f>
        <v>0</v>
      </c>
      <c r="EI153" s="161">
        <f>IF([Occurrence2]=0,0,SUM($EH$2:EH153))</f>
        <v>0</v>
      </c>
      <c r="EJ153" s="160">
        <f>IF([Chambre]*1='CHAMBRES FILLES 2e ETAGE'!$A$11,1,0)</f>
        <v>0</v>
      </c>
      <c r="EK153" s="160">
        <f>IF([Occurrence3]=0,0,SUM($EJ$2:EJ153))</f>
        <v>0</v>
      </c>
      <c r="EL153" s="160">
        <f>IF([Chambre]*1='CHAMBRES FILLES 2e ETAGE'!$A$17,1,0)</f>
        <v>0</v>
      </c>
      <c r="EM153" s="160">
        <f>IF([Occurrence4]=0,0,SUM($EL$2:EL153))</f>
        <v>0</v>
      </c>
      <c r="EN153" s="160">
        <f>IF([Chambre]*1='CHAMBRES FILLES 2e ETAGE'!$A$23,1,0)</f>
        <v>0</v>
      </c>
      <c r="EO153" s="160">
        <f>IF([Occurrence5]=0,0,SUM($EN$2:EN153))</f>
        <v>0</v>
      </c>
      <c r="EP153" s="160">
        <f>IF([Chambre]*1='CHAMBRES FILLES 2e ETAGE'!$A$29,1,0)</f>
        <v>0</v>
      </c>
      <c r="EQ153" s="160">
        <f>IF([Occurrence6]=0,0,SUM($EP$2:EP153))</f>
        <v>0</v>
      </c>
      <c r="ER153" s="160">
        <f>IF([Chambre]*1='CHAMBRES FILLES 2e ETAGE'!$A$35,1,0)</f>
        <v>0</v>
      </c>
      <c r="ES153" s="160">
        <f>IF([Occurrence7]=0,0,SUM($ER$2:ER153))</f>
        <v>0</v>
      </c>
      <c r="ET153" s="160">
        <f>IF([Chambre]*1='CHAMBRES FILLES 2e ETAGE'!$A$41,1,0)</f>
        <v>0</v>
      </c>
      <c r="EU153" s="160">
        <f>IF([Occurrence8]=0,0,SUM($ET$2:ET153))</f>
        <v>0</v>
      </c>
      <c r="EV153" s="160">
        <f>IF([Chambre]*1='CHAMBRES FILLES 2e ETAGE'!$A$47,1,0)</f>
        <v>0</v>
      </c>
      <c r="EW153" s="160">
        <f>IF([Occurrence9]=0,0,SUM($EV$2:EV153))</f>
        <v>0</v>
      </c>
      <c r="EX153" s="160">
        <f>IF([Chambre]*1='CHAMBRES FILLES 2e ETAGE'!$A$53,1,0)</f>
        <v>0</v>
      </c>
      <c r="EY153" s="160">
        <f>IF([Occurrence10]=0,0,SUM($EX$2:EX153))</f>
        <v>0</v>
      </c>
      <c r="EZ153" s="160">
        <f>IF([Chambre]*1='CHAMBRES FILLES 2e ETAGE'!$A$59,1,0)</f>
        <v>0</v>
      </c>
      <c r="FA153" s="160">
        <f>IF([Occurrence11]=0,0,SUM($EZ$2:EZ153))</f>
        <v>0</v>
      </c>
      <c r="FB153" s="160">
        <f>IF([Chambre]*1='CHAMBRES FILLES 2e ETAGE'!$A$65,1,0)</f>
        <v>0</v>
      </c>
      <c r="FC153" s="160">
        <f>IF([Occurrence12]=0,0,SUM($FB$2:FB153))</f>
        <v>0</v>
      </c>
      <c r="FD153" s="160">
        <f>IF([Chambre]*1='CHAMBRES FILLES 2e ETAGE'!$A$71,1,0)</f>
        <v>0</v>
      </c>
      <c r="FE153" s="160">
        <f>IF([Occurrence13]=0,0,SUM($FD$2:FD153))</f>
        <v>0</v>
      </c>
      <c r="FF153" s="160">
        <f>IF([Chambre]*1='CHAMBRES FILLES 2e ETAGE'!$A$77,1,0)</f>
        <v>1</v>
      </c>
      <c r="FG153" s="160">
        <f>IF([Occurrence14]=0,0,SUM($FF$2:FF153))</f>
        <v>2</v>
      </c>
      <c r="FH153" s="160">
        <f>IF([Chambre]*1='CHAMBRES FILLES 2e ETAGE'!$A$83,1,0)</f>
        <v>0</v>
      </c>
      <c r="FI153" s="160">
        <f>IF([Occurrence15]=0,0,SUM($FH$2:FH153))</f>
        <v>0</v>
      </c>
      <c r="FJ153" s="160">
        <f>IF([Chambre]*1='CHAMBRES FILLES 2e ETAGE'!$A$89,1,0)</f>
        <v>0</v>
      </c>
      <c r="FK153" s="160">
        <f>IF([Occurrence16]=0,0,SUM($FJ$2:FJ153))</f>
        <v>0</v>
      </c>
      <c r="FL153" s="160">
        <f>IF([Chambre]*1='CHAMBRES FILLES 2e ETAGE'!$A$95,1,0)</f>
        <v>0</v>
      </c>
      <c r="FM153" s="160">
        <f>IF([Occurrence17]=0,0,SUM($FL$2:FL153))</f>
        <v>0</v>
      </c>
      <c r="FN153" s="160">
        <f>IF([Chambre2]*1='CHAMBRES FILLES 1e ETAGE'!$A$5,1,0)</f>
        <v>0</v>
      </c>
      <c r="FO153" s="160">
        <f>IF([Occurrence18]=0,0,SUM($FN$2:FN153))</f>
        <v>0</v>
      </c>
      <c r="FP153" s="160">
        <f>IF([Chambre2]*1='CHAMBRES FILLES 1e ETAGE'!$A$11,1,0)</f>
        <v>0</v>
      </c>
      <c r="FQ153" s="160">
        <f>IF([Occurrence19]=0,0,SUM($FP$2:FP153))</f>
        <v>0</v>
      </c>
      <c r="FR153" s="160">
        <f>IF([Chambre2]*1='CHAMBRES FILLES 1e ETAGE'!$A$17,1,0)</f>
        <v>0</v>
      </c>
      <c r="FS153" s="160">
        <f>IF([Occurrence20]=0,0,SUM($FR$2:FR153))</f>
        <v>0</v>
      </c>
      <c r="FT153" s="160">
        <f>IF([Chambre2]*1='CHAMBRES FILLES 1e ETAGE'!$A$23,1,0)</f>
        <v>0</v>
      </c>
      <c r="FU153" s="160">
        <f>IF([Occurrence21]=0,0,SUM($FT$2:FT153))</f>
        <v>0</v>
      </c>
      <c r="FV153" s="160">
        <f>IF([Chambre2]*1='CHAMBRES FILLES 1e ETAGE'!$A$29,1,0)</f>
        <v>0</v>
      </c>
      <c r="FW153" s="160">
        <f>IF([Occurrence22]=0,0,SUM($FV$2:FV153))</f>
        <v>0</v>
      </c>
      <c r="FX153" s="160">
        <f>IF([Chambre2]*1='CHAMBRES FILLES 1e ETAGE'!$A$35,1,0)</f>
        <v>0</v>
      </c>
      <c r="FY153" s="160">
        <f>IF([Occurrence23]=0,0,SUM($FX$2:FX153))</f>
        <v>0</v>
      </c>
      <c r="FZ153" s="160">
        <f>IF([Chambre2]*1='CHAMBRES FILLES 1e ETAGE'!$A$41,1,0)</f>
        <v>0</v>
      </c>
      <c r="GA153" s="160">
        <f>IF([Occurrence24]=0,0,SUM($FZ$2:FZ153))</f>
        <v>0</v>
      </c>
      <c r="GB153" s="160">
        <f>IF([Chambre2]*1='CHAMBRES FILLES 1e ETAGE'!$A$47,1,0)</f>
        <v>0</v>
      </c>
      <c r="GC153" s="160">
        <f>IF([Occurrence25]=0,0,SUM($GB$2:GB153))</f>
        <v>0</v>
      </c>
      <c r="GD153" s="160">
        <f>IF([Chambre2]*1='CHAMBRES FILLES 1e ETAGE'!$A$53,1,0)</f>
        <v>0</v>
      </c>
      <c r="GE153" s="160">
        <f>IF([Occurrence26]=0,0,SUM($GD$2:GD153))</f>
        <v>0</v>
      </c>
      <c r="GF153" s="160">
        <f>IF([chambre4]*1='CHAMBRES GARCONS 1e ETAGE'!$A$5,1,0)</f>
        <v>0</v>
      </c>
      <c r="GG153" s="160">
        <f>IF([Occurrence27]=0,0,SUM($GF$2:GF153))</f>
        <v>0</v>
      </c>
      <c r="GH153" s="160">
        <f>IF([chambre4]*1='CHAMBRES GARCONS 1e ETAGE'!$A$11,1,0)</f>
        <v>0</v>
      </c>
      <c r="GI153" s="160">
        <f>IF([Occurrence28]=0,0,SUM($GH$2:GH153))</f>
        <v>0</v>
      </c>
      <c r="GJ153" s="160">
        <f>IF([chambre4]*1='CHAMBRES GARCONS 1e ETAGE'!$A$17,1,0)</f>
        <v>0</v>
      </c>
      <c r="GK153" s="160">
        <f>IF([Occurrence29]=0,0,SUM($GJ$2:GJ153))</f>
        <v>0</v>
      </c>
      <c r="GL153" s="160">
        <f>IF([chambre4]*1='CHAMBRES GARCONS 1e ETAGE'!$A$23,1,0)</f>
        <v>0</v>
      </c>
      <c r="GM153" s="160">
        <f>IF([Occurrence30]=0,0,SUM($GL$2:GL153))</f>
        <v>0</v>
      </c>
      <c r="GN153" s="160">
        <f>IF([chambre4]*1='CHAMBRES GARCONS 1e ETAGE'!$A$29,1,0)</f>
        <v>0</v>
      </c>
      <c r="GO153" s="160">
        <f>IF([Occurrence31]=0,0,SUM($GN$2:GN153))</f>
        <v>0</v>
      </c>
      <c r="GP153" s="160">
        <f>IF([chambre4]*1='CHAMBRES GARCONS 1e ETAGE'!$A$35,1,0)</f>
        <v>0</v>
      </c>
      <c r="GQ153" s="160">
        <f>IF([Occurrence32]=0,0,SUM($GP$2:GP153))</f>
        <v>0</v>
      </c>
      <c r="GR153" s="160">
        <f>IF([chambre3]*1='CHAMBRES GARCONS RDC'!$A$5,1,0)</f>
        <v>0</v>
      </c>
      <c r="GS153" s="160">
        <f>IF([Occurrence33]=0,0,SUM($GR$2:GR153))</f>
        <v>0</v>
      </c>
      <c r="GT153" s="160">
        <f>IF([chambre3]*1='CHAMBRES GARCONS RDC'!$A$11,1,0)</f>
        <v>0</v>
      </c>
      <c r="GU153" s="160">
        <f>IF([Occurrence34]=0,0,SUM($GT$2:GT153))</f>
        <v>0</v>
      </c>
      <c r="GV153" s="160">
        <f>IF([chambre3]*1='CHAMBRES GARCONS RDC'!$A$17,1,0)</f>
        <v>0</v>
      </c>
      <c r="GW153" s="160">
        <f>IF([Occurrence35]=0,0,SUM($GV$2:GV153))</f>
        <v>0</v>
      </c>
      <c r="GX153" s="160">
        <f>IF([chambre3]*1='CHAMBRES GARCONS RDC'!$A$23,1,0)</f>
        <v>0</v>
      </c>
      <c r="GY153" s="160">
        <f>IF([Occurrence36]=0,0,SUM($GX$2:GX153))</f>
        <v>0</v>
      </c>
      <c r="GZ153" s="160">
        <f>IF([chambre3]*1='CHAMBRES GARCONS RDC'!$A$29,1,0)</f>
        <v>0</v>
      </c>
      <c r="HA153" s="160">
        <f>IF([Occurrence37]=0,0,SUM($GZ$2:GZ153))</f>
        <v>0</v>
      </c>
      <c r="HB153" s="160">
        <f>IF([chambre3]*1='CHAMBRES GARCONS RDC'!$A$35,1,0)</f>
        <v>0</v>
      </c>
      <c r="HC153" s="160">
        <f>IF([Occurrence38]=0,0,SUM($HB$2:HB153))</f>
        <v>0</v>
      </c>
      <c r="HD153" s="160">
        <f>IF([chambre3]*1='CHAMBRES GARCONS RDC'!$A$41,1,0)</f>
        <v>0</v>
      </c>
      <c r="HE153" s="160">
        <f>IF([Occurrence39]=0,0,SUM($HD$2:HD153))</f>
        <v>0</v>
      </c>
      <c r="HF153" s="160">
        <f>IF([chambre3]*1='CHAMBRES GARCONS RDC'!$A$47,1,0)</f>
        <v>0</v>
      </c>
      <c r="HG153" s="160">
        <f>IF([Occurrence40]=0,0,SUM($HF$2:HF153))</f>
        <v>0</v>
      </c>
      <c r="HH153" s="160">
        <f>IF([chambre3]*1='CHAMBRES GARCONS RDC'!$A$53,1,0)</f>
        <v>0</v>
      </c>
      <c r="HI153" s="160">
        <f>IF([Occurrence41]=0,0,SUM($HH$2:HH153))</f>
        <v>0</v>
      </c>
      <c r="HJ153" s="160">
        <f>IF([chambre3]*1='CHAMBRES GARCONS RDC'!$A$59,1,0)</f>
        <v>0</v>
      </c>
      <c r="HK153" s="160">
        <f>IF([Occurrence42]=0,0,SUM($HJ$2:HJ153))</f>
        <v>0</v>
      </c>
      <c r="HL153" s="160">
        <f>IF([chambre3]*1='CHAMBRES GARCONS RDC'!$A$65,1,0)</f>
        <v>0</v>
      </c>
      <c r="HM153" s="160">
        <f>IF([Occurrence43]=0,0,SUM($HL$2:HL153))</f>
        <v>0</v>
      </c>
      <c r="HN153" s="160">
        <f>IF([chambre3]*1='CHAMBRES GARCONS RDC'!$A$71,1,0)</f>
        <v>0</v>
      </c>
      <c r="HO153" s="160">
        <f>IF([Occurrence44]=0,0,SUM($HN$2:HN153))</f>
        <v>0</v>
      </c>
      <c r="HP153" s="160">
        <f>IF([chambre3]*1='CHAMBRES GARCONS RDC'!$A$77,1,0)</f>
        <v>0</v>
      </c>
      <c r="HQ153" s="160">
        <f>IF([Occurrence45]=0,0,SUM($HP$2:HP153))</f>
        <v>0</v>
      </c>
      <c r="HR153" s="160">
        <f>IF([chambre3]*1='CHAMBRES GARCONS RDC'!$A$83,1,0)</f>
        <v>0</v>
      </c>
      <c r="HS153" s="160">
        <f>IF([Occurrence46]=0,0,SUM($HR$2:HR153))</f>
        <v>0</v>
      </c>
      <c r="HT153" s="160">
        <f>IF([chambre3]*1='CHAMBRES GARCONS RDC'!$A$89,1,0)</f>
        <v>0</v>
      </c>
      <c r="HU153" s="160">
        <f>IF([Occurrence47]=0,0,SUM($HT$2:HT153))</f>
        <v>0</v>
      </c>
      <c r="HV153" s="160">
        <f>IF([chambre3]*1='CHAMBRES GARCONS RDC'!$A$95,1,0)</f>
        <v>0</v>
      </c>
      <c r="HW153" s="160">
        <f>IF([Occurrence48]=0,0,SUM($HV$2:HV153))</f>
        <v>0</v>
      </c>
      <c r="HX153" s="160"/>
      <c r="HY153" s="160"/>
      <c r="HZ153" s="160">
        <f>IF([Classe]='Liste élève par classes'!$B$5,1,0)</f>
        <v>0</v>
      </c>
      <c r="IA153" s="160">
        <f>IF([Occurrence]=0,0,SUM($HZ$2:HZ153))</f>
        <v>0</v>
      </c>
      <c r="IB15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178</v>
      </c>
      <c r="IC153" s="208"/>
    </row>
    <row r="154" spans="1:237">
      <c r="A154" t="s">
        <v>510</v>
      </c>
      <c r="B154" t="s">
        <v>505</v>
      </c>
      <c r="C154" s="158">
        <v>37568</v>
      </c>
      <c r="D154" s="62">
        <f t="shared" ca="1" si="2"/>
        <v>15</v>
      </c>
      <c r="E154" t="s">
        <v>2</v>
      </c>
      <c r="F154" s="159" t="s">
        <v>50</v>
      </c>
      <c r="G154" t="s">
        <v>45</v>
      </c>
      <c r="H154" s="160"/>
      <c r="I154" s="62"/>
      <c r="J154" s="62" t="s">
        <v>244</v>
      </c>
      <c r="K154" s="62"/>
      <c r="L154" s="61">
        <v>168</v>
      </c>
      <c r="M154">
        <v>150</v>
      </c>
      <c r="N154" s="62" t="s">
        <v>244</v>
      </c>
      <c r="O154" s="62" t="s">
        <v>244</v>
      </c>
      <c r="P154" s="62" t="s">
        <v>244</v>
      </c>
      <c r="Q154" s="62" t="s">
        <v>244</v>
      </c>
      <c r="R154" s="62" t="s">
        <v>244</v>
      </c>
      <c r="S154" s="191"/>
      <c r="T154" s="62" t="s">
        <v>244</v>
      </c>
      <c r="U154" s="61"/>
      <c r="V154" s="62" t="s">
        <v>244</v>
      </c>
      <c r="W154" s="62" t="s">
        <v>244</v>
      </c>
      <c r="X154" s="62" t="s">
        <v>244</v>
      </c>
      <c r="Y154" s="62" t="s">
        <v>244</v>
      </c>
      <c r="Z154" s="62" t="s">
        <v>244</v>
      </c>
      <c r="AA154" s="62" t="s">
        <v>244</v>
      </c>
      <c r="AB154" s="62" t="s">
        <v>244</v>
      </c>
      <c r="AC154" s="62" t="s">
        <v>244</v>
      </c>
      <c r="AD154" s="62" t="s">
        <v>244</v>
      </c>
      <c r="AE154" s="62" t="s">
        <v>244</v>
      </c>
      <c r="AF154" s="163" t="s">
        <v>244</v>
      </c>
      <c r="AG154" s="163" t="s">
        <v>244</v>
      </c>
      <c r="AH154" s="163" t="s">
        <v>244</v>
      </c>
      <c r="AI154" s="163"/>
      <c r="AJ154" s="163"/>
      <c r="AK154" s="163"/>
      <c r="AL154" s="163"/>
      <c r="AM154" s="163"/>
      <c r="AN154" s="163"/>
      <c r="AO154" s="163"/>
      <c r="AP154" s="163"/>
      <c r="AQ154" s="163"/>
      <c r="AR154" s="163"/>
      <c r="AS154" s="163"/>
      <c r="AT154" s="163"/>
      <c r="AU154" s="163"/>
      <c r="AV154" s="163"/>
      <c r="AW154" s="163"/>
      <c r="AX154" s="163"/>
      <c r="AY154" s="163"/>
      <c r="AZ154" s="163"/>
      <c r="BA154" s="163"/>
      <c r="BB154" s="163"/>
      <c r="BC154" s="163" t="b">
        <v>0</v>
      </c>
      <c r="BD154" s="163" t="b">
        <v>1</v>
      </c>
      <c r="BE154" s="163" t="b">
        <v>1</v>
      </c>
      <c r="BF154" s="163" t="b">
        <v>0</v>
      </c>
      <c r="BG154" s="164" t="b">
        <v>0</v>
      </c>
      <c r="BH154" s="163" t="b">
        <v>1</v>
      </c>
      <c r="BI154" s="163"/>
      <c r="BJ154" s="163"/>
      <c r="BK154" s="163"/>
      <c r="BL154" s="163"/>
      <c r="BM154" s="163"/>
      <c r="BN154" s="163"/>
      <c r="BO154" s="163"/>
      <c r="BP154" s="163"/>
      <c r="BQ154" s="163" t="b">
        <v>1</v>
      </c>
      <c r="BR154" s="163"/>
      <c r="BS154" s="163"/>
      <c r="BT154" s="163"/>
      <c r="BU154" s="163"/>
      <c r="BV154" s="163"/>
      <c r="BW154" s="163"/>
      <c r="BX154" s="163"/>
      <c r="BY154" s="163"/>
      <c r="BZ154" s="163"/>
      <c r="CA154" s="163"/>
      <c r="CB154" s="163"/>
      <c r="CC154" s="163"/>
      <c r="CD154" s="163"/>
      <c r="CE154" s="163"/>
      <c r="CF154" s="163"/>
      <c r="CG154" s="163"/>
      <c r="CH154" s="163"/>
      <c r="CI154" s="163"/>
      <c r="CJ154" s="163"/>
      <c r="CK154" s="163"/>
      <c r="CL154" s="163"/>
      <c r="CM154" s="163"/>
      <c r="CN154" s="163"/>
      <c r="CO154" s="163"/>
      <c r="CP154" s="163"/>
      <c r="CQ154" s="163"/>
      <c r="CR154" s="163"/>
      <c r="CS154" s="163"/>
      <c r="CT154" s="163"/>
      <c r="CU154" s="163"/>
      <c r="CV154" s="163"/>
      <c r="CW154" s="163"/>
      <c r="CX154" s="163"/>
      <c r="CY154" s="163"/>
      <c r="CZ154" s="163"/>
      <c r="DA154" s="163"/>
      <c r="DB154" s="163"/>
      <c r="DC154" s="163"/>
      <c r="DD154" s="163"/>
      <c r="DE154" s="163"/>
      <c r="DF154" s="163"/>
      <c r="DG154" s="208"/>
      <c r="DH154" s="163"/>
      <c r="DI154" s="163"/>
      <c r="DJ154" s="163"/>
      <c r="DK154" s="163"/>
      <c r="DL154" s="163"/>
      <c r="DM154" s="163"/>
      <c r="DN154" s="163"/>
      <c r="DO154" s="163"/>
      <c r="DP154" s="163"/>
      <c r="DQ154" s="163"/>
      <c r="DR154" s="163"/>
      <c r="DS154" s="163"/>
      <c r="DT154" s="163"/>
      <c r="DU154" s="163"/>
      <c r="DV154" s="163"/>
      <c r="DW154" s="163"/>
      <c r="DX154" s="163"/>
      <c r="DY154" s="163"/>
      <c r="DZ154" s="163"/>
      <c r="EA154" s="163"/>
      <c r="EB154" s="163"/>
      <c r="EC154" s="163"/>
      <c r="ED154" s="163"/>
      <c r="EE154" s="163"/>
      <c r="EF154" s="163"/>
      <c r="EG154" s="163"/>
      <c r="EH154" s="160">
        <f>IF([Chambre]*1='CHAMBRES FILLES 2e ETAGE'!$A$5,1,0)</f>
        <v>0</v>
      </c>
      <c r="EI154" s="161">
        <f>IF([Occurrence2]=0,0,SUM($EH$2:EH154))</f>
        <v>0</v>
      </c>
      <c r="EJ154" s="160">
        <f>IF([Chambre]*1='CHAMBRES FILLES 2e ETAGE'!$A$11,1,0)</f>
        <v>0</v>
      </c>
      <c r="EK154" s="160">
        <f>IF([Occurrence3]=0,0,SUM($EJ$2:EJ154))</f>
        <v>0</v>
      </c>
      <c r="EL154" s="160">
        <f>IF([Chambre]*1='CHAMBRES FILLES 2e ETAGE'!$A$17,1,0)</f>
        <v>0</v>
      </c>
      <c r="EM154" s="160">
        <f>IF([Occurrence4]=0,0,SUM($EL$2:EL154))</f>
        <v>0</v>
      </c>
      <c r="EN154" s="160">
        <f>IF([Chambre]*1='CHAMBRES FILLES 2e ETAGE'!$A$23,1,0)</f>
        <v>0</v>
      </c>
      <c r="EO154" s="160">
        <f>IF([Occurrence5]=0,0,SUM($EN$2:EN154))</f>
        <v>0</v>
      </c>
      <c r="EP154" s="160">
        <f>IF([Chambre]*1='CHAMBRES FILLES 2e ETAGE'!$A$29,1,0)</f>
        <v>1</v>
      </c>
      <c r="EQ154" s="160">
        <f>IF([Occurrence6]=0,0,SUM($EP$2:EP154))</f>
        <v>1</v>
      </c>
      <c r="ER154" s="160">
        <f>IF([Chambre]*1='CHAMBRES FILLES 2e ETAGE'!$A$35,1,0)</f>
        <v>0</v>
      </c>
      <c r="ES154" s="160">
        <f>IF([Occurrence7]=0,0,SUM($ER$2:ER154))</f>
        <v>0</v>
      </c>
      <c r="ET154" s="160">
        <f>IF([Chambre]*1='CHAMBRES FILLES 2e ETAGE'!$A$41,1,0)</f>
        <v>0</v>
      </c>
      <c r="EU154" s="160">
        <f>IF([Occurrence8]=0,0,SUM($ET$2:ET154))</f>
        <v>0</v>
      </c>
      <c r="EV154" s="160">
        <f>IF([Chambre]*1='CHAMBRES FILLES 2e ETAGE'!$A$47,1,0)</f>
        <v>0</v>
      </c>
      <c r="EW154" s="160">
        <f>IF([Occurrence9]=0,0,SUM($EV$2:EV154))</f>
        <v>0</v>
      </c>
      <c r="EX154" s="160">
        <f>IF([Chambre]*1='CHAMBRES FILLES 2e ETAGE'!$A$53,1,0)</f>
        <v>0</v>
      </c>
      <c r="EY154" s="160">
        <f>IF([Occurrence10]=0,0,SUM($EX$2:EX154))</f>
        <v>0</v>
      </c>
      <c r="EZ154" s="160">
        <f>IF([Chambre]*1='CHAMBRES FILLES 2e ETAGE'!$A$59,1,0)</f>
        <v>0</v>
      </c>
      <c r="FA154" s="160">
        <f>IF([Occurrence11]=0,0,SUM($EZ$2:EZ154))</f>
        <v>0</v>
      </c>
      <c r="FB154" s="160">
        <f>IF([Chambre]*1='CHAMBRES FILLES 2e ETAGE'!$A$65,1,0)</f>
        <v>0</v>
      </c>
      <c r="FC154" s="160">
        <f>IF([Occurrence12]=0,0,SUM($FB$2:FB154))</f>
        <v>0</v>
      </c>
      <c r="FD154" s="160">
        <f>IF([Chambre]*1='CHAMBRES FILLES 2e ETAGE'!$A$71,1,0)</f>
        <v>0</v>
      </c>
      <c r="FE154" s="160">
        <f>IF([Occurrence13]=0,0,SUM($FD$2:FD154))</f>
        <v>0</v>
      </c>
      <c r="FF154" s="160">
        <f>IF([Chambre]*1='CHAMBRES FILLES 2e ETAGE'!$A$77,1,0)</f>
        <v>0</v>
      </c>
      <c r="FG154" s="160">
        <f>IF([Occurrence14]=0,0,SUM($FF$2:FF154))</f>
        <v>0</v>
      </c>
      <c r="FH154" s="160">
        <f>IF([Chambre]*1='CHAMBRES FILLES 2e ETAGE'!$A$83,1,0)</f>
        <v>0</v>
      </c>
      <c r="FI154" s="160">
        <f>IF([Occurrence15]=0,0,SUM($FH$2:FH154))</f>
        <v>0</v>
      </c>
      <c r="FJ154" s="160">
        <f>IF([Chambre]*1='CHAMBRES FILLES 2e ETAGE'!$A$89,1,0)</f>
        <v>0</v>
      </c>
      <c r="FK154" s="160">
        <f>IF([Occurrence16]=0,0,SUM($FJ$2:FJ154))</f>
        <v>0</v>
      </c>
      <c r="FL154" s="160">
        <f>IF([Chambre]*1='CHAMBRES FILLES 2e ETAGE'!$A$95,1,0)</f>
        <v>0</v>
      </c>
      <c r="FM154" s="160">
        <f>IF([Occurrence17]=0,0,SUM($FL$2:FL154))</f>
        <v>0</v>
      </c>
      <c r="FN154" s="160">
        <f>IF([Chambre2]*1='CHAMBRES FILLES 1e ETAGE'!$A$5,1,0)</f>
        <v>0</v>
      </c>
      <c r="FO154" s="160">
        <f>IF([Occurrence18]=0,0,SUM($FN$2:FN154))</f>
        <v>0</v>
      </c>
      <c r="FP154" s="160">
        <f>IF([Chambre2]*1='CHAMBRES FILLES 1e ETAGE'!$A$11,1,0)</f>
        <v>0</v>
      </c>
      <c r="FQ154" s="160">
        <f>IF([Occurrence19]=0,0,SUM($FP$2:FP154))</f>
        <v>0</v>
      </c>
      <c r="FR154" s="160">
        <f>IF([Chambre2]*1='CHAMBRES FILLES 1e ETAGE'!$A$17,1,0)</f>
        <v>0</v>
      </c>
      <c r="FS154" s="160">
        <f>IF([Occurrence20]=0,0,SUM($FR$2:FR154))</f>
        <v>0</v>
      </c>
      <c r="FT154" s="160">
        <f>IF([Chambre2]*1='CHAMBRES FILLES 1e ETAGE'!$A$23,1,0)</f>
        <v>0</v>
      </c>
      <c r="FU154" s="160">
        <f>IF([Occurrence21]=0,0,SUM($FT$2:FT154))</f>
        <v>0</v>
      </c>
      <c r="FV154" s="160">
        <f>IF([Chambre2]*1='CHAMBRES FILLES 1e ETAGE'!$A$29,1,0)</f>
        <v>0</v>
      </c>
      <c r="FW154" s="160">
        <f>IF([Occurrence22]=0,0,SUM($FV$2:FV154))</f>
        <v>0</v>
      </c>
      <c r="FX154" s="160">
        <f>IF([Chambre2]*1='CHAMBRES FILLES 1e ETAGE'!$A$35,1,0)</f>
        <v>0</v>
      </c>
      <c r="FY154" s="160">
        <f>IF([Occurrence23]=0,0,SUM($FX$2:FX154))</f>
        <v>0</v>
      </c>
      <c r="FZ154" s="160">
        <f>IF([Chambre2]*1='CHAMBRES FILLES 1e ETAGE'!$A$41,1,0)</f>
        <v>0</v>
      </c>
      <c r="GA154" s="160">
        <f>IF([Occurrence24]=0,0,SUM($FZ$2:FZ154))</f>
        <v>0</v>
      </c>
      <c r="GB154" s="160">
        <f>IF([Chambre2]*1='CHAMBRES FILLES 1e ETAGE'!$A$47,1,0)</f>
        <v>0</v>
      </c>
      <c r="GC154" s="160">
        <f>IF([Occurrence25]=0,0,SUM($GB$2:GB154))</f>
        <v>0</v>
      </c>
      <c r="GD154" s="160">
        <f>IF([Chambre2]*1='CHAMBRES FILLES 1e ETAGE'!$A$53,1,0)</f>
        <v>0</v>
      </c>
      <c r="GE154" s="160">
        <f>IF([Occurrence26]=0,0,SUM($GD$2:GD154))</f>
        <v>0</v>
      </c>
      <c r="GF154" s="160">
        <f>IF([chambre4]*1='CHAMBRES GARCONS 1e ETAGE'!$A$5,1,0)</f>
        <v>0</v>
      </c>
      <c r="GG154" s="160">
        <f>IF([Occurrence27]=0,0,SUM($GF$2:GF154))</f>
        <v>0</v>
      </c>
      <c r="GH154" s="160">
        <f>IF([chambre4]*1='CHAMBRES GARCONS 1e ETAGE'!$A$11,1,0)</f>
        <v>0</v>
      </c>
      <c r="GI154" s="160">
        <f>IF([Occurrence28]=0,0,SUM($GH$2:GH154))</f>
        <v>0</v>
      </c>
      <c r="GJ154" s="160">
        <f>IF([chambre4]*1='CHAMBRES GARCONS 1e ETAGE'!$A$17,1,0)</f>
        <v>0</v>
      </c>
      <c r="GK154" s="160">
        <f>IF([Occurrence29]=0,0,SUM($GJ$2:GJ154))</f>
        <v>0</v>
      </c>
      <c r="GL154" s="160">
        <f>IF([chambre4]*1='CHAMBRES GARCONS 1e ETAGE'!$A$23,1,0)</f>
        <v>0</v>
      </c>
      <c r="GM154" s="160">
        <f>IF([Occurrence30]=0,0,SUM($GL$2:GL154))</f>
        <v>0</v>
      </c>
      <c r="GN154" s="160">
        <f>IF([chambre4]*1='CHAMBRES GARCONS 1e ETAGE'!$A$29,1,0)</f>
        <v>0</v>
      </c>
      <c r="GO154" s="160">
        <f>IF([Occurrence31]=0,0,SUM($GN$2:GN154))</f>
        <v>0</v>
      </c>
      <c r="GP154" s="160">
        <f>IF([chambre4]*1='CHAMBRES GARCONS 1e ETAGE'!$A$35,1,0)</f>
        <v>0</v>
      </c>
      <c r="GQ154" s="160">
        <f>IF([Occurrence32]=0,0,SUM($GP$2:GP154))</f>
        <v>0</v>
      </c>
      <c r="GR154" s="160">
        <f>IF([chambre3]*1='CHAMBRES GARCONS RDC'!$A$5,1,0)</f>
        <v>0</v>
      </c>
      <c r="GS154" s="160">
        <f>IF([Occurrence33]=0,0,SUM($GR$2:GR154))</f>
        <v>0</v>
      </c>
      <c r="GT154" s="160">
        <f>IF([chambre3]*1='CHAMBRES GARCONS RDC'!$A$11,1,0)</f>
        <v>0</v>
      </c>
      <c r="GU154" s="160">
        <f>IF([Occurrence34]=0,0,SUM($GT$2:GT154))</f>
        <v>0</v>
      </c>
      <c r="GV154" s="160">
        <f>IF([chambre3]*1='CHAMBRES GARCONS RDC'!$A$17,1,0)</f>
        <v>0</v>
      </c>
      <c r="GW154" s="160">
        <f>IF([Occurrence35]=0,0,SUM($GV$2:GV154))</f>
        <v>0</v>
      </c>
      <c r="GX154" s="160">
        <f>IF([chambre3]*1='CHAMBRES GARCONS RDC'!$A$23,1,0)</f>
        <v>0</v>
      </c>
      <c r="GY154" s="160">
        <f>IF([Occurrence36]=0,0,SUM($GX$2:GX154))</f>
        <v>0</v>
      </c>
      <c r="GZ154" s="160">
        <f>IF([chambre3]*1='CHAMBRES GARCONS RDC'!$A$29,1,0)</f>
        <v>0</v>
      </c>
      <c r="HA154" s="160">
        <f>IF([Occurrence37]=0,0,SUM($GZ$2:GZ154))</f>
        <v>0</v>
      </c>
      <c r="HB154" s="160">
        <f>IF([chambre3]*1='CHAMBRES GARCONS RDC'!$A$35,1,0)</f>
        <v>0</v>
      </c>
      <c r="HC154" s="160">
        <f>IF([Occurrence38]=0,0,SUM($HB$2:HB154))</f>
        <v>0</v>
      </c>
      <c r="HD154" s="160">
        <f>IF([chambre3]*1='CHAMBRES GARCONS RDC'!$A$41,1,0)</f>
        <v>0</v>
      </c>
      <c r="HE154" s="160">
        <f>IF([Occurrence39]=0,0,SUM($HD$2:HD154))</f>
        <v>0</v>
      </c>
      <c r="HF154" s="160">
        <f>IF([chambre3]*1='CHAMBRES GARCONS RDC'!$A$47,1,0)</f>
        <v>0</v>
      </c>
      <c r="HG154" s="160">
        <f>IF([Occurrence40]=0,0,SUM($HF$2:HF154))</f>
        <v>0</v>
      </c>
      <c r="HH154" s="160">
        <f>IF([chambre3]*1='CHAMBRES GARCONS RDC'!$A$53,1,0)</f>
        <v>0</v>
      </c>
      <c r="HI154" s="160">
        <f>IF([Occurrence41]=0,0,SUM($HH$2:HH154))</f>
        <v>0</v>
      </c>
      <c r="HJ154" s="160">
        <f>IF([chambre3]*1='CHAMBRES GARCONS RDC'!$A$59,1,0)</f>
        <v>0</v>
      </c>
      <c r="HK154" s="160">
        <f>IF([Occurrence42]=0,0,SUM($HJ$2:HJ154))</f>
        <v>0</v>
      </c>
      <c r="HL154" s="160">
        <f>IF([chambre3]*1='CHAMBRES GARCONS RDC'!$A$65,1,0)</f>
        <v>0</v>
      </c>
      <c r="HM154" s="160">
        <f>IF([Occurrence43]=0,0,SUM($HL$2:HL154))</f>
        <v>0</v>
      </c>
      <c r="HN154" s="160">
        <f>IF([chambre3]*1='CHAMBRES GARCONS RDC'!$A$71,1,0)</f>
        <v>0</v>
      </c>
      <c r="HO154" s="160">
        <f>IF([Occurrence44]=0,0,SUM($HN$2:HN154))</f>
        <v>0</v>
      </c>
      <c r="HP154" s="160">
        <f>IF([chambre3]*1='CHAMBRES GARCONS RDC'!$A$77,1,0)</f>
        <v>0</v>
      </c>
      <c r="HQ154" s="160">
        <f>IF([Occurrence45]=0,0,SUM($HP$2:HP154))</f>
        <v>0</v>
      </c>
      <c r="HR154" s="160">
        <f>IF([chambre3]*1='CHAMBRES GARCONS RDC'!$A$83,1,0)</f>
        <v>0</v>
      </c>
      <c r="HS154" s="160">
        <f>IF([Occurrence46]=0,0,SUM($HR$2:HR154))</f>
        <v>0</v>
      </c>
      <c r="HT154" s="160">
        <f>IF([chambre3]*1='CHAMBRES GARCONS RDC'!$A$89,1,0)</f>
        <v>0</v>
      </c>
      <c r="HU154" s="160">
        <f>IF([Occurrence47]=0,0,SUM($HT$2:HT154))</f>
        <v>0</v>
      </c>
      <c r="HV154" s="160">
        <f>IF([chambre3]*1='CHAMBRES GARCONS RDC'!$A$95,1,0)</f>
        <v>0</v>
      </c>
      <c r="HW154" s="160">
        <f>IF([Occurrence48]=0,0,SUM($HV$2:HV154))</f>
        <v>0</v>
      </c>
      <c r="HX154" s="160"/>
      <c r="HY154" s="160"/>
      <c r="HZ154" s="160">
        <f>IF([Classe]='Liste élève par classes'!$B$5,1,0)</f>
        <v>0</v>
      </c>
      <c r="IA154" s="160">
        <f>IF([Occurrence]=0,0,SUM($HZ$2:HZ154))</f>
        <v>0</v>
      </c>
      <c r="IB15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168</v>
      </c>
      <c r="IC154" s="208"/>
    </row>
    <row r="155" spans="1:237">
      <c r="A155" t="s">
        <v>511</v>
      </c>
      <c r="B155" t="s">
        <v>512</v>
      </c>
      <c r="C155" s="158" t="s">
        <v>794</v>
      </c>
      <c r="D155" s="62" t="s">
        <v>795</v>
      </c>
      <c r="E155" t="s">
        <v>12</v>
      </c>
      <c r="F155" s="159" t="s">
        <v>50</v>
      </c>
      <c r="G155" t="s">
        <v>40</v>
      </c>
      <c r="H155" s="160"/>
      <c r="I155" s="62"/>
      <c r="J155" s="161" t="s">
        <v>244</v>
      </c>
      <c r="K155" s="161"/>
      <c r="L155" s="61"/>
      <c r="M155" t="s">
        <v>796</v>
      </c>
      <c r="N155" s="161" t="s">
        <v>244</v>
      </c>
      <c r="O155" s="161" t="s">
        <v>244</v>
      </c>
      <c r="P155" s="161" t="s">
        <v>244</v>
      </c>
      <c r="Q155" s="161" t="s">
        <v>244</v>
      </c>
      <c r="R155" s="161" t="s">
        <v>244</v>
      </c>
      <c r="S155" s="190"/>
      <c r="T155" s="161" t="s">
        <v>244</v>
      </c>
      <c r="U155" s="160"/>
      <c r="V155" s="161" t="s">
        <v>244</v>
      </c>
      <c r="W155" s="161" t="s">
        <v>244</v>
      </c>
      <c r="X155" s="161" t="s">
        <v>244</v>
      </c>
      <c r="Y155" s="161" t="s">
        <v>244</v>
      </c>
      <c r="Z155" s="161" t="s">
        <v>244</v>
      </c>
      <c r="AA155" s="161" t="s">
        <v>244</v>
      </c>
      <c r="AB155" s="161" t="s">
        <v>244</v>
      </c>
      <c r="AC155" s="161" t="s">
        <v>244</v>
      </c>
      <c r="AD155" s="161" t="s">
        <v>244</v>
      </c>
      <c r="AE155" s="161" t="s">
        <v>244</v>
      </c>
      <c r="AF155" s="163" t="s">
        <v>244</v>
      </c>
      <c r="AG155" s="163" t="s">
        <v>244</v>
      </c>
      <c r="AH155" s="163" t="s">
        <v>244</v>
      </c>
      <c r="AI155" s="163" t="b">
        <v>0</v>
      </c>
      <c r="AJ155" s="163" t="b">
        <v>0</v>
      </c>
      <c r="AK155" s="163" t="b">
        <v>0</v>
      </c>
      <c r="AL155" s="163" t="b">
        <v>0</v>
      </c>
      <c r="AM155" s="163" t="b">
        <v>0</v>
      </c>
      <c r="AN155" s="163" t="b">
        <v>0</v>
      </c>
      <c r="AO155" s="163" t="b">
        <v>0</v>
      </c>
      <c r="AP155" s="163" t="b">
        <v>0</v>
      </c>
      <c r="AQ155" s="163" t="b">
        <v>0</v>
      </c>
      <c r="AR155" s="163" t="b">
        <v>0</v>
      </c>
      <c r="AS155" s="163" t="b">
        <v>0</v>
      </c>
      <c r="AT155" s="163" t="b">
        <v>0</v>
      </c>
      <c r="AU155" s="163" t="b">
        <v>0</v>
      </c>
      <c r="AV155" s="163" t="b">
        <v>0</v>
      </c>
      <c r="AW155" s="163" t="b">
        <v>0</v>
      </c>
      <c r="AX155" s="163" t="b">
        <v>0</v>
      </c>
      <c r="AY155" s="163" t="b">
        <v>0</v>
      </c>
      <c r="AZ155" s="163" t="b">
        <v>0</v>
      </c>
      <c r="BA155" s="163" t="b">
        <v>0</v>
      </c>
      <c r="BB155" s="163" t="b">
        <v>0</v>
      </c>
      <c r="BC155" s="163" t="b">
        <v>0</v>
      </c>
      <c r="BD155" s="163" t="b">
        <v>1</v>
      </c>
      <c r="BE155" s="163" t="b">
        <v>1</v>
      </c>
      <c r="BF155" s="163" t="b">
        <v>0</v>
      </c>
      <c r="BG155" s="164" t="b">
        <v>0</v>
      </c>
      <c r="BH155" s="163" t="b">
        <v>1</v>
      </c>
      <c r="BI155" s="163" t="b">
        <v>0</v>
      </c>
      <c r="BJ155" s="163" t="b">
        <v>0</v>
      </c>
      <c r="BK155" s="163" t="b">
        <v>0</v>
      </c>
      <c r="BL155" s="163" t="b">
        <v>0</v>
      </c>
      <c r="BM155" s="163"/>
      <c r="BN155" s="163" t="b">
        <v>0</v>
      </c>
      <c r="BO155" s="163" t="b">
        <v>0</v>
      </c>
      <c r="BP155" s="163"/>
      <c r="BQ155" s="163" t="b">
        <v>1</v>
      </c>
      <c r="BR155" s="163" t="b">
        <v>0</v>
      </c>
      <c r="BS155" s="163"/>
      <c r="BT155" s="163" t="b">
        <v>0</v>
      </c>
      <c r="BU155" s="163" t="b">
        <v>0</v>
      </c>
      <c r="BV155" s="163"/>
      <c r="BW155" s="163" t="b">
        <v>0</v>
      </c>
      <c r="BX155" s="163" t="b">
        <v>0</v>
      </c>
      <c r="BY155" s="163"/>
      <c r="BZ155" s="163" t="b">
        <v>0</v>
      </c>
      <c r="CA155" s="163" t="b">
        <v>0</v>
      </c>
      <c r="CB155" s="163"/>
      <c r="CC155" s="163" t="b">
        <v>0</v>
      </c>
      <c r="CD155" s="163" t="b">
        <v>0</v>
      </c>
      <c r="CE155" s="163"/>
      <c r="CF155" s="163" t="b">
        <v>0</v>
      </c>
      <c r="CG155" s="163" t="b">
        <v>0</v>
      </c>
      <c r="CH155" s="163"/>
      <c r="CI155" s="163" t="b">
        <v>0</v>
      </c>
      <c r="CJ155" s="163" t="b">
        <v>0</v>
      </c>
      <c r="CK155" s="163"/>
      <c r="CL155" s="163" t="b">
        <v>0</v>
      </c>
      <c r="CM155" s="163" t="b">
        <v>0</v>
      </c>
      <c r="CN155" s="163"/>
      <c r="CO155" s="163" t="b">
        <v>0</v>
      </c>
      <c r="CP155" s="163" t="b">
        <v>0</v>
      </c>
      <c r="CQ155" s="163"/>
      <c r="CR155" s="163" t="b">
        <v>0</v>
      </c>
      <c r="CS155" s="163" t="b">
        <v>0</v>
      </c>
      <c r="CT155" s="163" t="b">
        <v>0</v>
      </c>
      <c r="CU155" s="163" t="b">
        <v>0</v>
      </c>
      <c r="CV155" s="163"/>
      <c r="CW155" s="163" t="b">
        <v>0</v>
      </c>
      <c r="CX155" s="163" t="b">
        <v>0</v>
      </c>
      <c r="CY155" s="163" t="b">
        <v>0</v>
      </c>
      <c r="CZ155" s="163" t="b">
        <v>0</v>
      </c>
      <c r="DA155" s="163" t="s">
        <v>797</v>
      </c>
      <c r="DB155" s="163"/>
      <c r="DC155" s="163"/>
      <c r="DD155" s="163"/>
      <c r="DE155" s="163"/>
      <c r="DF155" s="163"/>
      <c r="DG155" s="208"/>
      <c r="DH155" s="163"/>
      <c r="DI155" s="163"/>
      <c r="DJ155" s="163"/>
      <c r="DK155" s="163"/>
      <c r="DL155" s="163"/>
      <c r="DM155" s="163" t="b">
        <v>0</v>
      </c>
      <c r="DN155" s="163" t="b">
        <v>0</v>
      </c>
      <c r="DO155" s="163" t="b">
        <v>0</v>
      </c>
      <c r="DP155" s="163" t="b">
        <v>0</v>
      </c>
      <c r="DQ155" s="163" t="b">
        <v>0</v>
      </c>
      <c r="DR155" s="163" t="b">
        <v>0</v>
      </c>
      <c r="DS155" s="163" t="b">
        <v>0</v>
      </c>
      <c r="DT155" s="163" t="b">
        <v>0</v>
      </c>
      <c r="DU155" s="163" t="b">
        <v>0</v>
      </c>
      <c r="DV155" s="163" t="b">
        <v>0</v>
      </c>
      <c r="DW155" s="163" t="b">
        <v>0</v>
      </c>
      <c r="DX155" s="163" t="b">
        <v>0</v>
      </c>
      <c r="DY155" s="163" t="b">
        <v>0</v>
      </c>
      <c r="DZ155" s="163" t="b">
        <v>0</v>
      </c>
      <c r="EA155" s="163" t="b">
        <v>0</v>
      </c>
      <c r="EB155" s="163" t="b">
        <v>0</v>
      </c>
      <c r="EC155" s="163" t="b">
        <v>0</v>
      </c>
      <c r="ED155" s="163" t="b">
        <v>0</v>
      </c>
      <c r="EE155" s="163" t="b">
        <v>0</v>
      </c>
      <c r="EF155" s="163" t="b">
        <v>0</v>
      </c>
      <c r="EG155" s="163"/>
      <c r="EH155" s="160">
        <f>IF([Chambre]*1='CHAMBRES FILLES 2e ETAGE'!$A$5,1,0)</f>
        <v>0</v>
      </c>
      <c r="EI155" s="161">
        <f>IF([Occurrence2]=0,0,SUM($EH$2:EH155))</f>
        <v>0</v>
      </c>
      <c r="EJ155" s="160">
        <f>IF([Chambre]*1='CHAMBRES FILLES 2e ETAGE'!$A$11,1,0)</f>
        <v>0</v>
      </c>
      <c r="EK155" s="160">
        <f>IF([Occurrence3]=0,0,SUM($EJ$2:EJ155))</f>
        <v>0</v>
      </c>
      <c r="EL155" s="160">
        <f>IF([Chambre]*1='CHAMBRES FILLES 2e ETAGE'!$A$17,1,0)</f>
        <v>0</v>
      </c>
      <c r="EM155" s="160">
        <f>IF([Occurrence4]=0,0,SUM($EL$2:EL155))</f>
        <v>0</v>
      </c>
      <c r="EN155" s="160">
        <f>IF([Chambre]*1='CHAMBRES FILLES 2e ETAGE'!$A$23,1,0)</f>
        <v>0</v>
      </c>
      <c r="EO155" s="160">
        <f>IF([Occurrence5]=0,0,SUM($EN$2:EN155))</f>
        <v>0</v>
      </c>
      <c r="EP155" s="160">
        <f>IF([Chambre]*1='CHAMBRES FILLES 2e ETAGE'!$A$29,1,0)</f>
        <v>0</v>
      </c>
      <c r="EQ155" s="160">
        <f>IF([Occurrence6]=0,0,SUM($EP$2:EP155))</f>
        <v>0</v>
      </c>
      <c r="ER155" s="160">
        <f>IF([Chambre]*1='CHAMBRES FILLES 2e ETAGE'!$A$35,1,0)</f>
        <v>0</v>
      </c>
      <c r="ES155" s="160">
        <f>IF([Occurrence7]=0,0,SUM($ER$2:ER155))</f>
        <v>0</v>
      </c>
      <c r="ET155" s="160">
        <f>IF([Chambre]*1='CHAMBRES FILLES 2e ETAGE'!$A$41,1,0)</f>
        <v>0</v>
      </c>
      <c r="EU155" s="160">
        <f>IF([Occurrence8]=0,0,SUM($ET$2:ET155))</f>
        <v>0</v>
      </c>
      <c r="EV155" s="160">
        <f>IF([Chambre]*1='CHAMBRES FILLES 2e ETAGE'!$A$47,1,0)</f>
        <v>0</v>
      </c>
      <c r="EW155" s="160">
        <f>IF([Occurrence9]=0,0,SUM($EV$2:EV155))</f>
        <v>0</v>
      </c>
      <c r="EX155" s="160">
        <f>IF([Chambre]*1='CHAMBRES FILLES 2e ETAGE'!$A$53,1,0)</f>
        <v>0</v>
      </c>
      <c r="EY155" s="160">
        <f>IF([Occurrence10]=0,0,SUM($EX$2:EX155))</f>
        <v>0</v>
      </c>
      <c r="EZ155" s="160">
        <f>IF([Chambre]*1='CHAMBRES FILLES 2e ETAGE'!$A$59,1,0)</f>
        <v>0</v>
      </c>
      <c r="FA155" s="160">
        <f>IF([Occurrence11]=0,0,SUM($EZ$2:EZ155))</f>
        <v>0</v>
      </c>
      <c r="FB155" s="160">
        <f>IF([Chambre]*1='CHAMBRES FILLES 2e ETAGE'!$A$65,1,0)</f>
        <v>0</v>
      </c>
      <c r="FC155" s="160">
        <f>IF([Occurrence12]=0,0,SUM($FB$2:FB155))</f>
        <v>0</v>
      </c>
      <c r="FD155" s="160">
        <f>IF([Chambre]*1='CHAMBRES FILLES 2e ETAGE'!$A$71,1,0)</f>
        <v>0</v>
      </c>
      <c r="FE155" s="160">
        <f>IF([Occurrence13]=0,0,SUM($FD$2:FD155))</f>
        <v>0</v>
      </c>
      <c r="FF155" s="160">
        <f>IF([Chambre]*1='CHAMBRES FILLES 2e ETAGE'!$A$77,1,0)</f>
        <v>0</v>
      </c>
      <c r="FG155" s="160">
        <f>IF([Occurrence14]=0,0,SUM($FF$2:FF155))</f>
        <v>0</v>
      </c>
      <c r="FH155" s="160">
        <f>IF([Chambre]*1='CHAMBRES FILLES 2e ETAGE'!$A$83,1,0)</f>
        <v>0</v>
      </c>
      <c r="FI155" s="160">
        <f>IF([Occurrence15]=0,0,SUM($FH$2:FH155))</f>
        <v>0</v>
      </c>
      <c r="FJ155" s="160">
        <f>IF([Chambre]*1='CHAMBRES FILLES 2e ETAGE'!$A$89,1,0)</f>
        <v>0</v>
      </c>
      <c r="FK155" s="160">
        <f>IF([Occurrence16]=0,0,SUM($FJ$2:FJ155))</f>
        <v>0</v>
      </c>
      <c r="FL155" s="160">
        <f>IF([Chambre]*1='CHAMBRES FILLES 2e ETAGE'!$A$95,1,0)</f>
        <v>0</v>
      </c>
      <c r="FM155" s="160">
        <f>IF([Occurrence17]=0,0,SUM($FL$2:FL155))</f>
        <v>0</v>
      </c>
      <c r="FN155" s="160">
        <f>IF([Chambre2]*1='CHAMBRES FILLES 1e ETAGE'!$A$5,1,0)</f>
        <v>0</v>
      </c>
      <c r="FO155" s="160">
        <f>IF([Occurrence18]=0,0,SUM($FN$2:FN155))</f>
        <v>0</v>
      </c>
      <c r="FP155" s="160">
        <f>IF([Chambre2]*1='CHAMBRES FILLES 1e ETAGE'!$A$11,1,0)</f>
        <v>0</v>
      </c>
      <c r="FQ155" s="160">
        <f>IF([Occurrence19]=0,0,SUM($FP$2:FP155))</f>
        <v>0</v>
      </c>
      <c r="FR155" s="160">
        <f>IF([Chambre2]*1='CHAMBRES FILLES 1e ETAGE'!$A$17,1,0)</f>
        <v>0</v>
      </c>
      <c r="FS155" s="160">
        <f>IF([Occurrence20]=0,0,SUM($FR$2:FR155))</f>
        <v>0</v>
      </c>
      <c r="FT155" s="160">
        <f>IF([Chambre2]*1='CHAMBRES FILLES 1e ETAGE'!$A$23,1,0)</f>
        <v>0</v>
      </c>
      <c r="FU155" s="160">
        <f>IF([Occurrence21]=0,0,SUM($FT$2:FT155))</f>
        <v>0</v>
      </c>
      <c r="FV155" s="160">
        <f>IF([Chambre2]*1='CHAMBRES FILLES 1e ETAGE'!$A$29,1,0)</f>
        <v>0</v>
      </c>
      <c r="FW155" s="160">
        <f>IF([Occurrence22]=0,0,SUM($FV$2:FV155))</f>
        <v>0</v>
      </c>
      <c r="FX155" s="160">
        <f>IF([Chambre2]*1='CHAMBRES FILLES 1e ETAGE'!$A$35,1,0)</f>
        <v>0</v>
      </c>
      <c r="FY155" s="160">
        <f>IF([Occurrence23]=0,0,SUM($FX$2:FX155))</f>
        <v>0</v>
      </c>
      <c r="FZ155" s="160">
        <f>IF([Chambre2]*1='CHAMBRES FILLES 1e ETAGE'!$A$41,1,0)</f>
        <v>0</v>
      </c>
      <c r="GA155" s="160">
        <f>IF([Occurrence24]=0,0,SUM($FZ$2:FZ155))</f>
        <v>0</v>
      </c>
      <c r="GB155" s="160">
        <f>IF([Chambre2]*1='CHAMBRES FILLES 1e ETAGE'!$A$47,1,0)</f>
        <v>0</v>
      </c>
      <c r="GC155" s="160">
        <f>IF([Occurrence25]=0,0,SUM($GB$2:GB155))</f>
        <v>0</v>
      </c>
      <c r="GD155" s="160">
        <f>IF([Chambre2]*1='CHAMBRES FILLES 1e ETAGE'!$A$53,1,0)</f>
        <v>0</v>
      </c>
      <c r="GE155" s="160">
        <f>IF([Occurrence26]=0,0,SUM($GD$2:GD155))</f>
        <v>0</v>
      </c>
      <c r="GF155" s="160">
        <f>IF([chambre4]*1='CHAMBRES GARCONS 1e ETAGE'!$A$5,1,0)</f>
        <v>0</v>
      </c>
      <c r="GG155" s="160">
        <f>IF([Occurrence27]=0,0,SUM($GF$2:GF155))</f>
        <v>0</v>
      </c>
      <c r="GH155" s="160">
        <f>IF([chambre4]*1='CHAMBRES GARCONS 1e ETAGE'!$A$11,1,0)</f>
        <v>0</v>
      </c>
      <c r="GI155" s="160">
        <f>IF([Occurrence28]=0,0,SUM($GH$2:GH155))</f>
        <v>0</v>
      </c>
      <c r="GJ155" s="160">
        <f>IF([chambre4]*1='CHAMBRES GARCONS 1e ETAGE'!$A$17,1,0)</f>
        <v>0</v>
      </c>
      <c r="GK155" s="160">
        <f>IF([Occurrence29]=0,0,SUM($GJ$2:GJ155))</f>
        <v>0</v>
      </c>
      <c r="GL155" s="160">
        <f>IF([chambre4]*1='CHAMBRES GARCONS 1e ETAGE'!$A$23,1,0)</f>
        <v>0</v>
      </c>
      <c r="GM155" s="160">
        <f>IF([Occurrence30]=0,0,SUM($GL$2:GL155))</f>
        <v>0</v>
      </c>
      <c r="GN155" s="160">
        <f>IF([chambre4]*1='CHAMBRES GARCONS 1e ETAGE'!$A$29,1,0)</f>
        <v>0</v>
      </c>
      <c r="GO155" s="160">
        <f>IF([Occurrence31]=0,0,SUM($GN$2:GN155))</f>
        <v>0</v>
      </c>
      <c r="GP155" s="160">
        <f>IF([chambre4]*1='CHAMBRES GARCONS 1e ETAGE'!$A$35,1,0)</f>
        <v>0</v>
      </c>
      <c r="GQ155" s="160">
        <f>IF([Occurrence32]=0,0,SUM($GP$2:GP155))</f>
        <v>0</v>
      </c>
      <c r="GR155" s="160">
        <f>IF([chambre3]*1='CHAMBRES GARCONS RDC'!$A$5,1,0)</f>
        <v>0</v>
      </c>
      <c r="GS155" s="160">
        <f>IF([Occurrence33]=0,0,SUM($GR$2:GR155))</f>
        <v>0</v>
      </c>
      <c r="GT155" s="160">
        <f>IF([chambre3]*1='CHAMBRES GARCONS RDC'!$A$11,1,0)</f>
        <v>0</v>
      </c>
      <c r="GU155" s="160">
        <f>IF([Occurrence34]=0,0,SUM($GT$2:GT155))</f>
        <v>0</v>
      </c>
      <c r="GV155" s="160">
        <f>IF([chambre3]*1='CHAMBRES GARCONS RDC'!$A$17,1,0)</f>
        <v>0</v>
      </c>
      <c r="GW155" s="160">
        <f>IF([Occurrence35]=0,0,SUM($GV$2:GV155))</f>
        <v>0</v>
      </c>
      <c r="GX155" s="160">
        <f>IF([chambre3]*1='CHAMBRES GARCONS RDC'!$A$23,1,0)</f>
        <v>1</v>
      </c>
      <c r="GY155" s="160">
        <f>IF([Occurrence36]=0,0,SUM($GX$2:GX155))</f>
        <v>2</v>
      </c>
      <c r="GZ155" s="160">
        <f>IF([chambre3]*1='CHAMBRES GARCONS RDC'!$A$29,1,0)</f>
        <v>0</v>
      </c>
      <c r="HA155" s="160">
        <f>IF([Occurrence37]=0,0,SUM($GZ$2:GZ155))</f>
        <v>0</v>
      </c>
      <c r="HB155" s="160">
        <f>IF([chambre3]*1='CHAMBRES GARCONS RDC'!$A$35,1,0)</f>
        <v>0</v>
      </c>
      <c r="HC155" s="160">
        <f>IF([Occurrence38]=0,0,SUM($HB$2:HB155))</f>
        <v>0</v>
      </c>
      <c r="HD155" s="160">
        <f>IF([chambre3]*1='CHAMBRES GARCONS RDC'!$A$41,1,0)</f>
        <v>0</v>
      </c>
      <c r="HE155" s="160">
        <f>IF([Occurrence39]=0,0,SUM($HD$2:HD155))</f>
        <v>0</v>
      </c>
      <c r="HF155" s="160">
        <f>IF([chambre3]*1='CHAMBRES GARCONS RDC'!$A$47,1,0)</f>
        <v>0</v>
      </c>
      <c r="HG155" s="160">
        <f>IF([Occurrence40]=0,0,SUM($HF$2:HF155))</f>
        <v>0</v>
      </c>
      <c r="HH155" s="160">
        <f>IF([chambre3]*1='CHAMBRES GARCONS RDC'!$A$53,1,0)</f>
        <v>0</v>
      </c>
      <c r="HI155" s="160">
        <f>IF([Occurrence41]=0,0,SUM($HH$2:HH155))</f>
        <v>0</v>
      </c>
      <c r="HJ155" s="160">
        <f>IF([chambre3]*1='CHAMBRES GARCONS RDC'!$A$59,1,0)</f>
        <v>0</v>
      </c>
      <c r="HK155" s="160">
        <f>IF([Occurrence42]=0,0,SUM($HJ$2:HJ155))</f>
        <v>0</v>
      </c>
      <c r="HL155" s="160">
        <f>IF([chambre3]*1='CHAMBRES GARCONS RDC'!$A$65,1,0)</f>
        <v>0</v>
      </c>
      <c r="HM155" s="160">
        <f>IF([Occurrence43]=0,0,SUM($HL$2:HL155))</f>
        <v>0</v>
      </c>
      <c r="HN155" s="160">
        <f>IF([chambre3]*1='CHAMBRES GARCONS RDC'!$A$71,1,0)</f>
        <v>0</v>
      </c>
      <c r="HO155" s="160">
        <f>IF([Occurrence44]=0,0,SUM($HN$2:HN155))</f>
        <v>0</v>
      </c>
      <c r="HP155" s="160">
        <f>IF([chambre3]*1='CHAMBRES GARCONS RDC'!$A$77,1,0)</f>
        <v>0</v>
      </c>
      <c r="HQ155" s="160">
        <f>IF([Occurrence45]=0,0,SUM($HP$2:HP155))</f>
        <v>0</v>
      </c>
      <c r="HR155" s="160">
        <f>IF([chambre3]*1='CHAMBRES GARCONS RDC'!$A$83,1,0)</f>
        <v>0</v>
      </c>
      <c r="HS155" s="160">
        <f>IF([Occurrence46]=0,0,SUM($HR$2:HR155))</f>
        <v>0</v>
      </c>
      <c r="HT155" s="160">
        <f>IF([chambre3]*1='CHAMBRES GARCONS RDC'!$A$89,1,0)</f>
        <v>0</v>
      </c>
      <c r="HU155" s="160">
        <f>IF([Occurrence47]=0,0,SUM($HT$2:HT155))</f>
        <v>0</v>
      </c>
      <c r="HV155" s="160">
        <f>IF([chambre3]*1='CHAMBRES GARCONS RDC'!$A$95,1,0)</f>
        <v>0</v>
      </c>
      <c r="HW155" s="160">
        <f>IF([Occurrence48]=0,0,SUM($HV$2:HV155))</f>
        <v>0</v>
      </c>
      <c r="HX155" s="160"/>
      <c r="HY155" s="160"/>
      <c r="HZ155" s="160">
        <f>IF([Classe]='Liste élève par classes'!$B$5,1,0)</f>
        <v>0</v>
      </c>
      <c r="IA155" s="160">
        <f>IF([Occurrence]=0,0,SUM($HZ$2:HZ155))</f>
        <v>0</v>
      </c>
      <c r="IB15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114</v>
      </c>
      <c r="IC155" s="208"/>
    </row>
    <row r="156" spans="1:237">
      <c r="A156" t="s">
        <v>513</v>
      </c>
      <c r="B156" t="s">
        <v>514</v>
      </c>
      <c r="C156" s="158">
        <v>35503</v>
      </c>
      <c r="D156" s="62">
        <f t="shared" ca="1" si="2"/>
        <v>20</v>
      </c>
      <c r="E156" t="s">
        <v>4</v>
      </c>
      <c r="F156" s="159" t="s">
        <v>41</v>
      </c>
      <c r="G156" t="s">
        <v>45</v>
      </c>
      <c r="H156" s="160"/>
      <c r="I156" s="62"/>
      <c r="J156" s="62"/>
      <c r="K156" s="62"/>
      <c r="L156" s="61"/>
      <c r="M156" s="62"/>
      <c r="N156" s="62"/>
      <c r="O156" s="62"/>
      <c r="P156" s="62"/>
      <c r="Q156" s="62"/>
      <c r="R156" s="62"/>
      <c r="S156" s="62"/>
      <c r="T156" s="62"/>
      <c r="U156" s="61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163"/>
      <c r="AG156" s="163"/>
      <c r="AH156" s="163"/>
      <c r="AI156" s="163"/>
      <c r="AJ156" s="163"/>
      <c r="AK156" s="163"/>
      <c r="AL156" s="163"/>
      <c r="AM156" s="163"/>
      <c r="AN156" s="163"/>
      <c r="AO156" s="163"/>
      <c r="AP156" s="163"/>
      <c r="AQ156" s="163"/>
      <c r="AR156" s="163"/>
      <c r="AS156" s="163"/>
      <c r="AT156" s="163"/>
      <c r="AU156" s="163"/>
      <c r="AV156" s="163"/>
      <c r="AW156" s="163"/>
      <c r="AX156" s="163"/>
      <c r="AY156" s="163"/>
      <c r="AZ156" s="163"/>
      <c r="BA156" s="163"/>
      <c r="BB156" s="163"/>
      <c r="BC156" s="163" t="b">
        <v>0</v>
      </c>
      <c r="BD156" s="163" t="b">
        <v>0</v>
      </c>
      <c r="BE156" s="163" t="b">
        <v>0</v>
      </c>
      <c r="BF156" s="163" t="b">
        <v>0</v>
      </c>
      <c r="BG156" s="163" t="b">
        <v>0</v>
      </c>
      <c r="BH156" s="163" t="b">
        <v>0</v>
      </c>
      <c r="BI156" s="163" t="b">
        <v>1</v>
      </c>
      <c r="BJ156" s="163" t="b">
        <v>0</v>
      </c>
      <c r="BK156" s="163" t="b">
        <v>0</v>
      </c>
      <c r="BL156" s="163" t="b">
        <v>0</v>
      </c>
      <c r="BM156" s="163"/>
      <c r="BN156" s="163"/>
      <c r="BO156" s="163"/>
      <c r="BP156" s="163"/>
      <c r="BQ156" s="163"/>
      <c r="BR156" s="163"/>
      <c r="BS156" s="163"/>
      <c r="BT156" s="163"/>
      <c r="BU156" s="163"/>
      <c r="BV156" s="163"/>
      <c r="BW156" s="163"/>
      <c r="BX156" s="163"/>
      <c r="BY156" s="163"/>
      <c r="BZ156" s="163"/>
      <c r="CA156" s="163"/>
      <c r="CB156" s="163"/>
      <c r="CC156" s="163"/>
      <c r="CD156" s="163"/>
      <c r="CE156" s="163"/>
      <c r="CF156" s="163"/>
      <c r="CG156" s="163"/>
      <c r="CH156" s="163"/>
      <c r="CI156" s="163"/>
      <c r="CJ156" s="163"/>
      <c r="CK156" s="163"/>
      <c r="CL156" s="163"/>
      <c r="CM156" s="163"/>
      <c r="CN156" s="163"/>
      <c r="CO156" s="163"/>
      <c r="CP156" s="163"/>
      <c r="CQ156" s="163"/>
      <c r="CR156" s="163"/>
      <c r="CS156" s="163"/>
      <c r="CT156" s="163"/>
      <c r="CU156" s="163"/>
      <c r="CV156" s="163"/>
      <c r="CW156" s="163"/>
      <c r="CX156" s="163"/>
      <c r="CY156" s="163"/>
      <c r="CZ156" s="163"/>
      <c r="DA156" s="163"/>
      <c r="DB156" s="163"/>
      <c r="DC156" s="163"/>
      <c r="DD156" s="163"/>
      <c r="DE156" s="163"/>
      <c r="DF156" s="163"/>
      <c r="DG156" s="163"/>
      <c r="DH156" s="163"/>
      <c r="DI156" s="163"/>
      <c r="DJ156" s="163"/>
      <c r="DK156" s="163"/>
      <c r="DL156" s="163"/>
      <c r="DM156" s="163"/>
      <c r="DN156" s="163"/>
      <c r="DO156" s="163"/>
      <c r="DP156" s="163"/>
      <c r="DQ156" s="163"/>
      <c r="DR156" s="163"/>
      <c r="DS156" s="163"/>
      <c r="DT156" s="163"/>
      <c r="DU156" s="163"/>
      <c r="DV156" s="163"/>
      <c r="DW156" s="163"/>
      <c r="DX156" s="163"/>
      <c r="DY156" s="163"/>
      <c r="DZ156" s="163"/>
      <c r="EA156" s="163"/>
      <c r="EB156" s="163"/>
      <c r="EC156" s="163"/>
      <c r="ED156" s="163"/>
      <c r="EE156" s="163"/>
      <c r="EF156" s="163"/>
      <c r="EG156" s="163"/>
      <c r="EH156" s="160">
        <f>IF([Chambre]*1='CHAMBRES FILLES 2e ETAGE'!$A$5,1,0)</f>
        <v>0</v>
      </c>
      <c r="EI156" s="161">
        <f>IF([Occurrence2]=0,0,SUM($EH$2:EH156))</f>
        <v>0</v>
      </c>
      <c r="EJ156" s="160">
        <f>IF([Chambre]*1='CHAMBRES FILLES 2e ETAGE'!$A$11,1,0)</f>
        <v>0</v>
      </c>
      <c r="EK156" s="160">
        <f>IF([Occurrence3]=0,0,SUM($EJ$2:EJ156))</f>
        <v>0</v>
      </c>
      <c r="EL156" s="160">
        <f>IF([Chambre]*1='CHAMBRES FILLES 2e ETAGE'!$A$17,1,0)</f>
        <v>0</v>
      </c>
      <c r="EM156" s="160">
        <f>IF([Occurrence4]=0,0,SUM($EL$2:EL156))</f>
        <v>0</v>
      </c>
      <c r="EN156" s="160">
        <f>IF([Chambre]*1='CHAMBRES FILLES 2e ETAGE'!$A$23,1,0)</f>
        <v>0</v>
      </c>
      <c r="EO156" s="160">
        <f>IF([Occurrence5]=0,0,SUM($EN$2:EN156))</f>
        <v>0</v>
      </c>
      <c r="EP156" s="160">
        <f>IF([Chambre]*1='CHAMBRES FILLES 2e ETAGE'!$A$29,1,0)</f>
        <v>0</v>
      </c>
      <c r="EQ156" s="160">
        <f>IF([Occurrence6]=0,0,SUM($EP$2:EP156))</f>
        <v>0</v>
      </c>
      <c r="ER156" s="160">
        <f>IF([Chambre]*1='CHAMBRES FILLES 2e ETAGE'!$A$35,1,0)</f>
        <v>0</v>
      </c>
      <c r="ES156" s="160">
        <f>IF([Occurrence7]=0,0,SUM($ER$2:ER156))</f>
        <v>0</v>
      </c>
      <c r="ET156" s="160">
        <f>IF([Chambre]*1='CHAMBRES FILLES 2e ETAGE'!$A$41,1,0)</f>
        <v>0</v>
      </c>
      <c r="EU156" s="160">
        <f>IF([Occurrence8]=0,0,SUM($ET$2:ET156))</f>
        <v>0</v>
      </c>
      <c r="EV156" s="160">
        <f>IF([Chambre]*1='CHAMBRES FILLES 2e ETAGE'!$A$47,1,0)</f>
        <v>0</v>
      </c>
      <c r="EW156" s="160">
        <f>IF([Occurrence9]=0,0,SUM($EV$2:EV156))</f>
        <v>0</v>
      </c>
      <c r="EX156" s="160">
        <f>IF([Chambre]*1='CHAMBRES FILLES 2e ETAGE'!$A$53,1,0)</f>
        <v>0</v>
      </c>
      <c r="EY156" s="160">
        <f>IF([Occurrence10]=0,0,SUM($EX$2:EX156))</f>
        <v>0</v>
      </c>
      <c r="EZ156" s="160">
        <f>IF([Chambre]*1='CHAMBRES FILLES 2e ETAGE'!$A$59,1,0)</f>
        <v>0</v>
      </c>
      <c r="FA156" s="160">
        <f>IF([Occurrence11]=0,0,SUM($EZ$2:EZ156))</f>
        <v>0</v>
      </c>
      <c r="FB156" s="160">
        <f>IF([Chambre]*1='CHAMBRES FILLES 2e ETAGE'!$A$65,1,0)</f>
        <v>0</v>
      </c>
      <c r="FC156" s="160">
        <f>IF([Occurrence12]=0,0,SUM($FB$2:FB156))</f>
        <v>0</v>
      </c>
      <c r="FD156" s="160">
        <f>IF([Chambre]*1='CHAMBRES FILLES 2e ETAGE'!$A$71,1,0)</f>
        <v>0</v>
      </c>
      <c r="FE156" s="160">
        <f>IF([Occurrence13]=0,0,SUM($FD$2:FD156))</f>
        <v>0</v>
      </c>
      <c r="FF156" s="160">
        <f>IF([Chambre]*1='CHAMBRES FILLES 2e ETAGE'!$A$77,1,0)</f>
        <v>0</v>
      </c>
      <c r="FG156" s="160">
        <f>IF([Occurrence14]=0,0,SUM($FF$2:FF156))</f>
        <v>0</v>
      </c>
      <c r="FH156" s="160">
        <f>IF([Chambre]*1='CHAMBRES FILLES 2e ETAGE'!$A$83,1,0)</f>
        <v>0</v>
      </c>
      <c r="FI156" s="160">
        <f>IF([Occurrence15]=0,0,SUM($FH$2:FH156))</f>
        <v>0</v>
      </c>
      <c r="FJ156" s="160">
        <f>IF([Chambre]*1='CHAMBRES FILLES 2e ETAGE'!$A$89,1,0)</f>
        <v>0</v>
      </c>
      <c r="FK156" s="160">
        <f>IF([Occurrence16]=0,0,SUM($FJ$2:FJ156))</f>
        <v>0</v>
      </c>
      <c r="FL156" s="160">
        <f>IF([Chambre]*1='CHAMBRES FILLES 2e ETAGE'!$A$95,1,0)</f>
        <v>0</v>
      </c>
      <c r="FM156" s="160">
        <f>IF([Occurrence17]=0,0,SUM($FL$2:FL156))</f>
        <v>0</v>
      </c>
      <c r="FN156" s="160">
        <f>IF([Chambre2]*1='CHAMBRES FILLES 1e ETAGE'!$A$5,1,0)</f>
        <v>0</v>
      </c>
      <c r="FO156" s="160">
        <f>IF([Occurrence18]=0,0,SUM($FN$2:FN156))</f>
        <v>0</v>
      </c>
      <c r="FP156" s="160">
        <f>IF([Chambre2]*1='CHAMBRES FILLES 1e ETAGE'!$A$11,1,0)</f>
        <v>0</v>
      </c>
      <c r="FQ156" s="160">
        <f>IF([Occurrence19]=0,0,SUM($FP$2:FP156))</f>
        <v>0</v>
      </c>
      <c r="FR156" s="160">
        <f>IF([Chambre2]*1='CHAMBRES FILLES 1e ETAGE'!$A$17,1,0)</f>
        <v>0</v>
      </c>
      <c r="FS156" s="160">
        <f>IF([Occurrence20]=0,0,SUM($FR$2:FR156))</f>
        <v>0</v>
      </c>
      <c r="FT156" s="160">
        <f>IF([Chambre2]*1='CHAMBRES FILLES 1e ETAGE'!$A$23,1,0)</f>
        <v>0</v>
      </c>
      <c r="FU156" s="160">
        <f>IF([Occurrence21]=0,0,SUM($FT$2:FT156))</f>
        <v>0</v>
      </c>
      <c r="FV156" s="160">
        <f>IF([Chambre2]*1='CHAMBRES FILLES 1e ETAGE'!$A$29,1,0)</f>
        <v>0</v>
      </c>
      <c r="FW156" s="160">
        <f>IF([Occurrence22]=0,0,SUM($FV$2:FV156))</f>
        <v>0</v>
      </c>
      <c r="FX156" s="160">
        <f>IF([Chambre2]*1='CHAMBRES FILLES 1e ETAGE'!$A$35,1,0)</f>
        <v>0</v>
      </c>
      <c r="FY156" s="160">
        <f>IF([Occurrence23]=0,0,SUM($FX$2:FX156))</f>
        <v>0</v>
      </c>
      <c r="FZ156" s="160">
        <f>IF([Chambre2]*1='CHAMBRES FILLES 1e ETAGE'!$A$41,1,0)</f>
        <v>0</v>
      </c>
      <c r="GA156" s="160">
        <f>IF([Occurrence24]=0,0,SUM($FZ$2:FZ156))</f>
        <v>0</v>
      </c>
      <c r="GB156" s="160">
        <f>IF([Chambre2]*1='CHAMBRES FILLES 1e ETAGE'!$A$47,1,0)</f>
        <v>0</v>
      </c>
      <c r="GC156" s="160">
        <f>IF([Occurrence25]=0,0,SUM($GB$2:GB156))</f>
        <v>0</v>
      </c>
      <c r="GD156" s="160">
        <f>IF([Chambre2]*1='CHAMBRES FILLES 1e ETAGE'!$A$53,1,0)</f>
        <v>0</v>
      </c>
      <c r="GE156" s="160">
        <f>IF([Occurrence26]=0,0,SUM($GD$2:GD156))</f>
        <v>0</v>
      </c>
      <c r="GF156" s="160">
        <f>IF([chambre4]*1='CHAMBRES GARCONS 1e ETAGE'!$A$5,1,0)</f>
        <v>0</v>
      </c>
      <c r="GG156" s="160">
        <f>IF([Occurrence27]=0,0,SUM($GF$2:GF156))</f>
        <v>0</v>
      </c>
      <c r="GH156" s="160">
        <f>IF([chambre4]*1='CHAMBRES GARCONS 1e ETAGE'!$A$11,1,0)</f>
        <v>0</v>
      </c>
      <c r="GI156" s="160">
        <f>IF([Occurrence28]=0,0,SUM($GH$2:GH156))</f>
        <v>0</v>
      </c>
      <c r="GJ156" s="160">
        <f>IF([chambre4]*1='CHAMBRES GARCONS 1e ETAGE'!$A$17,1,0)</f>
        <v>0</v>
      </c>
      <c r="GK156" s="160">
        <f>IF([Occurrence29]=0,0,SUM($GJ$2:GJ156))</f>
        <v>0</v>
      </c>
      <c r="GL156" s="160">
        <f>IF([chambre4]*1='CHAMBRES GARCONS 1e ETAGE'!$A$23,1,0)</f>
        <v>0</v>
      </c>
      <c r="GM156" s="160">
        <f>IF([Occurrence30]=0,0,SUM($GL$2:GL156))</f>
        <v>0</v>
      </c>
      <c r="GN156" s="160">
        <f>IF([chambre4]*1='CHAMBRES GARCONS 1e ETAGE'!$A$29,1,0)</f>
        <v>0</v>
      </c>
      <c r="GO156" s="160">
        <f>IF([Occurrence31]=0,0,SUM($GN$2:GN156))</f>
        <v>0</v>
      </c>
      <c r="GP156" s="160">
        <f>IF([chambre4]*1='CHAMBRES GARCONS 1e ETAGE'!$A$35,1,0)</f>
        <v>0</v>
      </c>
      <c r="GQ156" s="160">
        <f>IF([Occurrence32]=0,0,SUM($GP$2:GP156))</f>
        <v>0</v>
      </c>
      <c r="GR156" s="160">
        <f>IF([chambre3]*1='CHAMBRES GARCONS RDC'!$A$5,1,0)</f>
        <v>0</v>
      </c>
      <c r="GS156" s="160">
        <f>IF([Occurrence33]=0,0,SUM($GR$2:GR156))</f>
        <v>0</v>
      </c>
      <c r="GT156" s="160">
        <f>IF([chambre3]*1='CHAMBRES GARCONS RDC'!$A$11,1,0)</f>
        <v>0</v>
      </c>
      <c r="GU156" s="160">
        <f>IF([Occurrence34]=0,0,SUM($GT$2:GT156))</f>
        <v>0</v>
      </c>
      <c r="GV156" s="160">
        <f>IF([chambre3]*1='CHAMBRES GARCONS RDC'!$A$17,1,0)</f>
        <v>0</v>
      </c>
      <c r="GW156" s="160">
        <f>IF([Occurrence35]=0,0,SUM($GV$2:GV156))</f>
        <v>0</v>
      </c>
      <c r="GX156" s="160">
        <f>IF([chambre3]*1='CHAMBRES GARCONS RDC'!$A$23,1,0)</f>
        <v>0</v>
      </c>
      <c r="GY156" s="160">
        <f>IF([Occurrence36]=0,0,SUM($GX$2:GX156))</f>
        <v>0</v>
      </c>
      <c r="GZ156" s="160">
        <f>IF([chambre3]*1='CHAMBRES GARCONS RDC'!$A$29,1,0)</f>
        <v>0</v>
      </c>
      <c r="HA156" s="160">
        <f>IF([Occurrence37]=0,0,SUM($GZ$2:GZ156))</f>
        <v>0</v>
      </c>
      <c r="HB156" s="160">
        <f>IF([chambre3]*1='CHAMBRES GARCONS RDC'!$A$35,1,0)</f>
        <v>0</v>
      </c>
      <c r="HC156" s="160">
        <f>IF([Occurrence38]=0,0,SUM($HB$2:HB156))</f>
        <v>0</v>
      </c>
      <c r="HD156" s="160">
        <f>IF([chambre3]*1='CHAMBRES GARCONS RDC'!$A$41,1,0)</f>
        <v>0</v>
      </c>
      <c r="HE156" s="160">
        <f>IF([Occurrence39]=0,0,SUM($HD$2:HD156))</f>
        <v>0</v>
      </c>
      <c r="HF156" s="160">
        <f>IF([chambre3]*1='CHAMBRES GARCONS RDC'!$A$47,1,0)</f>
        <v>0</v>
      </c>
      <c r="HG156" s="160">
        <f>IF([Occurrence40]=0,0,SUM($HF$2:HF156))</f>
        <v>0</v>
      </c>
      <c r="HH156" s="160">
        <f>IF([chambre3]*1='CHAMBRES GARCONS RDC'!$A$53,1,0)</f>
        <v>0</v>
      </c>
      <c r="HI156" s="160">
        <f>IF([Occurrence41]=0,0,SUM($HH$2:HH156))</f>
        <v>0</v>
      </c>
      <c r="HJ156" s="160">
        <f>IF([chambre3]*1='CHAMBRES GARCONS RDC'!$A$59,1,0)</f>
        <v>0</v>
      </c>
      <c r="HK156" s="160">
        <f>IF([Occurrence42]=0,0,SUM($HJ$2:HJ156))</f>
        <v>0</v>
      </c>
      <c r="HL156" s="160">
        <f>IF([chambre3]*1='CHAMBRES GARCONS RDC'!$A$65,1,0)</f>
        <v>0</v>
      </c>
      <c r="HM156" s="160">
        <f>IF([Occurrence43]=0,0,SUM($HL$2:HL156))</f>
        <v>0</v>
      </c>
      <c r="HN156" s="160">
        <f>IF([chambre3]*1='CHAMBRES GARCONS RDC'!$A$71,1,0)</f>
        <v>0</v>
      </c>
      <c r="HO156" s="160">
        <f>IF([Occurrence44]=0,0,SUM($HN$2:HN156))</f>
        <v>0</v>
      </c>
      <c r="HP156" s="160">
        <f>IF([chambre3]*1='CHAMBRES GARCONS RDC'!$A$77,1,0)</f>
        <v>0</v>
      </c>
      <c r="HQ156" s="160">
        <f>IF([Occurrence45]=0,0,SUM($HP$2:HP156))</f>
        <v>0</v>
      </c>
      <c r="HR156" s="160">
        <f>IF([chambre3]*1='CHAMBRES GARCONS RDC'!$A$83,1,0)</f>
        <v>0</v>
      </c>
      <c r="HS156" s="160">
        <f>IF([Occurrence46]=0,0,SUM($HR$2:HR156))</f>
        <v>0</v>
      </c>
      <c r="HT156" s="160">
        <f>IF([chambre3]*1='CHAMBRES GARCONS RDC'!$A$89,1,0)</f>
        <v>0</v>
      </c>
      <c r="HU156" s="160">
        <f>IF([Occurrence47]=0,0,SUM($HT$2:HT156))</f>
        <v>0</v>
      </c>
      <c r="HV156" s="160">
        <f>IF([chambre3]*1='CHAMBRES GARCONS RDC'!$A$95,1,0)</f>
        <v>0</v>
      </c>
      <c r="HW156" s="160">
        <f>IF([Occurrence48]=0,0,SUM($HV$2:HV156))</f>
        <v>0</v>
      </c>
      <c r="HX156" s="160"/>
      <c r="HY156" s="160"/>
      <c r="HZ156" s="160">
        <f>IF([Classe]='Liste élève par classes'!$B$5,1,0)</f>
        <v>0</v>
      </c>
      <c r="IA156" s="160">
        <f>IF([Occurrence]=0,0,SUM($HZ$2:HZ156))</f>
        <v>0</v>
      </c>
      <c r="IB15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56" s="208"/>
    </row>
    <row r="157" spans="1:237">
      <c r="A157" t="s">
        <v>515</v>
      </c>
      <c r="B157" t="s">
        <v>516</v>
      </c>
      <c r="C157" s="158" t="s">
        <v>798</v>
      </c>
      <c r="D157" s="62" t="s">
        <v>795</v>
      </c>
      <c r="E157" t="s">
        <v>12</v>
      </c>
      <c r="F157" s="159" t="s">
        <v>50</v>
      </c>
      <c r="G157" t="s">
        <v>40</v>
      </c>
      <c r="H157" s="160"/>
      <c r="I157" s="62"/>
      <c r="J157" s="161" t="s">
        <v>244</v>
      </c>
      <c r="K157" s="161"/>
      <c r="L157" s="160"/>
      <c r="M157" t="s">
        <v>799</v>
      </c>
      <c r="N157" s="161" t="s">
        <v>244</v>
      </c>
      <c r="O157" s="161" t="s">
        <v>244</v>
      </c>
      <c r="P157" s="161" t="s">
        <v>244</v>
      </c>
      <c r="Q157" s="161" t="s">
        <v>244</v>
      </c>
      <c r="R157" s="161" t="s">
        <v>244</v>
      </c>
      <c r="S157" s="190"/>
      <c r="T157" s="161" t="s">
        <v>244</v>
      </c>
      <c r="U157" s="160"/>
      <c r="V157" s="161" t="s">
        <v>244</v>
      </c>
      <c r="W157" s="161" t="s">
        <v>244</v>
      </c>
      <c r="X157" s="161" t="s">
        <v>244</v>
      </c>
      <c r="Y157" s="161" t="s">
        <v>244</v>
      </c>
      <c r="Z157" s="161" t="s">
        <v>244</v>
      </c>
      <c r="AA157" s="161" t="s">
        <v>244</v>
      </c>
      <c r="AB157" s="161" t="s">
        <v>244</v>
      </c>
      <c r="AC157" s="161" t="s">
        <v>244</v>
      </c>
      <c r="AD157" s="161" t="s">
        <v>244</v>
      </c>
      <c r="AE157" s="161" t="s">
        <v>244</v>
      </c>
      <c r="AF157" s="163" t="s">
        <v>244</v>
      </c>
      <c r="AG157" s="163" t="s">
        <v>244</v>
      </c>
      <c r="AH157" s="163" t="s">
        <v>244</v>
      </c>
      <c r="AI157" s="163" t="b">
        <v>0</v>
      </c>
      <c r="AJ157" s="163" t="b">
        <v>0</v>
      </c>
      <c r="AK157" s="163" t="b">
        <v>0</v>
      </c>
      <c r="AL157" s="163" t="b">
        <v>0</v>
      </c>
      <c r="AM157" s="163" t="b">
        <v>0</v>
      </c>
      <c r="AN157" s="163" t="b">
        <v>0</v>
      </c>
      <c r="AO157" s="163" t="b">
        <v>0</v>
      </c>
      <c r="AP157" s="163" t="b">
        <v>0</v>
      </c>
      <c r="AQ157" s="163" t="b">
        <v>0</v>
      </c>
      <c r="AR157" s="163" t="b">
        <v>0</v>
      </c>
      <c r="AS157" s="163" t="b">
        <v>0</v>
      </c>
      <c r="AT157" s="163" t="b">
        <v>0</v>
      </c>
      <c r="AU157" s="163" t="b">
        <v>0</v>
      </c>
      <c r="AV157" s="163" t="b">
        <v>0</v>
      </c>
      <c r="AW157" s="163" t="b">
        <v>0</v>
      </c>
      <c r="AX157" s="163" t="b">
        <v>0</v>
      </c>
      <c r="AY157" s="163" t="b">
        <v>0</v>
      </c>
      <c r="AZ157" s="163" t="b">
        <v>0</v>
      </c>
      <c r="BA157" s="163" t="b">
        <v>0</v>
      </c>
      <c r="BB157" s="163" t="b">
        <v>0</v>
      </c>
      <c r="BC157" s="163" t="b">
        <v>0</v>
      </c>
      <c r="BD157" s="163" t="b">
        <v>1</v>
      </c>
      <c r="BE157" s="163" t="b">
        <v>1</v>
      </c>
      <c r="BF157" s="163" t="b">
        <v>0</v>
      </c>
      <c r="BG157" s="164" t="b">
        <v>0</v>
      </c>
      <c r="BH157" s="163" t="b">
        <v>1</v>
      </c>
      <c r="BI157" s="163" t="b">
        <v>0</v>
      </c>
      <c r="BJ157" s="163" t="b">
        <v>0</v>
      </c>
      <c r="BK157" s="163" t="b">
        <v>0</v>
      </c>
      <c r="BL157" s="163" t="b">
        <v>0</v>
      </c>
      <c r="BM157" s="163"/>
      <c r="BN157" s="163" t="b">
        <v>0</v>
      </c>
      <c r="BO157" s="163" t="b">
        <v>0</v>
      </c>
      <c r="BP157" s="163"/>
      <c r="BQ157" s="163" t="b">
        <v>0</v>
      </c>
      <c r="BR157" s="163" t="b">
        <v>0</v>
      </c>
      <c r="BS157" s="163"/>
      <c r="BT157" s="163" t="b">
        <v>0</v>
      </c>
      <c r="BU157" s="163" t="b">
        <v>0</v>
      </c>
      <c r="BV157" s="163"/>
      <c r="BW157" s="163" t="b">
        <v>0</v>
      </c>
      <c r="BX157" s="163" t="b">
        <v>0</v>
      </c>
      <c r="BY157" s="163"/>
      <c r="BZ157" s="163" t="b">
        <v>0</v>
      </c>
      <c r="CA157" s="163" t="b">
        <v>0</v>
      </c>
      <c r="CB157" s="163"/>
      <c r="CC157" s="163" t="b">
        <v>0</v>
      </c>
      <c r="CD157" s="163" t="b">
        <v>0</v>
      </c>
      <c r="CE157" s="163"/>
      <c r="CF157" s="163" t="b">
        <v>0</v>
      </c>
      <c r="CG157" s="163" t="b">
        <v>0</v>
      </c>
      <c r="CH157" s="163"/>
      <c r="CI157" s="163" t="b">
        <v>0</v>
      </c>
      <c r="CJ157" s="163" t="b">
        <v>0</v>
      </c>
      <c r="CK157" s="163"/>
      <c r="CL157" s="163" t="b">
        <v>0</v>
      </c>
      <c r="CM157" s="163" t="b">
        <v>0</v>
      </c>
      <c r="CN157" s="163"/>
      <c r="CO157" s="163" t="b">
        <v>0</v>
      </c>
      <c r="CP157" s="163" t="b">
        <v>0</v>
      </c>
      <c r="CQ157" s="163"/>
      <c r="CR157" s="163" t="b">
        <v>0</v>
      </c>
      <c r="CS157" s="163" t="b">
        <v>0</v>
      </c>
      <c r="CT157" s="163" t="b">
        <v>0</v>
      </c>
      <c r="CU157" s="163" t="b">
        <v>0</v>
      </c>
      <c r="CV157" s="163"/>
      <c r="CW157" s="163" t="b">
        <v>0</v>
      </c>
      <c r="CX157" s="163" t="b">
        <v>0</v>
      </c>
      <c r="CY157" s="163" t="b">
        <v>0</v>
      </c>
      <c r="CZ157" s="163" t="b">
        <v>0</v>
      </c>
      <c r="DA157" s="163" t="s">
        <v>797</v>
      </c>
      <c r="DB157" s="163"/>
      <c r="DC157" s="163"/>
      <c r="DD157" s="163"/>
      <c r="DE157" s="163"/>
      <c r="DF157" s="163"/>
      <c r="DG157" s="208"/>
      <c r="DH157" s="163"/>
      <c r="DI157" s="163"/>
      <c r="DJ157" s="163"/>
      <c r="DK157" s="163"/>
      <c r="DL157" s="163"/>
      <c r="DM157" s="163" t="b">
        <v>0</v>
      </c>
      <c r="DN157" s="163" t="b">
        <v>0</v>
      </c>
      <c r="DO157" s="163" t="b">
        <v>0</v>
      </c>
      <c r="DP157" s="163" t="b">
        <v>0</v>
      </c>
      <c r="DQ157" s="163" t="b">
        <v>0</v>
      </c>
      <c r="DR157" s="163" t="b">
        <v>0</v>
      </c>
      <c r="DS157" s="163" t="b">
        <v>0</v>
      </c>
      <c r="DT157" s="163" t="b">
        <v>0</v>
      </c>
      <c r="DU157" s="163" t="b">
        <v>0</v>
      </c>
      <c r="DV157" s="163" t="b">
        <v>0</v>
      </c>
      <c r="DW157" s="163" t="b">
        <v>0</v>
      </c>
      <c r="DX157" s="163" t="b">
        <v>0</v>
      </c>
      <c r="DY157" s="163" t="b">
        <v>0</v>
      </c>
      <c r="DZ157" s="163" t="b">
        <v>0</v>
      </c>
      <c r="EA157" s="163" t="b">
        <v>0</v>
      </c>
      <c r="EB157" s="163" t="b">
        <v>0</v>
      </c>
      <c r="EC157" s="163" t="b">
        <v>0</v>
      </c>
      <c r="ED157" s="163" t="b">
        <v>0</v>
      </c>
      <c r="EE157" s="163" t="b">
        <v>0</v>
      </c>
      <c r="EF157" s="163" t="b">
        <v>0</v>
      </c>
      <c r="EG157" s="163"/>
      <c r="EH157" s="160">
        <f>IF([Chambre]*1='CHAMBRES FILLES 2e ETAGE'!$A$5,1,0)</f>
        <v>0</v>
      </c>
      <c r="EI157" s="161">
        <f>IF([Occurrence2]=0,0,SUM($EH$2:EH157))</f>
        <v>0</v>
      </c>
      <c r="EJ157" s="160">
        <f>IF([Chambre]*1='CHAMBRES FILLES 2e ETAGE'!$A$11,1,0)</f>
        <v>0</v>
      </c>
      <c r="EK157" s="160">
        <f>IF([Occurrence3]=0,0,SUM($EJ$2:EJ157))</f>
        <v>0</v>
      </c>
      <c r="EL157" s="160">
        <f>IF([Chambre]*1='CHAMBRES FILLES 2e ETAGE'!$A$17,1,0)</f>
        <v>0</v>
      </c>
      <c r="EM157" s="160">
        <f>IF([Occurrence4]=0,0,SUM($EL$2:EL157))</f>
        <v>0</v>
      </c>
      <c r="EN157" s="160">
        <f>IF([Chambre]*1='CHAMBRES FILLES 2e ETAGE'!$A$23,1,0)</f>
        <v>0</v>
      </c>
      <c r="EO157" s="160">
        <f>IF([Occurrence5]=0,0,SUM($EN$2:EN157))</f>
        <v>0</v>
      </c>
      <c r="EP157" s="160">
        <f>IF([Chambre]*1='CHAMBRES FILLES 2e ETAGE'!$A$29,1,0)</f>
        <v>0</v>
      </c>
      <c r="EQ157" s="160">
        <f>IF([Occurrence6]=0,0,SUM($EP$2:EP157))</f>
        <v>0</v>
      </c>
      <c r="ER157" s="160">
        <f>IF([Chambre]*1='CHAMBRES FILLES 2e ETAGE'!$A$35,1,0)</f>
        <v>0</v>
      </c>
      <c r="ES157" s="160">
        <f>IF([Occurrence7]=0,0,SUM($ER$2:ER157))</f>
        <v>0</v>
      </c>
      <c r="ET157" s="160">
        <f>IF([Chambre]*1='CHAMBRES FILLES 2e ETAGE'!$A$41,1,0)</f>
        <v>0</v>
      </c>
      <c r="EU157" s="160">
        <f>IF([Occurrence8]=0,0,SUM($ET$2:ET157))</f>
        <v>0</v>
      </c>
      <c r="EV157" s="160">
        <f>IF([Chambre]*1='CHAMBRES FILLES 2e ETAGE'!$A$47,1,0)</f>
        <v>0</v>
      </c>
      <c r="EW157" s="160">
        <f>IF([Occurrence9]=0,0,SUM($EV$2:EV157))</f>
        <v>0</v>
      </c>
      <c r="EX157" s="160">
        <f>IF([Chambre]*1='CHAMBRES FILLES 2e ETAGE'!$A$53,1,0)</f>
        <v>0</v>
      </c>
      <c r="EY157" s="160">
        <f>IF([Occurrence10]=0,0,SUM($EX$2:EX157))</f>
        <v>0</v>
      </c>
      <c r="EZ157" s="160">
        <f>IF([Chambre]*1='CHAMBRES FILLES 2e ETAGE'!$A$59,1,0)</f>
        <v>0</v>
      </c>
      <c r="FA157" s="160">
        <f>IF([Occurrence11]=0,0,SUM($EZ$2:EZ157))</f>
        <v>0</v>
      </c>
      <c r="FB157" s="160">
        <f>IF([Chambre]*1='CHAMBRES FILLES 2e ETAGE'!$A$65,1,0)</f>
        <v>0</v>
      </c>
      <c r="FC157" s="160">
        <f>IF([Occurrence12]=0,0,SUM($FB$2:FB157))</f>
        <v>0</v>
      </c>
      <c r="FD157" s="160">
        <f>IF([Chambre]*1='CHAMBRES FILLES 2e ETAGE'!$A$71,1,0)</f>
        <v>0</v>
      </c>
      <c r="FE157" s="160">
        <f>IF([Occurrence13]=0,0,SUM($FD$2:FD157))</f>
        <v>0</v>
      </c>
      <c r="FF157" s="160">
        <f>IF([Chambre]*1='CHAMBRES FILLES 2e ETAGE'!$A$77,1,0)</f>
        <v>0</v>
      </c>
      <c r="FG157" s="160">
        <f>IF([Occurrence14]=0,0,SUM($FF$2:FF157))</f>
        <v>0</v>
      </c>
      <c r="FH157" s="160">
        <f>IF([Chambre]*1='CHAMBRES FILLES 2e ETAGE'!$A$83,1,0)</f>
        <v>0</v>
      </c>
      <c r="FI157" s="160">
        <f>IF([Occurrence15]=0,0,SUM($FH$2:FH157))</f>
        <v>0</v>
      </c>
      <c r="FJ157" s="160">
        <f>IF([Chambre]*1='CHAMBRES FILLES 2e ETAGE'!$A$89,1,0)</f>
        <v>0</v>
      </c>
      <c r="FK157" s="160">
        <f>IF([Occurrence16]=0,0,SUM($FJ$2:FJ157))</f>
        <v>0</v>
      </c>
      <c r="FL157" s="160">
        <f>IF([Chambre]*1='CHAMBRES FILLES 2e ETAGE'!$A$95,1,0)</f>
        <v>0</v>
      </c>
      <c r="FM157" s="160">
        <f>IF([Occurrence17]=0,0,SUM($FL$2:FL157))</f>
        <v>0</v>
      </c>
      <c r="FN157" s="160">
        <f>IF([Chambre2]*1='CHAMBRES FILLES 1e ETAGE'!$A$5,1,0)</f>
        <v>0</v>
      </c>
      <c r="FO157" s="160">
        <f>IF([Occurrence18]=0,0,SUM($FN$2:FN157))</f>
        <v>0</v>
      </c>
      <c r="FP157" s="160">
        <f>IF([Chambre2]*1='CHAMBRES FILLES 1e ETAGE'!$A$11,1,0)</f>
        <v>0</v>
      </c>
      <c r="FQ157" s="160">
        <f>IF([Occurrence19]=0,0,SUM($FP$2:FP157))</f>
        <v>0</v>
      </c>
      <c r="FR157" s="160">
        <f>IF([Chambre2]*1='CHAMBRES FILLES 1e ETAGE'!$A$17,1,0)</f>
        <v>0</v>
      </c>
      <c r="FS157" s="160">
        <f>IF([Occurrence20]=0,0,SUM($FR$2:FR157))</f>
        <v>0</v>
      </c>
      <c r="FT157" s="160">
        <f>IF([Chambre2]*1='CHAMBRES FILLES 1e ETAGE'!$A$23,1,0)</f>
        <v>0</v>
      </c>
      <c r="FU157" s="160">
        <f>IF([Occurrence21]=0,0,SUM($FT$2:FT157))</f>
        <v>0</v>
      </c>
      <c r="FV157" s="160">
        <f>IF([Chambre2]*1='CHAMBRES FILLES 1e ETAGE'!$A$29,1,0)</f>
        <v>0</v>
      </c>
      <c r="FW157" s="160">
        <f>IF([Occurrence22]=0,0,SUM($FV$2:FV157))</f>
        <v>0</v>
      </c>
      <c r="FX157" s="160">
        <f>IF([Chambre2]*1='CHAMBRES FILLES 1e ETAGE'!$A$35,1,0)</f>
        <v>0</v>
      </c>
      <c r="FY157" s="160">
        <f>IF([Occurrence23]=0,0,SUM($FX$2:FX157))</f>
        <v>0</v>
      </c>
      <c r="FZ157" s="160">
        <f>IF([Chambre2]*1='CHAMBRES FILLES 1e ETAGE'!$A$41,1,0)</f>
        <v>0</v>
      </c>
      <c r="GA157" s="160">
        <f>IF([Occurrence24]=0,0,SUM($FZ$2:FZ157))</f>
        <v>0</v>
      </c>
      <c r="GB157" s="160">
        <f>IF([Chambre2]*1='CHAMBRES FILLES 1e ETAGE'!$A$47,1,0)</f>
        <v>0</v>
      </c>
      <c r="GC157" s="160">
        <f>IF([Occurrence25]=0,0,SUM($GB$2:GB157))</f>
        <v>0</v>
      </c>
      <c r="GD157" s="160">
        <f>IF([Chambre2]*1='CHAMBRES FILLES 1e ETAGE'!$A$53,1,0)</f>
        <v>0</v>
      </c>
      <c r="GE157" s="160">
        <f>IF([Occurrence26]=0,0,SUM($GD$2:GD157))</f>
        <v>0</v>
      </c>
      <c r="GF157" s="160">
        <f>IF([chambre4]*1='CHAMBRES GARCONS 1e ETAGE'!$A$5,1,0)</f>
        <v>0</v>
      </c>
      <c r="GG157" s="160">
        <f>IF([Occurrence27]=0,0,SUM($GF$2:GF157))</f>
        <v>0</v>
      </c>
      <c r="GH157" s="160">
        <f>IF([chambre4]*1='CHAMBRES GARCONS 1e ETAGE'!$A$11,1,0)</f>
        <v>0</v>
      </c>
      <c r="GI157" s="160">
        <f>IF([Occurrence28]=0,0,SUM($GH$2:GH157))</f>
        <v>0</v>
      </c>
      <c r="GJ157" s="160">
        <f>IF([chambre4]*1='CHAMBRES GARCONS 1e ETAGE'!$A$17,1,0)</f>
        <v>0</v>
      </c>
      <c r="GK157" s="160">
        <f>IF([Occurrence29]=0,0,SUM($GJ$2:GJ157))</f>
        <v>0</v>
      </c>
      <c r="GL157" s="160">
        <f>IF([chambre4]*1='CHAMBRES GARCONS 1e ETAGE'!$A$23,1,0)</f>
        <v>0</v>
      </c>
      <c r="GM157" s="160">
        <f>IF([Occurrence30]=0,0,SUM($GL$2:GL157))</f>
        <v>0</v>
      </c>
      <c r="GN157" s="160">
        <f>IF([chambre4]*1='CHAMBRES GARCONS 1e ETAGE'!$A$29,1,0)</f>
        <v>0</v>
      </c>
      <c r="GO157" s="160">
        <f>IF([Occurrence31]=0,0,SUM($GN$2:GN157))</f>
        <v>0</v>
      </c>
      <c r="GP157" s="160">
        <f>IF([chambre4]*1='CHAMBRES GARCONS 1e ETAGE'!$A$35,1,0)</f>
        <v>0</v>
      </c>
      <c r="GQ157" s="160">
        <f>IF([Occurrence32]=0,0,SUM($GP$2:GP157))</f>
        <v>0</v>
      </c>
      <c r="GR157" s="160">
        <f>IF([chambre3]*1='CHAMBRES GARCONS RDC'!$A$5,1,0)</f>
        <v>0</v>
      </c>
      <c r="GS157" s="160">
        <f>IF([Occurrence33]=0,0,SUM($GR$2:GR157))</f>
        <v>0</v>
      </c>
      <c r="GT157" s="160">
        <f>IF([chambre3]*1='CHAMBRES GARCONS RDC'!$A$11,1,0)</f>
        <v>0</v>
      </c>
      <c r="GU157" s="160">
        <f>IF([Occurrence34]=0,0,SUM($GT$2:GT157))</f>
        <v>0</v>
      </c>
      <c r="GV157" s="160">
        <f>IF([chambre3]*1='CHAMBRES GARCONS RDC'!$A$17,1,0)</f>
        <v>0</v>
      </c>
      <c r="GW157" s="160">
        <f>IF([Occurrence35]=0,0,SUM($GV$2:GV157))</f>
        <v>0</v>
      </c>
      <c r="GX157" s="160">
        <f>IF([chambre3]*1='CHAMBRES GARCONS RDC'!$A$23,1,0)</f>
        <v>1</v>
      </c>
      <c r="GY157" s="160">
        <f>IF([Occurrence36]=0,0,SUM($GX$2:GX157))</f>
        <v>3</v>
      </c>
      <c r="GZ157" s="160">
        <f>IF([chambre3]*1='CHAMBRES GARCONS RDC'!$A$29,1,0)</f>
        <v>0</v>
      </c>
      <c r="HA157" s="160">
        <f>IF([Occurrence37]=0,0,SUM($GZ$2:GZ157))</f>
        <v>0</v>
      </c>
      <c r="HB157" s="160">
        <f>IF([chambre3]*1='CHAMBRES GARCONS RDC'!$A$35,1,0)</f>
        <v>0</v>
      </c>
      <c r="HC157" s="160">
        <f>IF([Occurrence38]=0,0,SUM($HB$2:HB157))</f>
        <v>0</v>
      </c>
      <c r="HD157" s="160">
        <f>IF([chambre3]*1='CHAMBRES GARCONS RDC'!$A$41,1,0)</f>
        <v>0</v>
      </c>
      <c r="HE157" s="160">
        <f>IF([Occurrence39]=0,0,SUM($HD$2:HD157))</f>
        <v>0</v>
      </c>
      <c r="HF157" s="160">
        <f>IF([chambre3]*1='CHAMBRES GARCONS RDC'!$A$47,1,0)</f>
        <v>0</v>
      </c>
      <c r="HG157" s="160">
        <f>IF([Occurrence40]=0,0,SUM($HF$2:HF157))</f>
        <v>0</v>
      </c>
      <c r="HH157" s="160">
        <f>IF([chambre3]*1='CHAMBRES GARCONS RDC'!$A$53,1,0)</f>
        <v>0</v>
      </c>
      <c r="HI157" s="160">
        <f>IF([Occurrence41]=0,0,SUM($HH$2:HH157))</f>
        <v>0</v>
      </c>
      <c r="HJ157" s="160">
        <f>IF([chambre3]*1='CHAMBRES GARCONS RDC'!$A$59,1,0)</f>
        <v>0</v>
      </c>
      <c r="HK157" s="160">
        <f>IF([Occurrence42]=0,0,SUM($HJ$2:HJ157))</f>
        <v>0</v>
      </c>
      <c r="HL157" s="160">
        <f>IF([chambre3]*1='CHAMBRES GARCONS RDC'!$A$65,1,0)</f>
        <v>0</v>
      </c>
      <c r="HM157" s="160">
        <f>IF([Occurrence43]=0,0,SUM($HL$2:HL157))</f>
        <v>0</v>
      </c>
      <c r="HN157" s="160">
        <f>IF([chambre3]*1='CHAMBRES GARCONS RDC'!$A$71,1,0)</f>
        <v>0</v>
      </c>
      <c r="HO157" s="160">
        <f>IF([Occurrence44]=0,0,SUM($HN$2:HN157))</f>
        <v>0</v>
      </c>
      <c r="HP157" s="160">
        <f>IF([chambre3]*1='CHAMBRES GARCONS RDC'!$A$77,1,0)</f>
        <v>0</v>
      </c>
      <c r="HQ157" s="160">
        <f>IF([Occurrence45]=0,0,SUM($HP$2:HP157))</f>
        <v>0</v>
      </c>
      <c r="HR157" s="160">
        <f>IF([chambre3]*1='CHAMBRES GARCONS RDC'!$A$83,1,0)</f>
        <v>0</v>
      </c>
      <c r="HS157" s="160">
        <f>IF([Occurrence46]=0,0,SUM($HR$2:HR157))</f>
        <v>0</v>
      </c>
      <c r="HT157" s="160">
        <f>IF([chambre3]*1='CHAMBRES GARCONS RDC'!$A$89,1,0)</f>
        <v>0</v>
      </c>
      <c r="HU157" s="160">
        <f>IF([Occurrence47]=0,0,SUM($HT$2:HT157))</f>
        <v>0</v>
      </c>
      <c r="HV157" s="160">
        <f>IF([chambre3]*1='CHAMBRES GARCONS RDC'!$A$95,1,0)</f>
        <v>0</v>
      </c>
      <c r="HW157" s="160">
        <f>IF([Occurrence48]=0,0,SUM($HV$2:HV157))</f>
        <v>0</v>
      </c>
      <c r="HX157" s="160"/>
      <c r="HY157" s="160"/>
      <c r="HZ157" s="160">
        <f>IF([Classe]='Liste élève par classes'!$B$5,1,0)</f>
        <v>0</v>
      </c>
      <c r="IA157" s="160">
        <f>IF([Occurrence]=0,0,SUM($HZ$2:HZ157))</f>
        <v>0</v>
      </c>
      <c r="IB15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114</v>
      </c>
      <c r="IC157" s="208"/>
    </row>
    <row r="158" spans="1:237">
      <c r="A158" t="s">
        <v>517</v>
      </c>
      <c r="B158" t="s">
        <v>518</v>
      </c>
      <c r="C158" s="158">
        <v>36339</v>
      </c>
      <c r="D158" s="62">
        <f t="shared" ca="1" si="2"/>
        <v>18</v>
      </c>
      <c r="E158" t="s">
        <v>3</v>
      </c>
      <c r="F158" s="165" t="s">
        <v>46</v>
      </c>
      <c r="G158" t="s">
        <v>45</v>
      </c>
      <c r="H158" s="160"/>
      <c r="I158" s="62"/>
      <c r="J158" s="62"/>
      <c r="K158" s="62"/>
      <c r="L158" s="61"/>
      <c r="M158" s="62"/>
      <c r="N158" s="62"/>
      <c r="O158" s="62"/>
      <c r="P158" s="62"/>
      <c r="Q158" s="62"/>
      <c r="R158" s="62"/>
      <c r="S158" s="62"/>
      <c r="T158" s="62"/>
      <c r="U158" s="61"/>
      <c r="V158" s="62"/>
      <c r="W158" s="62"/>
      <c r="X158" s="62"/>
      <c r="Y158" s="62"/>
      <c r="Z158" s="62"/>
      <c r="AA158" s="62"/>
      <c r="AB158" s="62"/>
      <c r="AC158" s="62"/>
      <c r="AD158" s="62"/>
      <c r="AE158" s="62"/>
      <c r="AF158" s="163"/>
      <c r="AG158" s="163"/>
      <c r="AH158" s="163"/>
      <c r="AI158" s="163"/>
      <c r="AJ158" s="163"/>
      <c r="AK158" s="163"/>
      <c r="AL158" s="163"/>
      <c r="AM158" s="163"/>
      <c r="AN158" s="163"/>
      <c r="AO158" s="163"/>
      <c r="AP158" s="163"/>
      <c r="AQ158" s="163"/>
      <c r="AR158" s="163"/>
      <c r="AS158" s="163"/>
      <c r="AT158" s="163"/>
      <c r="AU158" s="163"/>
      <c r="AV158" s="163"/>
      <c r="AW158" s="163"/>
      <c r="AX158" s="163"/>
      <c r="AY158" s="163"/>
      <c r="AZ158" s="163"/>
      <c r="BA158" s="163"/>
      <c r="BB158" s="163"/>
      <c r="BC158" s="163" t="b">
        <v>0</v>
      </c>
      <c r="BD158" s="163" t="b">
        <v>0</v>
      </c>
      <c r="BE158" s="163" t="b">
        <v>0</v>
      </c>
      <c r="BF158" s="163" t="b">
        <v>0</v>
      </c>
      <c r="BG158" s="163" t="b">
        <v>0</v>
      </c>
      <c r="BH158" s="163" t="b">
        <v>0</v>
      </c>
      <c r="BI158" s="163" t="b">
        <v>1</v>
      </c>
      <c r="BJ158" s="163" t="b">
        <v>0</v>
      </c>
      <c r="BK158" s="163" t="b">
        <v>0</v>
      </c>
      <c r="BL158" s="163" t="b">
        <v>0</v>
      </c>
      <c r="BM158" s="163"/>
      <c r="BN158" s="163"/>
      <c r="BO158" s="163"/>
      <c r="BP158" s="163"/>
      <c r="BQ158" s="163"/>
      <c r="BR158" s="163"/>
      <c r="BS158" s="163"/>
      <c r="BT158" s="163"/>
      <c r="BU158" s="163"/>
      <c r="BV158" s="163"/>
      <c r="BW158" s="163"/>
      <c r="BX158" s="163"/>
      <c r="BY158" s="163"/>
      <c r="BZ158" s="163"/>
      <c r="CA158" s="163"/>
      <c r="CB158" s="163"/>
      <c r="CC158" s="163"/>
      <c r="CD158" s="163"/>
      <c r="CE158" s="163"/>
      <c r="CF158" s="163"/>
      <c r="CG158" s="163"/>
      <c r="CH158" s="163"/>
      <c r="CI158" s="163"/>
      <c r="CJ158" s="163"/>
      <c r="CK158" s="163"/>
      <c r="CL158" s="163"/>
      <c r="CM158" s="163"/>
      <c r="CN158" s="163"/>
      <c r="CO158" s="163"/>
      <c r="CP158" s="163"/>
      <c r="CQ158" s="163"/>
      <c r="CR158" s="163"/>
      <c r="CS158" s="163"/>
      <c r="CT158" s="163"/>
      <c r="CU158" s="163"/>
      <c r="CV158" s="163"/>
      <c r="CW158" s="163"/>
      <c r="CX158" s="163"/>
      <c r="CY158" s="163"/>
      <c r="CZ158" s="163"/>
      <c r="DA158" s="163"/>
      <c r="DB158" s="163"/>
      <c r="DC158" s="163"/>
      <c r="DD158" s="163"/>
      <c r="DE158" s="163"/>
      <c r="DF158" s="163"/>
      <c r="DG158" s="163"/>
      <c r="DH158" s="163"/>
      <c r="DI158" s="163"/>
      <c r="DJ158" s="163"/>
      <c r="DK158" s="163"/>
      <c r="DL158" s="163"/>
      <c r="DM158" s="163"/>
      <c r="DN158" s="163"/>
      <c r="DO158" s="163"/>
      <c r="DP158" s="163"/>
      <c r="DQ158" s="163"/>
      <c r="DR158" s="163"/>
      <c r="DS158" s="163"/>
      <c r="DT158" s="163"/>
      <c r="DU158" s="163"/>
      <c r="DV158" s="163"/>
      <c r="DW158" s="163"/>
      <c r="DX158" s="163"/>
      <c r="DY158" s="163"/>
      <c r="DZ158" s="163"/>
      <c r="EA158" s="163"/>
      <c r="EB158" s="163"/>
      <c r="EC158" s="163"/>
      <c r="ED158" s="163"/>
      <c r="EE158" s="163"/>
      <c r="EF158" s="163"/>
      <c r="EG158" s="163"/>
      <c r="EH158" s="160">
        <f>IF([Chambre]*1='CHAMBRES FILLES 2e ETAGE'!$A$5,1,0)</f>
        <v>0</v>
      </c>
      <c r="EI158" s="161">
        <f>IF([Occurrence2]=0,0,SUM($EH$2:EH158))</f>
        <v>0</v>
      </c>
      <c r="EJ158" s="160">
        <f>IF([Chambre]*1='CHAMBRES FILLES 2e ETAGE'!$A$11,1,0)</f>
        <v>0</v>
      </c>
      <c r="EK158" s="160">
        <f>IF([Occurrence3]=0,0,SUM($EJ$2:EJ158))</f>
        <v>0</v>
      </c>
      <c r="EL158" s="160">
        <f>IF([Chambre]*1='CHAMBRES FILLES 2e ETAGE'!$A$17,1,0)</f>
        <v>0</v>
      </c>
      <c r="EM158" s="160">
        <f>IF([Occurrence4]=0,0,SUM($EL$2:EL158))</f>
        <v>0</v>
      </c>
      <c r="EN158" s="160">
        <f>IF([Chambre]*1='CHAMBRES FILLES 2e ETAGE'!$A$23,1,0)</f>
        <v>0</v>
      </c>
      <c r="EO158" s="160">
        <f>IF([Occurrence5]=0,0,SUM($EN$2:EN158))</f>
        <v>0</v>
      </c>
      <c r="EP158" s="160">
        <f>IF([Chambre]*1='CHAMBRES FILLES 2e ETAGE'!$A$29,1,0)</f>
        <v>0</v>
      </c>
      <c r="EQ158" s="160">
        <f>IF([Occurrence6]=0,0,SUM($EP$2:EP158))</f>
        <v>0</v>
      </c>
      <c r="ER158" s="160">
        <f>IF([Chambre]*1='CHAMBRES FILLES 2e ETAGE'!$A$35,1,0)</f>
        <v>0</v>
      </c>
      <c r="ES158" s="160">
        <f>IF([Occurrence7]=0,0,SUM($ER$2:ER158))</f>
        <v>0</v>
      </c>
      <c r="ET158" s="160">
        <f>IF([Chambre]*1='CHAMBRES FILLES 2e ETAGE'!$A$41,1,0)</f>
        <v>0</v>
      </c>
      <c r="EU158" s="160">
        <f>IF([Occurrence8]=0,0,SUM($ET$2:ET158))</f>
        <v>0</v>
      </c>
      <c r="EV158" s="160">
        <f>IF([Chambre]*1='CHAMBRES FILLES 2e ETAGE'!$A$47,1,0)</f>
        <v>0</v>
      </c>
      <c r="EW158" s="160">
        <f>IF([Occurrence9]=0,0,SUM($EV$2:EV158))</f>
        <v>0</v>
      </c>
      <c r="EX158" s="160">
        <f>IF([Chambre]*1='CHAMBRES FILLES 2e ETAGE'!$A$53,1,0)</f>
        <v>0</v>
      </c>
      <c r="EY158" s="160">
        <f>IF([Occurrence10]=0,0,SUM($EX$2:EX158))</f>
        <v>0</v>
      </c>
      <c r="EZ158" s="160">
        <f>IF([Chambre]*1='CHAMBRES FILLES 2e ETAGE'!$A$59,1,0)</f>
        <v>0</v>
      </c>
      <c r="FA158" s="160">
        <f>IF([Occurrence11]=0,0,SUM($EZ$2:EZ158))</f>
        <v>0</v>
      </c>
      <c r="FB158" s="160">
        <f>IF([Chambre]*1='CHAMBRES FILLES 2e ETAGE'!$A$65,1,0)</f>
        <v>0</v>
      </c>
      <c r="FC158" s="160">
        <f>IF([Occurrence12]=0,0,SUM($FB$2:FB158))</f>
        <v>0</v>
      </c>
      <c r="FD158" s="160">
        <f>IF([Chambre]*1='CHAMBRES FILLES 2e ETAGE'!$A$71,1,0)</f>
        <v>0</v>
      </c>
      <c r="FE158" s="160">
        <f>IF([Occurrence13]=0,0,SUM($FD$2:FD158))</f>
        <v>0</v>
      </c>
      <c r="FF158" s="160">
        <f>IF([Chambre]*1='CHAMBRES FILLES 2e ETAGE'!$A$77,1,0)</f>
        <v>0</v>
      </c>
      <c r="FG158" s="160">
        <f>IF([Occurrence14]=0,0,SUM($FF$2:FF158))</f>
        <v>0</v>
      </c>
      <c r="FH158" s="160">
        <f>IF([Chambre]*1='CHAMBRES FILLES 2e ETAGE'!$A$83,1,0)</f>
        <v>0</v>
      </c>
      <c r="FI158" s="160">
        <f>IF([Occurrence15]=0,0,SUM($FH$2:FH158))</f>
        <v>0</v>
      </c>
      <c r="FJ158" s="160">
        <f>IF([Chambre]*1='CHAMBRES FILLES 2e ETAGE'!$A$89,1,0)</f>
        <v>0</v>
      </c>
      <c r="FK158" s="160">
        <f>IF([Occurrence16]=0,0,SUM($FJ$2:FJ158))</f>
        <v>0</v>
      </c>
      <c r="FL158" s="160">
        <f>IF([Chambre]*1='CHAMBRES FILLES 2e ETAGE'!$A$95,1,0)</f>
        <v>0</v>
      </c>
      <c r="FM158" s="160">
        <f>IF([Occurrence17]=0,0,SUM($FL$2:FL158))</f>
        <v>0</v>
      </c>
      <c r="FN158" s="160">
        <f>IF([Chambre2]*1='CHAMBRES FILLES 1e ETAGE'!$A$5,1,0)</f>
        <v>0</v>
      </c>
      <c r="FO158" s="160">
        <f>IF([Occurrence18]=0,0,SUM($FN$2:FN158))</f>
        <v>0</v>
      </c>
      <c r="FP158" s="160">
        <f>IF([Chambre2]*1='CHAMBRES FILLES 1e ETAGE'!$A$11,1,0)</f>
        <v>0</v>
      </c>
      <c r="FQ158" s="160">
        <f>IF([Occurrence19]=0,0,SUM($FP$2:FP158))</f>
        <v>0</v>
      </c>
      <c r="FR158" s="160">
        <f>IF([Chambre2]*1='CHAMBRES FILLES 1e ETAGE'!$A$17,1,0)</f>
        <v>0</v>
      </c>
      <c r="FS158" s="160">
        <f>IF([Occurrence20]=0,0,SUM($FR$2:FR158))</f>
        <v>0</v>
      </c>
      <c r="FT158" s="160">
        <f>IF([Chambre2]*1='CHAMBRES FILLES 1e ETAGE'!$A$23,1,0)</f>
        <v>0</v>
      </c>
      <c r="FU158" s="160">
        <f>IF([Occurrence21]=0,0,SUM($FT$2:FT158))</f>
        <v>0</v>
      </c>
      <c r="FV158" s="160">
        <f>IF([Chambre2]*1='CHAMBRES FILLES 1e ETAGE'!$A$29,1,0)</f>
        <v>0</v>
      </c>
      <c r="FW158" s="160">
        <f>IF([Occurrence22]=0,0,SUM($FV$2:FV158))</f>
        <v>0</v>
      </c>
      <c r="FX158" s="160">
        <f>IF([Chambre2]*1='CHAMBRES FILLES 1e ETAGE'!$A$35,1,0)</f>
        <v>0</v>
      </c>
      <c r="FY158" s="160">
        <f>IF([Occurrence23]=0,0,SUM($FX$2:FX158))</f>
        <v>0</v>
      </c>
      <c r="FZ158" s="160">
        <f>IF([Chambre2]*1='CHAMBRES FILLES 1e ETAGE'!$A$41,1,0)</f>
        <v>0</v>
      </c>
      <c r="GA158" s="160">
        <f>IF([Occurrence24]=0,0,SUM($FZ$2:FZ158))</f>
        <v>0</v>
      </c>
      <c r="GB158" s="160">
        <f>IF([Chambre2]*1='CHAMBRES FILLES 1e ETAGE'!$A$47,1,0)</f>
        <v>0</v>
      </c>
      <c r="GC158" s="160">
        <f>IF([Occurrence25]=0,0,SUM($GB$2:GB158))</f>
        <v>0</v>
      </c>
      <c r="GD158" s="160">
        <f>IF([Chambre2]*1='CHAMBRES FILLES 1e ETAGE'!$A$53,1,0)</f>
        <v>0</v>
      </c>
      <c r="GE158" s="160">
        <f>IF([Occurrence26]=0,0,SUM($GD$2:GD158))</f>
        <v>0</v>
      </c>
      <c r="GF158" s="160">
        <f>IF([chambre4]*1='CHAMBRES GARCONS 1e ETAGE'!$A$5,1,0)</f>
        <v>0</v>
      </c>
      <c r="GG158" s="160">
        <f>IF([Occurrence27]=0,0,SUM($GF$2:GF158))</f>
        <v>0</v>
      </c>
      <c r="GH158" s="160">
        <f>IF([chambre4]*1='CHAMBRES GARCONS 1e ETAGE'!$A$11,1,0)</f>
        <v>0</v>
      </c>
      <c r="GI158" s="160">
        <f>IF([Occurrence28]=0,0,SUM($GH$2:GH158))</f>
        <v>0</v>
      </c>
      <c r="GJ158" s="160">
        <f>IF([chambre4]*1='CHAMBRES GARCONS 1e ETAGE'!$A$17,1,0)</f>
        <v>0</v>
      </c>
      <c r="GK158" s="160">
        <f>IF([Occurrence29]=0,0,SUM($GJ$2:GJ158))</f>
        <v>0</v>
      </c>
      <c r="GL158" s="160">
        <f>IF([chambre4]*1='CHAMBRES GARCONS 1e ETAGE'!$A$23,1,0)</f>
        <v>0</v>
      </c>
      <c r="GM158" s="160">
        <f>IF([Occurrence30]=0,0,SUM($GL$2:GL158))</f>
        <v>0</v>
      </c>
      <c r="GN158" s="160">
        <f>IF([chambre4]*1='CHAMBRES GARCONS 1e ETAGE'!$A$29,1,0)</f>
        <v>0</v>
      </c>
      <c r="GO158" s="160">
        <f>IF([Occurrence31]=0,0,SUM($GN$2:GN158))</f>
        <v>0</v>
      </c>
      <c r="GP158" s="160">
        <f>IF([chambre4]*1='CHAMBRES GARCONS 1e ETAGE'!$A$35,1,0)</f>
        <v>0</v>
      </c>
      <c r="GQ158" s="160">
        <f>IF([Occurrence32]=0,0,SUM($GP$2:GP158))</f>
        <v>0</v>
      </c>
      <c r="GR158" s="160">
        <f>IF([chambre3]*1='CHAMBRES GARCONS RDC'!$A$5,1,0)</f>
        <v>0</v>
      </c>
      <c r="GS158" s="160">
        <f>IF([Occurrence33]=0,0,SUM($GR$2:GR158))</f>
        <v>0</v>
      </c>
      <c r="GT158" s="160">
        <f>IF([chambre3]*1='CHAMBRES GARCONS RDC'!$A$11,1,0)</f>
        <v>0</v>
      </c>
      <c r="GU158" s="160">
        <f>IF([Occurrence34]=0,0,SUM($GT$2:GT158))</f>
        <v>0</v>
      </c>
      <c r="GV158" s="160">
        <f>IF([chambre3]*1='CHAMBRES GARCONS RDC'!$A$17,1,0)</f>
        <v>0</v>
      </c>
      <c r="GW158" s="160">
        <f>IF([Occurrence35]=0,0,SUM($GV$2:GV158))</f>
        <v>0</v>
      </c>
      <c r="GX158" s="160">
        <f>IF([chambre3]*1='CHAMBRES GARCONS RDC'!$A$23,1,0)</f>
        <v>0</v>
      </c>
      <c r="GY158" s="160">
        <f>IF([Occurrence36]=0,0,SUM($GX$2:GX158))</f>
        <v>0</v>
      </c>
      <c r="GZ158" s="160">
        <f>IF([chambre3]*1='CHAMBRES GARCONS RDC'!$A$29,1,0)</f>
        <v>0</v>
      </c>
      <c r="HA158" s="160">
        <f>IF([Occurrence37]=0,0,SUM($GZ$2:GZ158))</f>
        <v>0</v>
      </c>
      <c r="HB158" s="160">
        <f>IF([chambre3]*1='CHAMBRES GARCONS RDC'!$A$35,1,0)</f>
        <v>0</v>
      </c>
      <c r="HC158" s="160">
        <f>IF([Occurrence38]=0,0,SUM($HB$2:HB158))</f>
        <v>0</v>
      </c>
      <c r="HD158" s="160">
        <f>IF([chambre3]*1='CHAMBRES GARCONS RDC'!$A$41,1,0)</f>
        <v>0</v>
      </c>
      <c r="HE158" s="160">
        <f>IF([Occurrence39]=0,0,SUM($HD$2:HD158))</f>
        <v>0</v>
      </c>
      <c r="HF158" s="160">
        <f>IF([chambre3]*1='CHAMBRES GARCONS RDC'!$A$47,1,0)</f>
        <v>0</v>
      </c>
      <c r="HG158" s="160">
        <f>IF([Occurrence40]=0,0,SUM($HF$2:HF158))</f>
        <v>0</v>
      </c>
      <c r="HH158" s="160">
        <f>IF([chambre3]*1='CHAMBRES GARCONS RDC'!$A$53,1,0)</f>
        <v>0</v>
      </c>
      <c r="HI158" s="160">
        <f>IF([Occurrence41]=0,0,SUM($HH$2:HH158))</f>
        <v>0</v>
      </c>
      <c r="HJ158" s="160">
        <f>IF([chambre3]*1='CHAMBRES GARCONS RDC'!$A$59,1,0)</f>
        <v>0</v>
      </c>
      <c r="HK158" s="160">
        <f>IF([Occurrence42]=0,0,SUM($HJ$2:HJ158))</f>
        <v>0</v>
      </c>
      <c r="HL158" s="160">
        <f>IF([chambre3]*1='CHAMBRES GARCONS RDC'!$A$65,1,0)</f>
        <v>0</v>
      </c>
      <c r="HM158" s="160">
        <f>IF([Occurrence43]=0,0,SUM($HL$2:HL158))</f>
        <v>0</v>
      </c>
      <c r="HN158" s="160">
        <f>IF([chambre3]*1='CHAMBRES GARCONS RDC'!$A$71,1,0)</f>
        <v>0</v>
      </c>
      <c r="HO158" s="160">
        <f>IF([Occurrence44]=0,0,SUM($HN$2:HN158))</f>
        <v>0</v>
      </c>
      <c r="HP158" s="160">
        <f>IF([chambre3]*1='CHAMBRES GARCONS RDC'!$A$77,1,0)</f>
        <v>0</v>
      </c>
      <c r="HQ158" s="160">
        <f>IF([Occurrence45]=0,0,SUM($HP$2:HP158))</f>
        <v>0</v>
      </c>
      <c r="HR158" s="160">
        <f>IF([chambre3]*1='CHAMBRES GARCONS RDC'!$A$83,1,0)</f>
        <v>0</v>
      </c>
      <c r="HS158" s="160">
        <f>IF([Occurrence46]=0,0,SUM($HR$2:HR158))</f>
        <v>0</v>
      </c>
      <c r="HT158" s="160">
        <f>IF([chambre3]*1='CHAMBRES GARCONS RDC'!$A$89,1,0)</f>
        <v>0</v>
      </c>
      <c r="HU158" s="160">
        <f>IF([Occurrence47]=0,0,SUM($HT$2:HT158))</f>
        <v>0</v>
      </c>
      <c r="HV158" s="160">
        <f>IF([chambre3]*1='CHAMBRES GARCONS RDC'!$A$95,1,0)</f>
        <v>0</v>
      </c>
      <c r="HW158" s="160">
        <f>IF([Occurrence48]=0,0,SUM($HV$2:HV158))</f>
        <v>0</v>
      </c>
      <c r="HX158" s="160"/>
      <c r="HY158" s="160"/>
      <c r="HZ158" s="160">
        <f>IF([Classe]='Liste élève par classes'!$B$5,1,0)</f>
        <v>0</v>
      </c>
      <c r="IA158" s="160">
        <f>IF([Occurrence]=0,0,SUM($HZ$2:HZ158))</f>
        <v>0</v>
      </c>
      <c r="IB15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58" s="208"/>
    </row>
    <row r="159" spans="1:237">
      <c r="A159" t="s">
        <v>519</v>
      </c>
      <c r="B159" t="s">
        <v>371</v>
      </c>
      <c r="C159" s="158">
        <v>36802</v>
      </c>
      <c r="D159" s="62">
        <f t="shared" ca="1" si="2"/>
        <v>17</v>
      </c>
      <c r="E159" t="s">
        <v>9</v>
      </c>
      <c r="F159" s="159" t="s">
        <v>46</v>
      </c>
      <c r="G159" t="s">
        <v>40</v>
      </c>
      <c r="H159" s="160"/>
      <c r="I159" s="161"/>
      <c r="J159" s="161"/>
      <c r="K159" s="161"/>
      <c r="L159" s="160"/>
      <c r="M159">
        <v>37</v>
      </c>
      <c r="N159" s="161"/>
      <c r="O159" s="161"/>
      <c r="P159" s="161"/>
      <c r="Q159" s="161"/>
      <c r="R159" s="161"/>
      <c r="S159" s="161"/>
      <c r="T159" s="161"/>
      <c r="U159" s="160"/>
      <c r="V159" s="161"/>
      <c r="W159" s="161"/>
      <c r="X159" s="161"/>
      <c r="Y159" s="161"/>
      <c r="Z159" s="161"/>
      <c r="AA159" s="161"/>
      <c r="AB159" s="161"/>
      <c r="AC159" s="161"/>
      <c r="AD159" s="161"/>
      <c r="AE159" s="161"/>
      <c r="AF159" s="163"/>
      <c r="AG159" s="163"/>
      <c r="AH159" s="163"/>
      <c r="AI159" s="163"/>
      <c r="AJ159" s="163"/>
      <c r="AK159" s="163"/>
      <c r="AL159" s="163"/>
      <c r="AM159" s="163"/>
      <c r="AN159" s="163"/>
      <c r="AO159" s="163"/>
      <c r="AP159" s="163"/>
      <c r="AQ159" s="163"/>
      <c r="AR159" s="163"/>
      <c r="AS159" s="163"/>
      <c r="AT159" s="163"/>
      <c r="AU159" s="163"/>
      <c r="AV159" s="163"/>
      <c r="AW159" s="163"/>
      <c r="AX159" s="163"/>
      <c r="AY159" s="163"/>
      <c r="AZ159" s="163"/>
      <c r="BA159" s="163"/>
      <c r="BB159" s="163"/>
      <c r="BC159" s="163"/>
      <c r="BD159" s="163"/>
      <c r="BE159" s="163"/>
      <c r="BF159" s="163"/>
      <c r="BG159" s="163"/>
      <c r="BH159" s="163"/>
      <c r="BI159" s="163"/>
      <c r="BJ159" s="163"/>
      <c r="BK159" s="163"/>
      <c r="BL159" s="163"/>
      <c r="BM159" s="163"/>
      <c r="BN159" s="163"/>
      <c r="BO159" s="163"/>
      <c r="BP159" s="163"/>
      <c r="BQ159" s="163" t="b">
        <v>1</v>
      </c>
      <c r="BR159" s="163"/>
      <c r="BS159" s="163"/>
      <c r="BT159" s="163"/>
      <c r="BU159" s="163"/>
      <c r="BV159" s="163"/>
      <c r="BW159" s="163"/>
      <c r="BX159" s="163"/>
      <c r="BY159" s="163"/>
      <c r="BZ159" s="163"/>
      <c r="CA159" s="163"/>
      <c r="CB159" s="163"/>
      <c r="CC159" s="163"/>
      <c r="CD159" s="163"/>
      <c r="CE159" s="163"/>
      <c r="CF159" s="163"/>
      <c r="CG159" s="163"/>
      <c r="CH159" s="163"/>
      <c r="CI159" s="163"/>
      <c r="CJ159" s="163"/>
      <c r="CK159" s="163"/>
      <c r="CL159" s="163"/>
      <c r="CM159" s="163"/>
      <c r="CN159" s="163"/>
      <c r="CO159" s="163"/>
      <c r="CP159" s="163"/>
      <c r="CQ159" s="163"/>
      <c r="CR159" s="163"/>
      <c r="CS159" s="163"/>
      <c r="CT159" s="163"/>
      <c r="CU159" s="163"/>
      <c r="CV159" s="163"/>
      <c r="CW159" s="163"/>
      <c r="CX159" s="163"/>
      <c r="CY159" s="163"/>
      <c r="CZ159" s="163"/>
      <c r="DA159" s="163"/>
      <c r="DB159" s="163"/>
      <c r="DC159" s="163"/>
      <c r="DD159" s="163"/>
      <c r="DE159" s="163"/>
      <c r="DF159" s="163"/>
      <c r="DG159" s="163"/>
      <c r="DH159" s="163"/>
      <c r="DI159" s="163"/>
      <c r="DJ159" s="163"/>
      <c r="DK159" s="163"/>
      <c r="DL159" s="163"/>
      <c r="DM159" s="163"/>
      <c r="DN159" s="163"/>
      <c r="DO159" s="163"/>
      <c r="DP159" s="163"/>
      <c r="DQ159" s="163"/>
      <c r="DR159" s="163"/>
      <c r="DS159" s="163"/>
      <c r="DT159" s="163"/>
      <c r="DU159" s="163"/>
      <c r="DV159" s="163"/>
      <c r="DW159" s="163"/>
      <c r="DX159" s="163"/>
      <c r="DY159" s="163"/>
      <c r="DZ159" s="163"/>
      <c r="EA159" s="163"/>
      <c r="EB159" s="163"/>
      <c r="EC159" s="163"/>
      <c r="ED159" s="163"/>
      <c r="EE159" s="163"/>
      <c r="EF159" s="163"/>
      <c r="EG159" s="163"/>
      <c r="EH159" s="160">
        <f>IF([Chambre]*1='CHAMBRES FILLES 2e ETAGE'!$A$5,1,0)</f>
        <v>0</v>
      </c>
      <c r="EI159" s="161">
        <f>IF([Occurrence2]=0,0,SUM($EH$2:EH159))</f>
        <v>0</v>
      </c>
      <c r="EJ159" s="160">
        <f>IF([Chambre]*1='CHAMBRES FILLES 2e ETAGE'!$A$11,1,0)</f>
        <v>0</v>
      </c>
      <c r="EK159" s="160">
        <f>IF([Occurrence3]=0,0,SUM($EJ$2:EJ159))</f>
        <v>0</v>
      </c>
      <c r="EL159" s="160">
        <f>IF([Chambre]*1='CHAMBRES FILLES 2e ETAGE'!$A$17,1,0)</f>
        <v>0</v>
      </c>
      <c r="EM159" s="160">
        <f>IF([Occurrence4]=0,0,SUM($EL$2:EL159))</f>
        <v>0</v>
      </c>
      <c r="EN159" s="160">
        <f>IF([Chambre]*1='CHAMBRES FILLES 2e ETAGE'!$A$23,1,0)</f>
        <v>0</v>
      </c>
      <c r="EO159" s="160">
        <f>IF([Occurrence5]=0,0,SUM($EN$2:EN159))</f>
        <v>0</v>
      </c>
      <c r="EP159" s="160">
        <f>IF([Chambre]*1='CHAMBRES FILLES 2e ETAGE'!$A$29,1,0)</f>
        <v>0</v>
      </c>
      <c r="EQ159" s="160">
        <f>IF([Occurrence6]=0,0,SUM($EP$2:EP159))</f>
        <v>0</v>
      </c>
      <c r="ER159" s="160">
        <f>IF([Chambre]*1='CHAMBRES FILLES 2e ETAGE'!$A$35,1,0)</f>
        <v>0</v>
      </c>
      <c r="ES159" s="160">
        <f>IF([Occurrence7]=0,0,SUM($ER$2:ER159))</f>
        <v>0</v>
      </c>
      <c r="ET159" s="160">
        <f>IF([Chambre]*1='CHAMBRES FILLES 2e ETAGE'!$A$41,1,0)</f>
        <v>0</v>
      </c>
      <c r="EU159" s="160">
        <f>IF([Occurrence8]=0,0,SUM($ET$2:ET159))</f>
        <v>0</v>
      </c>
      <c r="EV159" s="160">
        <f>IF([Chambre]*1='CHAMBRES FILLES 2e ETAGE'!$A$47,1,0)</f>
        <v>0</v>
      </c>
      <c r="EW159" s="160">
        <f>IF([Occurrence9]=0,0,SUM($EV$2:EV159))</f>
        <v>0</v>
      </c>
      <c r="EX159" s="160">
        <f>IF([Chambre]*1='CHAMBRES FILLES 2e ETAGE'!$A$53,1,0)</f>
        <v>0</v>
      </c>
      <c r="EY159" s="160">
        <f>IF([Occurrence10]=0,0,SUM($EX$2:EX159))</f>
        <v>0</v>
      </c>
      <c r="EZ159" s="160">
        <f>IF([Chambre]*1='CHAMBRES FILLES 2e ETAGE'!$A$59,1,0)</f>
        <v>0</v>
      </c>
      <c r="FA159" s="160">
        <f>IF([Occurrence11]=0,0,SUM($EZ$2:EZ159))</f>
        <v>0</v>
      </c>
      <c r="FB159" s="160">
        <f>IF([Chambre]*1='CHAMBRES FILLES 2e ETAGE'!$A$65,1,0)</f>
        <v>0</v>
      </c>
      <c r="FC159" s="160">
        <f>IF([Occurrence12]=0,0,SUM($FB$2:FB159))</f>
        <v>0</v>
      </c>
      <c r="FD159" s="160">
        <f>IF([Chambre]*1='CHAMBRES FILLES 2e ETAGE'!$A$71,1,0)</f>
        <v>0</v>
      </c>
      <c r="FE159" s="160">
        <f>IF([Occurrence13]=0,0,SUM($FD$2:FD159))</f>
        <v>0</v>
      </c>
      <c r="FF159" s="160">
        <f>IF([Chambre]*1='CHAMBRES FILLES 2e ETAGE'!$A$77,1,0)</f>
        <v>0</v>
      </c>
      <c r="FG159" s="160">
        <f>IF([Occurrence14]=0,0,SUM($FF$2:FF159))</f>
        <v>0</v>
      </c>
      <c r="FH159" s="160">
        <f>IF([Chambre]*1='CHAMBRES FILLES 2e ETAGE'!$A$83,1,0)</f>
        <v>0</v>
      </c>
      <c r="FI159" s="160">
        <f>IF([Occurrence15]=0,0,SUM($FH$2:FH159))</f>
        <v>0</v>
      </c>
      <c r="FJ159" s="160">
        <f>IF([Chambre]*1='CHAMBRES FILLES 2e ETAGE'!$A$89,1,0)</f>
        <v>0</v>
      </c>
      <c r="FK159" s="160">
        <f>IF([Occurrence16]=0,0,SUM($FJ$2:FJ159))</f>
        <v>0</v>
      </c>
      <c r="FL159" s="160">
        <f>IF([Chambre]*1='CHAMBRES FILLES 2e ETAGE'!$A$95,1,0)</f>
        <v>0</v>
      </c>
      <c r="FM159" s="160">
        <f>IF([Occurrence17]=0,0,SUM($FL$2:FL159))</f>
        <v>0</v>
      </c>
      <c r="FN159" s="160">
        <f>IF([Chambre2]*1='CHAMBRES FILLES 1e ETAGE'!$A$5,1,0)</f>
        <v>0</v>
      </c>
      <c r="FO159" s="160">
        <f>IF([Occurrence18]=0,0,SUM($FN$2:FN159))</f>
        <v>0</v>
      </c>
      <c r="FP159" s="160">
        <f>IF([Chambre2]*1='CHAMBRES FILLES 1e ETAGE'!$A$11,1,0)</f>
        <v>0</v>
      </c>
      <c r="FQ159" s="160">
        <f>IF([Occurrence19]=0,0,SUM($FP$2:FP159))</f>
        <v>0</v>
      </c>
      <c r="FR159" s="160">
        <f>IF([Chambre2]*1='CHAMBRES FILLES 1e ETAGE'!$A$17,1,0)</f>
        <v>0</v>
      </c>
      <c r="FS159" s="160">
        <f>IF([Occurrence20]=0,0,SUM($FR$2:FR159))</f>
        <v>0</v>
      </c>
      <c r="FT159" s="160">
        <f>IF([Chambre2]*1='CHAMBRES FILLES 1e ETAGE'!$A$23,1,0)</f>
        <v>0</v>
      </c>
      <c r="FU159" s="160">
        <f>IF([Occurrence21]=0,0,SUM($FT$2:FT159))</f>
        <v>0</v>
      </c>
      <c r="FV159" s="160">
        <f>IF([Chambre2]*1='CHAMBRES FILLES 1e ETAGE'!$A$29,1,0)</f>
        <v>0</v>
      </c>
      <c r="FW159" s="160">
        <f>IF([Occurrence22]=0,0,SUM($FV$2:FV159))</f>
        <v>0</v>
      </c>
      <c r="FX159" s="160">
        <f>IF([Chambre2]*1='CHAMBRES FILLES 1e ETAGE'!$A$35,1,0)</f>
        <v>0</v>
      </c>
      <c r="FY159" s="160">
        <f>IF([Occurrence23]=0,0,SUM($FX$2:FX159))</f>
        <v>0</v>
      </c>
      <c r="FZ159" s="160">
        <f>IF([Chambre2]*1='CHAMBRES FILLES 1e ETAGE'!$A$41,1,0)</f>
        <v>0</v>
      </c>
      <c r="GA159" s="160">
        <f>IF([Occurrence24]=0,0,SUM($FZ$2:FZ159))</f>
        <v>0</v>
      </c>
      <c r="GB159" s="160">
        <f>IF([Chambre2]*1='CHAMBRES FILLES 1e ETAGE'!$A$47,1,0)</f>
        <v>0</v>
      </c>
      <c r="GC159" s="160">
        <f>IF([Occurrence25]=0,0,SUM($GB$2:GB159))</f>
        <v>0</v>
      </c>
      <c r="GD159" s="160">
        <f>IF([Chambre2]*1='CHAMBRES FILLES 1e ETAGE'!$A$53,1,0)</f>
        <v>0</v>
      </c>
      <c r="GE159" s="160">
        <f>IF([Occurrence26]=0,0,SUM($GD$2:GD159))</f>
        <v>0</v>
      </c>
      <c r="GF159" s="160">
        <f>IF([chambre4]*1='CHAMBRES GARCONS 1e ETAGE'!$A$5,1,0)</f>
        <v>0</v>
      </c>
      <c r="GG159" s="160">
        <f>IF([Occurrence27]=0,0,SUM($GF$2:GF159))</f>
        <v>0</v>
      </c>
      <c r="GH159" s="160">
        <f>IF([chambre4]*1='CHAMBRES GARCONS 1e ETAGE'!$A$11,1,0)</f>
        <v>0</v>
      </c>
      <c r="GI159" s="160">
        <f>IF([Occurrence28]=0,0,SUM($GH$2:GH159))</f>
        <v>0</v>
      </c>
      <c r="GJ159" s="160">
        <f>IF([chambre4]*1='CHAMBRES GARCONS 1e ETAGE'!$A$17,1,0)</f>
        <v>0</v>
      </c>
      <c r="GK159" s="160">
        <f>IF([Occurrence29]=0,0,SUM($GJ$2:GJ159))</f>
        <v>0</v>
      </c>
      <c r="GL159" s="160">
        <f>IF([chambre4]*1='CHAMBRES GARCONS 1e ETAGE'!$A$23,1,0)</f>
        <v>0</v>
      </c>
      <c r="GM159" s="160">
        <f>IF([Occurrence30]=0,0,SUM($GL$2:GL159))</f>
        <v>0</v>
      </c>
      <c r="GN159" s="160">
        <f>IF([chambre4]*1='CHAMBRES GARCONS 1e ETAGE'!$A$29,1,0)</f>
        <v>0</v>
      </c>
      <c r="GO159" s="160">
        <f>IF([Occurrence31]=0,0,SUM($GN$2:GN159))</f>
        <v>0</v>
      </c>
      <c r="GP159" s="160">
        <f>IF([chambre4]*1='CHAMBRES GARCONS 1e ETAGE'!$A$35,1,0)</f>
        <v>0</v>
      </c>
      <c r="GQ159" s="160">
        <f>IF([Occurrence32]=0,0,SUM($GP$2:GP159))</f>
        <v>0</v>
      </c>
      <c r="GR159" s="160">
        <f>IF([chambre3]*1='CHAMBRES GARCONS RDC'!$A$5,1,0)</f>
        <v>0</v>
      </c>
      <c r="GS159" s="160">
        <f>IF([Occurrence33]=0,0,SUM($GR$2:GR159))</f>
        <v>0</v>
      </c>
      <c r="GT159" s="160">
        <f>IF([chambre3]*1='CHAMBRES GARCONS RDC'!$A$11,1,0)</f>
        <v>0</v>
      </c>
      <c r="GU159" s="160">
        <f>IF([Occurrence34]=0,0,SUM($GT$2:GT159))</f>
        <v>0</v>
      </c>
      <c r="GV159" s="160">
        <f>IF([chambre3]*1='CHAMBRES GARCONS RDC'!$A$17,1,0)</f>
        <v>0</v>
      </c>
      <c r="GW159" s="160">
        <f>IF([Occurrence35]=0,0,SUM($GV$2:GV159))</f>
        <v>0</v>
      </c>
      <c r="GX159" s="160">
        <f>IF([chambre3]*1='CHAMBRES GARCONS RDC'!$A$23,1,0)</f>
        <v>0</v>
      </c>
      <c r="GY159" s="160">
        <f>IF([Occurrence36]=0,0,SUM($GX$2:GX159))</f>
        <v>0</v>
      </c>
      <c r="GZ159" s="160">
        <f>IF([chambre3]*1='CHAMBRES GARCONS RDC'!$A$29,1,0)</f>
        <v>0</v>
      </c>
      <c r="HA159" s="160">
        <f>IF([Occurrence37]=0,0,SUM($GZ$2:GZ159))</f>
        <v>0</v>
      </c>
      <c r="HB159" s="160">
        <f>IF([chambre3]*1='CHAMBRES GARCONS RDC'!$A$35,1,0)</f>
        <v>0</v>
      </c>
      <c r="HC159" s="160">
        <f>IF([Occurrence38]=0,0,SUM($HB$2:HB159))</f>
        <v>0</v>
      </c>
      <c r="HD159" s="160">
        <f>IF([chambre3]*1='CHAMBRES GARCONS RDC'!$A$41,1,0)</f>
        <v>0</v>
      </c>
      <c r="HE159" s="160">
        <f>IF([Occurrence39]=0,0,SUM($HD$2:HD159))</f>
        <v>0</v>
      </c>
      <c r="HF159" s="160">
        <f>IF([chambre3]*1='CHAMBRES GARCONS RDC'!$A$47,1,0)</f>
        <v>0</v>
      </c>
      <c r="HG159" s="160">
        <f>IF([Occurrence40]=0,0,SUM($HF$2:HF159))</f>
        <v>0</v>
      </c>
      <c r="HH159" s="160">
        <f>IF([chambre3]*1='CHAMBRES GARCONS RDC'!$A$53,1,0)</f>
        <v>0</v>
      </c>
      <c r="HI159" s="160">
        <f>IF([Occurrence41]=0,0,SUM($HH$2:HH159))</f>
        <v>0</v>
      </c>
      <c r="HJ159" s="160">
        <f>IF([chambre3]*1='CHAMBRES GARCONS RDC'!$A$59,1,0)</f>
        <v>0</v>
      </c>
      <c r="HK159" s="160">
        <f>IF([Occurrence42]=0,0,SUM($HJ$2:HJ159))</f>
        <v>0</v>
      </c>
      <c r="HL159" s="160">
        <f>IF([chambre3]*1='CHAMBRES GARCONS RDC'!$A$65,1,0)</f>
        <v>0</v>
      </c>
      <c r="HM159" s="160">
        <f>IF([Occurrence43]=0,0,SUM($HL$2:HL159))</f>
        <v>0</v>
      </c>
      <c r="HN159" s="160">
        <f>IF([chambre3]*1='CHAMBRES GARCONS RDC'!$A$71,1,0)</f>
        <v>0</v>
      </c>
      <c r="HO159" s="160">
        <f>IF([Occurrence44]=0,0,SUM($HN$2:HN159))</f>
        <v>0</v>
      </c>
      <c r="HP159" s="160">
        <f>IF([chambre3]*1='CHAMBRES GARCONS RDC'!$A$77,1,0)</f>
        <v>0</v>
      </c>
      <c r="HQ159" s="160">
        <f>IF([Occurrence45]=0,0,SUM($HP$2:HP159))</f>
        <v>0</v>
      </c>
      <c r="HR159" s="160">
        <f>IF([chambre3]*1='CHAMBRES GARCONS RDC'!$A$83,1,0)</f>
        <v>0</v>
      </c>
      <c r="HS159" s="160">
        <f>IF([Occurrence46]=0,0,SUM($HR$2:HR159))</f>
        <v>0</v>
      </c>
      <c r="HT159" s="160">
        <f>IF([chambre3]*1='CHAMBRES GARCONS RDC'!$A$89,1,0)</f>
        <v>0</v>
      </c>
      <c r="HU159" s="160">
        <f>IF([Occurrence47]=0,0,SUM($HT$2:HT159))</f>
        <v>0</v>
      </c>
      <c r="HV159" s="160">
        <f>IF([chambre3]*1='CHAMBRES GARCONS RDC'!$A$95,1,0)</f>
        <v>0</v>
      </c>
      <c r="HW159" s="160">
        <f>IF([Occurrence48]=0,0,SUM($HV$2:HV159))</f>
        <v>0</v>
      </c>
      <c r="HX159" s="160"/>
      <c r="HY159" s="160"/>
      <c r="HZ159" s="160">
        <f>IF([Classe]='Liste élève par classes'!$B$5,1,0)</f>
        <v>0</v>
      </c>
      <c r="IA159" s="160">
        <f>IF([Occurrence]=0,0,SUM($HZ$2:HZ159))</f>
        <v>0</v>
      </c>
      <c r="IB15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59" s="208"/>
    </row>
    <row r="160" spans="1:237">
      <c r="A160" t="s">
        <v>520</v>
      </c>
      <c r="B160" t="s">
        <v>399</v>
      </c>
      <c r="C160" s="158">
        <v>36906</v>
      </c>
      <c r="D160" s="62">
        <f t="shared" ca="1" si="2"/>
        <v>16</v>
      </c>
      <c r="E160" t="s">
        <v>11</v>
      </c>
      <c r="F160" s="159" t="s">
        <v>50</v>
      </c>
      <c r="G160" t="s">
        <v>45</v>
      </c>
      <c r="H160" s="160"/>
      <c r="I160" s="62"/>
      <c r="J160" s="62" t="s">
        <v>244</v>
      </c>
      <c r="K160" s="62"/>
      <c r="L160" s="61">
        <v>178</v>
      </c>
      <c r="M160">
        <v>164</v>
      </c>
      <c r="N160" s="62" t="s">
        <v>244</v>
      </c>
      <c r="O160" s="62" t="s">
        <v>244</v>
      </c>
      <c r="P160" s="62" t="s">
        <v>244</v>
      </c>
      <c r="Q160" s="62" t="s">
        <v>244</v>
      </c>
      <c r="R160" s="62" t="s">
        <v>244</v>
      </c>
      <c r="S160" s="191"/>
      <c r="T160" s="62" t="s">
        <v>244</v>
      </c>
      <c r="U160" s="61"/>
      <c r="V160" s="62" t="s">
        <v>244</v>
      </c>
      <c r="W160" s="62" t="s">
        <v>244</v>
      </c>
      <c r="X160" s="62" t="s">
        <v>244</v>
      </c>
      <c r="Y160" s="62" t="s">
        <v>244</v>
      </c>
      <c r="Z160" s="62" t="s">
        <v>244</v>
      </c>
      <c r="AA160" s="62" t="s">
        <v>244</v>
      </c>
      <c r="AB160" s="62" t="s">
        <v>244</v>
      </c>
      <c r="AC160" s="62" t="s">
        <v>244</v>
      </c>
      <c r="AD160" s="62" t="s">
        <v>244</v>
      </c>
      <c r="AE160" s="62" t="s">
        <v>244</v>
      </c>
      <c r="AF160" s="163" t="s">
        <v>244</v>
      </c>
      <c r="AG160" s="163" t="s">
        <v>244</v>
      </c>
      <c r="AH160" s="163" t="s">
        <v>244</v>
      </c>
      <c r="AI160" s="163"/>
      <c r="AJ160" s="163"/>
      <c r="AK160" s="163"/>
      <c r="AL160" s="163"/>
      <c r="AM160" s="163"/>
      <c r="AN160" s="163"/>
      <c r="AO160" s="163"/>
      <c r="AP160" s="163"/>
      <c r="AQ160" s="163"/>
      <c r="AR160" s="163"/>
      <c r="AS160" s="163"/>
      <c r="AT160" s="163"/>
      <c r="AU160" s="163"/>
      <c r="AV160" s="163"/>
      <c r="AW160" s="163"/>
      <c r="AX160" s="163"/>
      <c r="AY160" s="163"/>
      <c r="AZ160" s="163"/>
      <c r="BA160" s="163"/>
      <c r="BB160" s="163"/>
      <c r="BC160" s="163" t="b">
        <v>0</v>
      </c>
      <c r="BD160" s="163" t="b">
        <v>1</v>
      </c>
      <c r="BE160" s="163" t="b">
        <v>1</v>
      </c>
      <c r="BF160" s="163" t="b">
        <v>0</v>
      </c>
      <c r="BG160" s="164" t="b">
        <v>0</v>
      </c>
      <c r="BH160" s="163" t="b">
        <v>1</v>
      </c>
      <c r="BI160" s="163"/>
      <c r="BJ160" s="163"/>
      <c r="BK160" s="163"/>
      <c r="BL160" s="163"/>
      <c r="BM160" s="163"/>
      <c r="BN160" s="163"/>
      <c r="BO160" s="163"/>
      <c r="BP160" s="163"/>
      <c r="BQ160" s="163" t="b">
        <v>0</v>
      </c>
      <c r="BR160" s="163"/>
      <c r="BS160" s="163"/>
      <c r="BT160" s="163"/>
      <c r="BU160" s="163"/>
      <c r="BV160" s="163"/>
      <c r="BW160" s="163"/>
      <c r="BX160" s="163"/>
      <c r="BY160" s="163"/>
      <c r="BZ160" s="163"/>
      <c r="CA160" s="163"/>
      <c r="CB160" s="163"/>
      <c r="CC160" s="163"/>
      <c r="CD160" s="163"/>
      <c r="CE160" s="163"/>
      <c r="CF160" s="163"/>
      <c r="CG160" s="163"/>
      <c r="CH160" s="163"/>
      <c r="CI160" s="163"/>
      <c r="CJ160" s="163"/>
      <c r="CK160" s="163"/>
      <c r="CL160" s="163"/>
      <c r="CM160" s="163"/>
      <c r="CN160" s="163"/>
      <c r="CO160" s="163"/>
      <c r="CP160" s="163"/>
      <c r="CQ160" s="163"/>
      <c r="CR160" s="163"/>
      <c r="CS160" s="163"/>
      <c r="CT160" s="163"/>
      <c r="CU160" s="163"/>
      <c r="CV160" s="163"/>
      <c r="CW160" s="163"/>
      <c r="CX160" s="163"/>
      <c r="CY160" s="163"/>
      <c r="CZ160" s="163"/>
      <c r="DA160" s="163"/>
      <c r="DB160" s="163"/>
      <c r="DC160" s="163"/>
      <c r="DD160" s="163"/>
      <c r="DE160" s="163"/>
      <c r="DF160" s="163"/>
      <c r="DG160" s="208"/>
      <c r="DH160" s="163"/>
      <c r="DI160" s="163"/>
      <c r="DJ160" s="163"/>
      <c r="DK160" s="163"/>
      <c r="DL160" s="163"/>
      <c r="DM160" s="163"/>
      <c r="DN160" s="163"/>
      <c r="DO160" s="163"/>
      <c r="DP160" s="163"/>
      <c r="DQ160" s="163"/>
      <c r="DR160" s="163"/>
      <c r="DS160" s="163"/>
      <c r="DT160" s="163"/>
      <c r="DU160" s="163"/>
      <c r="DV160" s="163"/>
      <c r="DW160" s="163"/>
      <c r="DX160" s="163"/>
      <c r="DY160" s="163"/>
      <c r="DZ160" s="163"/>
      <c r="EA160" s="163"/>
      <c r="EB160" s="163"/>
      <c r="EC160" s="163"/>
      <c r="ED160" s="163"/>
      <c r="EE160" s="163"/>
      <c r="EF160" s="163"/>
      <c r="EG160" s="163"/>
      <c r="EH160" s="160">
        <f>IF([Chambre]*1='CHAMBRES FILLES 2e ETAGE'!$A$5,1,0)</f>
        <v>0</v>
      </c>
      <c r="EI160" s="161">
        <f>IF([Occurrence2]=0,0,SUM($EH$2:EH160))</f>
        <v>0</v>
      </c>
      <c r="EJ160" s="160">
        <f>IF([Chambre]*1='CHAMBRES FILLES 2e ETAGE'!$A$11,1,0)</f>
        <v>0</v>
      </c>
      <c r="EK160" s="160">
        <f>IF([Occurrence3]=0,0,SUM($EJ$2:EJ160))</f>
        <v>0</v>
      </c>
      <c r="EL160" s="160">
        <f>IF([Chambre]*1='CHAMBRES FILLES 2e ETAGE'!$A$17,1,0)</f>
        <v>0</v>
      </c>
      <c r="EM160" s="160">
        <f>IF([Occurrence4]=0,0,SUM($EL$2:EL160))</f>
        <v>0</v>
      </c>
      <c r="EN160" s="160">
        <f>IF([Chambre]*1='CHAMBRES FILLES 2e ETAGE'!$A$23,1,0)</f>
        <v>0</v>
      </c>
      <c r="EO160" s="160">
        <f>IF([Occurrence5]=0,0,SUM($EN$2:EN160))</f>
        <v>0</v>
      </c>
      <c r="EP160" s="160">
        <f>IF([Chambre]*1='CHAMBRES FILLES 2e ETAGE'!$A$29,1,0)</f>
        <v>0</v>
      </c>
      <c r="EQ160" s="160">
        <f>IF([Occurrence6]=0,0,SUM($EP$2:EP160))</f>
        <v>0</v>
      </c>
      <c r="ER160" s="160">
        <f>IF([Chambre]*1='CHAMBRES FILLES 2e ETAGE'!$A$35,1,0)</f>
        <v>0</v>
      </c>
      <c r="ES160" s="160">
        <f>IF([Occurrence7]=0,0,SUM($ER$2:ER160))</f>
        <v>0</v>
      </c>
      <c r="ET160" s="160">
        <f>IF([Chambre]*1='CHAMBRES FILLES 2e ETAGE'!$A$41,1,0)</f>
        <v>0</v>
      </c>
      <c r="EU160" s="160">
        <f>IF([Occurrence8]=0,0,SUM($ET$2:ET160))</f>
        <v>0</v>
      </c>
      <c r="EV160" s="160">
        <f>IF([Chambre]*1='CHAMBRES FILLES 2e ETAGE'!$A$47,1,0)</f>
        <v>0</v>
      </c>
      <c r="EW160" s="160">
        <f>IF([Occurrence9]=0,0,SUM($EV$2:EV160))</f>
        <v>0</v>
      </c>
      <c r="EX160" s="160">
        <f>IF([Chambre]*1='CHAMBRES FILLES 2e ETAGE'!$A$53,1,0)</f>
        <v>0</v>
      </c>
      <c r="EY160" s="160">
        <f>IF([Occurrence10]=0,0,SUM($EX$2:EX160))</f>
        <v>0</v>
      </c>
      <c r="EZ160" s="160">
        <f>IF([Chambre]*1='CHAMBRES FILLES 2e ETAGE'!$A$59,1,0)</f>
        <v>0</v>
      </c>
      <c r="FA160" s="160">
        <f>IF([Occurrence11]=0,0,SUM($EZ$2:EZ160))</f>
        <v>0</v>
      </c>
      <c r="FB160" s="160">
        <f>IF([Chambre]*1='CHAMBRES FILLES 2e ETAGE'!$A$65,1,0)</f>
        <v>0</v>
      </c>
      <c r="FC160" s="160">
        <f>IF([Occurrence12]=0,0,SUM($FB$2:FB160))</f>
        <v>0</v>
      </c>
      <c r="FD160" s="160">
        <f>IF([Chambre]*1='CHAMBRES FILLES 2e ETAGE'!$A$71,1,0)</f>
        <v>0</v>
      </c>
      <c r="FE160" s="160">
        <f>IF([Occurrence13]=0,0,SUM($FD$2:FD160))</f>
        <v>0</v>
      </c>
      <c r="FF160" s="160">
        <f>IF([Chambre]*1='CHAMBRES FILLES 2e ETAGE'!$A$77,1,0)</f>
        <v>1</v>
      </c>
      <c r="FG160" s="160">
        <f>IF([Occurrence14]=0,0,SUM($FF$2:FF160))</f>
        <v>3</v>
      </c>
      <c r="FH160" s="160">
        <f>IF([Chambre]*1='CHAMBRES FILLES 2e ETAGE'!$A$83,1,0)</f>
        <v>0</v>
      </c>
      <c r="FI160" s="160">
        <f>IF([Occurrence15]=0,0,SUM($FH$2:FH160))</f>
        <v>0</v>
      </c>
      <c r="FJ160" s="160">
        <f>IF([Chambre]*1='CHAMBRES FILLES 2e ETAGE'!$A$89,1,0)</f>
        <v>0</v>
      </c>
      <c r="FK160" s="160">
        <f>IF([Occurrence16]=0,0,SUM($FJ$2:FJ160))</f>
        <v>0</v>
      </c>
      <c r="FL160" s="160">
        <f>IF([Chambre]*1='CHAMBRES FILLES 2e ETAGE'!$A$95,1,0)</f>
        <v>0</v>
      </c>
      <c r="FM160" s="160">
        <f>IF([Occurrence17]=0,0,SUM($FL$2:FL160))</f>
        <v>0</v>
      </c>
      <c r="FN160" s="160">
        <f>IF([Chambre2]*1='CHAMBRES FILLES 1e ETAGE'!$A$5,1,0)</f>
        <v>0</v>
      </c>
      <c r="FO160" s="160">
        <f>IF([Occurrence18]=0,0,SUM($FN$2:FN160))</f>
        <v>0</v>
      </c>
      <c r="FP160" s="160">
        <f>IF([Chambre2]*1='CHAMBRES FILLES 1e ETAGE'!$A$11,1,0)</f>
        <v>0</v>
      </c>
      <c r="FQ160" s="160">
        <f>IF([Occurrence19]=0,0,SUM($FP$2:FP160))</f>
        <v>0</v>
      </c>
      <c r="FR160" s="160">
        <f>IF([Chambre2]*1='CHAMBRES FILLES 1e ETAGE'!$A$17,1,0)</f>
        <v>0</v>
      </c>
      <c r="FS160" s="160">
        <f>IF([Occurrence20]=0,0,SUM($FR$2:FR160))</f>
        <v>0</v>
      </c>
      <c r="FT160" s="160">
        <f>IF([Chambre2]*1='CHAMBRES FILLES 1e ETAGE'!$A$23,1,0)</f>
        <v>0</v>
      </c>
      <c r="FU160" s="160">
        <f>IF([Occurrence21]=0,0,SUM($FT$2:FT160))</f>
        <v>0</v>
      </c>
      <c r="FV160" s="160">
        <f>IF([Chambre2]*1='CHAMBRES FILLES 1e ETAGE'!$A$29,1,0)</f>
        <v>0</v>
      </c>
      <c r="FW160" s="160">
        <f>IF([Occurrence22]=0,0,SUM($FV$2:FV160))</f>
        <v>0</v>
      </c>
      <c r="FX160" s="160">
        <f>IF([Chambre2]*1='CHAMBRES FILLES 1e ETAGE'!$A$35,1,0)</f>
        <v>0</v>
      </c>
      <c r="FY160" s="160">
        <f>IF([Occurrence23]=0,0,SUM($FX$2:FX160))</f>
        <v>0</v>
      </c>
      <c r="FZ160" s="160">
        <f>IF([Chambre2]*1='CHAMBRES FILLES 1e ETAGE'!$A$41,1,0)</f>
        <v>0</v>
      </c>
      <c r="GA160" s="160">
        <f>IF([Occurrence24]=0,0,SUM($FZ$2:FZ160))</f>
        <v>0</v>
      </c>
      <c r="GB160" s="160">
        <f>IF([Chambre2]*1='CHAMBRES FILLES 1e ETAGE'!$A$47,1,0)</f>
        <v>0</v>
      </c>
      <c r="GC160" s="160">
        <f>IF([Occurrence25]=0,0,SUM($GB$2:GB160))</f>
        <v>0</v>
      </c>
      <c r="GD160" s="160">
        <f>IF([Chambre2]*1='CHAMBRES FILLES 1e ETAGE'!$A$53,1,0)</f>
        <v>0</v>
      </c>
      <c r="GE160" s="160">
        <f>IF([Occurrence26]=0,0,SUM($GD$2:GD160))</f>
        <v>0</v>
      </c>
      <c r="GF160" s="160">
        <f>IF([chambre4]*1='CHAMBRES GARCONS 1e ETAGE'!$A$5,1,0)</f>
        <v>0</v>
      </c>
      <c r="GG160" s="160">
        <f>IF([Occurrence27]=0,0,SUM($GF$2:GF160))</f>
        <v>0</v>
      </c>
      <c r="GH160" s="160">
        <f>IF([chambre4]*1='CHAMBRES GARCONS 1e ETAGE'!$A$11,1,0)</f>
        <v>0</v>
      </c>
      <c r="GI160" s="160">
        <f>IF([Occurrence28]=0,0,SUM($GH$2:GH160))</f>
        <v>0</v>
      </c>
      <c r="GJ160" s="160">
        <f>IF([chambre4]*1='CHAMBRES GARCONS 1e ETAGE'!$A$17,1,0)</f>
        <v>0</v>
      </c>
      <c r="GK160" s="160">
        <f>IF([Occurrence29]=0,0,SUM($GJ$2:GJ160))</f>
        <v>0</v>
      </c>
      <c r="GL160" s="160">
        <f>IF([chambre4]*1='CHAMBRES GARCONS 1e ETAGE'!$A$23,1,0)</f>
        <v>0</v>
      </c>
      <c r="GM160" s="160">
        <f>IF([Occurrence30]=0,0,SUM($GL$2:GL160))</f>
        <v>0</v>
      </c>
      <c r="GN160" s="160">
        <f>IF([chambre4]*1='CHAMBRES GARCONS 1e ETAGE'!$A$29,1,0)</f>
        <v>0</v>
      </c>
      <c r="GO160" s="160">
        <f>IF([Occurrence31]=0,0,SUM($GN$2:GN160))</f>
        <v>0</v>
      </c>
      <c r="GP160" s="160">
        <f>IF([chambre4]*1='CHAMBRES GARCONS 1e ETAGE'!$A$35,1,0)</f>
        <v>0</v>
      </c>
      <c r="GQ160" s="160">
        <f>IF([Occurrence32]=0,0,SUM($GP$2:GP160))</f>
        <v>0</v>
      </c>
      <c r="GR160" s="160">
        <f>IF([chambre3]*1='CHAMBRES GARCONS RDC'!$A$5,1,0)</f>
        <v>0</v>
      </c>
      <c r="GS160" s="160">
        <f>IF([Occurrence33]=0,0,SUM($GR$2:GR160))</f>
        <v>0</v>
      </c>
      <c r="GT160" s="160">
        <f>IF([chambre3]*1='CHAMBRES GARCONS RDC'!$A$11,1,0)</f>
        <v>0</v>
      </c>
      <c r="GU160" s="160">
        <f>IF([Occurrence34]=0,0,SUM($GT$2:GT160))</f>
        <v>0</v>
      </c>
      <c r="GV160" s="160">
        <f>IF([chambre3]*1='CHAMBRES GARCONS RDC'!$A$17,1,0)</f>
        <v>0</v>
      </c>
      <c r="GW160" s="160">
        <f>IF([Occurrence35]=0,0,SUM($GV$2:GV160))</f>
        <v>0</v>
      </c>
      <c r="GX160" s="160">
        <f>IF([chambre3]*1='CHAMBRES GARCONS RDC'!$A$23,1,0)</f>
        <v>0</v>
      </c>
      <c r="GY160" s="160">
        <f>IF([Occurrence36]=0,0,SUM($GX$2:GX160))</f>
        <v>0</v>
      </c>
      <c r="GZ160" s="160">
        <f>IF([chambre3]*1='CHAMBRES GARCONS RDC'!$A$29,1,0)</f>
        <v>0</v>
      </c>
      <c r="HA160" s="160">
        <f>IF([Occurrence37]=0,0,SUM($GZ$2:GZ160))</f>
        <v>0</v>
      </c>
      <c r="HB160" s="160">
        <f>IF([chambre3]*1='CHAMBRES GARCONS RDC'!$A$35,1,0)</f>
        <v>0</v>
      </c>
      <c r="HC160" s="160">
        <f>IF([Occurrence38]=0,0,SUM($HB$2:HB160))</f>
        <v>0</v>
      </c>
      <c r="HD160" s="160">
        <f>IF([chambre3]*1='CHAMBRES GARCONS RDC'!$A$41,1,0)</f>
        <v>0</v>
      </c>
      <c r="HE160" s="160">
        <f>IF([Occurrence39]=0,0,SUM($HD$2:HD160))</f>
        <v>0</v>
      </c>
      <c r="HF160" s="160">
        <f>IF([chambre3]*1='CHAMBRES GARCONS RDC'!$A$47,1,0)</f>
        <v>0</v>
      </c>
      <c r="HG160" s="160">
        <f>IF([Occurrence40]=0,0,SUM($HF$2:HF160))</f>
        <v>0</v>
      </c>
      <c r="HH160" s="160">
        <f>IF([chambre3]*1='CHAMBRES GARCONS RDC'!$A$53,1,0)</f>
        <v>0</v>
      </c>
      <c r="HI160" s="160">
        <f>IF([Occurrence41]=0,0,SUM($HH$2:HH160))</f>
        <v>0</v>
      </c>
      <c r="HJ160" s="160">
        <f>IF([chambre3]*1='CHAMBRES GARCONS RDC'!$A$59,1,0)</f>
        <v>0</v>
      </c>
      <c r="HK160" s="160">
        <f>IF([Occurrence42]=0,0,SUM($HJ$2:HJ160))</f>
        <v>0</v>
      </c>
      <c r="HL160" s="160">
        <f>IF([chambre3]*1='CHAMBRES GARCONS RDC'!$A$65,1,0)</f>
        <v>0</v>
      </c>
      <c r="HM160" s="160">
        <f>IF([Occurrence43]=0,0,SUM($HL$2:HL160))</f>
        <v>0</v>
      </c>
      <c r="HN160" s="160">
        <f>IF([chambre3]*1='CHAMBRES GARCONS RDC'!$A$71,1,0)</f>
        <v>0</v>
      </c>
      <c r="HO160" s="160">
        <f>IF([Occurrence44]=0,0,SUM($HN$2:HN160))</f>
        <v>0</v>
      </c>
      <c r="HP160" s="160">
        <f>IF([chambre3]*1='CHAMBRES GARCONS RDC'!$A$77,1,0)</f>
        <v>0</v>
      </c>
      <c r="HQ160" s="160">
        <f>IF([Occurrence45]=0,0,SUM($HP$2:HP160))</f>
        <v>0</v>
      </c>
      <c r="HR160" s="160">
        <f>IF([chambre3]*1='CHAMBRES GARCONS RDC'!$A$83,1,0)</f>
        <v>0</v>
      </c>
      <c r="HS160" s="160">
        <f>IF([Occurrence46]=0,0,SUM($HR$2:HR160))</f>
        <v>0</v>
      </c>
      <c r="HT160" s="160">
        <f>IF([chambre3]*1='CHAMBRES GARCONS RDC'!$A$89,1,0)</f>
        <v>0</v>
      </c>
      <c r="HU160" s="160">
        <f>IF([Occurrence47]=0,0,SUM($HT$2:HT160))</f>
        <v>0</v>
      </c>
      <c r="HV160" s="160">
        <f>IF([chambre3]*1='CHAMBRES GARCONS RDC'!$A$95,1,0)</f>
        <v>0</v>
      </c>
      <c r="HW160" s="160">
        <f>IF([Occurrence48]=0,0,SUM($HV$2:HV160))</f>
        <v>0</v>
      </c>
      <c r="HX160" s="160"/>
      <c r="HY160" s="160"/>
      <c r="HZ160" s="160">
        <f>IF([Classe]='Liste élève par classes'!$B$5,1,0)</f>
        <v>0</v>
      </c>
      <c r="IA160" s="160">
        <f>IF([Occurrence]=0,0,SUM($HZ$2:HZ160))</f>
        <v>0</v>
      </c>
      <c r="IB16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178</v>
      </c>
      <c r="IC160" s="208"/>
    </row>
    <row r="161" spans="1:237">
      <c r="A161" t="s">
        <v>521</v>
      </c>
      <c r="B161" t="s">
        <v>522</v>
      </c>
      <c r="C161" s="158">
        <v>35806</v>
      </c>
      <c r="D161" s="62">
        <f t="shared" ca="1" si="2"/>
        <v>19</v>
      </c>
      <c r="E161" t="s">
        <v>3</v>
      </c>
      <c r="F161" s="165" t="s">
        <v>46</v>
      </c>
      <c r="G161" t="s">
        <v>40</v>
      </c>
      <c r="H161" s="160"/>
      <c r="I161" s="62"/>
      <c r="J161" s="62"/>
      <c r="K161" s="62"/>
      <c r="L161" s="61"/>
      <c r="M161" s="62"/>
      <c r="N161" s="62"/>
      <c r="O161" s="62"/>
      <c r="P161" s="62"/>
      <c r="Q161" s="62"/>
      <c r="R161" s="62"/>
      <c r="S161" s="62"/>
      <c r="T161" s="62"/>
      <c r="U161" s="61"/>
      <c r="V161" s="62"/>
      <c r="W161" s="62"/>
      <c r="X161" s="62"/>
      <c r="Y161" s="62"/>
      <c r="Z161" s="62"/>
      <c r="AA161" s="62"/>
      <c r="AB161" s="62"/>
      <c r="AC161" s="62"/>
      <c r="AD161" s="62"/>
      <c r="AE161" s="62"/>
      <c r="AF161" s="163"/>
      <c r="AG161" s="163"/>
      <c r="AH161" s="163"/>
      <c r="AI161" s="163"/>
      <c r="AJ161" s="163"/>
      <c r="AK161" s="163"/>
      <c r="AL161" s="163"/>
      <c r="AM161" s="163"/>
      <c r="AN161" s="163"/>
      <c r="AO161" s="163"/>
      <c r="AP161" s="163"/>
      <c r="AQ161" s="163"/>
      <c r="AR161" s="163"/>
      <c r="AS161" s="163"/>
      <c r="AT161" s="163"/>
      <c r="AU161" s="163"/>
      <c r="AV161" s="163"/>
      <c r="AW161" s="163"/>
      <c r="AX161" s="163"/>
      <c r="AY161" s="163"/>
      <c r="AZ161" s="163"/>
      <c r="BA161" s="163"/>
      <c r="BB161" s="163"/>
      <c r="BC161" s="163" t="b">
        <v>0</v>
      </c>
      <c r="BD161" s="163" t="b">
        <v>0</v>
      </c>
      <c r="BE161" s="163" t="b">
        <v>0</v>
      </c>
      <c r="BF161" s="163" t="b">
        <v>0</v>
      </c>
      <c r="BG161" s="163" t="b">
        <v>0</v>
      </c>
      <c r="BH161" s="163" t="b">
        <v>0</v>
      </c>
      <c r="BI161" s="163" t="b">
        <v>1</v>
      </c>
      <c r="BJ161" s="163" t="b">
        <v>0</v>
      </c>
      <c r="BK161" s="163" t="b">
        <v>0</v>
      </c>
      <c r="BL161" s="163" t="b">
        <v>0</v>
      </c>
      <c r="BM161" s="163"/>
      <c r="BN161" s="163"/>
      <c r="BO161" s="163"/>
      <c r="BP161" s="163"/>
      <c r="BQ161" s="163"/>
      <c r="BR161" s="163"/>
      <c r="BS161" s="163"/>
      <c r="BT161" s="163"/>
      <c r="BU161" s="163"/>
      <c r="BV161" s="163"/>
      <c r="BW161" s="163"/>
      <c r="BX161" s="163"/>
      <c r="BY161" s="163"/>
      <c r="BZ161" s="163"/>
      <c r="CA161" s="163"/>
      <c r="CB161" s="163"/>
      <c r="CC161" s="163"/>
      <c r="CD161" s="163"/>
      <c r="CE161" s="163"/>
      <c r="CF161" s="163"/>
      <c r="CG161" s="163"/>
      <c r="CH161" s="163"/>
      <c r="CI161" s="163"/>
      <c r="CJ161" s="163"/>
      <c r="CK161" s="163"/>
      <c r="CL161" s="163"/>
      <c r="CM161" s="163"/>
      <c r="CN161" s="163"/>
      <c r="CO161" s="163"/>
      <c r="CP161" s="163"/>
      <c r="CQ161" s="163"/>
      <c r="CR161" s="163"/>
      <c r="CS161" s="163"/>
      <c r="CT161" s="163"/>
      <c r="CU161" s="163"/>
      <c r="CV161" s="163"/>
      <c r="CW161" s="163"/>
      <c r="CX161" s="163"/>
      <c r="CY161" s="163"/>
      <c r="CZ161" s="163"/>
      <c r="DA161" s="163"/>
      <c r="DB161" s="163"/>
      <c r="DC161" s="163"/>
      <c r="DD161" s="163"/>
      <c r="DE161" s="163"/>
      <c r="DF161" s="163"/>
      <c r="DG161" s="163"/>
      <c r="DH161" s="163"/>
      <c r="DI161" s="163"/>
      <c r="DJ161" s="163"/>
      <c r="DK161" s="163"/>
      <c r="DL161" s="163"/>
      <c r="DM161" s="163"/>
      <c r="DN161" s="163"/>
      <c r="DO161" s="163"/>
      <c r="DP161" s="163"/>
      <c r="DQ161" s="163"/>
      <c r="DR161" s="163"/>
      <c r="DS161" s="163"/>
      <c r="DT161" s="163"/>
      <c r="DU161" s="163"/>
      <c r="DV161" s="163"/>
      <c r="DW161" s="163"/>
      <c r="DX161" s="163"/>
      <c r="DY161" s="163"/>
      <c r="DZ161" s="163"/>
      <c r="EA161" s="163"/>
      <c r="EB161" s="163"/>
      <c r="EC161" s="163"/>
      <c r="ED161" s="163"/>
      <c r="EE161" s="163"/>
      <c r="EF161" s="163"/>
      <c r="EG161" s="163"/>
      <c r="EH161" s="160">
        <f>IF([Chambre]*1='CHAMBRES FILLES 2e ETAGE'!$A$5,1,0)</f>
        <v>0</v>
      </c>
      <c r="EI161" s="161">
        <f>IF([Occurrence2]=0,0,SUM($EH$2:EH161))</f>
        <v>0</v>
      </c>
      <c r="EJ161" s="160">
        <f>IF([Chambre]*1='CHAMBRES FILLES 2e ETAGE'!$A$11,1,0)</f>
        <v>0</v>
      </c>
      <c r="EK161" s="160">
        <f>IF([Occurrence3]=0,0,SUM($EJ$2:EJ161))</f>
        <v>0</v>
      </c>
      <c r="EL161" s="160">
        <f>IF([Chambre]*1='CHAMBRES FILLES 2e ETAGE'!$A$17,1,0)</f>
        <v>0</v>
      </c>
      <c r="EM161" s="160">
        <f>IF([Occurrence4]=0,0,SUM($EL$2:EL161))</f>
        <v>0</v>
      </c>
      <c r="EN161" s="160">
        <f>IF([Chambre]*1='CHAMBRES FILLES 2e ETAGE'!$A$23,1,0)</f>
        <v>0</v>
      </c>
      <c r="EO161" s="160">
        <f>IF([Occurrence5]=0,0,SUM($EN$2:EN161))</f>
        <v>0</v>
      </c>
      <c r="EP161" s="160">
        <f>IF([Chambre]*1='CHAMBRES FILLES 2e ETAGE'!$A$29,1,0)</f>
        <v>0</v>
      </c>
      <c r="EQ161" s="160">
        <f>IF([Occurrence6]=0,0,SUM($EP$2:EP161))</f>
        <v>0</v>
      </c>
      <c r="ER161" s="160">
        <f>IF([Chambre]*1='CHAMBRES FILLES 2e ETAGE'!$A$35,1,0)</f>
        <v>0</v>
      </c>
      <c r="ES161" s="160">
        <f>IF([Occurrence7]=0,0,SUM($ER$2:ER161))</f>
        <v>0</v>
      </c>
      <c r="ET161" s="160">
        <f>IF([Chambre]*1='CHAMBRES FILLES 2e ETAGE'!$A$41,1,0)</f>
        <v>0</v>
      </c>
      <c r="EU161" s="160">
        <f>IF([Occurrence8]=0,0,SUM($ET$2:ET161))</f>
        <v>0</v>
      </c>
      <c r="EV161" s="160">
        <f>IF([Chambre]*1='CHAMBRES FILLES 2e ETAGE'!$A$47,1,0)</f>
        <v>0</v>
      </c>
      <c r="EW161" s="160">
        <f>IF([Occurrence9]=0,0,SUM($EV$2:EV161))</f>
        <v>0</v>
      </c>
      <c r="EX161" s="160">
        <f>IF([Chambre]*1='CHAMBRES FILLES 2e ETAGE'!$A$53,1,0)</f>
        <v>0</v>
      </c>
      <c r="EY161" s="160">
        <f>IF([Occurrence10]=0,0,SUM($EX$2:EX161))</f>
        <v>0</v>
      </c>
      <c r="EZ161" s="160">
        <f>IF([Chambre]*1='CHAMBRES FILLES 2e ETAGE'!$A$59,1,0)</f>
        <v>0</v>
      </c>
      <c r="FA161" s="160">
        <f>IF([Occurrence11]=0,0,SUM($EZ$2:EZ161))</f>
        <v>0</v>
      </c>
      <c r="FB161" s="160">
        <f>IF([Chambre]*1='CHAMBRES FILLES 2e ETAGE'!$A$65,1,0)</f>
        <v>0</v>
      </c>
      <c r="FC161" s="160">
        <f>IF([Occurrence12]=0,0,SUM($FB$2:FB161))</f>
        <v>0</v>
      </c>
      <c r="FD161" s="160">
        <f>IF([Chambre]*1='CHAMBRES FILLES 2e ETAGE'!$A$71,1,0)</f>
        <v>0</v>
      </c>
      <c r="FE161" s="160">
        <f>IF([Occurrence13]=0,0,SUM($FD$2:FD161))</f>
        <v>0</v>
      </c>
      <c r="FF161" s="160">
        <f>IF([Chambre]*1='CHAMBRES FILLES 2e ETAGE'!$A$77,1,0)</f>
        <v>0</v>
      </c>
      <c r="FG161" s="160">
        <f>IF([Occurrence14]=0,0,SUM($FF$2:FF161))</f>
        <v>0</v>
      </c>
      <c r="FH161" s="160">
        <f>IF([Chambre]*1='CHAMBRES FILLES 2e ETAGE'!$A$83,1,0)</f>
        <v>0</v>
      </c>
      <c r="FI161" s="160">
        <f>IF([Occurrence15]=0,0,SUM($FH$2:FH161))</f>
        <v>0</v>
      </c>
      <c r="FJ161" s="160">
        <f>IF([Chambre]*1='CHAMBRES FILLES 2e ETAGE'!$A$89,1,0)</f>
        <v>0</v>
      </c>
      <c r="FK161" s="160">
        <f>IF([Occurrence16]=0,0,SUM($FJ$2:FJ161))</f>
        <v>0</v>
      </c>
      <c r="FL161" s="160">
        <f>IF([Chambre]*1='CHAMBRES FILLES 2e ETAGE'!$A$95,1,0)</f>
        <v>0</v>
      </c>
      <c r="FM161" s="160">
        <f>IF([Occurrence17]=0,0,SUM($FL$2:FL161))</f>
        <v>0</v>
      </c>
      <c r="FN161" s="160">
        <f>IF([Chambre2]*1='CHAMBRES FILLES 1e ETAGE'!$A$5,1,0)</f>
        <v>0</v>
      </c>
      <c r="FO161" s="160">
        <f>IF([Occurrence18]=0,0,SUM($FN$2:FN161))</f>
        <v>0</v>
      </c>
      <c r="FP161" s="160">
        <f>IF([Chambre2]*1='CHAMBRES FILLES 1e ETAGE'!$A$11,1,0)</f>
        <v>0</v>
      </c>
      <c r="FQ161" s="160">
        <f>IF([Occurrence19]=0,0,SUM($FP$2:FP161))</f>
        <v>0</v>
      </c>
      <c r="FR161" s="160">
        <f>IF([Chambre2]*1='CHAMBRES FILLES 1e ETAGE'!$A$17,1,0)</f>
        <v>0</v>
      </c>
      <c r="FS161" s="160">
        <f>IF([Occurrence20]=0,0,SUM($FR$2:FR161))</f>
        <v>0</v>
      </c>
      <c r="FT161" s="160">
        <f>IF([Chambre2]*1='CHAMBRES FILLES 1e ETAGE'!$A$23,1,0)</f>
        <v>0</v>
      </c>
      <c r="FU161" s="160">
        <f>IF([Occurrence21]=0,0,SUM($FT$2:FT161))</f>
        <v>0</v>
      </c>
      <c r="FV161" s="160">
        <f>IF([Chambre2]*1='CHAMBRES FILLES 1e ETAGE'!$A$29,1,0)</f>
        <v>0</v>
      </c>
      <c r="FW161" s="160">
        <f>IF([Occurrence22]=0,0,SUM($FV$2:FV161))</f>
        <v>0</v>
      </c>
      <c r="FX161" s="160">
        <f>IF([Chambre2]*1='CHAMBRES FILLES 1e ETAGE'!$A$35,1,0)</f>
        <v>0</v>
      </c>
      <c r="FY161" s="160">
        <f>IF([Occurrence23]=0,0,SUM($FX$2:FX161))</f>
        <v>0</v>
      </c>
      <c r="FZ161" s="160">
        <f>IF([Chambre2]*1='CHAMBRES FILLES 1e ETAGE'!$A$41,1,0)</f>
        <v>0</v>
      </c>
      <c r="GA161" s="160">
        <f>IF([Occurrence24]=0,0,SUM($FZ$2:FZ161))</f>
        <v>0</v>
      </c>
      <c r="GB161" s="160">
        <f>IF([Chambre2]*1='CHAMBRES FILLES 1e ETAGE'!$A$47,1,0)</f>
        <v>0</v>
      </c>
      <c r="GC161" s="160">
        <f>IF([Occurrence25]=0,0,SUM($GB$2:GB161))</f>
        <v>0</v>
      </c>
      <c r="GD161" s="160">
        <f>IF([Chambre2]*1='CHAMBRES FILLES 1e ETAGE'!$A$53,1,0)</f>
        <v>0</v>
      </c>
      <c r="GE161" s="160">
        <f>IF([Occurrence26]=0,0,SUM($GD$2:GD161))</f>
        <v>0</v>
      </c>
      <c r="GF161" s="160">
        <f>IF([chambre4]*1='CHAMBRES GARCONS 1e ETAGE'!$A$5,1,0)</f>
        <v>0</v>
      </c>
      <c r="GG161" s="160">
        <f>IF([Occurrence27]=0,0,SUM($GF$2:GF161))</f>
        <v>0</v>
      </c>
      <c r="GH161" s="160">
        <f>IF([chambre4]*1='CHAMBRES GARCONS 1e ETAGE'!$A$11,1,0)</f>
        <v>0</v>
      </c>
      <c r="GI161" s="160">
        <f>IF([Occurrence28]=0,0,SUM($GH$2:GH161))</f>
        <v>0</v>
      </c>
      <c r="GJ161" s="160">
        <f>IF([chambre4]*1='CHAMBRES GARCONS 1e ETAGE'!$A$17,1,0)</f>
        <v>0</v>
      </c>
      <c r="GK161" s="160">
        <f>IF([Occurrence29]=0,0,SUM($GJ$2:GJ161))</f>
        <v>0</v>
      </c>
      <c r="GL161" s="160">
        <f>IF([chambre4]*1='CHAMBRES GARCONS 1e ETAGE'!$A$23,1,0)</f>
        <v>0</v>
      </c>
      <c r="GM161" s="160">
        <f>IF([Occurrence30]=0,0,SUM($GL$2:GL161))</f>
        <v>0</v>
      </c>
      <c r="GN161" s="160">
        <f>IF([chambre4]*1='CHAMBRES GARCONS 1e ETAGE'!$A$29,1,0)</f>
        <v>0</v>
      </c>
      <c r="GO161" s="160">
        <f>IF([Occurrence31]=0,0,SUM($GN$2:GN161))</f>
        <v>0</v>
      </c>
      <c r="GP161" s="160">
        <f>IF([chambre4]*1='CHAMBRES GARCONS 1e ETAGE'!$A$35,1,0)</f>
        <v>0</v>
      </c>
      <c r="GQ161" s="160">
        <f>IF([Occurrence32]=0,0,SUM($GP$2:GP161))</f>
        <v>0</v>
      </c>
      <c r="GR161" s="160">
        <f>IF([chambre3]*1='CHAMBRES GARCONS RDC'!$A$5,1,0)</f>
        <v>0</v>
      </c>
      <c r="GS161" s="160">
        <f>IF([Occurrence33]=0,0,SUM($GR$2:GR161))</f>
        <v>0</v>
      </c>
      <c r="GT161" s="160">
        <f>IF([chambre3]*1='CHAMBRES GARCONS RDC'!$A$11,1,0)</f>
        <v>0</v>
      </c>
      <c r="GU161" s="160">
        <f>IF([Occurrence34]=0,0,SUM($GT$2:GT161))</f>
        <v>0</v>
      </c>
      <c r="GV161" s="160">
        <f>IF([chambre3]*1='CHAMBRES GARCONS RDC'!$A$17,1,0)</f>
        <v>0</v>
      </c>
      <c r="GW161" s="160">
        <f>IF([Occurrence35]=0,0,SUM($GV$2:GV161))</f>
        <v>0</v>
      </c>
      <c r="GX161" s="160">
        <f>IF([chambre3]*1='CHAMBRES GARCONS RDC'!$A$23,1,0)</f>
        <v>0</v>
      </c>
      <c r="GY161" s="160">
        <f>IF([Occurrence36]=0,0,SUM($GX$2:GX161))</f>
        <v>0</v>
      </c>
      <c r="GZ161" s="160">
        <f>IF([chambre3]*1='CHAMBRES GARCONS RDC'!$A$29,1,0)</f>
        <v>0</v>
      </c>
      <c r="HA161" s="160">
        <f>IF([Occurrence37]=0,0,SUM($GZ$2:GZ161))</f>
        <v>0</v>
      </c>
      <c r="HB161" s="160">
        <f>IF([chambre3]*1='CHAMBRES GARCONS RDC'!$A$35,1,0)</f>
        <v>0</v>
      </c>
      <c r="HC161" s="160">
        <f>IF([Occurrence38]=0,0,SUM($HB$2:HB161))</f>
        <v>0</v>
      </c>
      <c r="HD161" s="160">
        <f>IF([chambre3]*1='CHAMBRES GARCONS RDC'!$A$41,1,0)</f>
        <v>0</v>
      </c>
      <c r="HE161" s="160">
        <f>IF([Occurrence39]=0,0,SUM($HD$2:HD161))</f>
        <v>0</v>
      </c>
      <c r="HF161" s="160">
        <f>IF([chambre3]*1='CHAMBRES GARCONS RDC'!$A$47,1,0)</f>
        <v>0</v>
      </c>
      <c r="HG161" s="160">
        <f>IF([Occurrence40]=0,0,SUM($HF$2:HF161))</f>
        <v>0</v>
      </c>
      <c r="HH161" s="160">
        <f>IF([chambre3]*1='CHAMBRES GARCONS RDC'!$A$53,1,0)</f>
        <v>0</v>
      </c>
      <c r="HI161" s="160">
        <f>IF([Occurrence41]=0,0,SUM($HH$2:HH161))</f>
        <v>0</v>
      </c>
      <c r="HJ161" s="160">
        <f>IF([chambre3]*1='CHAMBRES GARCONS RDC'!$A$59,1,0)</f>
        <v>0</v>
      </c>
      <c r="HK161" s="160">
        <f>IF([Occurrence42]=0,0,SUM($HJ$2:HJ161))</f>
        <v>0</v>
      </c>
      <c r="HL161" s="160">
        <f>IF([chambre3]*1='CHAMBRES GARCONS RDC'!$A$65,1,0)</f>
        <v>0</v>
      </c>
      <c r="HM161" s="160">
        <f>IF([Occurrence43]=0,0,SUM($HL$2:HL161))</f>
        <v>0</v>
      </c>
      <c r="HN161" s="160">
        <f>IF([chambre3]*1='CHAMBRES GARCONS RDC'!$A$71,1,0)</f>
        <v>0</v>
      </c>
      <c r="HO161" s="160">
        <f>IF([Occurrence44]=0,0,SUM($HN$2:HN161))</f>
        <v>0</v>
      </c>
      <c r="HP161" s="160">
        <f>IF([chambre3]*1='CHAMBRES GARCONS RDC'!$A$77,1,0)</f>
        <v>0</v>
      </c>
      <c r="HQ161" s="160">
        <f>IF([Occurrence45]=0,0,SUM($HP$2:HP161))</f>
        <v>0</v>
      </c>
      <c r="HR161" s="160">
        <f>IF([chambre3]*1='CHAMBRES GARCONS RDC'!$A$83,1,0)</f>
        <v>0</v>
      </c>
      <c r="HS161" s="160">
        <f>IF([Occurrence46]=0,0,SUM($HR$2:HR161))</f>
        <v>0</v>
      </c>
      <c r="HT161" s="160">
        <f>IF([chambre3]*1='CHAMBRES GARCONS RDC'!$A$89,1,0)</f>
        <v>0</v>
      </c>
      <c r="HU161" s="160">
        <f>IF([Occurrence47]=0,0,SUM($HT$2:HT161))</f>
        <v>0</v>
      </c>
      <c r="HV161" s="160">
        <f>IF([chambre3]*1='CHAMBRES GARCONS RDC'!$A$95,1,0)</f>
        <v>0</v>
      </c>
      <c r="HW161" s="160">
        <f>IF([Occurrence48]=0,0,SUM($HV$2:HV161))</f>
        <v>0</v>
      </c>
      <c r="HX161" s="160"/>
      <c r="HY161" s="160"/>
      <c r="HZ161" s="160">
        <f>IF([Classe]='Liste élève par classes'!$B$5,1,0)</f>
        <v>0</v>
      </c>
      <c r="IA161" s="160">
        <f>IF([Occurrence]=0,0,SUM($HZ$2:HZ161))</f>
        <v>0</v>
      </c>
      <c r="IB16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61" s="208"/>
    </row>
    <row r="162" spans="1:237">
      <c r="A162" t="s">
        <v>523</v>
      </c>
      <c r="B162" t="s">
        <v>261</v>
      </c>
      <c r="C162" s="158">
        <v>37541</v>
      </c>
      <c r="D162" s="62">
        <f t="shared" ca="1" si="2"/>
        <v>15</v>
      </c>
      <c r="E162" t="s">
        <v>11</v>
      </c>
      <c r="F162" s="159" t="s">
        <v>50</v>
      </c>
      <c r="G162" t="s">
        <v>40</v>
      </c>
      <c r="H162" s="160"/>
      <c r="I162" s="62"/>
      <c r="J162" s="62"/>
      <c r="K162" s="62"/>
      <c r="L162" s="61"/>
      <c r="M162">
        <v>165</v>
      </c>
      <c r="N162" s="62"/>
      <c r="O162" s="62"/>
      <c r="P162" s="62"/>
      <c r="Q162" s="62"/>
      <c r="R162" s="62"/>
      <c r="S162" s="191"/>
      <c r="T162" s="62"/>
      <c r="U162" s="61"/>
      <c r="V162" s="62"/>
      <c r="W162" s="62"/>
      <c r="X162" s="62"/>
      <c r="Y162" s="62"/>
      <c r="Z162" s="62"/>
      <c r="AA162" s="62"/>
      <c r="AB162" s="62"/>
      <c r="AC162" s="62"/>
      <c r="AD162" s="62"/>
      <c r="AE162" s="62"/>
      <c r="AF162" s="163"/>
      <c r="AG162" s="163"/>
      <c r="AH162" s="163"/>
      <c r="AI162" s="163"/>
      <c r="AJ162" s="163"/>
      <c r="AK162" s="163"/>
      <c r="AL162" s="163"/>
      <c r="AM162" s="163"/>
      <c r="AN162" s="163"/>
      <c r="AO162" s="163"/>
      <c r="AP162" s="163"/>
      <c r="AQ162" s="163"/>
      <c r="AR162" s="163"/>
      <c r="AS162" s="163"/>
      <c r="AT162" s="163"/>
      <c r="AU162" s="163"/>
      <c r="AV162" s="163"/>
      <c r="AW162" s="163"/>
      <c r="AX162" s="163"/>
      <c r="AY162" s="163"/>
      <c r="AZ162" s="163"/>
      <c r="BA162" s="163"/>
      <c r="BB162" s="163"/>
      <c r="BC162" s="163" t="b">
        <v>0</v>
      </c>
      <c r="BD162" s="163" t="b">
        <v>1</v>
      </c>
      <c r="BE162" s="163" t="b">
        <v>1</v>
      </c>
      <c r="BF162" s="163" t="b">
        <v>0</v>
      </c>
      <c r="BG162" s="164" t="b">
        <v>0</v>
      </c>
      <c r="BH162" s="163" t="b">
        <v>1</v>
      </c>
      <c r="BI162" s="163"/>
      <c r="BJ162" s="163"/>
      <c r="BK162" s="163"/>
      <c r="BL162" s="163"/>
      <c r="BM162" s="163"/>
      <c r="BN162" s="163"/>
      <c r="BO162" s="163"/>
      <c r="BP162" s="163"/>
      <c r="BQ162" s="163" t="b">
        <v>0</v>
      </c>
      <c r="BR162" s="163"/>
      <c r="BS162" s="163"/>
      <c r="BT162" s="163"/>
      <c r="BU162" s="163"/>
      <c r="BV162" s="163"/>
      <c r="BW162" s="163"/>
      <c r="BX162" s="163"/>
      <c r="BY162" s="163"/>
      <c r="BZ162" s="163"/>
      <c r="CA162" s="163"/>
      <c r="CB162" s="163"/>
      <c r="CC162" s="163"/>
      <c r="CD162" s="163"/>
      <c r="CE162" s="163"/>
      <c r="CF162" s="163"/>
      <c r="CG162" s="163"/>
      <c r="CH162" s="163"/>
      <c r="CI162" s="163"/>
      <c r="CJ162" s="163"/>
      <c r="CK162" s="163"/>
      <c r="CL162" s="163"/>
      <c r="CM162" s="163"/>
      <c r="CN162" s="163"/>
      <c r="CO162" s="163"/>
      <c r="CP162" s="163"/>
      <c r="CQ162" s="163"/>
      <c r="CR162" s="163"/>
      <c r="CS162" s="163"/>
      <c r="CT162" s="163"/>
      <c r="CU162" s="163"/>
      <c r="CV162" s="163"/>
      <c r="CW162" s="163"/>
      <c r="CX162" s="163"/>
      <c r="CY162" s="163"/>
      <c r="CZ162" s="163"/>
      <c r="DA162" s="163">
        <v>104</v>
      </c>
      <c r="DB162" s="163"/>
      <c r="DC162" s="163"/>
      <c r="DD162" s="163"/>
      <c r="DE162" s="163"/>
      <c r="DF162" s="163"/>
      <c r="DG162" s="208"/>
      <c r="DH162" s="163"/>
      <c r="DI162" s="163"/>
      <c r="DJ162" s="163"/>
      <c r="DK162" s="163"/>
      <c r="DL162" s="163"/>
      <c r="DM162" s="163"/>
      <c r="DN162" s="163"/>
      <c r="DO162" s="163"/>
      <c r="DP162" s="163"/>
      <c r="DQ162" s="163"/>
      <c r="DR162" s="163"/>
      <c r="DS162" s="163"/>
      <c r="DT162" s="163"/>
      <c r="DU162" s="163"/>
      <c r="DV162" s="163"/>
      <c r="DW162" s="163"/>
      <c r="DX162" s="163"/>
      <c r="DY162" s="163"/>
      <c r="DZ162" s="163"/>
      <c r="EA162" s="163"/>
      <c r="EB162" s="163"/>
      <c r="EC162" s="163"/>
      <c r="ED162" s="163"/>
      <c r="EE162" s="163"/>
      <c r="EF162" s="163"/>
      <c r="EG162" s="163"/>
      <c r="EH162" s="160">
        <f>IF([Chambre]*1='CHAMBRES FILLES 2e ETAGE'!$A$5,1,0)</f>
        <v>0</v>
      </c>
      <c r="EI162" s="161">
        <f>IF([Occurrence2]=0,0,SUM($EH$2:EH162))</f>
        <v>0</v>
      </c>
      <c r="EJ162" s="160">
        <f>IF([Chambre]*1='CHAMBRES FILLES 2e ETAGE'!$A$11,1,0)</f>
        <v>0</v>
      </c>
      <c r="EK162" s="160">
        <f>IF([Occurrence3]=0,0,SUM($EJ$2:EJ162))</f>
        <v>0</v>
      </c>
      <c r="EL162" s="160">
        <f>IF([Chambre]*1='CHAMBRES FILLES 2e ETAGE'!$A$17,1,0)</f>
        <v>0</v>
      </c>
      <c r="EM162" s="160">
        <f>IF([Occurrence4]=0,0,SUM($EL$2:EL162))</f>
        <v>0</v>
      </c>
      <c r="EN162" s="160">
        <f>IF([Chambre]*1='CHAMBRES FILLES 2e ETAGE'!$A$23,1,0)</f>
        <v>0</v>
      </c>
      <c r="EO162" s="160">
        <f>IF([Occurrence5]=0,0,SUM($EN$2:EN162))</f>
        <v>0</v>
      </c>
      <c r="EP162" s="160">
        <f>IF([Chambre]*1='CHAMBRES FILLES 2e ETAGE'!$A$29,1,0)</f>
        <v>0</v>
      </c>
      <c r="EQ162" s="160">
        <f>IF([Occurrence6]=0,0,SUM($EP$2:EP162))</f>
        <v>0</v>
      </c>
      <c r="ER162" s="160">
        <f>IF([Chambre]*1='CHAMBRES FILLES 2e ETAGE'!$A$35,1,0)</f>
        <v>0</v>
      </c>
      <c r="ES162" s="160">
        <f>IF([Occurrence7]=0,0,SUM($ER$2:ER162))</f>
        <v>0</v>
      </c>
      <c r="ET162" s="160">
        <f>IF([Chambre]*1='CHAMBRES FILLES 2e ETAGE'!$A$41,1,0)</f>
        <v>0</v>
      </c>
      <c r="EU162" s="160">
        <f>IF([Occurrence8]=0,0,SUM($ET$2:ET162))</f>
        <v>0</v>
      </c>
      <c r="EV162" s="160">
        <f>IF([Chambre]*1='CHAMBRES FILLES 2e ETAGE'!$A$47,1,0)</f>
        <v>0</v>
      </c>
      <c r="EW162" s="160">
        <f>IF([Occurrence9]=0,0,SUM($EV$2:EV162))</f>
        <v>0</v>
      </c>
      <c r="EX162" s="160">
        <f>IF([Chambre]*1='CHAMBRES FILLES 2e ETAGE'!$A$53,1,0)</f>
        <v>0</v>
      </c>
      <c r="EY162" s="160">
        <f>IF([Occurrence10]=0,0,SUM($EX$2:EX162))</f>
        <v>0</v>
      </c>
      <c r="EZ162" s="160">
        <f>IF([Chambre]*1='CHAMBRES FILLES 2e ETAGE'!$A$59,1,0)</f>
        <v>0</v>
      </c>
      <c r="FA162" s="160">
        <f>IF([Occurrence11]=0,0,SUM($EZ$2:EZ162))</f>
        <v>0</v>
      </c>
      <c r="FB162" s="160">
        <f>IF([Chambre]*1='CHAMBRES FILLES 2e ETAGE'!$A$65,1,0)</f>
        <v>0</v>
      </c>
      <c r="FC162" s="160">
        <f>IF([Occurrence12]=0,0,SUM($FB$2:FB162))</f>
        <v>0</v>
      </c>
      <c r="FD162" s="160">
        <f>IF([Chambre]*1='CHAMBRES FILLES 2e ETAGE'!$A$71,1,0)</f>
        <v>0</v>
      </c>
      <c r="FE162" s="160">
        <f>IF([Occurrence13]=0,0,SUM($FD$2:FD162))</f>
        <v>0</v>
      </c>
      <c r="FF162" s="160">
        <f>IF([Chambre]*1='CHAMBRES FILLES 2e ETAGE'!$A$77,1,0)</f>
        <v>0</v>
      </c>
      <c r="FG162" s="160">
        <f>IF([Occurrence14]=0,0,SUM($FF$2:FF162))</f>
        <v>0</v>
      </c>
      <c r="FH162" s="160">
        <f>IF([Chambre]*1='CHAMBRES FILLES 2e ETAGE'!$A$83,1,0)</f>
        <v>0</v>
      </c>
      <c r="FI162" s="160">
        <f>IF([Occurrence15]=0,0,SUM($FH$2:FH162))</f>
        <v>0</v>
      </c>
      <c r="FJ162" s="160">
        <f>IF([Chambre]*1='CHAMBRES FILLES 2e ETAGE'!$A$89,1,0)</f>
        <v>0</v>
      </c>
      <c r="FK162" s="160">
        <f>IF([Occurrence16]=0,0,SUM($FJ$2:FJ162))</f>
        <v>0</v>
      </c>
      <c r="FL162" s="160">
        <f>IF([Chambre]*1='CHAMBRES FILLES 2e ETAGE'!$A$95,1,0)</f>
        <v>0</v>
      </c>
      <c r="FM162" s="160">
        <f>IF([Occurrence17]=0,0,SUM($FL$2:FL162))</f>
        <v>0</v>
      </c>
      <c r="FN162" s="160">
        <f>IF([Chambre2]*1='CHAMBRES FILLES 1e ETAGE'!$A$5,1,0)</f>
        <v>0</v>
      </c>
      <c r="FO162" s="160">
        <f>IF([Occurrence18]=0,0,SUM($FN$2:FN162))</f>
        <v>0</v>
      </c>
      <c r="FP162" s="160">
        <f>IF([Chambre2]*1='CHAMBRES FILLES 1e ETAGE'!$A$11,1,0)</f>
        <v>0</v>
      </c>
      <c r="FQ162" s="160">
        <f>IF([Occurrence19]=0,0,SUM($FP$2:FP162))</f>
        <v>0</v>
      </c>
      <c r="FR162" s="160">
        <f>IF([Chambre2]*1='CHAMBRES FILLES 1e ETAGE'!$A$17,1,0)</f>
        <v>0</v>
      </c>
      <c r="FS162" s="160">
        <f>IF([Occurrence20]=0,0,SUM($FR$2:FR162))</f>
        <v>0</v>
      </c>
      <c r="FT162" s="160">
        <f>IF([Chambre2]*1='CHAMBRES FILLES 1e ETAGE'!$A$23,1,0)</f>
        <v>0</v>
      </c>
      <c r="FU162" s="160">
        <f>IF([Occurrence21]=0,0,SUM($FT$2:FT162))</f>
        <v>0</v>
      </c>
      <c r="FV162" s="160">
        <f>IF([Chambre2]*1='CHAMBRES FILLES 1e ETAGE'!$A$29,1,0)</f>
        <v>0</v>
      </c>
      <c r="FW162" s="160">
        <f>IF([Occurrence22]=0,0,SUM($FV$2:FV162))</f>
        <v>0</v>
      </c>
      <c r="FX162" s="160">
        <f>IF([Chambre2]*1='CHAMBRES FILLES 1e ETAGE'!$A$35,1,0)</f>
        <v>0</v>
      </c>
      <c r="FY162" s="160">
        <f>IF([Occurrence23]=0,0,SUM($FX$2:FX162))</f>
        <v>0</v>
      </c>
      <c r="FZ162" s="160">
        <f>IF([Chambre2]*1='CHAMBRES FILLES 1e ETAGE'!$A$41,1,0)</f>
        <v>0</v>
      </c>
      <c r="GA162" s="160">
        <f>IF([Occurrence24]=0,0,SUM($FZ$2:FZ162))</f>
        <v>0</v>
      </c>
      <c r="GB162" s="160">
        <f>IF([Chambre2]*1='CHAMBRES FILLES 1e ETAGE'!$A$47,1,0)</f>
        <v>0</v>
      </c>
      <c r="GC162" s="160">
        <f>IF([Occurrence25]=0,0,SUM($GB$2:GB162))</f>
        <v>0</v>
      </c>
      <c r="GD162" s="160">
        <f>IF([Chambre2]*1='CHAMBRES FILLES 1e ETAGE'!$A$53,1,0)</f>
        <v>0</v>
      </c>
      <c r="GE162" s="160">
        <f>IF([Occurrence26]=0,0,SUM($GD$2:GD162))</f>
        <v>0</v>
      </c>
      <c r="GF162" s="160">
        <f>IF([chambre4]*1='CHAMBRES GARCONS 1e ETAGE'!$A$5,1,0)</f>
        <v>0</v>
      </c>
      <c r="GG162" s="160">
        <f>IF([Occurrence27]=0,0,SUM($GF$2:GF162))</f>
        <v>0</v>
      </c>
      <c r="GH162" s="160">
        <f>IF([chambre4]*1='CHAMBRES GARCONS 1e ETAGE'!$A$11,1,0)</f>
        <v>0</v>
      </c>
      <c r="GI162" s="160">
        <f>IF([Occurrence28]=0,0,SUM($GH$2:GH162))</f>
        <v>0</v>
      </c>
      <c r="GJ162" s="160">
        <f>IF([chambre4]*1='CHAMBRES GARCONS 1e ETAGE'!$A$17,1,0)</f>
        <v>0</v>
      </c>
      <c r="GK162" s="160">
        <f>IF([Occurrence29]=0,0,SUM($GJ$2:GJ162))</f>
        <v>0</v>
      </c>
      <c r="GL162" s="160">
        <f>IF([chambre4]*1='CHAMBRES GARCONS 1e ETAGE'!$A$23,1,0)</f>
        <v>0</v>
      </c>
      <c r="GM162" s="160">
        <f>IF([Occurrence30]=0,0,SUM($GL$2:GL162))</f>
        <v>0</v>
      </c>
      <c r="GN162" s="160">
        <f>IF([chambre4]*1='CHAMBRES GARCONS 1e ETAGE'!$A$29,1,0)</f>
        <v>0</v>
      </c>
      <c r="GO162" s="160">
        <f>IF([Occurrence31]=0,0,SUM($GN$2:GN162))</f>
        <v>0</v>
      </c>
      <c r="GP162" s="160">
        <f>IF([chambre4]*1='CHAMBRES GARCONS 1e ETAGE'!$A$35,1,0)</f>
        <v>0</v>
      </c>
      <c r="GQ162" s="160">
        <f>IF([Occurrence32]=0,0,SUM($GP$2:GP162))</f>
        <v>0</v>
      </c>
      <c r="GR162" s="160">
        <f>IF([chambre3]*1='CHAMBRES GARCONS RDC'!$A$5,1,0)</f>
        <v>0</v>
      </c>
      <c r="GS162" s="160">
        <f>IF([Occurrence33]=0,0,SUM($GR$2:GR162))</f>
        <v>0</v>
      </c>
      <c r="GT162" s="160">
        <f>IF([chambre3]*1='CHAMBRES GARCONS RDC'!$A$11,1,0)</f>
        <v>0</v>
      </c>
      <c r="GU162" s="160">
        <f>IF([Occurrence34]=0,0,SUM($GT$2:GT162))</f>
        <v>0</v>
      </c>
      <c r="GV162" s="160">
        <f>IF([chambre3]*1='CHAMBRES GARCONS RDC'!$A$17,1,0)</f>
        <v>1</v>
      </c>
      <c r="GW162" s="160">
        <f>IF([Occurrence35]=0,0,SUM($GV$2:GV162))</f>
        <v>1</v>
      </c>
      <c r="GX162" s="160">
        <f>IF([chambre3]*1='CHAMBRES GARCONS RDC'!$A$23,1,0)</f>
        <v>0</v>
      </c>
      <c r="GY162" s="160">
        <f>IF([Occurrence36]=0,0,SUM($GX$2:GX162))</f>
        <v>0</v>
      </c>
      <c r="GZ162" s="160">
        <f>IF([chambre3]*1='CHAMBRES GARCONS RDC'!$A$29,1,0)</f>
        <v>0</v>
      </c>
      <c r="HA162" s="160">
        <f>IF([Occurrence37]=0,0,SUM($GZ$2:GZ162))</f>
        <v>0</v>
      </c>
      <c r="HB162" s="160">
        <f>IF([chambre3]*1='CHAMBRES GARCONS RDC'!$A$35,1,0)</f>
        <v>0</v>
      </c>
      <c r="HC162" s="160">
        <f>IF([Occurrence38]=0,0,SUM($HB$2:HB162))</f>
        <v>0</v>
      </c>
      <c r="HD162" s="160">
        <f>IF([chambre3]*1='CHAMBRES GARCONS RDC'!$A$41,1,0)</f>
        <v>0</v>
      </c>
      <c r="HE162" s="160">
        <f>IF([Occurrence39]=0,0,SUM($HD$2:HD162))</f>
        <v>0</v>
      </c>
      <c r="HF162" s="160">
        <f>IF([chambre3]*1='CHAMBRES GARCONS RDC'!$A$47,1,0)</f>
        <v>0</v>
      </c>
      <c r="HG162" s="160">
        <f>IF([Occurrence40]=0,0,SUM($HF$2:HF162))</f>
        <v>0</v>
      </c>
      <c r="HH162" s="160">
        <f>IF([chambre3]*1='CHAMBRES GARCONS RDC'!$A$53,1,0)</f>
        <v>0</v>
      </c>
      <c r="HI162" s="160">
        <f>IF([Occurrence41]=0,0,SUM($HH$2:HH162))</f>
        <v>0</v>
      </c>
      <c r="HJ162" s="160">
        <f>IF([chambre3]*1='CHAMBRES GARCONS RDC'!$A$59,1,0)</f>
        <v>0</v>
      </c>
      <c r="HK162" s="160">
        <f>IF([Occurrence42]=0,0,SUM($HJ$2:HJ162))</f>
        <v>0</v>
      </c>
      <c r="HL162" s="160">
        <f>IF([chambre3]*1='CHAMBRES GARCONS RDC'!$A$65,1,0)</f>
        <v>0</v>
      </c>
      <c r="HM162" s="160">
        <f>IF([Occurrence43]=0,0,SUM($HL$2:HL162))</f>
        <v>0</v>
      </c>
      <c r="HN162" s="160">
        <f>IF([chambre3]*1='CHAMBRES GARCONS RDC'!$A$71,1,0)</f>
        <v>0</v>
      </c>
      <c r="HO162" s="160">
        <f>IF([Occurrence44]=0,0,SUM($HN$2:HN162))</f>
        <v>0</v>
      </c>
      <c r="HP162" s="160">
        <f>IF([chambre3]*1='CHAMBRES GARCONS RDC'!$A$77,1,0)</f>
        <v>0</v>
      </c>
      <c r="HQ162" s="160">
        <f>IF([Occurrence45]=0,0,SUM($HP$2:HP162))</f>
        <v>0</v>
      </c>
      <c r="HR162" s="160">
        <f>IF([chambre3]*1='CHAMBRES GARCONS RDC'!$A$83,1,0)</f>
        <v>0</v>
      </c>
      <c r="HS162" s="160">
        <f>IF([Occurrence46]=0,0,SUM($HR$2:HR162))</f>
        <v>0</v>
      </c>
      <c r="HT162" s="160">
        <f>IF([chambre3]*1='CHAMBRES GARCONS RDC'!$A$89,1,0)</f>
        <v>0</v>
      </c>
      <c r="HU162" s="160">
        <f>IF([Occurrence47]=0,0,SUM($HT$2:HT162))</f>
        <v>0</v>
      </c>
      <c r="HV162" s="160">
        <f>IF([chambre3]*1='CHAMBRES GARCONS RDC'!$A$95,1,0)</f>
        <v>0</v>
      </c>
      <c r="HW162" s="160">
        <f>IF([Occurrence48]=0,0,SUM($HV$2:HV162))</f>
        <v>0</v>
      </c>
      <c r="HX162" s="160"/>
      <c r="HY162" s="160"/>
      <c r="HZ162" s="160">
        <f>IF([Classe]='Liste élève par classes'!$B$5,1,0)</f>
        <v>0</v>
      </c>
      <c r="IA162" s="160">
        <f>IF([Occurrence]=0,0,SUM($HZ$2:HZ162))</f>
        <v>0</v>
      </c>
      <c r="IB16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104</v>
      </c>
      <c r="IC162" s="208"/>
    </row>
    <row r="163" spans="1:237">
      <c r="A163" t="s">
        <v>524</v>
      </c>
      <c r="B163" t="s">
        <v>525</v>
      </c>
      <c r="C163" s="158">
        <v>35536</v>
      </c>
      <c r="D163" s="62">
        <f t="shared" ca="1" si="2"/>
        <v>20</v>
      </c>
      <c r="E163" t="s">
        <v>4</v>
      </c>
      <c r="F163" s="159" t="s">
        <v>41</v>
      </c>
      <c r="G163" t="s">
        <v>40</v>
      </c>
      <c r="H163" s="160"/>
      <c r="I163" s="62"/>
      <c r="J163" s="62"/>
      <c r="K163" s="62"/>
      <c r="L163" s="61"/>
      <c r="M163" s="62"/>
      <c r="N163" s="62"/>
      <c r="O163" s="62"/>
      <c r="P163" s="62"/>
      <c r="Q163" s="62"/>
      <c r="R163" s="62"/>
      <c r="S163" s="62"/>
      <c r="T163" s="62"/>
      <c r="U163" s="61"/>
      <c r="V163" s="62"/>
      <c r="W163" s="62"/>
      <c r="X163" s="62"/>
      <c r="Y163" s="62"/>
      <c r="Z163" s="62"/>
      <c r="AA163" s="62"/>
      <c r="AB163" s="62"/>
      <c r="AC163" s="62"/>
      <c r="AD163" s="62"/>
      <c r="AE163" s="62"/>
      <c r="AF163" s="163"/>
      <c r="AG163" s="163"/>
      <c r="AH163" s="163"/>
      <c r="AI163" s="163"/>
      <c r="AJ163" s="163"/>
      <c r="AK163" s="163"/>
      <c r="AL163" s="163"/>
      <c r="AM163" s="163"/>
      <c r="AN163" s="163"/>
      <c r="AO163" s="163"/>
      <c r="AP163" s="163"/>
      <c r="AQ163" s="163"/>
      <c r="AR163" s="163"/>
      <c r="AS163" s="163"/>
      <c r="AT163" s="163"/>
      <c r="AU163" s="163"/>
      <c r="AV163" s="163"/>
      <c r="AW163" s="163"/>
      <c r="AX163" s="163"/>
      <c r="AY163" s="163"/>
      <c r="AZ163" s="163"/>
      <c r="BA163" s="163"/>
      <c r="BB163" s="163"/>
      <c r="BC163" s="163" t="b">
        <v>0</v>
      </c>
      <c r="BD163" s="163" t="b">
        <v>0</v>
      </c>
      <c r="BE163" s="163" t="b">
        <v>0</v>
      </c>
      <c r="BF163" s="163" t="b">
        <v>0</v>
      </c>
      <c r="BG163" s="163" t="b">
        <v>0</v>
      </c>
      <c r="BH163" s="163" t="b">
        <v>0</v>
      </c>
      <c r="BI163" s="163" t="b">
        <v>1</v>
      </c>
      <c r="BJ163" s="163" t="b">
        <v>0</v>
      </c>
      <c r="BK163" s="163" t="b">
        <v>0</v>
      </c>
      <c r="BL163" s="163" t="b">
        <v>0</v>
      </c>
      <c r="BM163" s="163"/>
      <c r="BN163" s="163"/>
      <c r="BO163" s="163"/>
      <c r="BP163" s="163"/>
      <c r="BQ163" s="163"/>
      <c r="BR163" s="163"/>
      <c r="BS163" s="163"/>
      <c r="BT163" s="163"/>
      <c r="BU163" s="163"/>
      <c r="BV163" s="163"/>
      <c r="BW163" s="163"/>
      <c r="BX163" s="163"/>
      <c r="BY163" s="163"/>
      <c r="BZ163" s="163"/>
      <c r="CA163" s="163"/>
      <c r="CB163" s="163"/>
      <c r="CC163" s="163"/>
      <c r="CD163" s="163"/>
      <c r="CE163" s="163"/>
      <c r="CF163" s="163"/>
      <c r="CG163" s="163"/>
      <c r="CH163" s="163"/>
      <c r="CI163" s="163"/>
      <c r="CJ163" s="163"/>
      <c r="CK163" s="163"/>
      <c r="CL163" s="163"/>
      <c r="CM163" s="163"/>
      <c r="CN163" s="163"/>
      <c r="CO163" s="163"/>
      <c r="CP163" s="163"/>
      <c r="CQ163" s="163"/>
      <c r="CR163" s="163"/>
      <c r="CS163" s="163"/>
      <c r="CT163" s="163"/>
      <c r="CU163" s="163"/>
      <c r="CV163" s="163"/>
      <c r="CW163" s="163"/>
      <c r="CX163" s="163"/>
      <c r="CY163" s="163"/>
      <c r="CZ163" s="163"/>
      <c r="DA163" s="163"/>
      <c r="DB163" s="163"/>
      <c r="DC163" s="163"/>
      <c r="DD163" s="163"/>
      <c r="DE163" s="163"/>
      <c r="DF163" s="163"/>
      <c r="DG163" s="163"/>
      <c r="DH163" s="163"/>
      <c r="DI163" s="163"/>
      <c r="DJ163" s="163"/>
      <c r="DK163" s="163"/>
      <c r="DL163" s="163"/>
      <c r="DM163" s="163"/>
      <c r="DN163" s="163"/>
      <c r="DO163" s="163"/>
      <c r="DP163" s="163"/>
      <c r="DQ163" s="163"/>
      <c r="DR163" s="163"/>
      <c r="DS163" s="163"/>
      <c r="DT163" s="163"/>
      <c r="DU163" s="163"/>
      <c r="DV163" s="163"/>
      <c r="DW163" s="163"/>
      <c r="DX163" s="163"/>
      <c r="DY163" s="163"/>
      <c r="DZ163" s="163"/>
      <c r="EA163" s="163"/>
      <c r="EB163" s="163"/>
      <c r="EC163" s="163"/>
      <c r="ED163" s="163"/>
      <c r="EE163" s="163"/>
      <c r="EF163" s="163"/>
      <c r="EG163" s="163"/>
      <c r="EH163" s="160">
        <f>IF([Chambre]*1='CHAMBRES FILLES 2e ETAGE'!$A$5,1,0)</f>
        <v>0</v>
      </c>
      <c r="EI163" s="161">
        <f>IF([Occurrence2]=0,0,SUM($EH$2:EH163))</f>
        <v>0</v>
      </c>
      <c r="EJ163" s="160">
        <f>IF([Chambre]*1='CHAMBRES FILLES 2e ETAGE'!$A$11,1,0)</f>
        <v>0</v>
      </c>
      <c r="EK163" s="160">
        <f>IF([Occurrence3]=0,0,SUM($EJ$2:EJ163))</f>
        <v>0</v>
      </c>
      <c r="EL163" s="160">
        <f>IF([Chambre]*1='CHAMBRES FILLES 2e ETAGE'!$A$17,1,0)</f>
        <v>0</v>
      </c>
      <c r="EM163" s="160">
        <f>IF([Occurrence4]=0,0,SUM($EL$2:EL163))</f>
        <v>0</v>
      </c>
      <c r="EN163" s="160">
        <f>IF([Chambre]*1='CHAMBRES FILLES 2e ETAGE'!$A$23,1,0)</f>
        <v>0</v>
      </c>
      <c r="EO163" s="160">
        <f>IF([Occurrence5]=0,0,SUM($EN$2:EN163))</f>
        <v>0</v>
      </c>
      <c r="EP163" s="160">
        <f>IF([Chambre]*1='CHAMBRES FILLES 2e ETAGE'!$A$29,1,0)</f>
        <v>0</v>
      </c>
      <c r="EQ163" s="160">
        <f>IF([Occurrence6]=0,0,SUM($EP$2:EP163))</f>
        <v>0</v>
      </c>
      <c r="ER163" s="160">
        <f>IF([Chambre]*1='CHAMBRES FILLES 2e ETAGE'!$A$35,1,0)</f>
        <v>0</v>
      </c>
      <c r="ES163" s="160">
        <f>IF([Occurrence7]=0,0,SUM($ER$2:ER163))</f>
        <v>0</v>
      </c>
      <c r="ET163" s="160">
        <f>IF([Chambre]*1='CHAMBRES FILLES 2e ETAGE'!$A$41,1,0)</f>
        <v>0</v>
      </c>
      <c r="EU163" s="160">
        <f>IF([Occurrence8]=0,0,SUM($ET$2:ET163))</f>
        <v>0</v>
      </c>
      <c r="EV163" s="160">
        <f>IF([Chambre]*1='CHAMBRES FILLES 2e ETAGE'!$A$47,1,0)</f>
        <v>0</v>
      </c>
      <c r="EW163" s="160">
        <f>IF([Occurrence9]=0,0,SUM($EV$2:EV163))</f>
        <v>0</v>
      </c>
      <c r="EX163" s="160">
        <f>IF([Chambre]*1='CHAMBRES FILLES 2e ETAGE'!$A$53,1,0)</f>
        <v>0</v>
      </c>
      <c r="EY163" s="160">
        <f>IF([Occurrence10]=0,0,SUM($EX$2:EX163))</f>
        <v>0</v>
      </c>
      <c r="EZ163" s="160">
        <f>IF([Chambre]*1='CHAMBRES FILLES 2e ETAGE'!$A$59,1,0)</f>
        <v>0</v>
      </c>
      <c r="FA163" s="160">
        <f>IF([Occurrence11]=0,0,SUM($EZ$2:EZ163))</f>
        <v>0</v>
      </c>
      <c r="FB163" s="160">
        <f>IF([Chambre]*1='CHAMBRES FILLES 2e ETAGE'!$A$65,1,0)</f>
        <v>0</v>
      </c>
      <c r="FC163" s="160">
        <f>IF([Occurrence12]=0,0,SUM($FB$2:FB163))</f>
        <v>0</v>
      </c>
      <c r="FD163" s="160">
        <f>IF([Chambre]*1='CHAMBRES FILLES 2e ETAGE'!$A$71,1,0)</f>
        <v>0</v>
      </c>
      <c r="FE163" s="160">
        <f>IF([Occurrence13]=0,0,SUM($FD$2:FD163))</f>
        <v>0</v>
      </c>
      <c r="FF163" s="160">
        <f>IF([Chambre]*1='CHAMBRES FILLES 2e ETAGE'!$A$77,1,0)</f>
        <v>0</v>
      </c>
      <c r="FG163" s="160">
        <f>IF([Occurrence14]=0,0,SUM($FF$2:FF163))</f>
        <v>0</v>
      </c>
      <c r="FH163" s="160">
        <f>IF([Chambre]*1='CHAMBRES FILLES 2e ETAGE'!$A$83,1,0)</f>
        <v>0</v>
      </c>
      <c r="FI163" s="160">
        <f>IF([Occurrence15]=0,0,SUM($FH$2:FH163))</f>
        <v>0</v>
      </c>
      <c r="FJ163" s="160">
        <f>IF([Chambre]*1='CHAMBRES FILLES 2e ETAGE'!$A$89,1,0)</f>
        <v>0</v>
      </c>
      <c r="FK163" s="160">
        <f>IF([Occurrence16]=0,0,SUM($FJ$2:FJ163))</f>
        <v>0</v>
      </c>
      <c r="FL163" s="160">
        <f>IF([Chambre]*1='CHAMBRES FILLES 2e ETAGE'!$A$95,1,0)</f>
        <v>0</v>
      </c>
      <c r="FM163" s="160">
        <f>IF([Occurrence17]=0,0,SUM($FL$2:FL163))</f>
        <v>0</v>
      </c>
      <c r="FN163" s="160">
        <f>IF([Chambre2]*1='CHAMBRES FILLES 1e ETAGE'!$A$5,1,0)</f>
        <v>0</v>
      </c>
      <c r="FO163" s="160">
        <f>IF([Occurrence18]=0,0,SUM($FN$2:FN163))</f>
        <v>0</v>
      </c>
      <c r="FP163" s="160">
        <f>IF([Chambre2]*1='CHAMBRES FILLES 1e ETAGE'!$A$11,1,0)</f>
        <v>0</v>
      </c>
      <c r="FQ163" s="160">
        <f>IF([Occurrence19]=0,0,SUM($FP$2:FP163))</f>
        <v>0</v>
      </c>
      <c r="FR163" s="160">
        <f>IF([Chambre2]*1='CHAMBRES FILLES 1e ETAGE'!$A$17,1,0)</f>
        <v>0</v>
      </c>
      <c r="FS163" s="160">
        <f>IF([Occurrence20]=0,0,SUM($FR$2:FR163))</f>
        <v>0</v>
      </c>
      <c r="FT163" s="160">
        <f>IF([Chambre2]*1='CHAMBRES FILLES 1e ETAGE'!$A$23,1,0)</f>
        <v>0</v>
      </c>
      <c r="FU163" s="160">
        <f>IF([Occurrence21]=0,0,SUM($FT$2:FT163))</f>
        <v>0</v>
      </c>
      <c r="FV163" s="160">
        <f>IF([Chambre2]*1='CHAMBRES FILLES 1e ETAGE'!$A$29,1,0)</f>
        <v>0</v>
      </c>
      <c r="FW163" s="160">
        <f>IF([Occurrence22]=0,0,SUM($FV$2:FV163))</f>
        <v>0</v>
      </c>
      <c r="FX163" s="160">
        <f>IF([Chambre2]*1='CHAMBRES FILLES 1e ETAGE'!$A$35,1,0)</f>
        <v>0</v>
      </c>
      <c r="FY163" s="160">
        <f>IF([Occurrence23]=0,0,SUM($FX$2:FX163))</f>
        <v>0</v>
      </c>
      <c r="FZ163" s="160">
        <f>IF([Chambre2]*1='CHAMBRES FILLES 1e ETAGE'!$A$41,1,0)</f>
        <v>0</v>
      </c>
      <c r="GA163" s="160">
        <f>IF([Occurrence24]=0,0,SUM($FZ$2:FZ163))</f>
        <v>0</v>
      </c>
      <c r="GB163" s="160">
        <f>IF([Chambre2]*1='CHAMBRES FILLES 1e ETAGE'!$A$47,1,0)</f>
        <v>0</v>
      </c>
      <c r="GC163" s="160">
        <f>IF([Occurrence25]=0,0,SUM($GB$2:GB163))</f>
        <v>0</v>
      </c>
      <c r="GD163" s="160">
        <f>IF([Chambre2]*1='CHAMBRES FILLES 1e ETAGE'!$A$53,1,0)</f>
        <v>0</v>
      </c>
      <c r="GE163" s="160">
        <f>IF([Occurrence26]=0,0,SUM($GD$2:GD163))</f>
        <v>0</v>
      </c>
      <c r="GF163" s="160">
        <f>IF([chambre4]*1='CHAMBRES GARCONS 1e ETAGE'!$A$5,1,0)</f>
        <v>0</v>
      </c>
      <c r="GG163" s="160">
        <f>IF([Occurrence27]=0,0,SUM($GF$2:GF163))</f>
        <v>0</v>
      </c>
      <c r="GH163" s="160">
        <f>IF([chambre4]*1='CHAMBRES GARCONS 1e ETAGE'!$A$11,1,0)</f>
        <v>0</v>
      </c>
      <c r="GI163" s="160">
        <f>IF([Occurrence28]=0,0,SUM($GH$2:GH163))</f>
        <v>0</v>
      </c>
      <c r="GJ163" s="160">
        <f>IF([chambre4]*1='CHAMBRES GARCONS 1e ETAGE'!$A$17,1,0)</f>
        <v>0</v>
      </c>
      <c r="GK163" s="160">
        <f>IF([Occurrence29]=0,0,SUM($GJ$2:GJ163))</f>
        <v>0</v>
      </c>
      <c r="GL163" s="160">
        <f>IF([chambre4]*1='CHAMBRES GARCONS 1e ETAGE'!$A$23,1,0)</f>
        <v>0</v>
      </c>
      <c r="GM163" s="160">
        <f>IF([Occurrence30]=0,0,SUM($GL$2:GL163))</f>
        <v>0</v>
      </c>
      <c r="GN163" s="160">
        <f>IF([chambre4]*1='CHAMBRES GARCONS 1e ETAGE'!$A$29,1,0)</f>
        <v>0</v>
      </c>
      <c r="GO163" s="160">
        <f>IF([Occurrence31]=0,0,SUM($GN$2:GN163))</f>
        <v>0</v>
      </c>
      <c r="GP163" s="160">
        <f>IF([chambre4]*1='CHAMBRES GARCONS 1e ETAGE'!$A$35,1,0)</f>
        <v>0</v>
      </c>
      <c r="GQ163" s="160">
        <f>IF([Occurrence32]=0,0,SUM($GP$2:GP163))</f>
        <v>0</v>
      </c>
      <c r="GR163" s="160">
        <f>IF([chambre3]*1='CHAMBRES GARCONS RDC'!$A$5,1,0)</f>
        <v>0</v>
      </c>
      <c r="GS163" s="160">
        <f>IF([Occurrence33]=0,0,SUM($GR$2:GR163))</f>
        <v>0</v>
      </c>
      <c r="GT163" s="160">
        <f>IF([chambre3]*1='CHAMBRES GARCONS RDC'!$A$11,1,0)</f>
        <v>0</v>
      </c>
      <c r="GU163" s="160">
        <f>IF([Occurrence34]=0,0,SUM($GT$2:GT163))</f>
        <v>0</v>
      </c>
      <c r="GV163" s="160">
        <f>IF([chambre3]*1='CHAMBRES GARCONS RDC'!$A$17,1,0)</f>
        <v>0</v>
      </c>
      <c r="GW163" s="160">
        <f>IF([Occurrence35]=0,0,SUM($GV$2:GV163))</f>
        <v>0</v>
      </c>
      <c r="GX163" s="160">
        <f>IF([chambre3]*1='CHAMBRES GARCONS RDC'!$A$23,1,0)</f>
        <v>0</v>
      </c>
      <c r="GY163" s="160">
        <f>IF([Occurrence36]=0,0,SUM($GX$2:GX163))</f>
        <v>0</v>
      </c>
      <c r="GZ163" s="160">
        <f>IF([chambre3]*1='CHAMBRES GARCONS RDC'!$A$29,1,0)</f>
        <v>0</v>
      </c>
      <c r="HA163" s="160">
        <f>IF([Occurrence37]=0,0,SUM($GZ$2:GZ163))</f>
        <v>0</v>
      </c>
      <c r="HB163" s="160">
        <f>IF([chambre3]*1='CHAMBRES GARCONS RDC'!$A$35,1,0)</f>
        <v>0</v>
      </c>
      <c r="HC163" s="160">
        <f>IF([Occurrence38]=0,0,SUM($HB$2:HB163))</f>
        <v>0</v>
      </c>
      <c r="HD163" s="160">
        <f>IF([chambre3]*1='CHAMBRES GARCONS RDC'!$A$41,1,0)</f>
        <v>0</v>
      </c>
      <c r="HE163" s="160">
        <f>IF([Occurrence39]=0,0,SUM($HD$2:HD163))</f>
        <v>0</v>
      </c>
      <c r="HF163" s="160">
        <f>IF([chambre3]*1='CHAMBRES GARCONS RDC'!$A$47,1,0)</f>
        <v>0</v>
      </c>
      <c r="HG163" s="160">
        <f>IF([Occurrence40]=0,0,SUM($HF$2:HF163))</f>
        <v>0</v>
      </c>
      <c r="HH163" s="160">
        <f>IF([chambre3]*1='CHAMBRES GARCONS RDC'!$A$53,1,0)</f>
        <v>0</v>
      </c>
      <c r="HI163" s="160">
        <f>IF([Occurrence41]=0,0,SUM($HH$2:HH163))</f>
        <v>0</v>
      </c>
      <c r="HJ163" s="160">
        <f>IF([chambre3]*1='CHAMBRES GARCONS RDC'!$A$59,1,0)</f>
        <v>0</v>
      </c>
      <c r="HK163" s="160">
        <f>IF([Occurrence42]=0,0,SUM($HJ$2:HJ163))</f>
        <v>0</v>
      </c>
      <c r="HL163" s="160">
        <f>IF([chambre3]*1='CHAMBRES GARCONS RDC'!$A$65,1,0)</f>
        <v>0</v>
      </c>
      <c r="HM163" s="160">
        <f>IF([Occurrence43]=0,0,SUM($HL$2:HL163))</f>
        <v>0</v>
      </c>
      <c r="HN163" s="160">
        <f>IF([chambre3]*1='CHAMBRES GARCONS RDC'!$A$71,1,0)</f>
        <v>0</v>
      </c>
      <c r="HO163" s="160">
        <f>IF([Occurrence44]=0,0,SUM($HN$2:HN163))</f>
        <v>0</v>
      </c>
      <c r="HP163" s="160">
        <f>IF([chambre3]*1='CHAMBRES GARCONS RDC'!$A$77,1,0)</f>
        <v>0</v>
      </c>
      <c r="HQ163" s="160">
        <f>IF([Occurrence45]=0,0,SUM($HP$2:HP163))</f>
        <v>0</v>
      </c>
      <c r="HR163" s="160">
        <f>IF([chambre3]*1='CHAMBRES GARCONS RDC'!$A$83,1,0)</f>
        <v>0</v>
      </c>
      <c r="HS163" s="160">
        <f>IF([Occurrence46]=0,0,SUM($HR$2:HR163))</f>
        <v>0</v>
      </c>
      <c r="HT163" s="160">
        <f>IF([chambre3]*1='CHAMBRES GARCONS RDC'!$A$89,1,0)</f>
        <v>0</v>
      </c>
      <c r="HU163" s="160">
        <f>IF([Occurrence47]=0,0,SUM($HT$2:HT163))</f>
        <v>0</v>
      </c>
      <c r="HV163" s="160">
        <f>IF([chambre3]*1='CHAMBRES GARCONS RDC'!$A$95,1,0)</f>
        <v>0</v>
      </c>
      <c r="HW163" s="160">
        <f>IF([Occurrence48]=0,0,SUM($HV$2:HV163))</f>
        <v>0</v>
      </c>
      <c r="HX163" s="160"/>
      <c r="HY163" s="160"/>
      <c r="HZ163" s="160">
        <f>IF([Classe]='Liste élève par classes'!$B$5,1,0)</f>
        <v>0</v>
      </c>
      <c r="IA163" s="160">
        <f>IF([Occurrence]=0,0,SUM($HZ$2:HZ163))</f>
        <v>0</v>
      </c>
      <c r="IB16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63" s="208"/>
    </row>
    <row r="164" spans="1:237">
      <c r="A164" t="s">
        <v>526</v>
      </c>
      <c r="B164" t="s">
        <v>326</v>
      </c>
      <c r="C164" s="158">
        <v>37347</v>
      </c>
      <c r="D164" s="62">
        <f t="shared" ca="1" si="2"/>
        <v>15</v>
      </c>
      <c r="E164" t="s">
        <v>7</v>
      </c>
      <c r="F164" s="159" t="s">
        <v>50</v>
      </c>
      <c r="G164" t="s">
        <v>45</v>
      </c>
      <c r="H164" s="160"/>
      <c r="I164" s="62"/>
      <c r="J164" s="62"/>
      <c r="K164" s="62"/>
      <c r="L164" s="61">
        <v>159</v>
      </c>
      <c r="M164">
        <v>15</v>
      </c>
      <c r="N164" s="62"/>
      <c r="O164" s="62"/>
      <c r="P164" s="62"/>
      <c r="Q164" s="62"/>
      <c r="R164" s="62"/>
      <c r="S164" s="191"/>
      <c r="T164" s="62"/>
      <c r="U164" s="61"/>
      <c r="V164" s="62"/>
      <c r="W164" s="62"/>
      <c r="X164" s="62"/>
      <c r="Y164" s="62"/>
      <c r="Z164" s="62"/>
      <c r="AA164" s="62"/>
      <c r="AB164" s="62"/>
      <c r="AC164" s="62"/>
      <c r="AD164" s="62"/>
      <c r="AE164" s="62"/>
      <c r="AF164" s="163"/>
      <c r="AG164" s="163"/>
      <c r="AH164" s="163"/>
      <c r="AI164" s="163"/>
      <c r="AJ164" s="163"/>
      <c r="AK164" s="163"/>
      <c r="AL164" s="163"/>
      <c r="AM164" s="163"/>
      <c r="AN164" s="163"/>
      <c r="AO164" s="163"/>
      <c r="AP164" s="163"/>
      <c r="AQ164" s="163"/>
      <c r="AR164" s="163"/>
      <c r="AS164" s="163"/>
      <c r="AT164" s="163"/>
      <c r="AU164" s="163"/>
      <c r="AV164" s="163"/>
      <c r="AW164" s="163"/>
      <c r="AX164" s="163"/>
      <c r="AY164" s="163"/>
      <c r="AZ164" s="163"/>
      <c r="BA164" s="163"/>
      <c r="BB164" s="163"/>
      <c r="BC164" s="163" t="b">
        <v>0</v>
      </c>
      <c r="BD164" s="163" t="b">
        <v>1</v>
      </c>
      <c r="BE164" s="163" t="b">
        <v>1</v>
      </c>
      <c r="BF164" s="163" t="b">
        <v>0</v>
      </c>
      <c r="BG164" s="164" t="b">
        <v>0</v>
      </c>
      <c r="BH164" s="163" t="b">
        <v>1</v>
      </c>
      <c r="BI164" s="163"/>
      <c r="BJ164" s="163"/>
      <c r="BK164" s="163"/>
      <c r="BL164" s="163"/>
      <c r="BM164" s="163"/>
      <c r="BN164" s="163"/>
      <c r="BO164" s="163"/>
      <c r="BP164" s="163"/>
      <c r="BQ164" s="163" t="b">
        <v>1</v>
      </c>
      <c r="BR164" s="163"/>
      <c r="BS164" s="163"/>
      <c r="BT164" s="163"/>
      <c r="BU164" s="163"/>
      <c r="BV164" s="163"/>
      <c r="BW164" s="163"/>
      <c r="BX164" s="163"/>
      <c r="BY164" s="163"/>
      <c r="BZ164" s="163"/>
      <c r="CA164" s="163"/>
      <c r="CB164" s="163"/>
      <c r="CC164" s="163"/>
      <c r="CD164" s="163"/>
      <c r="CE164" s="163"/>
      <c r="CF164" s="163"/>
      <c r="CG164" s="163"/>
      <c r="CH164" s="163"/>
      <c r="CI164" s="163"/>
      <c r="CJ164" s="163"/>
      <c r="CK164" s="163"/>
      <c r="CL164" s="163"/>
      <c r="CM164" s="163"/>
      <c r="CN164" s="163"/>
      <c r="CO164" s="163"/>
      <c r="CP164" s="163"/>
      <c r="CQ164" s="163"/>
      <c r="CR164" s="163"/>
      <c r="CS164" s="163"/>
      <c r="CT164" s="163"/>
      <c r="CU164" s="163"/>
      <c r="CV164" s="163"/>
      <c r="CW164" s="163"/>
      <c r="CX164" s="163"/>
      <c r="CY164" s="163"/>
      <c r="CZ164" s="163"/>
      <c r="DA164" s="163"/>
      <c r="DB164" s="163"/>
      <c r="DC164" s="163"/>
      <c r="DD164" s="163"/>
      <c r="DE164" s="163"/>
      <c r="DF164" s="163"/>
      <c r="DG164" s="208"/>
      <c r="DH164" s="163"/>
      <c r="DI164" s="163"/>
      <c r="DJ164" s="163"/>
      <c r="DK164" s="163"/>
      <c r="DL164" s="163"/>
      <c r="DM164" s="163"/>
      <c r="DN164" s="163"/>
      <c r="DO164" s="163"/>
      <c r="DP164" s="163"/>
      <c r="DQ164" s="163"/>
      <c r="DR164" s="163"/>
      <c r="DS164" s="163"/>
      <c r="DT164" s="163"/>
      <c r="DU164" s="163"/>
      <c r="DV164" s="163"/>
      <c r="DW164" s="163"/>
      <c r="DX164" s="163"/>
      <c r="DY164" s="163"/>
      <c r="DZ164" s="163"/>
      <c r="EA164" s="163"/>
      <c r="EB164" s="163"/>
      <c r="EC164" s="163"/>
      <c r="ED164" s="163"/>
      <c r="EE164" s="163"/>
      <c r="EF164" s="163"/>
      <c r="EG164" s="163"/>
      <c r="EH164" s="160">
        <f>IF([Chambre]*1='CHAMBRES FILLES 2e ETAGE'!$A$5,1,0)</f>
        <v>0</v>
      </c>
      <c r="EI164" s="161">
        <f>IF([Occurrence2]=0,0,SUM($EH$2:EH164))</f>
        <v>0</v>
      </c>
      <c r="EJ164" s="160">
        <f>IF([Chambre]*1='CHAMBRES FILLES 2e ETAGE'!$A$11,1,0)</f>
        <v>1</v>
      </c>
      <c r="EK164" s="160">
        <f>IF([Occurrence3]=0,0,SUM($EJ$2:EJ164))</f>
        <v>3</v>
      </c>
      <c r="EL164" s="160">
        <f>IF([Chambre]*1='CHAMBRES FILLES 2e ETAGE'!$A$17,1,0)</f>
        <v>0</v>
      </c>
      <c r="EM164" s="160">
        <f>IF([Occurrence4]=0,0,SUM($EL$2:EL164))</f>
        <v>0</v>
      </c>
      <c r="EN164" s="160">
        <f>IF([Chambre]*1='CHAMBRES FILLES 2e ETAGE'!$A$23,1,0)</f>
        <v>0</v>
      </c>
      <c r="EO164" s="160">
        <f>IF([Occurrence5]=0,0,SUM($EN$2:EN164))</f>
        <v>0</v>
      </c>
      <c r="EP164" s="160">
        <f>IF([Chambre]*1='CHAMBRES FILLES 2e ETAGE'!$A$29,1,0)</f>
        <v>0</v>
      </c>
      <c r="EQ164" s="160">
        <f>IF([Occurrence6]=0,0,SUM($EP$2:EP164))</f>
        <v>0</v>
      </c>
      <c r="ER164" s="160">
        <f>IF([Chambre]*1='CHAMBRES FILLES 2e ETAGE'!$A$35,1,0)</f>
        <v>0</v>
      </c>
      <c r="ES164" s="160">
        <f>IF([Occurrence7]=0,0,SUM($ER$2:ER164))</f>
        <v>0</v>
      </c>
      <c r="ET164" s="160">
        <f>IF([Chambre]*1='CHAMBRES FILLES 2e ETAGE'!$A$41,1,0)</f>
        <v>0</v>
      </c>
      <c r="EU164" s="160">
        <f>IF([Occurrence8]=0,0,SUM($ET$2:ET164))</f>
        <v>0</v>
      </c>
      <c r="EV164" s="160">
        <f>IF([Chambre]*1='CHAMBRES FILLES 2e ETAGE'!$A$47,1,0)</f>
        <v>0</v>
      </c>
      <c r="EW164" s="160">
        <f>IF([Occurrence9]=0,0,SUM($EV$2:EV164))</f>
        <v>0</v>
      </c>
      <c r="EX164" s="160">
        <f>IF([Chambre]*1='CHAMBRES FILLES 2e ETAGE'!$A$53,1,0)</f>
        <v>0</v>
      </c>
      <c r="EY164" s="160">
        <f>IF([Occurrence10]=0,0,SUM($EX$2:EX164))</f>
        <v>0</v>
      </c>
      <c r="EZ164" s="160">
        <f>IF([Chambre]*1='CHAMBRES FILLES 2e ETAGE'!$A$59,1,0)</f>
        <v>0</v>
      </c>
      <c r="FA164" s="160">
        <f>IF([Occurrence11]=0,0,SUM($EZ$2:EZ164))</f>
        <v>0</v>
      </c>
      <c r="FB164" s="160">
        <f>IF([Chambre]*1='CHAMBRES FILLES 2e ETAGE'!$A$65,1,0)</f>
        <v>0</v>
      </c>
      <c r="FC164" s="160">
        <f>IF([Occurrence12]=0,0,SUM($FB$2:FB164))</f>
        <v>0</v>
      </c>
      <c r="FD164" s="160">
        <f>IF([Chambre]*1='CHAMBRES FILLES 2e ETAGE'!$A$71,1,0)</f>
        <v>0</v>
      </c>
      <c r="FE164" s="160">
        <f>IF([Occurrence13]=0,0,SUM($FD$2:FD164))</f>
        <v>0</v>
      </c>
      <c r="FF164" s="160">
        <f>IF([Chambre]*1='CHAMBRES FILLES 2e ETAGE'!$A$77,1,0)</f>
        <v>0</v>
      </c>
      <c r="FG164" s="160">
        <f>IF([Occurrence14]=0,0,SUM($FF$2:FF164))</f>
        <v>0</v>
      </c>
      <c r="FH164" s="160">
        <f>IF([Chambre]*1='CHAMBRES FILLES 2e ETAGE'!$A$83,1,0)</f>
        <v>0</v>
      </c>
      <c r="FI164" s="160">
        <f>IF([Occurrence15]=0,0,SUM($FH$2:FH164))</f>
        <v>0</v>
      </c>
      <c r="FJ164" s="160">
        <f>IF([Chambre]*1='CHAMBRES FILLES 2e ETAGE'!$A$89,1,0)</f>
        <v>0</v>
      </c>
      <c r="FK164" s="160">
        <f>IF([Occurrence16]=0,0,SUM($FJ$2:FJ164))</f>
        <v>0</v>
      </c>
      <c r="FL164" s="160">
        <f>IF([Chambre]*1='CHAMBRES FILLES 2e ETAGE'!$A$95,1,0)</f>
        <v>0</v>
      </c>
      <c r="FM164" s="160">
        <f>IF([Occurrence17]=0,0,SUM($FL$2:FL164))</f>
        <v>0</v>
      </c>
      <c r="FN164" s="160">
        <f>IF([Chambre2]*1='CHAMBRES FILLES 1e ETAGE'!$A$5,1,0)</f>
        <v>0</v>
      </c>
      <c r="FO164" s="160">
        <f>IF([Occurrence18]=0,0,SUM($FN$2:FN164))</f>
        <v>0</v>
      </c>
      <c r="FP164" s="160">
        <f>IF([Chambre2]*1='CHAMBRES FILLES 1e ETAGE'!$A$11,1,0)</f>
        <v>0</v>
      </c>
      <c r="FQ164" s="160">
        <f>IF([Occurrence19]=0,0,SUM($FP$2:FP164))</f>
        <v>0</v>
      </c>
      <c r="FR164" s="160">
        <f>IF([Chambre2]*1='CHAMBRES FILLES 1e ETAGE'!$A$17,1,0)</f>
        <v>0</v>
      </c>
      <c r="FS164" s="160">
        <f>IF([Occurrence20]=0,0,SUM($FR$2:FR164))</f>
        <v>0</v>
      </c>
      <c r="FT164" s="160">
        <f>IF([Chambre2]*1='CHAMBRES FILLES 1e ETAGE'!$A$23,1,0)</f>
        <v>0</v>
      </c>
      <c r="FU164" s="160">
        <f>IF([Occurrence21]=0,0,SUM($FT$2:FT164))</f>
        <v>0</v>
      </c>
      <c r="FV164" s="160">
        <f>IF([Chambre2]*1='CHAMBRES FILLES 1e ETAGE'!$A$29,1,0)</f>
        <v>0</v>
      </c>
      <c r="FW164" s="160">
        <f>IF([Occurrence22]=0,0,SUM($FV$2:FV164))</f>
        <v>0</v>
      </c>
      <c r="FX164" s="160">
        <f>IF([Chambre2]*1='CHAMBRES FILLES 1e ETAGE'!$A$35,1,0)</f>
        <v>0</v>
      </c>
      <c r="FY164" s="160">
        <f>IF([Occurrence23]=0,0,SUM($FX$2:FX164))</f>
        <v>0</v>
      </c>
      <c r="FZ164" s="160">
        <f>IF([Chambre2]*1='CHAMBRES FILLES 1e ETAGE'!$A$41,1,0)</f>
        <v>0</v>
      </c>
      <c r="GA164" s="160">
        <f>IF([Occurrence24]=0,0,SUM($FZ$2:FZ164))</f>
        <v>0</v>
      </c>
      <c r="GB164" s="160">
        <f>IF([Chambre2]*1='CHAMBRES FILLES 1e ETAGE'!$A$47,1,0)</f>
        <v>0</v>
      </c>
      <c r="GC164" s="160">
        <f>IF([Occurrence25]=0,0,SUM($GB$2:GB164))</f>
        <v>0</v>
      </c>
      <c r="GD164" s="160">
        <f>IF([Chambre2]*1='CHAMBRES FILLES 1e ETAGE'!$A$53,1,0)</f>
        <v>0</v>
      </c>
      <c r="GE164" s="160">
        <f>IF([Occurrence26]=0,0,SUM($GD$2:GD164))</f>
        <v>0</v>
      </c>
      <c r="GF164" s="160">
        <f>IF([chambre4]*1='CHAMBRES GARCONS 1e ETAGE'!$A$5,1,0)</f>
        <v>0</v>
      </c>
      <c r="GG164" s="160">
        <f>IF([Occurrence27]=0,0,SUM($GF$2:GF164))</f>
        <v>0</v>
      </c>
      <c r="GH164" s="160">
        <f>IF([chambre4]*1='CHAMBRES GARCONS 1e ETAGE'!$A$11,1,0)</f>
        <v>0</v>
      </c>
      <c r="GI164" s="160">
        <f>IF([Occurrence28]=0,0,SUM($GH$2:GH164))</f>
        <v>0</v>
      </c>
      <c r="GJ164" s="160">
        <f>IF([chambre4]*1='CHAMBRES GARCONS 1e ETAGE'!$A$17,1,0)</f>
        <v>0</v>
      </c>
      <c r="GK164" s="160">
        <f>IF([Occurrence29]=0,0,SUM($GJ$2:GJ164))</f>
        <v>0</v>
      </c>
      <c r="GL164" s="160">
        <f>IF([chambre4]*1='CHAMBRES GARCONS 1e ETAGE'!$A$23,1,0)</f>
        <v>0</v>
      </c>
      <c r="GM164" s="160">
        <f>IF([Occurrence30]=0,0,SUM($GL$2:GL164))</f>
        <v>0</v>
      </c>
      <c r="GN164" s="160">
        <f>IF([chambre4]*1='CHAMBRES GARCONS 1e ETAGE'!$A$29,1,0)</f>
        <v>0</v>
      </c>
      <c r="GO164" s="160">
        <f>IF([Occurrence31]=0,0,SUM($GN$2:GN164))</f>
        <v>0</v>
      </c>
      <c r="GP164" s="160">
        <f>IF([chambre4]*1='CHAMBRES GARCONS 1e ETAGE'!$A$35,1,0)</f>
        <v>0</v>
      </c>
      <c r="GQ164" s="160">
        <f>IF([Occurrence32]=0,0,SUM($GP$2:GP164))</f>
        <v>0</v>
      </c>
      <c r="GR164" s="160">
        <f>IF([chambre3]*1='CHAMBRES GARCONS RDC'!$A$5,1,0)</f>
        <v>0</v>
      </c>
      <c r="GS164" s="160">
        <f>IF([Occurrence33]=0,0,SUM($GR$2:GR164))</f>
        <v>0</v>
      </c>
      <c r="GT164" s="160">
        <f>IF([chambre3]*1='CHAMBRES GARCONS RDC'!$A$11,1,0)</f>
        <v>0</v>
      </c>
      <c r="GU164" s="160">
        <f>IF([Occurrence34]=0,0,SUM($GT$2:GT164))</f>
        <v>0</v>
      </c>
      <c r="GV164" s="160">
        <f>IF([chambre3]*1='CHAMBRES GARCONS RDC'!$A$17,1,0)</f>
        <v>0</v>
      </c>
      <c r="GW164" s="160">
        <f>IF([Occurrence35]=0,0,SUM($GV$2:GV164))</f>
        <v>0</v>
      </c>
      <c r="GX164" s="160">
        <f>IF([chambre3]*1='CHAMBRES GARCONS RDC'!$A$23,1,0)</f>
        <v>0</v>
      </c>
      <c r="GY164" s="160">
        <f>IF([Occurrence36]=0,0,SUM($GX$2:GX164))</f>
        <v>0</v>
      </c>
      <c r="GZ164" s="160">
        <f>IF([chambre3]*1='CHAMBRES GARCONS RDC'!$A$29,1,0)</f>
        <v>0</v>
      </c>
      <c r="HA164" s="160">
        <f>IF([Occurrence37]=0,0,SUM($GZ$2:GZ164))</f>
        <v>0</v>
      </c>
      <c r="HB164" s="160">
        <f>IF([chambre3]*1='CHAMBRES GARCONS RDC'!$A$35,1,0)</f>
        <v>0</v>
      </c>
      <c r="HC164" s="160">
        <f>IF([Occurrence38]=0,0,SUM($HB$2:HB164))</f>
        <v>0</v>
      </c>
      <c r="HD164" s="160">
        <f>IF([chambre3]*1='CHAMBRES GARCONS RDC'!$A$41,1,0)</f>
        <v>0</v>
      </c>
      <c r="HE164" s="160">
        <f>IF([Occurrence39]=0,0,SUM($HD$2:HD164))</f>
        <v>0</v>
      </c>
      <c r="HF164" s="160">
        <f>IF([chambre3]*1='CHAMBRES GARCONS RDC'!$A$47,1,0)</f>
        <v>0</v>
      </c>
      <c r="HG164" s="160">
        <f>IF([Occurrence40]=0,0,SUM($HF$2:HF164))</f>
        <v>0</v>
      </c>
      <c r="HH164" s="160">
        <f>IF([chambre3]*1='CHAMBRES GARCONS RDC'!$A$53,1,0)</f>
        <v>0</v>
      </c>
      <c r="HI164" s="160">
        <f>IF([Occurrence41]=0,0,SUM($HH$2:HH164))</f>
        <v>0</v>
      </c>
      <c r="HJ164" s="160">
        <f>IF([chambre3]*1='CHAMBRES GARCONS RDC'!$A$59,1,0)</f>
        <v>0</v>
      </c>
      <c r="HK164" s="160">
        <f>IF([Occurrence42]=0,0,SUM($HJ$2:HJ164))</f>
        <v>0</v>
      </c>
      <c r="HL164" s="160">
        <f>IF([chambre3]*1='CHAMBRES GARCONS RDC'!$A$65,1,0)</f>
        <v>0</v>
      </c>
      <c r="HM164" s="160">
        <f>IF([Occurrence43]=0,0,SUM($HL$2:HL164))</f>
        <v>0</v>
      </c>
      <c r="HN164" s="160">
        <f>IF([chambre3]*1='CHAMBRES GARCONS RDC'!$A$71,1,0)</f>
        <v>0</v>
      </c>
      <c r="HO164" s="160">
        <f>IF([Occurrence44]=0,0,SUM($HN$2:HN164))</f>
        <v>0</v>
      </c>
      <c r="HP164" s="160">
        <f>IF([chambre3]*1='CHAMBRES GARCONS RDC'!$A$77,1,0)</f>
        <v>0</v>
      </c>
      <c r="HQ164" s="160">
        <f>IF([Occurrence45]=0,0,SUM($HP$2:HP164))</f>
        <v>0</v>
      </c>
      <c r="HR164" s="160">
        <f>IF([chambre3]*1='CHAMBRES GARCONS RDC'!$A$83,1,0)</f>
        <v>0</v>
      </c>
      <c r="HS164" s="160">
        <f>IF([Occurrence46]=0,0,SUM($HR$2:HR164))</f>
        <v>0</v>
      </c>
      <c r="HT164" s="160">
        <f>IF([chambre3]*1='CHAMBRES GARCONS RDC'!$A$89,1,0)</f>
        <v>0</v>
      </c>
      <c r="HU164" s="160">
        <f>IF([Occurrence47]=0,0,SUM($HT$2:HT164))</f>
        <v>0</v>
      </c>
      <c r="HV164" s="160">
        <f>IF([chambre3]*1='CHAMBRES GARCONS RDC'!$A$95,1,0)</f>
        <v>0</v>
      </c>
      <c r="HW164" s="160">
        <f>IF([Occurrence48]=0,0,SUM($HV$2:HV164))</f>
        <v>0</v>
      </c>
      <c r="HX164" s="160"/>
      <c r="HY164" s="160"/>
      <c r="HZ164" s="160">
        <f>IF([Classe]='Liste élève par classes'!$B$5,1,0)</f>
        <v>0</v>
      </c>
      <c r="IA164" s="160">
        <f>IF([Occurrence]=0,0,SUM($HZ$2:HZ164))</f>
        <v>0</v>
      </c>
      <c r="IB16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159</v>
      </c>
      <c r="IC164" s="208"/>
    </row>
    <row r="165" spans="1:237">
      <c r="A165" t="s">
        <v>527</v>
      </c>
      <c r="B165" t="s">
        <v>420</v>
      </c>
      <c r="C165" s="158">
        <v>37187</v>
      </c>
      <c r="D165" s="62">
        <f t="shared" ca="1" si="2"/>
        <v>16</v>
      </c>
      <c r="E165" t="s">
        <v>10</v>
      </c>
      <c r="F165" s="159" t="s">
        <v>50</v>
      </c>
      <c r="G165" t="s">
        <v>45</v>
      </c>
      <c r="H165" s="160"/>
      <c r="I165" s="62"/>
      <c r="J165" s="62"/>
      <c r="K165" s="62"/>
      <c r="L165" s="61"/>
      <c r="M165">
        <v>197</v>
      </c>
      <c r="N165" s="62"/>
      <c r="O165" s="62"/>
      <c r="P165" s="62"/>
      <c r="Q165" s="62"/>
      <c r="R165" s="62"/>
      <c r="S165" s="191"/>
      <c r="T165" s="62"/>
      <c r="U165" s="61">
        <v>149</v>
      </c>
      <c r="V165" s="62"/>
      <c r="W165" s="62"/>
      <c r="X165" s="62"/>
      <c r="Y165" s="62"/>
      <c r="Z165" s="62"/>
      <c r="AA165" s="62"/>
      <c r="AB165" s="62"/>
      <c r="AC165" s="62"/>
      <c r="AD165" s="62"/>
      <c r="AE165" s="62"/>
      <c r="AF165" s="163"/>
      <c r="AG165" s="163"/>
      <c r="AH165" s="163"/>
      <c r="AI165" s="163"/>
      <c r="AJ165" s="163"/>
      <c r="AK165" s="163"/>
      <c r="AL165" s="163"/>
      <c r="AM165" s="163"/>
      <c r="AN165" s="163"/>
      <c r="AO165" s="163"/>
      <c r="AP165" s="163"/>
      <c r="AQ165" s="163"/>
      <c r="AR165" s="163"/>
      <c r="AS165" s="163"/>
      <c r="AT165" s="163"/>
      <c r="AU165" s="163"/>
      <c r="AV165" s="163"/>
      <c r="AW165" s="163"/>
      <c r="AX165" s="163"/>
      <c r="AY165" s="163"/>
      <c r="AZ165" s="163"/>
      <c r="BA165" s="163"/>
      <c r="BB165" s="163"/>
      <c r="BC165" s="163" t="b">
        <v>0</v>
      </c>
      <c r="BD165" s="163" t="b">
        <v>1</v>
      </c>
      <c r="BE165" s="163" t="b">
        <v>1</v>
      </c>
      <c r="BF165" s="163" t="b">
        <v>0</v>
      </c>
      <c r="BG165" s="164" t="b">
        <v>0</v>
      </c>
      <c r="BH165" s="163" t="b">
        <v>1</v>
      </c>
      <c r="BI165" s="163"/>
      <c r="BJ165" s="163"/>
      <c r="BK165" s="163"/>
      <c r="BL165" s="163"/>
      <c r="BM165" s="163"/>
      <c r="BN165" s="163"/>
      <c r="BO165" s="163"/>
      <c r="BP165" s="163"/>
      <c r="BQ165" s="163" t="b">
        <v>0</v>
      </c>
      <c r="BR165" s="163"/>
      <c r="BS165" s="163"/>
      <c r="BT165" s="163"/>
      <c r="BU165" s="163"/>
      <c r="BV165" s="163"/>
      <c r="BW165" s="163"/>
      <c r="BX165" s="163"/>
      <c r="BY165" s="163"/>
      <c r="BZ165" s="163"/>
      <c r="CA165" s="163"/>
      <c r="CB165" s="163"/>
      <c r="CC165" s="163"/>
      <c r="CD165" s="163"/>
      <c r="CE165" s="163"/>
      <c r="CF165" s="163"/>
      <c r="CG165" s="163"/>
      <c r="CH165" s="163"/>
      <c r="CI165" s="163"/>
      <c r="CJ165" s="163"/>
      <c r="CK165" s="163"/>
      <c r="CL165" s="163"/>
      <c r="CM165" s="163"/>
      <c r="CN165" s="163"/>
      <c r="CO165" s="163"/>
      <c r="CP165" s="163"/>
      <c r="CQ165" s="163"/>
      <c r="CR165" s="163"/>
      <c r="CS165" s="163"/>
      <c r="CT165" s="163"/>
      <c r="CU165" s="163"/>
      <c r="CV165" s="163"/>
      <c r="CW165" s="163"/>
      <c r="CX165" s="163"/>
      <c r="CY165" s="163"/>
      <c r="CZ165" s="163"/>
      <c r="DA165" s="163"/>
      <c r="DB165" s="163"/>
      <c r="DC165" s="163"/>
      <c r="DD165" s="163"/>
      <c r="DE165" s="163"/>
      <c r="DF165" s="163"/>
      <c r="DG165" s="208"/>
      <c r="DH165" s="163"/>
      <c r="DI165" s="163"/>
      <c r="DJ165" s="163"/>
      <c r="DK165" s="163"/>
      <c r="DL165" s="163"/>
      <c r="DM165" s="163"/>
      <c r="DN165" s="163"/>
      <c r="DO165" s="163"/>
      <c r="DP165" s="163"/>
      <c r="DQ165" s="163"/>
      <c r="DR165" s="163"/>
      <c r="DS165" s="163"/>
      <c r="DT165" s="163"/>
      <c r="DU165" s="163"/>
      <c r="DV165" s="163"/>
      <c r="DW165" s="163"/>
      <c r="DX165" s="163"/>
      <c r="DY165" s="163"/>
      <c r="DZ165" s="163"/>
      <c r="EA165" s="163"/>
      <c r="EB165" s="163"/>
      <c r="EC165" s="163"/>
      <c r="ED165" s="163"/>
      <c r="EE165" s="163"/>
      <c r="EF165" s="163"/>
      <c r="EG165" s="163"/>
      <c r="EH165" s="160">
        <f>IF([Chambre]*1='CHAMBRES FILLES 2e ETAGE'!$A$5,1,0)</f>
        <v>0</v>
      </c>
      <c r="EI165" s="161">
        <f>IF([Occurrence2]=0,0,SUM($EH$2:EH165))</f>
        <v>0</v>
      </c>
      <c r="EJ165" s="160">
        <f>IF([Chambre]*1='CHAMBRES FILLES 2e ETAGE'!$A$11,1,0)</f>
        <v>0</v>
      </c>
      <c r="EK165" s="160">
        <f>IF([Occurrence3]=0,0,SUM($EJ$2:EJ165))</f>
        <v>0</v>
      </c>
      <c r="EL165" s="160">
        <f>IF([Chambre]*1='CHAMBRES FILLES 2e ETAGE'!$A$17,1,0)</f>
        <v>0</v>
      </c>
      <c r="EM165" s="160">
        <f>IF([Occurrence4]=0,0,SUM($EL$2:EL165))</f>
        <v>0</v>
      </c>
      <c r="EN165" s="160">
        <f>IF([Chambre]*1='CHAMBRES FILLES 2e ETAGE'!$A$23,1,0)</f>
        <v>0</v>
      </c>
      <c r="EO165" s="160">
        <f>IF([Occurrence5]=0,0,SUM($EN$2:EN165))</f>
        <v>0</v>
      </c>
      <c r="EP165" s="160">
        <f>IF([Chambre]*1='CHAMBRES FILLES 2e ETAGE'!$A$29,1,0)</f>
        <v>0</v>
      </c>
      <c r="EQ165" s="160">
        <f>IF([Occurrence6]=0,0,SUM($EP$2:EP165))</f>
        <v>0</v>
      </c>
      <c r="ER165" s="160">
        <f>IF([Chambre]*1='CHAMBRES FILLES 2e ETAGE'!$A$35,1,0)</f>
        <v>0</v>
      </c>
      <c r="ES165" s="160">
        <f>IF([Occurrence7]=0,0,SUM($ER$2:ER165))</f>
        <v>0</v>
      </c>
      <c r="ET165" s="160">
        <f>IF([Chambre]*1='CHAMBRES FILLES 2e ETAGE'!$A$41,1,0)</f>
        <v>0</v>
      </c>
      <c r="EU165" s="160">
        <f>IF([Occurrence8]=0,0,SUM($ET$2:ET165))</f>
        <v>0</v>
      </c>
      <c r="EV165" s="160">
        <f>IF([Chambre]*1='CHAMBRES FILLES 2e ETAGE'!$A$47,1,0)</f>
        <v>0</v>
      </c>
      <c r="EW165" s="160">
        <f>IF([Occurrence9]=0,0,SUM($EV$2:EV165))</f>
        <v>0</v>
      </c>
      <c r="EX165" s="160">
        <f>IF([Chambre]*1='CHAMBRES FILLES 2e ETAGE'!$A$53,1,0)</f>
        <v>0</v>
      </c>
      <c r="EY165" s="160">
        <f>IF([Occurrence10]=0,0,SUM($EX$2:EX165))</f>
        <v>0</v>
      </c>
      <c r="EZ165" s="160">
        <f>IF([Chambre]*1='CHAMBRES FILLES 2e ETAGE'!$A$59,1,0)</f>
        <v>0</v>
      </c>
      <c r="FA165" s="160">
        <f>IF([Occurrence11]=0,0,SUM($EZ$2:EZ165))</f>
        <v>0</v>
      </c>
      <c r="FB165" s="160">
        <f>IF([Chambre]*1='CHAMBRES FILLES 2e ETAGE'!$A$65,1,0)</f>
        <v>0</v>
      </c>
      <c r="FC165" s="160">
        <f>IF([Occurrence12]=0,0,SUM($FB$2:FB165))</f>
        <v>0</v>
      </c>
      <c r="FD165" s="160">
        <f>IF([Chambre]*1='CHAMBRES FILLES 2e ETAGE'!$A$71,1,0)</f>
        <v>0</v>
      </c>
      <c r="FE165" s="160">
        <f>IF([Occurrence13]=0,0,SUM($FD$2:FD165))</f>
        <v>0</v>
      </c>
      <c r="FF165" s="160">
        <f>IF([Chambre]*1='CHAMBRES FILLES 2e ETAGE'!$A$77,1,0)</f>
        <v>0</v>
      </c>
      <c r="FG165" s="160">
        <f>IF([Occurrence14]=0,0,SUM($FF$2:FF165))</f>
        <v>0</v>
      </c>
      <c r="FH165" s="160">
        <f>IF([Chambre]*1='CHAMBRES FILLES 2e ETAGE'!$A$83,1,0)</f>
        <v>0</v>
      </c>
      <c r="FI165" s="160">
        <f>IF([Occurrence15]=0,0,SUM($FH$2:FH165))</f>
        <v>0</v>
      </c>
      <c r="FJ165" s="160">
        <f>IF([Chambre]*1='CHAMBRES FILLES 2e ETAGE'!$A$89,1,0)</f>
        <v>0</v>
      </c>
      <c r="FK165" s="160">
        <f>IF([Occurrence16]=0,0,SUM($FJ$2:FJ165))</f>
        <v>0</v>
      </c>
      <c r="FL165" s="160">
        <f>IF([Chambre]*1='CHAMBRES FILLES 2e ETAGE'!$A$95,1,0)</f>
        <v>0</v>
      </c>
      <c r="FM165" s="160">
        <f>IF([Occurrence17]=0,0,SUM($FL$2:FL165))</f>
        <v>0</v>
      </c>
      <c r="FN165" s="160">
        <f>IF([Chambre2]*1='CHAMBRES FILLES 1e ETAGE'!$A$5,1,0)</f>
        <v>0</v>
      </c>
      <c r="FO165" s="160">
        <f>IF([Occurrence18]=0,0,SUM($FN$2:FN165))</f>
        <v>0</v>
      </c>
      <c r="FP165" s="160">
        <f>IF([Chambre2]*1='CHAMBRES FILLES 1e ETAGE'!$A$11,1,0)</f>
        <v>0</v>
      </c>
      <c r="FQ165" s="160">
        <f>IF([Occurrence19]=0,0,SUM($FP$2:FP165))</f>
        <v>0</v>
      </c>
      <c r="FR165" s="160">
        <f>IF([Chambre2]*1='CHAMBRES FILLES 1e ETAGE'!$A$17,1,0)</f>
        <v>0</v>
      </c>
      <c r="FS165" s="160">
        <f>IF([Occurrence20]=0,0,SUM($FR$2:FR165))</f>
        <v>0</v>
      </c>
      <c r="FT165" s="160">
        <f>IF([Chambre2]*1='CHAMBRES FILLES 1e ETAGE'!$A$23,1,0)</f>
        <v>0</v>
      </c>
      <c r="FU165" s="160">
        <f>IF([Occurrence21]=0,0,SUM($FT$2:FT165))</f>
        <v>0</v>
      </c>
      <c r="FV165" s="160">
        <f>IF([Chambre2]*1='CHAMBRES FILLES 1e ETAGE'!$A$29,1,0)</f>
        <v>1</v>
      </c>
      <c r="FW165" s="160">
        <f>IF([Occurrence22]=0,0,SUM($FV$2:FV165))</f>
        <v>3</v>
      </c>
      <c r="FX165" s="160">
        <f>IF([Chambre2]*1='CHAMBRES FILLES 1e ETAGE'!$A$35,1,0)</f>
        <v>0</v>
      </c>
      <c r="FY165" s="160">
        <f>IF([Occurrence23]=0,0,SUM($FX$2:FX165))</f>
        <v>0</v>
      </c>
      <c r="FZ165" s="160">
        <f>IF([Chambre2]*1='CHAMBRES FILLES 1e ETAGE'!$A$41,1,0)</f>
        <v>0</v>
      </c>
      <c r="GA165" s="160">
        <f>IF([Occurrence24]=0,0,SUM($FZ$2:FZ165))</f>
        <v>0</v>
      </c>
      <c r="GB165" s="160">
        <f>IF([Chambre2]*1='CHAMBRES FILLES 1e ETAGE'!$A$47,1,0)</f>
        <v>0</v>
      </c>
      <c r="GC165" s="160">
        <f>IF([Occurrence25]=0,0,SUM($GB$2:GB165))</f>
        <v>0</v>
      </c>
      <c r="GD165" s="160">
        <f>IF([Chambre2]*1='CHAMBRES FILLES 1e ETAGE'!$A$53,1,0)</f>
        <v>0</v>
      </c>
      <c r="GE165" s="160">
        <f>IF([Occurrence26]=0,0,SUM($GD$2:GD165))</f>
        <v>0</v>
      </c>
      <c r="GF165" s="160">
        <f>IF([chambre4]*1='CHAMBRES GARCONS 1e ETAGE'!$A$5,1,0)</f>
        <v>0</v>
      </c>
      <c r="GG165" s="160">
        <f>IF([Occurrence27]=0,0,SUM($GF$2:GF165))</f>
        <v>0</v>
      </c>
      <c r="GH165" s="160">
        <f>IF([chambre4]*1='CHAMBRES GARCONS 1e ETAGE'!$A$11,1,0)</f>
        <v>0</v>
      </c>
      <c r="GI165" s="160">
        <f>IF([Occurrence28]=0,0,SUM($GH$2:GH165))</f>
        <v>0</v>
      </c>
      <c r="GJ165" s="160">
        <f>IF([chambre4]*1='CHAMBRES GARCONS 1e ETAGE'!$A$17,1,0)</f>
        <v>0</v>
      </c>
      <c r="GK165" s="160">
        <f>IF([Occurrence29]=0,0,SUM($GJ$2:GJ165))</f>
        <v>0</v>
      </c>
      <c r="GL165" s="160">
        <f>IF([chambre4]*1='CHAMBRES GARCONS 1e ETAGE'!$A$23,1,0)</f>
        <v>0</v>
      </c>
      <c r="GM165" s="160">
        <f>IF([Occurrence30]=0,0,SUM($GL$2:GL165))</f>
        <v>0</v>
      </c>
      <c r="GN165" s="160">
        <f>IF([chambre4]*1='CHAMBRES GARCONS 1e ETAGE'!$A$29,1,0)</f>
        <v>0</v>
      </c>
      <c r="GO165" s="160">
        <f>IF([Occurrence31]=0,0,SUM($GN$2:GN165))</f>
        <v>0</v>
      </c>
      <c r="GP165" s="160">
        <f>IF([chambre4]*1='CHAMBRES GARCONS 1e ETAGE'!$A$35,1,0)</f>
        <v>0</v>
      </c>
      <c r="GQ165" s="160">
        <f>IF([Occurrence32]=0,0,SUM($GP$2:GP165))</f>
        <v>0</v>
      </c>
      <c r="GR165" s="160">
        <f>IF([chambre3]*1='CHAMBRES GARCONS RDC'!$A$5,1,0)</f>
        <v>0</v>
      </c>
      <c r="GS165" s="160">
        <f>IF([Occurrence33]=0,0,SUM($GR$2:GR165))</f>
        <v>0</v>
      </c>
      <c r="GT165" s="160">
        <f>IF([chambre3]*1='CHAMBRES GARCONS RDC'!$A$11,1,0)</f>
        <v>0</v>
      </c>
      <c r="GU165" s="160">
        <f>IF([Occurrence34]=0,0,SUM($GT$2:GT165))</f>
        <v>0</v>
      </c>
      <c r="GV165" s="160">
        <f>IF([chambre3]*1='CHAMBRES GARCONS RDC'!$A$17,1,0)</f>
        <v>0</v>
      </c>
      <c r="GW165" s="160">
        <f>IF([Occurrence35]=0,0,SUM($GV$2:GV165))</f>
        <v>0</v>
      </c>
      <c r="GX165" s="160">
        <f>IF([chambre3]*1='CHAMBRES GARCONS RDC'!$A$23,1,0)</f>
        <v>0</v>
      </c>
      <c r="GY165" s="160">
        <f>IF([Occurrence36]=0,0,SUM($GX$2:GX165))</f>
        <v>0</v>
      </c>
      <c r="GZ165" s="160">
        <f>IF([chambre3]*1='CHAMBRES GARCONS RDC'!$A$29,1,0)</f>
        <v>0</v>
      </c>
      <c r="HA165" s="160">
        <f>IF([Occurrence37]=0,0,SUM($GZ$2:GZ165))</f>
        <v>0</v>
      </c>
      <c r="HB165" s="160">
        <f>IF([chambre3]*1='CHAMBRES GARCONS RDC'!$A$35,1,0)</f>
        <v>0</v>
      </c>
      <c r="HC165" s="160">
        <f>IF([Occurrence38]=0,0,SUM($HB$2:HB165))</f>
        <v>0</v>
      </c>
      <c r="HD165" s="160">
        <f>IF([chambre3]*1='CHAMBRES GARCONS RDC'!$A$41,1,0)</f>
        <v>0</v>
      </c>
      <c r="HE165" s="160">
        <f>IF([Occurrence39]=0,0,SUM($HD$2:HD165))</f>
        <v>0</v>
      </c>
      <c r="HF165" s="160">
        <f>IF([chambre3]*1='CHAMBRES GARCONS RDC'!$A$47,1,0)</f>
        <v>0</v>
      </c>
      <c r="HG165" s="160">
        <f>IF([Occurrence40]=0,0,SUM($HF$2:HF165))</f>
        <v>0</v>
      </c>
      <c r="HH165" s="160">
        <f>IF([chambre3]*1='CHAMBRES GARCONS RDC'!$A$53,1,0)</f>
        <v>0</v>
      </c>
      <c r="HI165" s="160">
        <f>IF([Occurrence41]=0,0,SUM($HH$2:HH165))</f>
        <v>0</v>
      </c>
      <c r="HJ165" s="160">
        <f>IF([chambre3]*1='CHAMBRES GARCONS RDC'!$A$59,1,0)</f>
        <v>0</v>
      </c>
      <c r="HK165" s="160">
        <f>IF([Occurrence42]=0,0,SUM($HJ$2:HJ165))</f>
        <v>0</v>
      </c>
      <c r="HL165" s="160">
        <f>IF([chambre3]*1='CHAMBRES GARCONS RDC'!$A$65,1,0)</f>
        <v>0</v>
      </c>
      <c r="HM165" s="160">
        <f>IF([Occurrence43]=0,0,SUM($HL$2:HL165))</f>
        <v>0</v>
      </c>
      <c r="HN165" s="160">
        <f>IF([chambre3]*1='CHAMBRES GARCONS RDC'!$A$71,1,0)</f>
        <v>0</v>
      </c>
      <c r="HO165" s="160">
        <f>IF([Occurrence44]=0,0,SUM($HN$2:HN165))</f>
        <v>0</v>
      </c>
      <c r="HP165" s="160">
        <f>IF([chambre3]*1='CHAMBRES GARCONS RDC'!$A$77,1,0)</f>
        <v>0</v>
      </c>
      <c r="HQ165" s="160">
        <f>IF([Occurrence45]=0,0,SUM($HP$2:HP165))</f>
        <v>0</v>
      </c>
      <c r="HR165" s="160">
        <f>IF([chambre3]*1='CHAMBRES GARCONS RDC'!$A$83,1,0)</f>
        <v>0</v>
      </c>
      <c r="HS165" s="160">
        <f>IF([Occurrence46]=0,0,SUM($HR$2:HR165))</f>
        <v>0</v>
      </c>
      <c r="HT165" s="160">
        <f>IF([chambre3]*1='CHAMBRES GARCONS RDC'!$A$89,1,0)</f>
        <v>0</v>
      </c>
      <c r="HU165" s="160">
        <f>IF([Occurrence47]=0,0,SUM($HT$2:HT165))</f>
        <v>0</v>
      </c>
      <c r="HV165" s="160">
        <f>IF([chambre3]*1='CHAMBRES GARCONS RDC'!$A$95,1,0)</f>
        <v>0</v>
      </c>
      <c r="HW165" s="160">
        <f>IF([Occurrence48]=0,0,SUM($HV$2:HV165))</f>
        <v>0</v>
      </c>
      <c r="HX165" s="160"/>
      <c r="HY165" s="160"/>
      <c r="HZ165" s="160">
        <f>IF([Classe]='Liste élève par classes'!$B$5,1,0)</f>
        <v>0</v>
      </c>
      <c r="IA165" s="160">
        <f>IF([Occurrence]=0,0,SUM($HZ$2:HZ165))</f>
        <v>0</v>
      </c>
      <c r="IB16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149</v>
      </c>
      <c r="IC165" s="208"/>
    </row>
    <row r="166" spans="1:237">
      <c r="A166" t="s">
        <v>528</v>
      </c>
      <c r="B166" t="s">
        <v>529</v>
      </c>
      <c r="C166" s="158">
        <v>35382</v>
      </c>
      <c r="D166" s="62">
        <f t="shared" ca="1" si="2"/>
        <v>20</v>
      </c>
      <c r="E166" t="s">
        <v>4</v>
      </c>
      <c r="F166" s="159" t="s">
        <v>46</v>
      </c>
      <c r="G166" t="s">
        <v>40</v>
      </c>
      <c r="H166" s="160"/>
      <c r="I166" s="62"/>
      <c r="J166" s="62"/>
      <c r="K166" s="62"/>
      <c r="L166" s="61"/>
      <c r="M166" s="62"/>
      <c r="N166" s="62"/>
      <c r="O166" s="62"/>
      <c r="P166" s="62"/>
      <c r="Q166" s="62"/>
      <c r="R166" s="62"/>
      <c r="S166" s="62"/>
      <c r="T166" s="62"/>
      <c r="U166" s="61"/>
      <c r="V166" s="62"/>
      <c r="W166" s="62"/>
      <c r="X166" s="62"/>
      <c r="Y166" s="62"/>
      <c r="Z166" s="62"/>
      <c r="AA166" s="62"/>
      <c r="AB166" s="62"/>
      <c r="AC166" s="62"/>
      <c r="AD166" s="62"/>
      <c r="AE166" s="62"/>
      <c r="AF166" s="163"/>
      <c r="AG166" s="163"/>
      <c r="AH166" s="163"/>
      <c r="AI166" s="163"/>
      <c r="AJ166" s="163"/>
      <c r="AK166" s="163"/>
      <c r="AL166" s="163"/>
      <c r="AM166" s="163"/>
      <c r="AN166" s="163"/>
      <c r="AO166" s="163"/>
      <c r="AP166" s="163"/>
      <c r="AQ166" s="163"/>
      <c r="AR166" s="163"/>
      <c r="AS166" s="163"/>
      <c r="AT166" s="163"/>
      <c r="AU166" s="163"/>
      <c r="AV166" s="163"/>
      <c r="AW166" s="163"/>
      <c r="AX166" s="163"/>
      <c r="AY166" s="163"/>
      <c r="AZ166" s="163"/>
      <c r="BA166" s="163"/>
      <c r="BB166" s="163"/>
      <c r="BC166" s="163" t="b">
        <v>0</v>
      </c>
      <c r="BD166" s="163" t="b">
        <v>0</v>
      </c>
      <c r="BE166" s="163" t="b">
        <v>0</v>
      </c>
      <c r="BF166" s="163" t="b">
        <v>0</v>
      </c>
      <c r="BG166" s="163" t="b">
        <v>0</v>
      </c>
      <c r="BH166" s="163" t="b">
        <v>0</v>
      </c>
      <c r="BI166" s="163" t="b">
        <v>1</v>
      </c>
      <c r="BJ166" s="163" t="b">
        <v>0</v>
      </c>
      <c r="BK166" s="163" t="b">
        <v>0</v>
      </c>
      <c r="BL166" s="163" t="b">
        <v>0</v>
      </c>
      <c r="BM166" s="163"/>
      <c r="BN166" s="163"/>
      <c r="BO166" s="163"/>
      <c r="BP166" s="163"/>
      <c r="BQ166" s="163"/>
      <c r="BR166" s="163"/>
      <c r="BS166" s="163"/>
      <c r="BT166" s="163"/>
      <c r="BU166" s="163"/>
      <c r="BV166" s="163"/>
      <c r="BW166" s="163"/>
      <c r="BX166" s="163"/>
      <c r="BY166" s="163"/>
      <c r="BZ166" s="163"/>
      <c r="CA166" s="163"/>
      <c r="CB166" s="163"/>
      <c r="CC166" s="163"/>
      <c r="CD166" s="163"/>
      <c r="CE166" s="163"/>
      <c r="CF166" s="163"/>
      <c r="CG166" s="163"/>
      <c r="CH166" s="163"/>
      <c r="CI166" s="163"/>
      <c r="CJ166" s="163"/>
      <c r="CK166" s="163"/>
      <c r="CL166" s="163"/>
      <c r="CM166" s="163"/>
      <c r="CN166" s="163"/>
      <c r="CO166" s="163"/>
      <c r="CP166" s="163"/>
      <c r="CQ166" s="163"/>
      <c r="CR166" s="163"/>
      <c r="CS166" s="163"/>
      <c r="CT166" s="163"/>
      <c r="CU166" s="163"/>
      <c r="CV166" s="163"/>
      <c r="CW166" s="163"/>
      <c r="CX166" s="163"/>
      <c r="CY166" s="163"/>
      <c r="CZ166" s="163"/>
      <c r="DA166" s="163"/>
      <c r="DB166" s="163"/>
      <c r="DC166" s="163"/>
      <c r="DD166" s="163"/>
      <c r="DE166" s="163"/>
      <c r="DF166" s="163"/>
      <c r="DG166" s="163"/>
      <c r="DH166" s="163"/>
      <c r="DI166" s="163"/>
      <c r="DJ166" s="163"/>
      <c r="DK166" s="163"/>
      <c r="DL166" s="163"/>
      <c r="DM166" s="163"/>
      <c r="DN166" s="163"/>
      <c r="DO166" s="163"/>
      <c r="DP166" s="163"/>
      <c r="DQ166" s="163"/>
      <c r="DR166" s="163"/>
      <c r="DS166" s="163"/>
      <c r="DT166" s="163"/>
      <c r="DU166" s="163"/>
      <c r="DV166" s="163"/>
      <c r="DW166" s="163"/>
      <c r="DX166" s="163"/>
      <c r="DY166" s="163"/>
      <c r="DZ166" s="163"/>
      <c r="EA166" s="163"/>
      <c r="EB166" s="163"/>
      <c r="EC166" s="163"/>
      <c r="ED166" s="163"/>
      <c r="EE166" s="163"/>
      <c r="EF166" s="163"/>
      <c r="EG166" s="163"/>
      <c r="EH166" s="160">
        <f>IF([Chambre]*1='CHAMBRES FILLES 2e ETAGE'!$A$5,1,0)</f>
        <v>0</v>
      </c>
      <c r="EI166" s="161">
        <f>IF([Occurrence2]=0,0,SUM($EH$2:EH166))</f>
        <v>0</v>
      </c>
      <c r="EJ166" s="160">
        <f>IF([Chambre]*1='CHAMBRES FILLES 2e ETAGE'!$A$11,1,0)</f>
        <v>0</v>
      </c>
      <c r="EK166" s="160">
        <f>IF([Occurrence3]=0,0,SUM($EJ$2:EJ166))</f>
        <v>0</v>
      </c>
      <c r="EL166" s="160">
        <f>IF([Chambre]*1='CHAMBRES FILLES 2e ETAGE'!$A$17,1,0)</f>
        <v>0</v>
      </c>
      <c r="EM166" s="160">
        <f>IF([Occurrence4]=0,0,SUM($EL$2:EL166))</f>
        <v>0</v>
      </c>
      <c r="EN166" s="160">
        <f>IF([Chambre]*1='CHAMBRES FILLES 2e ETAGE'!$A$23,1,0)</f>
        <v>0</v>
      </c>
      <c r="EO166" s="160">
        <f>IF([Occurrence5]=0,0,SUM($EN$2:EN166))</f>
        <v>0</v>
      </c>
      <c r="EP166" s="160">
        <f>IF([Chambre]*1='CHAMBRES FILLES 2e ETAGE'!$A$29,1,0)</f>
        <v>0</v>
      </c>
      <c r="EQ166" s="160">
        <f>IF([Occurrence6]=0,0,SUM($EP$2:EP166))</f>
        <v>0</v>
      </c>
      <c r="ER166" s="160">
        <f>IF([Chambre]*1='CHAMBRES FILLES 2e ETAGE'!$A$35,1,0)</f>
        <v>0</v>
      </c>
      <c r="ES166" s="160">
        <f>IF([Occurrence7]=0,0,SUM($ER$2:ER166))</f>
        <v>0</v>
      </c>
      <c r="ET166" s="160">
        <f>IF([Chambre]*1='CHAMBRES FILLES 2e ETAGE'!$A$41,1,0)</f>
        <v>0</v>
      </c>
      <c r="EU166" s="160">
        <f>IF([Occurrence8]=0,0,SUM($ET$2:ET166))</f>
        <v>0</v>
      </c>
      <c r="EV166" s="160">
        <f>IF([Chambre]*1='CHAMBRES FILLES 2e ETAGE'!$A$47,1,0)</f>
        <v>0</v>
      </c>
      <c r="EW166" s="160">
        <f>IF([Occurrence9]=0,0,SUM($EV$2:EV166))</f>
        <v>0</v>
      </c>
      <c r="EX166" s="160">
        <f>IF([Chambre]*1='CHAMBRES FILLES 2e ETAGE'!$A$53,1,0)</f>
        <v>0</v>
      </c>
      <c r="EY166" s="160">
        <f>IF([Occurrence10]=0,0,SUM($EX$2:EX166))</f>
        <v>0</v>
      </c>
      <c r="EZ166" s="160">
        <f>IF([Chambre]*1='CHAMBRES FILLES 2e ETAGE'!$A$59,1,0)</f>
        <v>0</v>
      </c>
      <c r="FA166" s="160">
        <f>IF([Occurrence11]=0,0,SUM($EZ$2:EZ166))</f>
        <v>0</v>
      </c>
      <c r="FB166" s="160">
        <f>IF([Chambre]*1='CHAMBRES FILLES 2e ETAGE'!$A$65,1,0)</f>
        <v>0</v>
      </c>
      <c r="FC166" s="160">
        <f>IF([Occurrence12]=0,0,SUM($FB$2:FB166))</f>
        <v>0</v>
      </c>
      <c r="FD166" s="160">
        <f>IF([Chambre]*1='CHAMBRES FILLES 2e ETAGE'!$A$71,1,0)</f>
        <v>0</v>
      </c>
      <c r="FE166" s="160">
        <f>IF([Occurrence13]=0,0,SUM($FD$2:FD166))</f>
        <v>0</v>
      </c>
      <c r="FF166" s="160">
        <f>IF([Chambre]*1='CHAMBRES FILLES 2e ETAGE'!$A$77,1,0)</f>
        <v>0</v>
      </c>
      <c r="FG166" s="160">
        <f>IF([Occurrence14]=0,0,SUM($FF$2:FF166))</f>
        <v>0</v>
      </c>
      <c r="FH166" s="160">
        <f>IF([Chambre]*1='CHAMBRES FILLES 2e ETAGE'!$A$83,1,0)</f>
        <v>0</v>
      </c>
      <c r="FI166" s="160">
        <f>IF([Occurrence15]=0,0,SUM($FH$2:FH166))</f>
        <v>0</v>
      </c>
      <c r="FJ166" s="160">
        <f>IF([Chambre]*1='CHAMBRES FILLES 2e ETAGE'!$A$89,1,0)</f>
        <v>0</v>
      </c>
      <c r="FK166" s="160">
        <f>IF([Occurrence16]=0,0,SUM($FJ$2:FJ166))</f>
        <v>0</v>
      </c>
      <c r="FL166" s="160">
        <f>IF([Chambre]*1='CHAMBRES FILLES 2e ETAGE'!$A$95,1,0)</f>
        <v>0</v>
      </c>
      <c r="FM166" s="160">
        <f>IF([Occurrence17]=0,0,SUM($FL$2:FL166))</f>
        <v>0</v>
      </c>
      <c r="FN166" s="160">
        <f>IF([Chambre2]*1='CHAMBRES FILLES 1e ETAGE'!$A$5,1,0)</f>
        <v>0</v>
      </c>
      <c r="FO166" s="160">
        <f>IF([Occurrence18]=0,0,SUM($FN$2:FN166))</f>
        <v>0</v>
      </c>
      <c r="FP166" s="160">
        <f>IF([Chambre2]*1='CHAMBRES FILLES 1e ETAGE'!$A$11,1,0)</f>
        <v>0</v>
      </c>
      <c r="FQ166" s="160">
        <f>IF([Occurrence19]=0,0,SUM($FP$2:FP166))</f>
        <v>0</v>
      </c>
      <c r="FR166" s="160">
        <f>IF([Chambre2]*1='CHAMBRES FILLES 1e ETAGE'!$A$17,1,0)</f>
        <v>0</v>
      </c>
      <c r="FS166" s="160">
        <f>IF([Occurrence20]=0,0,SUM($FR$2:FR166))</f>
        <v>0</v>
      </c>
      <c r="FT166" s="160">
        <f>IF([Chambre2]*1='CHAMBRES FILLES 1e ETAGE'!$A$23,1,0)</f>
        <v>0</v>
      </c>
      <c r="FU166" s="160">
        <f>IF([Occurrence21]=0,0,SUM($FT$2:FT166))</f>
        <v>0</v>
      </c>
      <c r="FV166" s="160">
        <f>IF([Chambre2]*1='CHAMBRES FILLES 1e ETAGE'!$A$29,1,0)</f>
        <v>0</v>
      </c>
      <c r="FW166" s="160">
        <f>IF([Occurrence22]=0,0,SUM($FV$2:FV166))</f>
        <v>0</v>
      </c>
      <c r="FX166" s="160">
        <f>IF([Chambre2]*1='CHAMBRES FILLES 1e ETAGE'!$A$35,1,0)</f>
        <v>0</v>
      </c>
      <c r="FY166" s="160">
        <f>IF([Occurrence23]=0,0,SUM($FX$2:FX166))</f>
        <v>0</v>
      </c>
      <c r="FZ166" s="160">
        <f>IF([Chambre2]*1='CHAMBRES FILLES 1e ETAGE'!$A$41,1,0)</f>
        <v>0</v>
      </c>
      <c r="GA166" s="160">
        <f>IF([Occurrence24]=0,0,SUM($FZ$2:FZ166))</f>
        <v>0</v>
      </c>
      <c r="GB166" s="160">
        <f>IF([Chambre2]*1='CHAMBRES FILLES 1e ETAGE'!$A$47,1,0)</f>
        <v>0</v>
      </c>
      <c r="GC166" s="160">
        <f>IF([Occurrence25]=0,0,SUM($GB$2:GB166))</f>
        <v>0</v>
      </c>
      <c r="GD166" s="160">
        <f>IF([Chambre2]*1='CHAMBRES FILLES 1e ETAGE'!$A$53,1,0)</f>
        <v>0</v>
      </c>
      <c r="GE166" s="160">
        <f>IF([Occurrence26]=0,0,SUM($GD$2:GD166))</f>
        <v>0</v>
      </c>
      <c r="GF166" s="160">
        <f>IF([chambre4]*1='CHAMBRES GARCONS 1e ETAGE'!$A$5,1,0)</f>
        <v>0</v>
      </c>
      <c r="GG166" s="160">
        <f>IF([Occurrence27]=0,0,SUM($GF$2:GF166))</f>
        <v>0</v>
      </c>
      <c r="GH166" s="160">
        <f>IF([chambre4]*1='CHAMBRES GARCONS 1e ETAGE'!$A$11,1,0)</f>
        <v>0</v>
      </c>
      <c r="GI166" s="160">
        <f>IF([Occurrence28]=0,0,SUM($GH$2:GH166))</f>
        <v>0</v>
      </c>
      <c r="GJ166" s="160">
        <f>IF([chambre4]*1='CHAMBRES GARCONS 1e ETAGE'!$A$17,1,0)</f>
        <v>0</v>
      </c>
      <c r="GK166" s="160">
        <f>IF([Occurrence29]=0,0,SUM($GJ$2:GJ166))</f>
        <v>0</v>
      </c>
      <c r="GL166" s="160">
        <f>IF([chambre4]*1='CHAMBRES GARCONS 1e ETAGE'!$A$23,1,0)</f>
        <v>0</v>
      </c>
      <c r="GM166" s="160">
        <f>IF([Occurrence30]=0,0,SUM($GL$2:GL166))</f>
        <v>0</v>
      </c>
      <c r="GN166" s="160">
        <f>IF([chambre4]*1='CHAMBRES GARCONS 1e ETAGE'!$A$29,1,0)</f>
        <v>0</v>
      </c>
      <c r="GO166" s="160">
        <f>IF([Occurrence31]=0,0,SUM($GN$2:GN166))</f>
        <v>0</v>
      </c>
      <c r="GP166" s="160">
        <f>IF([chambre4]*1='CHAMBRES GARCONS 1e ETAGE'!$A$35,1,0)</f>
        <v>0</v>
      </c>
      <c r="GQ166" s="160">
        <f>IF([Occurrence32]=0,0,SUM($GP$2:GP166))</f>
        <v>0</v>
      </c>
      <c r="GR166" s="160">
        <f>IF([chambre3]*1='CHAMBRES GARCONS RDC'!$A$5,1,0)</f>
        <v>0</v>
      </c>
      <c r="GS166" s="160">
        <f>IF([Occurrence33]=0,0,SUM($GR$2:GR166))</f>
        <v>0</v>
      </c>
      <c r="GT166" s="160">
        <f>IF([chambre3]*1='CHAMBRES GARCONS RDC'!$A$11,1,0)</f>
        <v>0</v>
      </c>
      <c r="GU166" s="160">
        <f>IF([Occurrence34]=0,0,SUM($GT$2:GT166))</f>
        <v>0</v>
      </c>
      <c r="GV166" s="160">
        <f>IF([chambre3]*1='CHAMBRES GARCONS RDC'!$A$17,1,0)</f>
        <v>0</v>
      </c>
      <c r="GW166" s="160">
        <f>IF([Occurrence35]=0,0,SUM($GV$2:GV166))</f>
        <v>0</v>
      </c>
      <c r="GX166" s="160">
        <f>IF([chambre3]*1='CHAMBRES GARCONS RDC'!$A$23,1,0)</f>
        <v>0</v>
      </c>
      <c r="GY166" s="160">
        <f>IF([Occurrence36]=0,0,SUM($GX$2:GX166))</f>
        <v>0</v>
      </c>
      <c r="GZ166" s="160">
        <f>IF([chambre3]*1='CHAMBRES GARCONS RDC'!$A$29,1,0)</f>
        <v>0</v>
      </c>
      <c r="HA166" s="160">
        <f>IF([Occurrence37]=0,0,SUM($GZ$2:GZ166))</f>
        <v>0</v>
      </c>
      <c r="HB166" s="160">
        <f>IF([chambre3]*1='CHAMBRES GARCONS RDC'!$A$35,1,0)</f>
        <v>0</v>
      </c>
      <c r="HC166" s="160">
        <f>IF([Occurrence38]=0,0,SUM($HB$2:HB166))</f>
        <v>0</v>
      </c>
      <c r="HD166" s="160">
        <f>IF([chambre3]*1='CHAMBRES GARCONS RDC'!$A$41,1,0)</f>
        <v>0</v>
      </c>
      <c r="HE166" s="160">
        <f>IF([Occurrence39]=0,0,SUM($HD$2:HD166))</f>
        <v>0</v>
      </c>
      <c r="HF166" s="160">
        <f>IF([chambre3]*1='CHAMBRES GARCONS RDC'!$A$47,1,0)</f>
        <v>0</v>
      </c>
      <c r="HG166" s="160">
        <f>IF([Occurrence40]=0,0,SUM($HF$2:HF166))</f>
        <v>0</v>
      </c>
      <c r="HH166" s="160">
        <f>IF([chambre3]*1='CHAMBRES GARCONS RDC'!$A$53,1,0)</f>
        <v>0</v>
      </c>
      <c r="HI166" s="160">
        <f>IF([Occurrence41]=0,0,SUM($HH$2:HH166))</f>
        <v>0</v>
      </c>
      <c r="HJ166" s="160">
        <f>IF([chambre3]*1='CHAMBRES GARCONS RDC'!$A$59,1,0)</f>
        <v>0</v>
      </c>
      <c r="HK166" s="160">
        <f>IF([Occurrence42]=0,0,SUM($HJ$2:HJ166))</f>
        <v>0</v>
      </c>
      <c r="HL166" s="160">
        <f>IF([chambre3]*1='CHAMBRES GARCONS RDC'!$A$65,1,0)</f>
        <v>0</v>
      </c>
      <c r="HM166" s="160">
        <f>IF([Occurrence43]=0,0,SUM($HL$2:HL166))</f>
        <v>0</v>
      </c>
      <c r="HN166" s="160">
        <f>IF([chambre3]*1='CHAMBRES GARCONS RDC'!$A$71,1,0)</f>
        <v>0</v>
      </c>
      <c r="HO166" s="160">
        <f>IF([Occurrence44]=0,0,SUM($HN$2:HN166))</f>
        <v>0</v>
      </c>
      <c r="HP166" s="160">
        <f>IF([chambre3]*1='CHAMBRES GARCONS RDC'!$A$77,1,0)</f>
        <v>0</v>
      </c>
      <c r="HQ166" s="160">
        <f>IF([Occurrence45]=0,0,SUM($HP$2:HP166))</f>
        <v>0</v>
      </c>
      <c r="HR166" s="160">
        <f>IF([chambre3]*1='CHAMBRES GARCONS RDC'!$A$83,1,0)</f>
        <v>0</v>
      </c>
      <c r="HS166" s="160">
        <f>IF([Occurrence46]=0,0,SUM($HR$2:HR166))</f>
        <v>0</v>
      </c>
      <c r="HT166" s="160">
        <f>IF([chambre3]*1='CHAMBRES GARCONS RDC'!$A$89,1,0)</f>
        <v>0</v>
      </c>
      <c r="HU166" s="160">
        <f>IF([Occurrence47]=0,0,SUM($HT$2:HT166))</f>
        <v>0</v>
      </c>
      <c r="HV166" s="160">
        <f>IF([chambre3]*1='CHAMBRES GARCONS RDC'!$A$95,1,0)</f>
        <v>0</v>
      </c>
      <c r="HW166" s="160">
        <f>IF([Occurrence48]=0,0,SUM($HV$2:HV166))</f>
        <v>0</v>
      </c>
      <c r="HX166" s="160"/>
      <c r="HY166" s="160"/>
      <c r="HZ166" s="160">
        <f>IF([Classe]='Liste élève par classes'!$B$5,1,0)</f>
        <v>0</v>
      </c>
      <c r="IA166" s="160">
        <f>IF([Occurrence]=0,0,SUM($HZ$2:HZ166))</f>
        <v>0</v>
      </c>
      <c r="IB16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66" s="208"/>
    </row>
    <row r="167" spans="1:237">
      <c r="A167" t="s">
        <v>530</v>
      </c>
      <c r="B167" t="s">
        <v>531</v>
      </c>
      <c r="C167" s="158">
        <v>37112</v>
      </c>
      <c r="D167" s="62">
        <f t="shared" ca="1" si="2"/>
        <v>16</v>
      </c>
      <c r="E167" t="s">
        <v>8</v>
      </c>
      <c r="F167" s="159" t="s">
        <v>46</v>
      </c>
      <c r="G167" t="s">
        <v>40</v>
      </c>
      <c r="H167" s="160"/>
      <c r="I167" s="62"/>
      <c r="J167" s="62"/>
      <c r="K167" s="62"/>
      <c r="L167" s="61"/>
      <c r="M167">
        <v>104</v>
      </c>
      <c r="N167" s="62"/>
      <c r="O167" s="62"/>
      <c r="P167" s="62"/>
      <c r="Q167" s="62"/>
      <c r="R167" s="62"/>
      <c r="S167" s="62"/>
      <c r="T167" s="62"/>
      <c r="U167" s="61"/>
      <c r="V167" s="62"/>
      <c r="W167" s="62"/>
      <c r="X167" s="62"/>
      <c r="Y167" s="62"/>
      <c r="Z167" s="62"/>
      <c r="AA167" s="62"/>
      <c r="AB167" s="62"/>
      <c r="AC167" s="62"/>
      <c r="AD167" s="62"/>
      <c r="AE167" s="62"/>
      <c r="AF167" s="163"/>
      <c r="AG167" s="163"/>
      <c r="AH167" s="163"/>
      <c r="AI167" s="163"/>
      <c r="AJ167" s="163"/>
      <c r="AK167" s="163"/>
      <c r="AL167" s="163"/>
      <c r="AM167" s="163"/>
      <c r="AN167" s="163"/>
      <c r="AO167" s="163"/>
      <c r="AP167" s="163"/>
      <c r="AQ167" s="163"/>
      <c r="AR167" s="163"/>
      <c r="AS167" s="163"/>
      <c r="AT167" s="163"/>
      <c r="AU167" s="163"/>
      <c r="AV167" s="163"/>
      <c r="AW167" s="163"/>
      <c r="AX167" s="163"/>
      <c r="AY167" s="163"/>
      <c r="AZ167" s="163"/>
      <c r="BA167" s="163"/>
      <c r="BB167" s="163"/>
      <c r="BC167" s="163"/>
      <c r="BD167" s="163"/>
      <c r="BE167" s="163"/>
      <c r="BF167" s="163"/>
      <c r="BG167" s="163"/>
      <c r="BH167" s="163"/>
      <c r="BI167" s="163"/>
      <c r="BJ167" s="163"/>
      <c r="BK167" s="163"/>
      <c r="BL167" s="163"/>
      <c r="BM167" s="163"/>
      <c r="BN167" s="163"/>
      <c r="BO167" s="163"/>
      <c r="BP167" s="163"/>
      <c r="BQ167" s="163"/>
      <c r="BR167" s="163"/>
      <c r="BS167" s="163"/>
      <c r="BT167" s="163"/>
      <c r="BU167" s="163"/>
      <c r="BV167" s="163"/>
      <c r="BW167" s="163"/>
      <c r="BX167" s="163"/>
      <c r="BY167" s="163"/>
      <c r="BZ167" s="163"/>
      <c r="CA167" s="163"/>
      <c r="CB167" s="163"/>
      <c r="CC167" s="163"/>
      <c r="CD167" s="163"/>
      <c r="CE167" s="163"/>
      <c r="CF167" s="163"/>
      <c r="CG167" s="163"/>
      <c r="CH167" s="163"/>
      <c r="CI167" s="163"/>
      <c r="CJ167" s="163"/>
      <c r="CK167" s="163"/>
      <c r="CL167" s="163"/>
      <c r="CM167" s="163"/>
      <c r="CN167" s="163"/>
      <c r="CO167" s="163"/>
      <c r="CP167" s="163"/>
      <c r="CQ167" s="163"/>
      <c r="CR167" s="163"/>
      <c r="CS167" s="163"/>
      <c r="CT167" s="163"/>
      <c r="CU167" s="163"/>
      <c r="CV167" s="163"/>
      <c r="CW167" s="163"/>
      <c r="CX167" s="163"/>
      <c r="CY167" s="163"/>
      <c r="CZ167" s="163"/>
      <c r="DA167" s="163"/>
      <c r="DB167" s="163"/>
      <c r="DC167" s="163"/>
      <c r="DD167" s="163"/>
      <c r="DE167" s="163"/>
      <c r="DF167" s="163"/>
      <c r="DG167" s="163"/>
      <c r="DH167" s="163"/>
      <c r="DI167" s="163"/>
      <c r="DJ167" s="163"/>
      <c r="DK167" s="163"/>
      <c r="DL167" s="163"/>
      <c r="DM167" s="163"/>
      <c r="DN167" s="163"/>
      <c r="DO167" s="163"/>
      <c r="DP167" s="163"/>
      <c r="DQ167" s="163"/>
      <c r="DR167" s="163"/>
      <c r="DS167" s="163"/>
      <c r="DT167" s="163"/>
      <c r="DU167" s="163"/>
      <c r="DV167" s="163"/>
      <c r="DW167" s="163"/>
      <c r="DX167" s="163"/>
      <c r="DY167" s="163"/>
      <c r="DZ167" s="163"/>
      <c r="EA167" s="163"/>
      <c r="EB167" s="163"/>
      <c r="EC167" s="163"/>
      <c r="ED167" s="163"/>
      <c r="EE167" s="163"/>
      <c r="EF167" s="163"/>
      <c r="EG167" s="163"/>
      <c r="EH167" s="160">
        <f>IF([Chambre]*1='CHAMBRES FILLES 2e ETAGE'!$A$5,1,0)</f>
        <v>0</v>
      </c>
      <c r="EI167" s="161">
        <f>IF([Occurrence2]=0,0,SUM($EH$2:EH167))</f>
        <v>0</v>
      </c>
      <c r="EJ167" s="160">
        <f>IF([Chambre]*1='CHAMBRES FILLES 2e ETAGE'!$A$11,1,0)</f>
        <v>0</v>
      </c>
      <c r="EK167" s="160">
        <f>IF([Occurrence3]=0,0,SUM($EJ$2:EJ167))</f>
        <v>0</v>
      </c>
      <c r="EL167" s="160">
        <f>IF([Chambre]*1='CHAMBRES FILLES 2e ETAGE'!$A$17,1,0)</f>
        <v>0</v>
      </c>
      <c r="EM167" s="160">
        <f>IF([Occurrence4]=0,0,SUM($EL$2:EL167))</f>
        <v>0</v>
      </c>
      <c r="EN167" s="160">
        <f>IF([Chambre]*1='CHAMBRES FILLES 2e ETAGE'!$A$23,1,0)</f>
        <v>0</v>
      </c>
      <c r="EO167" s="160">
        <f>IF([Occurrence5]=0,0,SUM($EN$2:EN167))</f>
        <v>0</v>
      </c>
      <c r="EP167" s="160">
        <f>IF([Chambre]*1='CHAMBRES FILLES 2e ETAGE'!$A$29,1,0)</f>
        <v>0</v>
      </c>
      <c r="EQ167" s="160">
        <f>IF([Occurrence6]=0,0,SUM($EP$2:EP167))</f>
        <v>0</v>
      </c>
      <c r="ER167" s="160">
        <f>IF([Chambre]*1='CHAMBRES FILLES 2e ETAGE'!$A$35,1,0)</f>
        <v>0</v>
      </c>
      <c r="ES167" s="160">
        <f>IF([Occurrence7]=0,0,SUM($ER$2:ER167))</f>
        <v>0</v>
      </c>
      <c r="ET167" s="160">
        <f>IF([Chambre]*1='CHAMBRES FILLES 2e ETAGE'!$A$41,1,0)</f>
        <v>0</v>
      </c>
      <c r="EU167" s="160">
        <f>IF([Occurrence8]=0,0,SUM($ET$2:ET167))</f>
        <v>0</v>
      </c>
      <c r="EV167" s="160">
        <f>IF([Chambre]*1='CHAMBRES FILLES 2e ETAGE'!$A$47,1,0)</f>
        <v>0</v>
      </c>
      <c r="EW167" s="160">
        <f>IF([Occurrence9]=0,0,SUM($EV$2:EV167))</f>
        <v>0</v>
      </c>
      <c r="EX167" s="160">
        <f>IF([Chambre]*1='CHAMBRES FILLES 2e ETAGE'!$A$53,1,0)</f>
        <v>0</v>
      </c>
      <c r="EY167" s="160">
        <f>IF([Occurrence10]=0,0,SUM($EX$2:EX167))</f>
        <v>0</v>
      </c>
      <c r="EZ167" s="160">
        <f>IF([Chambre]*1='CHAMBRES FILLES 2e ETAGE'!$A$59,1,0)</f>
        <v>0</v>
      </c>
      <c r="FA167" s="160">
        <f>IF([Occurrence11]=0,0,SUM($EZ$2:EZ167))</f>
        <v>0</v>
      </c>
      <c r="FB167" s="160">
        <f>IF([Chambre]*1='CHAMBRES FILLES 2e ETAGE'!$A$65,1,0)</f>
        <v>0</v>
      </c>
      <c r="FC167" s="160">
        <f>IF([Occurrence12]=0,0,SUM($FB$2:FB167))</f>
        <v>0</v>
      </c>
      <c r="FD167" s="160">
        <f>IF([Chambre]*1='CHAMBRES FILLES 2e ETAGE'!$A$71,1,0)</f>
        <v>0</v>
      </c>
      <c r="FE167" s="160">
        <f>IF([Occurrence13]=0,0,SUM($FD$2:FD167))</f>
        <v>0</v>
      </c>
      <c r="FF167" s="160">
        <f>IF([Chambre]*1='CHAMBRES FILLES 2e ETAGE'!$A$77,1,0)</f>
        <v>0</v>
      </c>
      <c r="FG167" s="160">
        <f>IF([Occurrence14]=0,0,SUM($FF$2:FF167))</f>
        <v>0</v>
      </c>
      <c r="FH167" s="160">
        <f>IF([Chambre]*1='CHAMBRES FILLES 2e ETAGE'!$A$83,1,0)</f>
        <v>0</v>
      </c>
      <c r="FI167" s="160">
        <f>IF([Occurrence15]=0,0,SUM($FH$2:FH167))</f>
        <v>0</v>
      </c>
      <c r="FJ167" s="160">
        <f>IF([Chambre]*1='CHAMBRES FILLES 2e ETAGE'!$A$89,1,0)</f>
        <v>0</v>
      </c>
      <c r="FK167" s="160">
        <f>IF([Occurrence16]=0,0,SUM($FJ$2:FJ167))</f>
        <v>0</v>
      </c>
      <c r="FL167" s="160">
        <f>IF([Chambre]*1='CHAMBRES FILLES 2e ETAGE'!$A$95,1,0)</f>
        <v>0</v>
      </c>
      <c r="FM167" s="160">
        <f>IF([Occurrence17]=0,0,SUM($FL$2:FL167))</f>
        <v>0</v>
      </c>
      <c r="FN167" s="160">
        <f>IF([Chambre2]*1='CHAMBRES FILLES 1e ETAGE'!$A$5,1,0)</f>
        <v>0</v>
      </c>
      <c r="FO167" s="160">
        <f>IF([Occurrence18]=0,0,SUM($FN$2:FN167))</f>
        <v>0</v>
      </c>
      <c r="FP167" s="160">
        <f>IF([Chambre2]*1='CHAMBRES FILLES 1e ETAGE'!$A$11,1,0)</f>
        <v>0</v>
      </c>
      <c r="FQ167" s="160">
        <f>IF([Occurrence19]=0,0,SUM($FP$2:FP167))</f>
        <v>0</v>
      </c>
      <c r="FR167" s="160">
        <f>IF([Chambre2]*1='CHAMBRES FILLES 1e ETAGE'!$A$17,1,0)</f>
        <v>0</v>
      </c>
      <c r="FS167" s="160">
        <f>IF([Occurrence20]=0,0,SUM($FR$2:FR167))</f>
        <v>0</v>
      </c>
      <c r="FT167" s="160">
        <f>IF([Chambre2]*1='CHAMBRES FILLES 1e ETAGE'!$A$23,1,0)</f>
        <v>0</v>
      </c>
      <c r="FU167" s="160">
        <f>IF([Occurrence21]=0,0,SUM($FT$2:FT167))</f>
        <v>0</v>
      </c>
      <c r="FV167" s="160">
        <f>IF([Chambre2]*1='CHAMBRES FILLES 1e ETAGE'!$A$29,1,0)</f>
        <v>0</v>
      </c>
      <c r="FW167" s="160">
        <f>IF([Occurrence22]=0,0,SUM($FV$2:FV167))</f>
        <v>0</v>
      </c>
      <c r="FX167" s="160">
        <f>IF([Chambre2]*1='CHAMBRES FILLES 1e ETAGE'!$A$35,1,0)</f>
        <v>0</v>
      </c>
      <c r="FY167" s="160">
        <f>IF([Occurrence23]=0,0,SUM($FX$2:FX167))</f>
        <v>0</v>
      </c>
      <c r="FZ167" s="160">
        <f>IF([Chambre2]*1='CHAMBRES FILLES 1e ETAGE'!$A$41,1,0)</f>
        <v>0</v>
      </c>
      <c r="GA167" s="160">
        <f>IF([Occurrence24]=0,0,SUM($FZ$2:FZ167))</f>
        <v>0</v>
      </c>
      <c r="GB167" s="160">
        <f>IF([Chambre2]*1='CHAMBRES FILLES 1e ETAGE'!$A$47,1,0)</f>
        <v>0</v>
      </c>
      <c r="GC167" s="160">
        <f>IF([Occurrence25]=0,0,SUM($GB$2:GB167))</f>
        <v>0</v>
      </c>
      <c r="GD167" s="160">
        <f>IF([Chambre2]*1='CHAMBRES FILLES 1e ETAGE'!$A$53,1,0)</f>
        <v>0</v>
      </c>
      <c r="GE167" s="160">
        <f>IF([Occurrence26]=0,0,SUM($GD$2:GD167))</f>
        <v>0</v>
      </c>
      <c r="GF167" s="160">
        <f>IF([chambre4]*1='CHAMBRES GARCONS 1e ETAGE'!$A$5,1,0)</f>
        <v>0</v>
      </c>
      <c r="GG167" s="160">
        <f>IF([Occurrence27]=0,0,SUM($GF$2:GF167))</f>
        <v>0</v>
      </c>
      <c r="GH167" s="160">
        <f>IF([chambre4]*1='CHAMBRES GARCONS 1e ETAGE'!$A$11,1,0)</f>
        <v>0</v>
      </c>
      <c r="GI167" s="160">
        <f>IF([Occurrence28]=0,0,SUM($GH$2:GH167))</f>
        <v>0</v>
      </c>
      <c r="GJ167" s="160">
        <f>IF([chambre4]*1='CHAMBRES GARCONS 1e ETAGE'!$A$17,1,0)</f>
        <v>0</v>
      </c>
      <c r="GK167" s="160">
        <f>IF([Occurrence29]=0,0,SUM($GJ$2:GJ167))</f>
        <v>0</v>
      </c>
      <c r="GL167" s="160">
        <f>IF([chambre4]*1='CHAMBRES GARCONS 1e ETAGE'!$A$23,1,0)</f>
        <v>0</v>
      </c>
      <c r="GM167" s="160">
        <f>IF([Occurrence30]=0,0,SUM($GL$2:GL167))</f>
        <v>0</v>
      </c>
      <c r="GN167" s="160">
        <f>IF([chambre4]*1='CHAMBRES GARCONS 1e ETAGE'!$A$29,1,0)</f>
        <v>0</v>
      </c>
      <c r="GO167" s="160">
        <f>IF([Occurrence31]=0,0,SUM($GN$2:GN167))</f>
        <v>0</v>
      </c>
      <c r="GP167" s="160">
        <f>IF([chambre4]*1='CHAMBRES GARCONS 1e ETAGE'!$A$35,1,0)</f>
        <v>0</v>
      </c>
      <c r="GQ167" s="160">
        <f>IF([Occurrence32]=0,0,SUM($GP$2:GP167))</f>
        <v>0</v>
      </c>
      <c r="GR167" s="160">
        <f>IF([chambre3]*1='CHAMBRES GARCONS RDC'!$A$5,1,0)</f>
        <v>0</v>
      </c>
      <c r="GS167" s="160">
        <f>IF([Occurrence33]=0,0,SUM($GR$2:GR167))</f>
        <v>0</v>
      </c>
      <c r="GT167" s="160">
        <f>IF([chambre3]*1='CHAMBRES GARCONS RDC'!$A$11,1,0)</f>
        <v>0</v>
      </c>
      <c r="GU167" s="160">
        <f>IF([Occurrence34]=0,0,SUM($GT$2:GT167))</f>
        <v>0</v>
      </c>
      <c r="GV167" s="160">
        <f>IF([chambre3]*1='CHAMBRES GARCONS RDC'!$A$17,1,0)</f>
        <v>0</v>
      </c>
      <c r="GW167" s="160">
        <f>IF([Occurrence35]=0,0,SUM($GV$2:GV167))</f>
        <v>0</v>
      </c>
      <c r="GX167" s="160">
        <f>IF([chambre3]*1='CHAMBRES GARCONS RDC'!$A$23,1,0)</f>
        <v>0</v>
      </c>
      <c r="GY167" s="160">
        <f>IF([Occurrence36]=0,0,SUM($GX$2:GX167))</f>
        <v>0</v>
      </c>
      <c r="GZ167" s="160">
        <f>IF([chambre3]*1='CHAMBRES GARCONS RDC'!$A$29,1,0)</f>
        <v>0</v>
      </c>
      <c r="HA167" s="160">
        <f>IF([Occurrence37]=0,0,SUM($GZ$2:GZ167))</f>
        <v>0</v>
      </c>
      <c r="HB167" s="160">
        <f>IF([chambre3]*1='CHAMBRES GARCONS RDC'!$A$35,1,0)</f>
        <v>0</v>
      </c>
      <c r="HC167" s="160">
        <f>IF([Occurrence38]=0,0,SUM($HB$2:HB167))</f>
        <v>0</v>
      </c>
      <c r="HD167" s="160">
        <f>IF([chambre3]*1='CHAMBRES GARCONS RDC'!$A$41,1,0)</f>
        <v>0</v>
      </c>
      <c r="HE167" s="160">
        <f>IF([Occurrence39]=0,0,SUM($HD$2:HD167))</f>
        <v>0</v>
      </c>
      <c r="HF167" s="160">
        <f>IF([chambre3]*1='CHAMBRES GARCONS RDC'!$A$47,1,0)</f>
        <v>0</v>
      </c>
      <c r="HG167" s="160">
        <f>IF([Occurrence40]=0,0,SUM($HF$2:HF167))</f>
        <v>0</v>
      </c>
      <c r="HH167" s="160">
        <f>IF([chambre3]*1='CHAMBRES GARCONS RDC'!$A$53,1,0)</f>
        <v>0</v>
      </c>
      <c r="HI167" s="160">
        <f>IF([Occurrence41]=0,0,SUM($HH$2:HH167))</f>
        <v>0</v>
      </c>
      <c r="HJ167" s="160">
        <f>IF([chambre3]*1='CHAMBRES GARCONS RDC'!$A$59,1,0)</f>
        <v>0</v>
      </c>
      <c r="HK167" s="160">
        <f>IF([Occurrence42]=0,0,SUM($HJ$2:HJ167))</f>
        <v>0</v>
      </c>
      <c r="HL167" s="160">
        <f>IF([chambre3]*1='CHAMBRES GARCONS RDC'!$A$65,1,0)</f>
        <v>0</v>
      </c>
      <c r="HM167" s="160">
        <f>IF([Occurrence43]=0,0,SUM($HL$2:HL167))</f>
        <v>0</v>
      </c>
      <c r="HN167" s="160">
        <f>IF([chambre3]*1='CHAMBRES GARCONS RDC'!$A$71,1,0)</f>
        <v>0</v>
      </c>
      <c r="HO167" s="160">
        <f>IF([Occurrence44]=0,0,SUM($HN$2:HN167))</f>
        <v>0</v>
      </c>
      <c r="HP167" s="160">
        <f>IF([chambre3]*1='CHAMBRES GARCONS RDC'!$A$77,1,0)</f>
        <v>0</v>
      </c>
      <c r="HQ167" s="160">
        <f>IF([Occurrence45]=0,0,SUM($HP$2:HP167))</f>
        <v>0</v>
      </c>
      <c r="HR167" s="160">
        <f>IF([chambre3]*1='CHAMBRES GARCONS RDC'!$A$83,1,0)</f>
        <v>0</v>
      </c>
      <c r="HS167" s="160">
        <f>IF([Occurrence46]=0,0,SUM($HR$2:HR167))</f>
        <v>0</v>
      </c>
      <c r="HT167" s="160">
        <f>IF([chambre3]*1='CHAMBRES GARCONS RDC'!$A$89,1,0)</f>
        <v>0</v>
      </c>
      <c r="HU167" s="160">
        <f>IF([Occurrence47]=0,0,SUM($HT$2:HT167))</f>
        <v>0</v>
      </c>
      <c r="HV167" s="160">
        <f>IF([chambre3]*1='CHAMBRES GARCONS RDC'!$A$95,1,0)</f>
        <v>0</v>
      </c>
      <c r="HW167" s="160">
        <f>IF([Occurrence48]=0,0,SUM($HV$2:HV167))</f>
        <v>0</v>
      </c>
      <c r="HX167" s="160"/>
      <c r="HY167" s="160"/>
      <c r="HZ167" s="160">
        <f>IF([Classe]='Liste élève par classes'!$B$5,1,0)</f>
        <v>1</v>
      </c>
      <c r="IA167" s="160">
        <f>IF([Occurrence]=0,0,SUM($HZ$2:HZ167))</f>
        <v>10</v>
      </c>
      <c r="IB16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67" s="208"/>
    </row>
    <row r="168" spans="1:237">
      <c r="A168" t="s">
        <v>532</v>
      </c>
      <c r="B168" t="s">
        <v>497</v>
      </c>
      <c r="C168" s="158">
        <v>37544</v>
      </c>
      <c r="D168" s="62">
        <f t="shared" ca="1" si="2"/>
        <v>15</v>
      </c>
      <c r="E168" t="s">
        <v>5</v>
      </c>
      <c r="F168" s="159" t="s">
        <v>50</v>
      </c>
      <c r="G168" t="s">
        <v>45</v>
      </c>
      <c r="H168" s="160"/>
      <c r="I168" s="62"/>
      <c r="J168" s="161" t="s">
        <v>244</v>
      </c>
      <c r="K168" s="161"/>
      <c r="L168" s="160">
        <v>159</v>
      </c>
      <c r="M168">
        <v>259</v>
      </c>
      <c r="N168" s="161" t="s">
        <v>244</v>
      </c>
      <c r="O168" s="161" t="s">
        <v>244</v>
      </c>
      <c r="P168" s="161" t="s">
        <v>244</v>
      </c>
      <c r="Q168" s="161" t="s">
        <v>244</v>
      </c>
      <c r="R168" s="161" t="s">
        <v>244</v>
      </c>
      <c r="S168" s="161"/>
      <c r="T168" s="161" t="s">
        <v>244</v>
      </c>
      <c r="U168" s="160"/>
      <c r="V168" s="161" t="s">
        <v>244</v>
      </c>
      <c r="W168" s="161" t="s">
        <v>244</v>
      </c>
      <c r="X168" s="161" t="s">
        <v>244</v>
      </c>
      <c r="Y168" s="161" t="s">
        <v>244</v>
      </c>
      <c r="Z168" s="161" t="s">
        <v>244</v>
      </c>
      <c r="AA168" s="161" t="s">
        <v>244</v>
      </c>
      <c r="AB168" s="161" t="s">
        <v>244</v>
      </c>
      <c r="AC168" s="161" t="s">
        <v>244</v>
      </c>
      <c r="AD168" s="161" t="s">
        <v>244</v>
      </c>
      <c r="AE168" s="161" t="s">
        <v>244</v>
      </c>
      <c r="AF168" s="163" t="s">
        <v>244</v>
      </c>
      <c r="AG168" s="163" t="s">
        <v>244</v>
      </c>
      <c r="AH168" s="163" t="s">
        <v>244</v>
      </c>
      <c r="AI168" s="163"/>
      <c r="AJ168" s="163"/>
      <c r="AK168" s="163"/>
      <c r="AL168" s="163"/>
      <c r="AM168" s="163"/>
      <c r="AN168" s="163"/>
      <c r="AO168" s="163"/>
      <c r="AP168" s="163"/>
      <c r="AQ168" s="163"/>
      <c r="AR168" s="163"/>
      <c r="AS168" s="163"/>
      <c r="AT168" s="163"/>
      <c r="AU168" s="163"/>
      <c r="AV168" s="163"/>
      <c r="AW168" s="163"/>
      <c r="AX168" s="163"/>
      <c r="AY168" s="163"/>
      <c r="AZ168" s="163"/>
      <c r="BA168" s="163"/>
      <c r="BB168" s="163"/>
      <c r="BC168" s="163" t="b">
        <v>1</v>
      </c>
      <c r="BD168" s="163" t="b">
        <v>0</v>
      </c>
      <c r="BE168" s="163" t="b">
        <v>0</v>
      </c>
      <c r="BF168" s="163" t="b">
        <v>1</v>
      </c>
      <c r="BG168" s="164" t="b">
        <v>0</v>
      </c>
      <c r="BH168" s="163" t="b">
        <v>1</v>
      </c>
      <c r="BI168" s="163" t="b">
        <v>0</v>
      </c>
      <c r="BJ168" s="163" t="b">
        <v>1</v>
      </c>
      <c r="BK168" s="163" t="b">
        <v>1</v>
      </c>
      <c r="BL168" s="163" t="b">
        <v>0</v>
      </c>
      <c r="BM168" s="163"/>
      <c r="BN168" s="163"/>
      <c r="BO168" s="163"/>
      <c r="BP168" s="163"/>
      <c r="BQ168" s="163" t="b">
        <v>1</v>
      </c>
      <c r="BR168" s="163"/>
      <c r="BS168" s="163"/>
      <c r="BT168" s="163"/>
      <c r="BU168" s="163"/>
      <c r="BV168" s="163"/>
      <c r="BW168" s="163"/>
      <c r="BX168" s="163"/>
      <c r="BY168" s="163"/>
      <c r="BZ168" s="163"/>
      <c r="CA168" s="163"/>
      <c r="CB168" s="163"/>
      <c r="CC168" s="163"/>
      <c r="CD168" s="163"/>
      <c r="CE168" s="163"/>
      <c r="CF168" s="163"/>
      <c r="CG168" s="163"/>
      <c r="CH168" s="163"/>
      <c r="CI168" s="163"/>
      <c r="CJ168" s="163"/>
      <c r="CK168" s="163"/>
      <c r="CL168" s="163"/>
      <c r="CM168" s="163"/>
      <c r="CN168" s="163"/>
      <c r="CO168" s="163"/>
      <c r="CP168" s="163"/>
      <c r="CQ168" s="163"/>
      <c r="CR168" s="163"/>
      <c r="CS168" s="163"/>
      <c r="CT168" s="163"/>
      <c r="CU168" s="163"/>
      <c r="CV168" s="163"/>
      <c r="CW168" s="163"/>
      <c r="CX168" s="163"/>
      <c r="CY168" s="163"/>
      <c r="CZ168" s="163"/>
      <c r="DA168" s="163"/>
      <c r="DB168" s="163"/>
      <c r="DC168" s="163"/>
      <c r="DD168" s="163"/>
      <c r="DE168" s="163"/>
      <c r="DF168" s="163"/>
      <c r="DG168" s="208"/>
      <c r="DH168" s="163"/>
      <c r="DI168" s="163"/>
      <c r="DJ168" s="163"/>
      <c r="DK168" s="163"/>
      <c r="DL168" s="163"/>
      <c r="DM168" s="163"/>
      <c r="DN168" s="163"/>
      <c r="DO168" s="163"/>
      <c r="DP168" s="163"/>
      <c r="DQ168" s="163"/>
      <c r="DR168" s="163"/>
      <c r="DS168" s="163"/>
      <c r="DT168" s="163"/>
      <c r="DU168" s="163"/>
      <c r="DV168" s="163"/>
      <c r="DW168" s="163"/>
      <c r="DX168" s="163"/>
      <c r="DY168" s="163"/>
      <c r="DZ168" s="163"/>
      <c r="EA168" s="163"/>
      <c r="EB168" s="163"/>
      <c r="EC168" s="163"/>
      <c r="ED168" s="163"/>
      <c r="EE168" s="163"/>
      <c r="EF168" s="163"/>
      <c r="EG168" s="163"/>
      <c r="EH168" s="160">
        <f>IF([Chambre]*1='CHAMBRES FILLES 2e ETAGE'!$A$5,1,0)</f>
        <v>0</v>
      </c>
      <c r="EI168" s="161">
        <f>IF([Occurrence2]=0,0,SUM($EH$2:EH168))</f>
        <v>0</v>
      </c>
      <c r="EJ168" s="160">
        <f>IF([Chambre]*1='CHAMBRES FILLES 2e ETAGE'!$A$11,1,0)</f>
        <v>1</v>
      </c>
      <c r="EK168" s="160">
        <f>IF([Occurrence3]=0,0,SUM($EJ$2:EJ168))</f>
        <v>4</v>
      </c>
      <c r="EL168" s="160">
        <f>IF([Chambre]*1='CHAMBRES FILLES 2e ETAGE'!$A$17,1,0)</f>
        <v>0</v>
      </c>
      <c r="EM168" s="160">
        <f>IF([Occurrence4]=0,0,SUM($EL$2:EL168))</f>
        <v>0</v>
      </c>
      <c r="EN168" s="160">
        <f>IF([Chambre]*1='CHAMBRES FILLES 2e ETAGE'!$A$23,1,0)</f>
        <v>0</v>
      </c>
      <c r="EO168" s="160">
        <f>IF([Occurrence5]=0,0,SUM($EN$2:EN168))</f>
        <v>0</v>
      </c>
      <c r="EP168" s="160">
        <f>IF([Chambre]*1='CHAMBRES FILLES 2e ETAGE'!$A$29,1,0)</f>
        <v>0</v>
      </c>
      <c r="EQ168" s="160">
        <f>IF([Occurrence6]=0,0,SUM($EP$2:EP168))</f>
        <v>0</v>
      </c>
      <c r="ER168" s="160">
        <f>IF([Chambre]*1='CHAMBRES FILLES 2e ETAGE'!$A$35,1,0)</f>
        <v>0</v>
      </c>
      <c r="ES168" s="160">
        <f>IF([Occurrence7]=0,0,SUM($ER$2:ER168))</f>
        <v>0</v>
      </c>
      <c r="ET168" s="160">
        <f>IF([Chambre]*1='CHAMBRES FILLES 2e ETAGE'!$A$41,1,0)</f>
        <v>0</v>
      </c>
      <c r="EU168" s="160">
        <f>IF([Occurrence8]=0,0,SUM($ET$2:ET168))</f>
        <v>0</v>
      </c>
      <c r="EV168" s="160">
        <f>IF([Chambre]*1='CHAMBRES FILLES 2e ETAGE'!$A$47,1,0)</f>
        <v>0</v>
      </c>
      <c r="EW168" s="160">
        <f>IF([Occurrence9]=0,0,SUM($EV$2:EV168))</f>
        <v>0</v>
      </c>
      <c r="EX168" s="160">
        <f>IF([Chambre]*1='CHAMBRES FILLES 2e ETAGE'!$A$53,1,0)</f>
        <v>0</v>
      </c>
      <c r="EY168" s="160">
        <f>IF([Occurrence10]=0,0,SUM($EX$2:EX168))</f>
        <v>0</v>
      </c>
      <c r="EZ168" s="160">
        <f>IF([Chambre]*1='CHAMBRES FILLES 2e ETAGE'!$A$59,1,0)</f>
        <v>0</v>
      </c>
      <c r="FA168" s="160">
        <f>IF([Occurrence11]=0,0,SUM($EZ$2:EZ168))</f>
        <v>0</v>
      </c>
      <c r="FB168" s="160">
        <f>IF([Chambre]*1='CHAMBRES FILLES 2e ETAGE'!$A$65,1,0)</f>
        <v>0</v>
      </c>
      <c r="FC168" s="160">
        <f>IF([Occurrence12]=0,0,SUM($FB$2:FB168))</f>
        <v>0</v>
      </c>
      <c r="FD168" s="160">
        <f>IF([Chambre]*1='CHAMBRES FILLES 2e ETAGE'!$A$71,1,0)</f>
        <v>0</v>
      </c>
      <c r="FE168" s="160">
        <f>IF([Occurrence13]=0,0,SUM($FD$2:FD168))</f>
        <v>0</v>
      </c>
      <c r="FF168" s="160">
        <f>IF([Chambre]*1='CHAMBRES FILLES 2e ETAGE'!$A$77,1,0)</f>
        <v>0</v>
      </c>
      <c r="FG168" s="160">
        <f>IF([Occurrence14]=0,0,SUM($FF$2:FF168))</f>
        <v>0</v>
      </c>
      <c r="FH168" s="160">
        <f>IF([Chambre]*1='CHAMBRES FILLES 2e ETAGE'!$A$83,1,0)</f>
        <v>0</v>
      </c>
      <c r="FI168" s="160">
        <f>IF([Occurrence15]=0,0,SUM($FH$2:FH168))</f>
        <v>0</v>
      </c>
      <c r="FJ168" s="160">
        <f>IF([Chambre]*1='CHAMBRES FILLES 2e ETAGE'!$A$89,1,0)</f>
        <v>0</v>
      </c>
      <c r="FK168" s="160">
        <f>IF([Occurrence16]=0,0,SUM($FJ$2:FJ168))</f>
        <v>0</v>
      </c>
      <c r="FL168" s="160">
        <f>IF([Chambre]*1='CHAMBRES FILLES 2e ETAGE'!$A$95,1,0)</f>
        <v>0</v>
      </c>
      <c r="FM168" s="160">
        <f>IF([Occurrence17]=0,0,SUM($FL$2:FL168))</f>
        <v>0</v>
      </c>
      <c r="FN168" s="160">
        <f>IF([Chambre2]*1='CHAMBRES FILLES 1e ETAGE'!$A$5,1,0)</f>
        <v>0</v>
      </c>
      <c r="FO168" s="160">
        <f>IF([Occurrence18]=0,0,SUM($FN$2:FN168))</f>
        <v>0</v>
      </c>
      <c r="FP168" s="160">
        <f>IF([Chambre2]*1='CHAMBRES FILLES 1e ETAGE'!$A$11,1,0)</f>
        <v>0</v>
      </c>
      <c r="FQ168" s="160">
        <f>IF([Occurrence19]=0,0,SUM($FP$2:FP168))</f>
        <v>0</v>
      </c>
      <c r="FR168" s="160">
        <f>IF([Chambre2]*1='CHAMBRES FILLES 1e ETAGE'!$A$17,1,0)</f>
        <v>0</v>
      </c>
      <c r="FS168" s="160">
        <f>IF([Occurrence20]=0,0,SUM($FR$2:FR168))</f>
        <v>0</v>
      </c>
      <c r="FT168" s="160">
        <f>IF([Chambre2]*1='CHAMBRES FILLES 1e ETAGE'!$A$23,1,0)</f>
        <v>0</v>
      </c>
      <c r="FU168" s="160">
        <f>IF([Occurrence21]=0,0,SUM($FT$2:FT168))</f>
        <v>0</v>
      </c>
      <c r="FV168" s="160">
        <f>IF([Chambre2]*1='CHAMBRES FILLES 1e ETAGE'!$A$29,1,0)</f>
        <v>0</v>
      </c>
      <c r="FW168" s="160">
        <f>IF([Occurrence22]=0,0,SUM($FV$2:FV168))</f>
        <v>0</v>
      </c>
      <c r="FX168" s="160">
        <f>IF([Chambre2]*1='CHAMBRES FILLES 1e ETAGE'!$A$35,1,0)</f>
        <v>0</v>
      </c>
      <c r="FY168" s="160">
        <f>IF([Occurrence23]=0,0,SUM($FX$2:FX168))</f>
        <v>0</v>
      </c>
      <c r="FZ168" s="160">
        <f>IF([Chambre2]*1='CHAMBRES FILLES 1e ETAGE'!$A$41,1,0)</f>
        <v>0</v>
      </c>
      <c r="GA168" s="160">
        <f>IF([Occurrence24]=0,0,SUM($FZ$2:FZ168))</f>
        <v>0</v>
      </c>
      <c r="GB168" s="160">
        <f>IF([Chambre2]*1='CHAMBRES FILLES 1e ETAGE'!$A$47,1,0)</f>
        <v>0</v>
      </c>
      <c r="GC168" s="160">
        <f>IF([Occurrence25]=0,0,SUM($GB$2:GB168))</f>
        <v>0</v>
      </c>
      <c r="GD168" s="160">
        <f>IF([Chambre2]*1='CHAMBRES FILLES 1e ETAGE'!$A$53,1,0)</f>
        <v>0</v>
      </c>
      <c r="GE168" s="160">
        <f>IF([Occurrence26]=0,0,SUM($GD$2:GD168))</f>
        <v>0</v>
      </c>
      <c r="GF168" s="160">
        <f>IF([chambre4]*1='CHAMBRES GARCONS 1e ETAGE'!$A$5,1,0)</f>
        <v>0</v>
      </c>
      <c r="GG168" s="160">
        <f>IF([Occurrence27]=0,0,SUM($GF$2:GF168))</f>
        <v>0</v>
      </c>
      <c r="GH168" s="160">
        <f>IF([chambre4]*1='CHAMBRES GARCONS 1e ETAGE'!$A$11,1,0)</f>
        <v>0</v>
      </c>
      <c r="GI168" s="160">
        <f>IF([Occurrence28]=0,0,SUM($GH$2:GH168))</f>
        <v>0</v>
      </c>
      <c r="GJ168" s="160">
        <f>IF([chambre4]*1='CHAMBRES GARCONS 1e ETAGE'!$A$17,1,0)</f>
        <v>0</v>
      </c>
      <c r="GK168" s="160">
        <f>IF([Occurrence29]=0,0,SUM($GJ$2:GJ168))</f>
        <v>0</v>
      </c>
      <c r="GL168" s="160">
        <f>IF([chambre4]*1='CHAMBRES GARCONS 1e ETAGE'!$A$23,1,0)</f>
        <v>0</v>
      </c>
      <c r="GM168" s="160">
        <f>IF([Occurrence30]=0,0,SUM($GL$2:GL168))</f>
        <v>0</v>
      </c>
      <c r="GN168" s="160">
        <f>IF([chambre4]*1='CHAMBRES GARCONS 1e ETAGE'!$A$29,1,0)</f>
        <v>0</v>
      </c>
      <c r="GO168" s="160">
        <f>IF([Occurrence31]=0,0,SUM($GN$2:GN168))</f>
        <v>0</v>
      </c>
      <c r="GP168" s="160">
        <f>IF([chambre4]*1='CHAMBRES GARCONS 1e ETAGE'!$A$35,1,0)</f>
        <v>0</v>
      </c>
      <c r="GQ168" s="160">
        <f>IF([Occurrence32]=0,0,SUM($GP$2:GP168))</f>
        <v>0</v>
      </c>
      <c r="GR168" s="160">
        <f>IF([chambre3]*1='CHAMBRES GARCONS RDC'!$A$5,1,0)</f>
        <v>0</v>
      </c>
      <c r="GS168" s="160">
        <f>IF([Occurrence33]=0,0,SUM($GR$2:GR168))</f>
        <v>0</v>
      </c>
      <c r="GT168" s="160">
        <f>IF([chambre3]*1='CHAMBRES GARCONS RDC'!$A$11,1,0)</f>
        <v>0</v>
      </c>
      <c r="GU168" s="160">
        <f>IF([Occurrence34]=0,0,SUM($GT$2:GT168))</f>
        <v>0</v>
      </c>
      <c r="GV168" s="160">
        <f>IF([chambre3]*1='CHAMBRES GARCONS RDC'!$A$17,1,0)</f>
        <v>0</v>
      </c>
      <c r="GW168" s="160">
        <f>IF([Occurrence35]=0,0,SUM($GV$2:GV168))</f>
        <v>0</v>
      </c>
      <c r="GX168" s="160">
        <f>IF([chambre3]*1='CHAMBRES GARCONS RDC'!$A$23,1,0)</f>
        <v>0</v>
      </c>
      <c r="GY168" s="160">
        <f>IF([Occurrence36]=0,0,SUM($GX$2:GX168))</f>
        <v>0</v>
      </c>
      <c r="GZ168" s="160">
        <f>IF([chambre3]*1='CHAMBRES GARCONS RDC'!$A$29,1,0)</f>
        <v>0</v>
      </c>
      <c r="HA168" s="160">
        <f>IF([Occurrence37]=0,0,SUM($GZ$2:GZ168))</f>
        <v>0</v>
      </c>
      <c r="HB168" s="160">
        <f>IF([chambre3]*1='CHAMBRES GARCONS RDC'!$A$35,1,0)</f>
        <v>0</v>
      </c>
      <c r="HC168" s="160">
        <f>IF([Occurrence38]=0,0,SUM($HB$2:HB168))</f>
        <v>0</v>
      </c>
      <c r="HD168" s="160">
        <f>IF([chambre3]*1='CHAMBRES GARCONS RDC'!$A$41,1,0)</f>
        <v>0</v>
      </c>
      <c r="HE168" s="160">
        <f>IF([Occurrence39]=0,0,SUM($HD$2:HD168))</f>
        <v>0</v>
      </c>
      <c r="HF168" s="160">
        <f>IF([chambre3]*1='CHAMBRES GARCONS RDC'!$A$47,1,0)</f>
        <v>0</v>
      </c>
      <c r="HG168" s="160">
        <f>IF([Occurrence40]=0,0,SUM($HF$2:HF168))</f>
        <v>0</v>
      </c>
      <c r="HH168" s="160">
        <f>IF([chambre3]*1='CHAMBRES GARCONS RDC'!$A$53,1,0)</f>
        <v>0</v>
      </c>
      <c r="HI168" s="160">
        <f>IF([Occurrence41]=0,0,SUM($HH$2:HH168))</f>
        <v>0</v>
      </c>
      <c r="HJ168" s="160">
        <f>IF([chambre3]*1='CHAMBRES GARCONS RDC'!$A$59,1,0)</f>
        <v>0</v>
      </c>
      <c r="HK168" s="160">
        <f>IF([Occurrence42]=0,0,SUM($HJ$2:HJ168))</f>
        <v>0</v>
      </c>
      <c r="HL168" s="160">
        <f>IF([chambre3]*1='CHAMBRES GARCONS RDC'!$A$65,1,0)</f>
        <v>0</v>
      </c>
      <c r="HM168" s="160">
        <f>IF([Occurrence43]=0,0,SUM($HL$2:HL168))</f>
        <v>0</v>
      </c>
      <c r="HN168" s="160">
        <f>IF([chambre3]*1='CHAMBRES GARCONS RDC'!$A$71,1,0)</f>
        <v>0</v>
      </c>
      <c r="HO168" s="160">
        <f>IF([Occurrence44]=0,0,SUM($HN$2:HN168))</f>
        <v>0</v>
      </c>
      <c r="HP168" s="160">
        <f>IF([chambre3]*1='CHAMBRES GARCONS RDC'!$A$77,1,0)</f>
        <v>0</v>
      </c>
      <c r="HQ168" s="160">
        <f>IF([Occurrence45]=0,0,SUM($HP$2:HP168))</f>
        <v>0</v>
      </c>
      <c r="HR168" s="160">
        <f>IF([chambre3]*1='CHAMBRES GARCONS RDC'!$A$83,1,0)</f>
        <v>0</v>
      </c>
      <c r="HS168" s="160">
        <f>IF([Occurrence46]=0,0,SUM($HR$2:HR168))</f>
        <v>0</v>
      </c>
      <c r="HT168" s="160">
        <f>IF([chambre3]*1='CHAMBRES GARCONS RDC'!$A$89,1,0)</f>
        <v>0</v>
      </c>
      <c r="HU168" s="160">
        <f>IF([Occurrence47]=0,0,SUM($HT$2:HT168))</f>
        <v>0</v>
      </c>
      <c r="HV168" s="160">
        <f>IF([chambre3]*1='CHAMBRES GARCONS RDC'!$A$95,1,0)</f>
        <v>0</v>
      </c>
      <c r="HW168" s="160">
        <f>IF([Occurrence48]=0,0,SUM($HV$2:HV168))</f>
        <v>0</v>
      </c>
      <c r="HX168" s="160"/>
      <c r="HY168" s="160"/>
      <c r="HZ168" s="160">
        <f>IF([Classe]='Liste élève par classes'!$B$5,1,0)</f>
        <v>0</v>
      </c>
      <c r="IA168" s="160">
        <f>IF([Occurrence]=0,0,SUM($HZ$2:HZ168))</f>
        <v>0</v>
      </c>
      <c r="IB16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159</v>
      </c>
      <c r="IC168" s="208"/>
    </row>
    <row r="169" spans="1:237">
      <c r="A169" t="s">
        <v>533</v>
      </c>
      <c r="B169" t="s">
        <v>367</v>
      </c>
      <c r="C169" s="158">
        <v>35948</v>
      </c>
      <c r="D169" s="62">
        <f t="shared" ca="1" si="2"/>
        <v>19</v>
      </c>
      <c r="E169" t="s">
        <v>4</v>
      </c>
      <c r="F169" s="159" t="s">
        <v>41</v>
      </c>
      <c r="G169" t="s">
        <v>45</v>
      </c>
      <c r="H169" s="160"/>
      <c r="I169" s="161"/>
      <c r="J169" s="161"/>
      <c r="K169" s="161"/>
      <c r="L169" s="160"/>
      <c r="M169" s="161"/>
      <c r="N169" s="161"/>
      <c r="O169" s="161"/>
      <c r="P169" s="161"/>
      <c r="Q169" s="161"/>
      <c r="R169" s="161"/>
      <c r="S169" s="161"/>
      <c r="T169" s="161"/>
      <c r="U169" s="160"/>
      <c r="V169" s="161"/>
      <c r="W169" s="161"/>
      <c r="X169" s="161"/>
      <c r="Y169" s="161"/>
      <c r="Z169" s="161"/>
      <c r="AA169" s="161"/>
      <c r="AB169" s="161"/>
      <c r="AC169" s="161"/>
      <c r="AD169" s="161"/>
      <c r="AE169" s="161"/>
      <c r="AF169" s="163"/>
      <c r="AG169" s="163"/>
      <c r="AH169" s="163"/>
      <c r="AI169" s="163"/>
      <c r="AJ169" s="163"/>
      <c r="AK169" s="163"/>
      <c r="AL169" s="163"/>
      <c r="AM169" s="163"/>
      <c r="AN169" s="163"/>
      <c r="AO169" s="163"/>
      <c r="AP169" s="163"/>
      <c r="AQ169" s="163"/>
      <c r="AR169" s="163"/>
      <c r="AS169" s="163"/>
      <c r="AT169" s="163"/>
      <c r="AU169" s="163"/>
      <c r="AV169" s="163"/>
      <c r="AW169" s="163"/>
      <c r="AX169" s="163"/>
      <c r="AY169" s="163"/>
      <c r="AZ169" s="163"/>
      <c r="BA169" s="163"/>
      <c r="BB169" s="163"/>
      <c r="BC169" s="163" t="b">
        <v>0</v>
      </c>
      <c r="BD169" s="163" t="b">
        <v>0</v>
      </c>
      <c r="BE169" s="163" t="b">
        <v>0</v>
      </c>
      <c r="BF169" s="163" t="b">
        <v>0</v>
      </c>
      <c r="BG169" s="163" t="b">
        <v>0</v>
      </c>
      <c r="BH169" s="163" t="b">
        <v>0</v>
      </c>
      <c r="BI169" s="163" t="b">
        <v>1</v>
      </c>
      <c r="BJ169" s="163" t="b">
        <v>0</v>
      </c>
      <c r="BK169" s="163" t="b">
        <v>0</v>
      </c>
      <c r="BL169" s="163" t="b">
        <v>0</v>
      </c>
      <c r="BM169" s="163"/>
      <c r="BN169" s="163"/>
      <c r="BO169" s="163"/>
      <c r="BP169" s="163"/>
      <c r="BQ169" s="163"/>
      <c r="BR169" s="163"/>
      <c r="BS169" s="163"/>
      <c r="BT169" s="163"/>
      <c r="BU169" s="163"/>
      <c r="BV169" s="163"/>
      <c r="BW169" s="163"/>
      <c r="BX169" s="163"/>
      <c r="BY169" s="163"/>
      <c r="BZ169" s="163"/>
      <c r="CA169" s="163"/>
      <c r="CB169" s="163"/>
      <c r="CC169" s="163"/>
      <c r="CD169" s="163"/>
      <c r="CE169" s="163"/>
      <c r="CF169" s="163"/>
      <c r="CG169" s="163"/>
      <c r="CH169" s="163"/>
      <c r="CI169" s="163"/>
      <c r="CJ169" s="163"/>
      <c r="CK169" s="163"/>
      <c r="CL169" s="163"/>
      <c r="CM169" s="163"/>
      <c r="CN169" s="163"/>
      <c r="CO169" s="163"/>
      <c r="CP169" s="163"/>
      <c r="CQ169" s="163"/>
      <c r="CR169" s="163"/>
      <c r="CS169" s="163"/>
      <c r="CT169" s="163"/>
      <c r="CU169" s="163"/>
      <c r="CV169" s="163"/>
      <c r="CW169" s="163"/>
      <c r="CX169" s="163"/>
      <c r="CY169" s="163"/>
      <c r="CZ169" s="163"/>
      <c r="DA169" s="163"/>
      <c r="DB169" s="163"/>
      <c r="DC169" s="163"/>
      <c r="DD169" s="163"/>
      <c r="DE169" s="163"/>
      <c r="DF169" s="163"/>
      <c r="DG169" s="163"/>
      <c r="DH169" s="163"/>
      <c r="DI169" s="163"/>
      <c r="DJ169" s="163"/>
      <c r="DK169" s="163"/>
      <c r="DL169" s="163"/>
      <c r="DM169" s="163"/>
      <c r="DN169" s="163"/>
      <c r="DO169" s="163"/>
      <c r="DP169" s="163"/>
      <c r="DQ169" s="163"/>
      <c r="DR169" s="163"/>
      <c r="DS169" s="163"/>
      <c r="DT169" s="163"/>
      <c r="DU169" s="163"/>
      <c r="DV169" s="163"/>
      <c r="DW169" s="163"/>
      <c r="DX169" s="163"/>
      <c r="DY169" s="163"/>
      <c r="DZ169" s="163"/>
      <c r="EA169" s="163"/>
      <c r="EB169" s="163"/>
      <c r="EC169" s="163"/>
      <c r="ED169" s="163"/>
      <c r="EE169" s="163"/>
      <c r="EF169" s="163"/>
      <c r="EG169" s="163"/>
      <c r="EH169" s="160">
        <f>IF([Chambre]*1='CHAMBRES FILLES 2e ETAGE'!$A$5,1,0)</f>
        <v>0</v>
      </c>
      <c r="EI169" s="161">
        <f>IF([Occurrence2]=0,0,SUM($EH$2:EH169))</f>
        <v>0</v>
      </c>
      <c r="EJ169" s="160">
        <f>IF([Chambre]*1='CHAMBRES FILLES 2e ETAGE'!$A$11,1,0)</f>
        <v>0</v>
      </c>
      <c r="EK169" s="160">
        <f>IF([Occurrence3]=0,0,SUM($EJ$2:EJ169))</f>
        <v>0</v>
      </c>
      <c r="EL169" s="160">
        <f>IF([Chambre]*1='CHAMBRES FILLES 2e ETAGE'!$A$17,1,0)</f>
        <v>0</v>
      </c>
      <c r="EM169" s="160">
        <f>IF([Occurrence4]=0,0,SUM($EL$2:EL169))</f>
        <v>0</v>
      </c>
      <c r="EN169" s="160">
        <f>IF([Chambre]*1='CHAMBRES FILLES 2e ETAGE'!$A$23,1,0)</f>
        <v>0</v>
      </c>
      <c r="EO169" s="160">
        <f>IF([Occurrence5]=0,0,SUM($EN$2:EN169))</f>
        <v>0</v>
      </c>
      <c r="EP169" s="160">
        <f>IF([Chambre]*1='CHAMBRES FILLES 2e ETAGE'!$A$29,1,0)</f>
        <v>0</v>
      </c>
      <c r="EQ169" s="160">
        <f>IF([Occurrence6]=0,0,SUM($EP$2:EP169))</f>
        <v>0</v>
      </c>
      <c r="ER169" s="160">
        <f>IF([Chambre]*1='CHAMBRES FILLES 2e ETAGE'!$A$35,1,0)</f>
        <v>0</v>
      </c>
      <c r="ES169" s="160">
        <f>IF([Occurrence7]=0,0,SUM($ER$2:ER169))</f>
        <v>0</v>
      </c>
      <c r="ET169" s="160">
        <f>IF([Chambre]*1='CHAMBRES FILLES 2e ETAGE'!$A$41,1,0)</f>
        <v>0</v>
      </c>
      <c r="EU169" s="160">
        <f>IF([Occurrence8]=0,0,SUM($ET$2:ET169))</f>
        <v>0</v>
      </c>
      <c r="EV169" s="160">
        <f>IF([Chambre]*1='CHAMBRES FILLES 2e ETAGE'!$A$47,1,0)</f>
        <v>0</v>
      </c>
      <c r="EW169" s="160">
        <f>IF([Occurrence9]=0,0,SUM($EV$2:EV169))</f>
        <v>0</v>
      </c>
      <c r="EX169" s="160">
        <f>IF([Chambre]*1='CHAMBRES FILLES 2e ETAGE'!$A$53,1,0)</f>
        <v>0</v>
      </c>
      <c r="EY169" s="160">
        <f>IF([Occurrence10]=0,0,SUM($EX$2:EX169))</f>
        <v>0</v>
      </c>
      <c r="EZ169" s="160">
        <f>IF([Chambre]*1='CHAMBRES FILLES 2e ETAGE'!$A$59,1,0)</f>
        <v>0</v>
      </c>
      <c r="FA169" s="160">
        <f>IF([Occurrence11]=0,0,SUM($EZ$2:EZ169))</f>
        <v>0</v>
      </c>
      <c r="FB169" s="160">
        <f>IF([Chambre]*1='CHAMBRES FILLES 2e ETAGE'!$A$65,1,0)</f>
        <v>0</v>
      </c>
      <c r="FC169" s="160">
        <f>IF([Occurrence12]=0,0,SUM($FB$2:FB169))</f>
        <v>0</v>
      </c>
      <c r="FD169" s="160">
        <f>IF([Chambre]*1='CHAMBRES FILLES 2e ETAGE'!$A$71,1,0)</f>
        <v>0</v>
      </c>
      <c r="FE169" s="160">
        <f>IF([Occurrence13]=0,0,SUM($FD$2:FD169))</f>
        <v>0</v>
      </c>
      <c r="FF169" s="160">
        <f>IF([Chambre]*1='CHAMBRES FILLES 2e ETAGE'!$A$77,1,0)</f>
        <v>0</v>
      </c>
      <c r="FG169" s="160">
        <f>IF([Occurrence14]=0,0,SUM($FF$2:FF169))</f>
        <v>0</v>
      </c>
      <c r="FH169" s="160">
        <f>IF([Chambre]*1='CHAMBRES FILLES 2e ETAGE'!$A$83,1,0)</f>
        <v>0</v>
      </c>
      <c r="FI169" s="160">
        <f>IF([Occurrence15]=0,0,SUM($FH$2:FH169))</f>
        <v>0</v>
      </c>
      <c r="FJ169" s="160">
        <f>IF([Chambre]*1='CHAMBRES FILLES 2e ETAGE'!$A$89,1,0)</f>
        <v>0</v>
      </c>
      <c r="FK169" s="160">
        <f>IF([Occurrence16]=0,0,SUM($FJ$2:FJ169))</f>
        <v>0</v>
      </c>
      <c r="FL169" s="160">
        <f>IF([Chambre]*1='CHAMBRES FILLES 2e ETAGE'!$A$95,1,0)</f>
        <v>0</v>
      </c>
      <c r="FM169" s="160">
        <f>IF([Occurrence17]=0,0,SUM($FL$2:FL169))</f>
        <v>0</v>
      </c>
      <c r="FN169" s="160">
        <f>IF([Chambre2]*1='CHAMBRES FILLES 1e ETAGE'!$A$5,1,0)</f>
        <v>0</v>
      </c>
      <c r="FO169" s="160">
        <f>IF([Occurrence18]=0,0,SUM($FN$2:FN169))</f>
        <v>0</v>
      </c>
      <c r="FP169" s="160">
        <f>IF([Chambre2]*1='CHAMBRES FILLES 1e ETAGE'!$A$11,1,0)</f>
        <v>0</v>
      </c>
      <c r="FQ169" s="160">
        <f>IF([Occurrence19]=0,0,SUM($FP$2:FP169))</f>
        <v>0</v>
      </c>
      <c r="FR169" s="160">
        <f>IF([Chambre2]*1='CHAMBRES FILLES 1e ETAGE'!$A$17,1,0)</f>
        <v>0</v>
      </c>
      <c r="FS169" s="160">
        <f>IF([Occurrence20]=0,0,SUM($FR$2:FR169))</f>
        <v>0</v>
      </c>
      <c r="FT169" s="160">
        <f>IF([Chambre2]*1='CHAMBRES FILLES 1e ETAGE'!$A$23,1,0)</f>
        <v>0</v>
      </c>
      <c r="FU169" s="160">
        <f>IF([Occurrence21]=0,0,SUM($FT$2:FT169))</f>
        <v>0</v>
      </c>
      <c r="FV169" s="160">
        <f>IF([Chambre2]*1='CHAMBRES FILLES 1e ETAGE'!$A$29,1,0)</f>
        <v>0</v>
      </c>
      <c r="FW169" s="160">
        <f>IF([Occurrence22]=0,0,SUM($FV$2:FV169))</f>
        <v>0</v>
      </c>
      <c r="FX169" s="160">
        <f>IF([Chambre2]*1='CHAMBRES FILLES 1e ETAGE'!$A$35,1,0)</f>
        <v>0</v>
      </c>
      <c r="FY169" s="160">
        <f>IF([Occurrence23]=0,0,SUM($FX$2:FX169))</f>
        <v>0</v>
      </c>
      <c r="FZ169" s="160">
        <f>IF([Chambre2]*1='CHAMBRES FILLES 1e ETAGE'!$A$41,1,0)</f>
        <v>0</v>
      </c>
      <c r="GA169" s="160">
        <f>IF([Occurrence24]=0,0,SUM($FZ$2:FZ169))</f>
        <v>0</v>
      </c>
      <c r="GB169" s="160">
        <f>IF([Chambre2]*1='CHAMBRES FILLES 1e ETAGE'!$A$47,1,0)</f>
        <v>0</v>
      </c>
      <c r="GC169" s="160">
        <f>IF([Occurrence25]=0,0,SUM($GB$2:GB169))</f>
        <v>0</v>
      </c>
      <c r="GD169" s="160">
        <f>IF([Chambre2]*1='CHAMBRES FILLES 1e ETAGE'!$A$53,1,0)</f>
        <v>0</v>
      </c>
      <c r="GE169" s="160">
        <f>IF([Occurrence26]=0,0,SUM($GD$2:GD169))</f>
        <v>0</v>
      </c>
      <c r="GF169" s="160">
        <f>IF([chambre4]*1='CHAMBRES GARCONS 1e ETAGE'!$A$5,1,0)</f>
        <v>0</v>
      </c>
      <c r="GG169" s="160">
        <f>IF([Occurrence27]=0,0,SUM($GF$2:GF169))</f>
        <v>0</v>
      </c>
      <c r="GH169" s="160">
        <f>IF([chambre4]*1='CHAMBRES GARCONS 1e ETAGE'!$A$11,1,0)</f>
        <v>0</v>
      </c>
      <c r="GI169" s="160">
        <f>IF([Occurrence28]=0,0,SUM($GH$2:GH169))</f>
        <v>0</v>
      </c>
      <c r="GJ169" s="160">
        <f>IF([chambre4]*1='CHAMBRES GARCONS 1e ETAGE'!$A$17,1,0)</f>
        <v>0</v>
      </c>
      <c r="GK169" s="160">
        <f>IF([Occurrence29]=0,0,SUM($GJ$2:GJ169))</f>
        <v>0</v>
      </c>
      <c r="GL169" s="160">
        <f>IF([chambre4]*1='CHAMBRES GARCONS 1e ETAGE'!$A$23,1,0)</f>
        <v>0</v>
      </c>
      <c r="GM169" s="160">
        <f>IF([Occurrence30]=0,0,SUM($GL$2:GL169))</f>
        <v>0</v>
      </c>
      <c r="GN169" s="160">
        <f>IF([chambre4]*1='CHAMBRES GARCONS 1e ETAGE'!$A$29,1,0)</f>
        <v>0</v>
      </c>
      <c r="GO169" s="160">
        <f>IF([Occurrence31]=0,0,SUM($GN$2:GN169))</f>
        <v>0</v>
      </c>
      <c r="GP169" s="160">
        <f>IF([chambre4]*1='CHAMBRES GARCONS 1e ETAGE'!$A$35,1,0)</f>
        <v>0</v>
      </c>
      <c r="GQ169" s="160">
        <f>IF([Occurrence32]=0,0,SUM($GP$2:GP169))</f>
        <v>0</v>
      </c>
      <c r="GR169" s="160">
        <f>IF([chambre3]*1='CHAMBRES GARCONS RDC'!$A$5,1,0)</f>
        <v>0</v>
      </c>
      <c r="GS169" s="160">
        <f>IF([Occurrence33]=0,0,SUM($GR$2:GR169))</f>
        <v>0</v>
      </c>
      <c r="GT169" s="160">
        <f>IF([chambre3]*1='CHAMBRES GARCONS RDC'!$A$11,1,0)</f>
        <v>0</v>
      </c>
      <c r="GU169" s="160">
        <f>IF([Occurrence34]=0,0,SUM($GT$2:GT169))</f>
        <v>0</v>
      </c>
      <c r="GV169" s="160">
        <f>IF([chambre3]*1='CHAMBRES GARCONS RDC'!$A$17,1,0)</f>
        <v>0</v>
      </c>
      <c r="GW169" s="160">
        <f>IF([Occurrence35]=0,0,SUM($GV$2:GV169))</f>
        <v>0</v>
      </c>
      <c r="GX169" s="160">
        <f>IF([chambre3]*1='CHAMBRES GARCONS RDC'!$A$23,1,0)</f>
        <v>0</v>
      </c>
      <c r="GY169" s="160">
        <f>IF([Occurrence36]=0,0,SUM($GX$2:GX169))</f>
        <v>0</v>
      </c>
      <c r="GZ169" s="160">
        <f>IF([chambre3]*1='CHAMBRES GARCONS RDC'!$A$29,1,0)</f>
        <v>0</v>
      </c>
      <c r="HA169" s="160">
        <f>IF([Occurrence37]=0,0,SUM($GZ$2:GZ169))</f>
        <v>0</v>
      </c>
      <c r="HB169" s="160">
        <f>IF([chambre3]*1='CHAMBRES GARCONS RDC'!$A$35,1,0)</f>
        <v>0</v>
      </c>
      <c r="HC169" s="160">
        <f>IF([Occurrence38]=0,0,SUM($HB$2:HB169))</f>
        <v>0</v>
      </c>
      <c r="HD169" s="160">
        <f>IF([chambre3]*1='CHAMBRES GARCONS RDC'!$A$41,1,0)</f>
        <v>0</v>
      </c>
      <c r="HE169" s="160">
        <f>IF([Occurrence39]=0,0,SUM($HD$2:HD169))</f>
        <v>0</v>
      </c>
      <c r="HF169" s="160">
        <f>IF([chambre3]*1='CHAMBRES GARCONS RDC'!$A$47,1,0)</f>
        <v>0</v>
      </c>
      <c r="HG169" s="160">
        <f>IF([Occurrence40]=0,0,SUM($HF$2:HF169))</f>
        <v>0</v>
      </c>
      <c r="HH169" s="160">
        <f>IF([chambre3]*1='CHAMBRES GARCONS RDC'!$A$53,1,0)</f>
        <v>0</v>
      </c>
      <c r="HI169" s="160">
        <f>IF([Occurrence41]=0,0,SUM($HH$2:HH169))</f>
        <v>0</v>
      </c>
      <c r="HJ169" s="160">
        <f>IF([chambre3]*1='CHAMBRES GARCONS RDC'!$A$59,1,0)</f>
        <v>0</v>
      </c>
      <c r="HK169" s="160">
        <f>IF([Occurrence42]=0,0,SUM($HJ$2:HJ169))</f>
        <v>0</v>
      </c>
      <c r="HL169" s="160">
        <f>IF([chambre3]*1='CHAMBRES GARCONS RDC'!$A$65,1,0)</f>
        <v>0</v>
      </c>
      <c r="HM169" s="160">
        <f>IF([Occurrence43]=0,0,SUM($HL$2:HL169))</f>
        <v>0</v>
      </c>
      <c r="HN169" s="160">
        <f>IF([chambre3]*1='CHAMBRES GARCONS RDC'!$A$71,1,0)</f>
        <v>0</v>
      </c>
      <c r="HO169" s="160">
        <f>IF([Occurrence44]=0,0,SUM($HN$2:HN169))</f>
        <v>0</v>
      </c>
      <c r="HP169" s="160">
        <f>IF([chambre3]*1='CHAMBRES GARCONS RDC'!$A$77,1,0)</f>
        <v>0</v>
      </c>
      <c r="HQ169" s="160">
        <f>IF([Occurrence45]=0,0,SUM($HP$2:HP169))</f>
        <v>0</v>
      </c>
      <c r="HR169" s="160">
        <f>IF([chambre3]*1='CHAMBRES GARCONS RDC'!$A$83,1,0)</f>
        <v>0</v>
      </c>
      <c r="HS169" s="160">
        <f>IF([Occurrence46]=0,0,SUM($HR$2:HR169))</f>
        <v>0</v>
      </c>
      <c r="HT169" s="160">
        <f>IF([chambre3]*1='CHAMBRES GARCONS RDC'!$A$89,1,0)</f>
        <v>0</v>
      </c>
      <c r="HU169" s="160">
        <f>IF([Occurrence47]=0,0,SUM($HT$2:HT169))</f>
        <v>0</v>
      </c>
      <c r="HV169" s="160">
        <f>IF([chambre3]*1='CHAMBRES GARCONS RDC'!$A$95,1,0)</f>
        <v>0</v>
      </c>
      <c r="HW169" s="160">
        <f>IF([Occurrence48]=0,0,SUM($HV$2:HV169))</f>
        <v>0</v>
      </c>
      <c r="HX169" s="160"/>
      <c r="HY169" s="160"/>
      <c r="HZ169" s="160">
        <f>IF([Classe]='Liste élève par classes'!$B$5,1,0)</f>
        <v>0</v>
      </c>
      <c r="IA169" s="160">
        <f>IF([Occurrence]=0,0,SUM($HZ$2:HZ169))</f>
        <v>0</v>
      </c>
      <c r="IB16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69" s="208"/>
    </row>
    <row r="170" spans="1:237">
      <c r="A170" t="s">
        <v>534</v>
      </c>
      <c r="B170" t="s">
        <v>486</v>
      </c>
      <c r="C170" s="158">
        <v>37428</v>
      </c>
      <c r="D170" s="62">
        <f t="shared" ca="1" si="2"/>
        <v>15</v>
      </c>
      <c r="E170" t="s">
        <v>2</v>
      </c>
      <c r="F170" s="159" t="s">
        <v>46</v>
      </c>
      <c r="G170" t="s">
        <v>45</v>
      </c>
      <c r="H170" s="160"/>
      <c r="I170" s="62"/>
      <c r="J170" s="62"/>
      <c r="K170" s="62"/>
      <c r="L170" s="61"/>
      <c r="M170">
        <v>151</v>
      </c>
      <c r="N170" s="62"/>
      <c r="O170" s="62"/>
      <c r="P170" s="62"/>
      <c r="Q170" s="62"/>
      <c r="R170" s="62"/>
      <c r="S170" s="62"/>
      <c r="T170" s="62"/>
      <c r="U170" s="61"/>
      <c r="V170" s="62"/>
      <c r="W170" s="62"/>
      <c r="X170" s="62"/>
      <c r="Y170" s="62"/>
      <c r="Z170" s="62"/>
      <c r="AA170" s="62"/>
      <c r="AB170" s="62"/>
      <c r="AC170" s="62"/>
      <c r="AD170" s="62"/>
      <c r="AE170" s="62"/>
      <c r="AF170" s="163"/>
      <c r="AG170" s="163"/>
      <c r="AH170" s="163"/>
      <c r="AI170" s="163"/>
      <c r="AJ170" s="163"/>
      <c r="AK170" s="163"/>
      <c r="AL170" s="163"/>
      <c r="AM170" s="163"/>
      <c r="AN170" s="163"/>
      <c r="AO170" s="163"/>
      <c r="AP170" s="163"/>
      <c r="AQ170" s="163"/>
      <c r="AR170" s="163"/>
      <c r="AS170" s="163"/>
      <c r="AT170" s="163"/>
      <c r="AU170" s="163"/>
      <c r="AV170" s="163"/>
      <c r="AW170" s="163"/>
      <c r="AX170" s="163"/>
      <c r="AY170" s="163"/>
      <c r="AZ170" s="163"/>
      <c r="BA170" s="163"/>
      <c r="BB170" s="163"/>
      <c r="BC170" s="163"/>
      <c r="BD170" s="163"/>
      <c r="BE170" s="163"/>
      <c r="BF170" s="163"/>
      <c r="BG170" s="163"/>
      <c r="BH170" s="163"/>
      <c r="BI170" s="163"/>
      <c r="BJ170" s="163"/>
      <c r="BK170" s="163"/>
      <c r="BL170" s="163"/>
      <c r="BM170" s="163"/>
      <c r="BN170" s="163"/>
      <c r="BO170" s="163"/>
      <c r="BP170" s="163"/>
      <c r="BQ170" s="163"/>
      <c r="BR170" s="163"/>
      <c r="BS170" s="163"/>
      <c r="BT170" s="163"/>
      <c r="BU170" s="163"/>
      <c r="BV170" s="163"/>
      <c r="BW170" s="163"/>
      <c r="BX170" s="163"/>
      <c r="BY170" s="163"/>
      <c r="BZ170" s="163"/>
      <c r="CA170" s="163"/>
      <c r="CB170" s="163"/>
      <c r="CC170" s="163"/>
      <c r="CD170" s="163"/>
      <c r="CE170" s="163"/>
      <c r="CF170" s="163"/>
      <c r="CG170" s="163"/>
      <c r="CH170" s="163"/>
      <c r="CI170" s="163"/>
      <c r="CJ170" s="163"/>
      <c r="CK170" s="163"/>
      <c r="CL170" s="163"/>
      <c r="CM170" s="163"/>
      <c r="CN170" s="163"/>
      <c r="CO170" s="163"/>
      <c r="CP170" s="163"/>
      <c r="CQ170" s="163"/>
      <c r="CR170" s="163"/>
      <c r="CS170" s="163"/>
      <c r="CT170" s="163"/>
      <c r="CU170" s="163"/>
      <c r="CV170" s="163"/>
      <c r="CW170" s="163"/>
      <c r="CX170" s="163"/>
      <c r="CY170" s="163"/>
      <c r="CZ170" s="163"/>
      <c r="DA170" s="163"/>
      <c r="DB170" s="163"/>
      <c r="DC170" s="163"/>
      <c r="DD170" s="163"/>
      <c r="DE170" s="163"/>
      <c r="DF170" s="163"/>
      <c r="DG170" s="163"/>
      <c r="DH170" s="163"/>
      <c r="DI170" s="163"/>
      <c r="DJ170" s="163"/>
      <c r="DK170" s="163"/>
      <c r="DL170" s="163"/>
      <c r="DM170" s="163"/>
      <c r="DN170" s="163"/>
      <c r="DO170" s="163"/>
      <c r="DP170" s="163"/>
      <c r="DQ170" s="163"/>
      <c r="DR170" s="163"/>
      <c r="DS170" s="163"/>
      <c r="DT170" s="163"/>
      <c r="DU170" s="163"/>
      <c r="DV170" s="163"/>
      <c r="DW170" s="163"/>
      <c r="DX170" s="163"/>
      <c r="DY170" s="163"/>
      <c r="DZ170" s="163"/>
      <c r="EA170" s="163"/>
      <c r="EB170" s="163"/>
      <c r="EC170" s="163"/>
      <c r="ED170" s="163"/>
      <c r="EE170" s="163"/>
      <c r="EF170" s="163"/>
      <c r="EG170" s="163"/>
      <c r="EH170" s="160">
        <f>IF([Chambre]*1='CHAMBRES FILLES 2e ETAGE'!$A$5,1,0)</f>
        <v>0</v>
      </c>
      <c r="EI170" s="161">
        <f>IF([Occurrence2]=0,0,SUM($EH$2:EH170))</f>
        <v>0</v>
      </c>
      <c r="EJ170" s="160">
        <f>IF([Chambre]*1='CHAMBRES FILLES 2e ETAGE'!$A$11,1,0)</f>
        <v>0</v>
      </c>
      <c r="EK170" s="160">
        <f>IF([Occurrence3]=0,0,SUM($EJ$2:EJ170))</f>
        <v>0</v>
      </c>
      <c r="EL170" s="160">
        <f>IF([Chambre]*1='CHAMBRES FILLES 2e ETAGE'!$A$17,1,0)</f>
        <v>0</v>
      </c>
      <c r="EM170" s="160">
        <f>IF([Occurrence4]=0,0,SUM($EL$2:EL170))</f>
        <v>0</v>
      </c>
      <c r="EN170" s="160">
        <f>IF([Chambre]*1='CHAMBRES FILLES 2e ETAGE'!$A$23,1,0)</f>
        <v>0</v>
      </c>
      <c r="EO170" s="160">
        <f>IF([Occurrence5]=0,0,SUM($EN$2:EN170))</f>
        <v>0</v>
      </c>
      <c r="EP170" s="160">
        <f>IF([Chambre]*1='CHAMBRES FILLES 2e ETAGE'!$A$29,1,0)</f>
        <v>0</v>
      </c>
      <c r="EQ170" s="160">
        <f>IF([Occurrence6]=0,0,SUM($EP$2:EP170))</f>
        <v>0</v>
      </c>
      <c r="ER170" s="160">
        <f>IF([Chambre]*1='CHAMBRES FILLES 2e ETAGE'!$A$35,1,0)</f>
        <v>0</v>
      </c>
      <c r="ES170" s="160">
        <f>IF([Occurrence7]=0,0,SUM($ER$2:ER170))</f>
        <v>0</v>
      </c>
      <c r="ET170" s="160">
        <f>IF([Chambre]*1='CHAMBRES FILLES 2e ETAGE'!$A$41,1,0)</f>
        <v>0</v>
      </c>
      <c r="EU170" s="160">
        <f>IF([Occurrence8]=0,0,SUM($ET$2:ET170))</f>
        <v>0</v>
      </c>
      <c r="EV170" s="160">
        <f>IF([Chambre]*1='CHAMBRES FILLES 2e ETAGE'!$A$47,1,0)</f>
        <v>0</v>
      </c>
      <c r="EW170" s="160">
        <f>IF([Occurrence9]=0,0,SUM($EV$2:EV170))</f>
        <v>0</v>
      </c>
      <c r="EX170" s="160">
        <f>IF([Chambre]*1='CHAMBRES FILLES 2e ETAGE'!$A$53,1,0)</f>
        <v>0</v>
      </c>
      <c r="EY170" s="160">
        <f>IF([Occurrence10]=0,0,SUM($EX$2:EX170))</f>
        <v>0</v>
      </c>
      <c r="EZ170" s="160">
        <f>IF([Chambre]*1='CHAMBRES FILLES 2e ETAGE'!$A$59,1,0)</f>
        <v>0</v>
      </c>
      <c r="FA170" s="160">
        <f>IF([Occurrence11]=0,0,SUM($EZ$2:EZ170))</f>
        <v>0</v>
      </c>
      <c r="FB170" s="160">
        <f>IF([Chambre]*1='CHAMBRES FILLES 2e ETAGE'!$A$65,1,0)</f>
        <v>0</v>
      </c>
      <c r="FC170" s="160">
        <f>IF([Occurrence12]=0,0,SUM($FB$2:FB170))</f>
        <v>0</v>
      </c>
      <c r="FD170" s="160">
        <f>IF([Chambre]*1='CHAMBRES FILLES 2e ETAGE'!$A$71,1,0)</f>
        <v>0</v>
      </c>
      <c r="FE170" s="160">
        <f>IF([Occurrence13]=0,0,SUM($FD$2:FD170))</f>
        <v>0</v>
      </c>
      <c r="FF170" s="160">
        <f>IF([Chambre]*1='CHAMBRES FILLES 2e ETAGE'!$A$77,1,0)</f>
        <v>0</v>
      </c>
      <c r="FG170" s="160">
        <f>IF([Occurrence14]=0,0,SUM($FF$2:FF170))</f>
        <v>0</v>
      </c>
      <c r="FH170" s="160">
        <f>IF([Chambre]*1='CHAMBRES FILLES 2e ETAGE'!$A$83,1,0)</f>
        <v>0</v>
      </c>
      <c r="FI170" s="160">
        <f>IF([Occurrence15]=0,0,SUM($FH$2:FH170))</f>
        <v>0</v>
      </c>
      <c r="FJ170" s="160">
        <f>IF([Chambre]*1='CHAMBRES FILLES 2e ETAGE'!$A$89,1,0)</f>
        <v>0</v>
      </c>
      <c r="FK170" s="160">
        <f>IF([Occurrence16]=0,0,SUM($FJ$2:FJ170))</f>
        <v>0</v>
      </c>
      <c r="FL170" s="160">
        <f>IF([Chambre]*1='CHAMBRES FILLES 2e ETAGE'!$A$95,1,0)</f>
        <v>0</v>
      </c>
      <c r="FM170" s="160">
        <f>IF([Occurrence17]=0,0,SUM($FL$2:FL170))</f>
        <v>0</v>
      </c>
      <c r="FN170" s="160">
        <f>IF([Chambre2]*1='CHAMBRES FILLES 1e ETAGE'!$A$5,1,0)</f>
        <v>0</v>
      </c>
      <c r="FO170" s="160">
        <f>IF([Occurrence18]=0,0,SUM($FN$2:FN170))</f>
        <v>0</v>
      </c>
      <c r="FP170" s="160">
        <f>IF([Chambre2]*1='CHAMBRES FILLES 1e ETAGE'!$A$11,1,0)</f>
        <v>0</v>
      </c>
      <c r="FQ170" s="160">
        <f>IF([Occurrence19]=0,0,SUM($FP$2:FP170))</f>
        <v>0</v>
      </c>
      <c r="FR170" s="160">
        <f>IF([Chambre2]*1='CHAMBRES FILLES 1e ETAGE'!$A$17,1,0)</f>
        <v>0</v>
      </c>
      <c r="FS170" s="160">
        <f>IF([Occurrence20]=0,0,SUM($FR$2:FR170))</f>
        <v>0</v>
      </c>
      <c r="FT170" s="160">
        <f>IF([Chambre2]*1='CHAMBRES FILLES 1e ETAGE'!$A$23,1,0)</f>
        <v>0</v>
      </c>
      <c r="FU170" s="160">
        <f>IF([Occurrence21]=0,0,SUM($FT$2:FT170))</f>
        <v>0</v>
      </c>
      <c r="FV170" s="160">
        <f>IF([Chambre2]*1='CHAMBRES FILLES 1e ETAGE'!$A$29,1,0)</f>
        <v>0</v>
      </c>
      <c r="FW170" s="160">
        <f>IF([Occurrence22]=0,0,SUM($FV$2:FV170))</f>
        <v>0</v>
      </c>
      <c r="FX170" s="160">
        <f>IF([Chambre2]*1='CHAMBRES FILLES 1e ETAGE'!$A$35,1,0)</f>
        <v>0</v>
      </c>
      <c r="FY170" s="160">
        <f>IF([Occurrence23]=0,0,SUM($FX$2:FX170))</f>
        <v>0</v>
      </c>
      <c r="FZ170" s="160">
        <f>IF([Chambre2]*1='CHAMBRES FILLES 1e ETAGE'!$A$41,1,0)</f>
        <v>0</v>
      </c>
      <c r="GA170" s="160">
        <f>IF([Occurrence24]=0,0,SUM($FZ$2:FZ170))</f>
        <v>0</v>
      </c>
      <c r="GB170" s="160">
        <f>IF([Chambre2]*1='CHAMBRES FILLES 1e ETAGE'!$A$47,1,0)</f>
        <v>0</v>
      </c>
      <c r="GC170" s="160">
        <f>IF([Occurrence25]=0,0,SUM($GB$2:GB170))</f>
        <v>0</v>
      </c>
      <c r="GD170" s="160">
        <f>IF([Chambre2]*1='CHAMBRES FILLES 1e ETAGE'!$A$53,1,0)</f>
        <v>0</v>
      </c>
      <c r="GE170" s="160">
        <f>IF([Occurrence26]=0,0,SUM($GD$2:GD170))</f>
        <v>0</v>
      </c>
      <c r="GF170" s="160">
        <f>IF([chambre4]*1='CHAMBRES GARCONS 1e ETAGE'!$A$5,1,0)</f>
        <v>0</v>
      </c>
      <c r="GG170" s="160">
        <f>IF([Occurrence27]=0,0,SUM($GF$2:GF170))</f>
        <v>0</v>
      </c>
      <c r="GH170" s="160">
        <f>IF([chambre4]*1='CHAMBRES GARCONS 1e ETAGE'!$A$11,1,0)</f>
        <v>0</v>
      </c>
      <c r="GI170" s="160">
        <f>IF([Occurrence28]=0,0,SUM($GH$2:GH170))</f>
        <v>0</v>
      </c>
      <c r="GJ170" s="160">
        <f>IF([chambre4]*1='CHAMBRES GARCONS 1e ETAGE'!$A$17,1,0)</f>
        <v>0</v>
      </c>
      <c r="GK170" s="160">
        <f>IF([Occurrence29]=0,0,SUM($GJ$2:GJ170))</f>
        <v>0</v>
      </c>
      <c r="GL170" s="160">
        <f>IF([chambre4]*1='CHAMBRES GARCONS 1e ETAGE'!$A$23,1,0)</f>
        <v>0</v>
      </c>
      <c r="GM170" s="160">
        <f>IF([Occurrence30]=0,0,SUM($GL$2:GL170))</f>
        <v>0</v>
      </c>
      <c r="GN170" s="160">
        <f>IF([chambre4]*1='CHAMBRES GARCONS 1e ETAGE'!$A$29,1,0)</f>
        <v>0</v>
      </c>
      <c r="GO170" s="160">
        <f>IF([Occurrence31]=0,0,SUM($GN$2:GN170))</f>
        <v>0</v>
      </c>
      <c r="GP170" s="160">
        <f>IF([chambre4]*1='CHAMBRES GARCONS 1e ETAGE'!$A$35,1,0)</f>
        <v>0</v>
      </c>
      <c r="GQ170" s="160">
        <f>IF([Occurrence32]=0,0,SUM($GP$2:GP170))</f>
        <v>0</v>
      </c>
      <c r="GR170" s="160">
        <f>IF([chambre3]*1='CHAMBRES GARCONS RDC'!$A$5,1,0)</f>
        <v>0</v>
      </c>
      <c r="GS170" s="160">
        <f>IF([Occurrence33]=0,0,SUM($GR$2:GR170))</f>
        <v>0</v>
      </c>
      <c r="GT170" s="160">
        <f>IF([chambre3]*1='CHAMBRES GARCONS RDC'!$A$11,1,0)</f>
        <v>0</v>
      </c>
      <c r="GU170" s="160">
        <f>IF([Occurrence34]=0,0,SUM($GT$2:GT170))</f>
        <v>0</v>
      </c>
      <c r="GV170" s="160">
        <f>IF([chambre3]*1='CHAMBRES GARCONS RDC'!$A$17,1,0)</f>
        <v>0</v>
      </c>
      <c r="GW170" s="160">
        <f>IF([Occurrence35]=0,0,SUM($GV$2:GV170))</f>
        <v>0</v>
      </c>
      <c r="GX170" s="160">
        <f>IF([chambre3]*1='CHAMBRES GARCONS RDC'!$A$23,1,0)</f>
        <v>0</v>
      </c>
      <c r="GY170" s="160">
        <f>IF([Occurrence36]=0,0,SUM($GX$2:GX170))</f>
        <v>0</v>
      </c>
      <c r="GZ170" s="160">
        <f>IF([chambre3]*1='CHAMBRES GARCONS RDC'!$A$29,1,0)</f>
        <v>0</v>
      </c>
      <c r="HA170" s="160">
        <f>IF([Occurrence37]=0,0,SUM($GZ$2:GZ170))</f>
        <v>0</v>
      </c>
      <c r="HB170" s="160">
        <f>IF([chambre3]*1='CHAMBRES GARCONS RDC'!$A$35,1,0)</f>
        <v>0</v>
      </c>
      <c r="HC170" s="160">
        <f>IF([Occurrence38]=0,0,SUM($HB$2:HB170))</f>
        <v>0</v>
      </c>
      <c r="HD170" s="160">
        <f>IF([chambre3]*1='CHAMBRES GARCONS RDC'!$A$41,1,0)</f>
        <v>0</v>
      </c>
      <c r="HE170" s="160">
        <f>IF([Occurrence39]=0,0,SUM($HD$2:HD170))</f>
        <v>0</v>
      </c>
      <c r="HF170" s="160">
        <f>IF([chambre3]*1='CHAMBRES GARCONS RDC'!$A$47,1,0)</f>
        <v>0</v>
      </c>
      <c r="HG170" s="160">
        <f>IF([Occurrence40]=0,0,SUM($HF$2:HF170))</f>
        <v>0</v>
      </c>
      <c r="HH170" s="160">
        <f>IF([chambre3]*1='CHAMBRES GARCONS RDC'!$A$53,1,0)</f>
        <v>0</v>
      </c>
      <c r="HI170" s="160">
        <f>IF([Occurrence41]=0,0,SUM($HH$2:HH170))</f>
        <v>0</v>
      </c>
      <c r="HJ170" s="160">
        <f>IF([chambre3]*1='CHAMBRES GARCONS RDC'!$A$59,1,0)</f>
        <v>0</v>
      </c>
      <c r="HK170" s="160">
        <f>IF([Occurrence42]=0,0,SUM($HJ$2:HJ170))</f>
        <v>0</v>
      </c>
      <c r="HL170" s="160">
        <f>IF([chambre3]*1='CHAMBRES GARCONS RDC'!$A$65,1,0)</f>
        <v>0</v>
      </c>
      <c r="HM170" s="160">
        <f>IF([Occurrence43]=0,0,SUM($HL$2:HL170))</f>
        <v>0</v>
      </c>
      <c r="HN170" s="160">
        <f>IF([chambre3]*1='CHAMBRES GARCONS RDC'!$A$71,1,0)</f>
        <v>0</v>
      </c>
      <c r="HO170" s="160">
        <f>IF([Occurrence44]=0,0,SUM($HN$2:HN170))</f>
        <v>0</v>
      </c>
      <c r="HP170" s="160">
        <f>IF([chambre3]*1='CHAMBRES GARCONS RDC'!$A$77,1,0)</f>
        <v>0</v>
      </c>
      <c r="HQ170" s="160">
        <f>IF([Occurrence45]=0,0,SUM($HP$2:HP170))</f>
        <v>0</v>
      </c>
      <c r="HR170" s="160">
        <f>IF([chambre3]*1='CHAMBRES GARCONS RDC'!$A$83,1,0)</f>
        <v>0</v>
      </c>
      <c r="HS170" s="160">
        <f>IF([Occurrence46]=0,0,SUM($HR$2:HR170))</f>
        <v>0</v>
      </c>
      <c r="HT170" s="160">
        <f>IF([chambre3]*1='CHAMBRES GARCONS RDC'!$A$89,1,0)</f>
        <v>0</v>
      </c>
      <c r="HU170" s="160">
        <f>IF([Occurrence47]=0,0,SUM($HT$2:HT170))</f>
        <v>0</v>
      </c>
      <c r="HV170" s="160">
        <f>IF([chambre3]*1='CHAMBRES GARCONS RDC'!$A$95,1,0)</f>
        <v>0</v>
      </c>
      <c r="HW170" s="160">
        <f>IF([Occurrence48]=0,0,SUM($HV$2:HV170))</f>
        <v>0</v>
      </c>
      <c r="HX170" s="160"/>
      <c r="HY170" s="160"/>
      <c r="HZ170" s="160">
        <f>IF([Classe]='Liste élève par classes'!$B$5,1,0)</f>
        <v>0</v>
      </c>
      <c r="IA170" s="160">
        <f>IF([Occurrence]=0,0,SUM($HZ$2:HZ170))</f>
        <v>0</v>
      </c>
      <c r="IB17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70" s="208"/>
    </row>
    <row r="171" spans="1:237">
      <c r="A171" t="s">
        <v>535</v>
      </c>
      <c r="B171" t="s">
        <v>340</v>
      </c>
      <c r="C171" s="158">
        <v>37061</v>
      </c>
      <c r="D171" s="62">
        <f t="shared" ca="1" si="2"/>
        <v>16</v>
      </c>
      <c r="E171" t="s">
        <v>8</v>
      </c>
      <c r="F171" s="159" t="s">
        <v>50</v>
      </c>
      <c r="G171" t="s">
        <v>40</v>
      </c>
      <c r="H171" s="160"/>
      <c r="I171" s="62"/>
      <c r="J171" s="62" t="s">
        <v>244</v>
      </c>
      <c r="K171" s="62"/>
      <c r="L171" s="61"/>
      <c r="M171">
        <v>105</v>
      </c>
      <c r="N171" s="62" t="s">
        <v>244</v>
      </c>
      <c r="O171" s="62" t="s">
        <v>244</v>
      </c>
      <c r="P171" s="62" t="s">
        <v>244</v>
      </c>
      <c r="Q171" s="62" t="s">
        <v>244</v>
      </c>
      <c r="R171" s="62" t="s">
        <v>244</v>
      </c>
      <c r="S171" s="191"/>
      <c r="T171" s="62" t="s">
        <v>244</v>
      </c>
      <c r="U171" s="61"/>
      <c r="V171" s="62" t="s">
        <v>244</v>
      </c>
      <c r="W171" s="62" t="s">
        <v>244</v>
      </c>
      <c r="X171" s="62" t="s">
        <v>244</v>
      </c>
      <c r="Y171" s="62" t="s">
        <v>244</v>
      </c>
      <c r="Z171" s="62" t="s">
        <v>244</v>
      </c>
      <c r="AA171" s="62" t="s">
        <v>244</v>
      </c>
      <c r="AB171" s="62" t="s">
        <v>244</v>
      </c>
      <c r="AC171" s="62" t="s">
        <v>244</v>
      </c>
      <c r="AD171" s="62" t="s">
        <v>244</v>
      </c>
      <c r="AE171" s="62" t="s">
        <v>244</v>
      </c>
      <c r="AF171" s="163" t="s">
        <v>244</v>
      </c>
      <c r="AG171" s="163" t="s">
        <v>244</v>
      </c>
      <c r="AH171" s="163" t="s">
        <v>244</v>
      </c>
      <c r="AI171" s="163"/>
      <c r="AJ171" s="163"/>
      <c r="AK171" s="163"/>
      <c r="AL171" s="163"/>
      <c r="AM171" s="163"/>
      <c r="AN171" s="163"/>
      <c r="AO171" s="163"/>
      <c r="AP171" s="163"/>
      <c r="AQ171" s="163"/>
      <c r="AR171" s="163"/>
      <c r="AS171" s="163"/>
      <c r="AT171" s="163"/>
      <c r="AU171" s="163"/>
      <c r="AV171" s="163"/>
      <c r="AW171" s="163"/>
      <c r="AX171" s="163"/>
      <c r="AY171" s="163"/>
      <c r="AZ171" s="163"/>
      <c r="BA171" s="163"/>
      <c r="BB171" s="163"/>
      <c r="BC171" s="163" t="b">
        <v>0</v>
      </c>
      <c r="BD171" s="163" t="b">
        <v>1</v>
      </c>
      <c r="BE171" s="163" t="b">
        <v>1</v>
      </c>
      <c r="BF171" s="163" t="b">
        <v>0</v>
      </c>
      <c r="BG171" s="163" t="b">
        <v>1</v>
      </c>
      <c r="BH171" s="163" t="b">
        <v>0</v>
      </c>
      <c r="BI171" s="163"/>
      <c r="BJ171" s="163"/>
      <c r="BK171" s="163"/>
      <c r="BL171" s="163"/>
      <c r="BM171" s="163"/>
      <c r="BN171" s="163"/>
      <c r="BO171" s="163"/>
      <c r="BP171" s="163"/>
      <c r="BQ171" s="163" t="b">
        <v>0</v>
      </c>
      <c r="BR171" s="163"/>
      <c r="BS171" s="163"/>
      <c r="BT171" s="163"/>
      <c r="BU171" s="163"/>
      <c r="BV171" s="163"/>
      <c r="BW171" s="163"/>
      <c r="BX171" s="163"/>
      <c r="BY171" s="163"/>
      <c r="BZ171" s="163"/>
      <c r="CA171" s="163"/>
      <c r="CB171" s="163"/>
      <c r="CC171" s="163"/>
      <c r="CD171" s="163"/>
      <c r="CE171" s="163"/>
      <c r="CF171" s="163"/>
      <c r="CG171" s="163"/>
      <c r="CH171" s="163"/>
      <c r="CI171" s="163"/>
      <c r="CJ171" s="163"/>
      <c r="CK171" s="163"/>
      <c r="CL171" s="163"/>
      <c r="CM171" s="163"/>
      <c r="CN171" s="163"/>
      <c r="CO171" s="163"/>
      <c r="CP171" s="163"/>
      <c r="CQ171" s="163"/>
      <c r="CR171" s="163"/>
      <c r="CS171" s="163"/>
      <c r="CT171" s="163"/>
      <c r="CU171" s="163"/>
      <c r="CV171" s="163"/>
      <c r="CW171" s="163"/>
      <c r="CX171" s="163"/>
      <c r="CY171" s="163"/>
      <c r="CZ171" s="163"/>
      <c r="DA171" s="163">
        <v>118</v>
      </c>
      <c r="DB171" s="163"/>
      <c r="DC171" s="163"/>
      <c r="DD171" s="163"/>
      <c r="DE171" s="163"/>
      <c r="DF171" s="163"/>
      <c r="DG171" s="208"/>
      <c r="DH171" s="163"/>
      <c r="DI171" s="163"/>
      <c r="DJ171" s="163"/>
      <c r="DK171" s="163"/>
      <c r="DL171" s="163"/>
      <c r="DM171" s="163"/>
      <c r="DN171" s="163"/>
      <c r="DO171" s="163"/>
      <c r="DP171" s="163"/>
      <c r="DQ171" s="163"/>
      <c r="DR171" s="163"/>
      <c r="DS171" s="163"/>
      <c r="DT171" s="163"/>
      <c r="DU171" s="163"/>
      <c r="DV171" s="163"/>
      <c r="DW171" s="163"/>
      <c r="DX171" s="163"/>
      <c r="DY171" s="163"/>
      <c r="DZ171" s="163"/>
      <c r="EA171" s="163"/>
      <c r="EB171" s="163"/>
      <c r="EC171" s="163"/>
      <c r="ED171" s="163"/>
      <c r="EE171" s="163"/>
      <c r="EF171" s="163"/>
      <c r="EG171" s="163"/>
      <c r="EH171" s="160">
        <f>IF([Chambre]*1='CHAMBRES FILLES 2e ETAGE'!$A$5,1,0)</f>
        <v>0</v>
      </c>
      <c r="EI171" s="161">
        <f>IF([Occurrence2]=0,0,SUM($EH$2:EH171))</f>
        <v>0</v>
      </c>
      <c r="EJ171" s="160">
        <f>IF([Chambre]*1='CHAMBRES FILLES 2e ETAGE'!$A$11,1,0)</f>
        <v>0</v>
      </c>
      <c r="EK171" s="160">
        <f>IF([Occurrence3]=0,0,SUM($EJ$2:EJ171))</f>
        <v>0</v>
      </c>
      <c r="EL171" s="160">
        <f>IF([Chambre]*1='CHAMBRES FILLES 2e ETAGE'!$A$17,1,0)</f>
        <v>0</v>
      </c>
      <c r="EM171" s="160">
        <f>IF([Occurrence4]=0,0,SUM($EL$2:EL171))</f>
        <v>0</v>
      </c>
      <c r="EN171" s="160">
        <f>IF([Chambre]*1='CHAMBRES FILLES 2e ETAGE'!$A$23,1,0)</f>
        <v>0</v>
      </c>
      <c r="EO171" s="160">
        <f>IF([Occurrence5]=0,0,SUM($EN$2:EN171))</f>
        <v>0</v>
      </c>
      <c r="EP171" s="160">
        <f>IF([Chambre]*1='CHAMBRES FILLES 2e ETAGE'!$A$29,1,0)</f>
        <v>0</v>
      </c>
      <c r="EQ171" s="160">
        <f>IF([Occurrence6]=0,0,SUM($EP$2:EP171))</f>
        <v>0</v>
      </c>
      <c r="ER171" s="160">
        <f>IF([Chambre]*1='CHAMBRES FILLES 2e ETAGE'!$A$35,1,0)</f>
        <v>0</v>
      </c>
      <c r="ES171" s="160">
        <f>IF([Occurrence7]=0,0,SUM($ER$2:ER171))</f>
        <v>0</v>
      </c>
      <c r="ET171" s="160">
        <f>IF([Chambre]*1='CHAMBRES FILLES 2e ETAGE'!$A$41,1,0)</f>
        <v>0</v>
      </c>
      <c r="EU171" s="160">
        <f>IF([Occurrence8]=0,0,SUM($ET$2:ET171))</f>
        <v>0</v>
      </c>
      <c r="EV171" s="160">
        <f>IF([Chambre]*1='CHAMBRES FILLES 2e ETAGE'!$A$47,1,0)</f>
        <v>0</v>
      </c>
      <c r="EW171" s="160">
        <f>IF([Occurrence9]=0,0,SUM($EV$2:EV171))</f>
        <v>0</v>
      </c>
      <c r="EX171" s="160">
        <f>IF([Chambre]*1='CHAMBRES FILLES 2e ETAGE'!$A$53,1,0)</f>
        <v>0</v>
      </c>
      <c r="EY171" s="160">
        <f>IF([Occurrence10]=0,0,SUM($EX$2:EX171))</f>
        <v>0</v>
      </c>
      <c r="EZ171" s="160">
        <f>IF([Chambre]*1='CHAMBRES FILLES 2e ETAGE'!$A$59,1,0)</f>
        <v>0</v>
      </c>
      <c r="FA171" s="160">
        <f>IF([Occurrence11]=0,0,SUM($EZ$2:EZ171))</f>
        <v>0</v>
      </c>
      <c r="FB171" s="160">
        <f>IF([Chambre]*1='CHAMBRES FILLES 2e ETAGE'!$A$65,1,0)</f>
        <v>0</v>
      </c>
      <c r="FC171" s="160">
        <f>IF([Occurrence12]=0,0,SUM($FB$2:FB171))</f>
        <v>0</v>
      </c>
      <c r="FD171" s="160">
        <f>IF([Chambre]*1='CHAMBRES FILLES 2e ETAGE'!$A$71,1,0)</f>
        <v>0</v>
      </c>
      <c r="FE171" s="160">
        <f>IF([Occurrence13]=0,0,SUM($FD$2:FD171))</f>
        <v>0</v>
      </c>
      <c r="FF171" s="160">
        <f>IF([Chambre]*1='CHAMBRES FILLES 2e ETAGE'!$A$77,1,0)</f>
        <v>0</v>
      </c>
      <c r="FG171" s="160">
        <f>IF([Occurrence14]=0,0,SUM($FF$2:FF171))</f>
        <v>0</v>
      </c>
      <c r="FH171" s="160">
        <f>IF([Chambre]*1='CHAMBRES FILLES 2e ETAGE'!$A$83,1,0)</f>
        <v>0</v>
      </c>
      <c r="FI171" s="160">
        <f>IF([Occurrence15]=0,0,SUM($FH$2:FH171))</f>
        <v>0</v>
      </c>
      <c r="FJ171" s="160">
        <f>IF([Chambre]*1='CHAMBRES FILLES 2e ETAGE'!$A$89,1,0)</f>
        <v>0</v>
      </c>
      <c r="FK171" s="160">
        <f>IF([Occurrence16]=0,0,SUM($FJ$2:FJ171))</f>
        <v>0</v>
      </c>
      <c r="FL171" s="160">
        <f>IF([Chambre]*1='CHAMBRES FILLES 2e ETAGE'!$A$95,1,0)</f>
        <v>0</v>
      </c>
      <c r="FM171" s="160">
        <f>IF([Occurrence17]=0,0,SUM($FL$2:FL171))</f>
        <v>0</v>
      </c>
      <c r="FN171" s="160">
        <f>IF([Chambre2]*1='CHAMBRES FILLES 1e ETAGE'!$A$5,1,0)</f>
        <v>0</v>
      </c>
      <c r="FO171" s="160">
        <f>IF([Occurrence18]=0,0,SUM($FN$2:FN171))</f>
        <v>0</v>
      </c>
      <c r="FP171" s="160">
        <f>IF([Chambre2]*1='CHAMBRES FILLES 1e ETAGE'!$A$11,1,0)</f>
        <v>0</v>
      </c>
      <c r="FQ171" s="160">
        <f>IF([Occurrence19]=0,0,SUM($FP$2:FP171))</f>
        <v>0</v>
      </c>
      <c r="FR171" s="160">
        <f>IF([Chambre2]*1='CHAMBRES FILLES 1e ETAGE'!$A$17,1,0)</f>
        <v>0</v>
      </c>
      <c r="FS171" s="160">
        <f>IF([Occurrence20]=0,0,SUM($FR$2:FR171))</f>
        <v>0</v>
      </c>
      <c r="FT171" s="160">
        <f>IF([Chambre2]*1='CHAMBRES FILLES 1e ETAGE'!$A$23,1,0)</f>
        <v>0</v>
      </c>
      <c r="FU171" s="160">
        <f>IF([Occurrence21]=0,0,SUM($FT$2:FT171))</f>
        <v>0</v>
      </c>
      <c r="FV171" s="160">
        <f>IF([Chambre2]*1='CHAMBRES FILLES 1e ETAGE'!$A$29,1,0)</f>
        <v>0</v>
      </c>
      <c r="FW171" s="160">
        <f>IF([Occurrence22]=0,0,SUM($FV$2:FV171))</f>
        <v>0</v>
      </c>
      <c r="FX171" s="160">
        <f>IF([Chambre2]*1='CHAMBRES FILLES 1e ETAGE'!$A$35,1,0)</f>
        <v>0</v>
      </c>
      <c r="FY171" s="160">
        <f>IF([Occurrence23]=0,0,SUM($FX$2:FX171))</f>
        <v>0</v>
      </c>
      <c r="FZ171" s="160">
        <f>IF([Chambre2]*1='CHAMBRES FILLES 1e ETAGE'!$A$41,1,0)</f>
        <v>0</v>
      </c>
      <c r="GA171" s="160">
        <f>IF([Occurrence24]=0,0,SUM($FZ$2:FZ171))</f>
        <v>0</v>
      </c>
      <c r="GB171" s="160">
        <f>IF([Chambre2]*1='CHAMBRES FILLES 1e ETAGE'!$A$47,1,0)</f>
        <v>0</v>
      </c>
      <c r="GC171" s="160">
        <f>IF([Occurrence25]=0,0,SUM($GB$2:GB171))</f>
        <v>0</v>
      </c>
      <c r="GD171" s="160">
        <f>IF([Chambre2]*1='CHAMBRES FILLES 1e ETAGE'!$A$53,1,0)</f>
        <v>0</v>
      </c>
      <c r="GE171" s="160">
        <f>IF([Occurrence26]=0,0,SUM($GD$2:GD171))</f>
        <v>0</v>
      </c>
      <c r="GF171" s="160">
        <f>IF([chambre4]*1='CHAMBRES GARCONS 1e ETAGE'!$A$5,1,0)</f>
        <v>0</v>
      </c>
      <c r="GG171" s="160">
        <f>IF([Occurrence27]=0,0,SUM($GF$2:GF171))</f>
        <v>0</v>
      </c>
      <c r="GH171" s="160">
        <f>IF([chambre4]*1='CHAMBRES GARCONS 1e ETAGE'!$A$11,1,0)</f>
        <v>0</v>
      </c>
      <c r="GI171" s="160">
        <f>IF([Occurrence28]=0,0,SUM($GH$2:GH171))</f>
        <v>0</v>
      </c>
      <c r="GJ171" s="160">
        <f>IF([chambre4]*1='CHAMBRES GARCONS 1e ETAGE'!$A$17,1,0)</f>
        <v>0</v>
      </c>
      <c r="GK171" s="160">
        <f>IF([Occurrence29]=0,0,SUM($GJ$2:GJ171))</f>
        <v>0</v>
      </c>
      <c r="GL171" s="160">
        <f>IF([chambre4]*1='CHAMBRES GARCONS 1e ETAGE'!$A$23,1,0)</f>
        <v>0</v>
      </c>
      <c r="GM171" s="160">
        <f>IF([Occurrence30]=0,0,SUM($GL$2:GL171))</f>
        <v>0</v>
      </c>
      <c r="GN171" s="160">
        <f>IF([chambre4]*1='CHAMBRES GARCONS 1e ETAGE'!$A$29,1,0)</f>
        <v>0</v>
      </c>
      <c r="GO171" s="160">
        <f>IF([Occurrence31]=0,0,SUM($GN$2:GN171))</f>
        <v>0</v>
      </c>
      <c r="GP171" s="160">
        <f>IF([chambre4]*1='CHAMBRES GARCONS 1e ETAGE'!$A$35,1,0)</f>
        <v>0</v>
      </c>
      <c r="GQ171" s="160">
        <f>IF([Occurrence32]=0,0,SUM($GP$2:GP171))</f>
        <v>0</v>
      </c>
      <c r="GR171" s="160">
        <f>IF([chambre3]*1='CHAMBRES GARCONS RDC'!$A$5,1,0)</f>
        <v>0</v>
      </c>
      <c r="GS171" s="160">
        <f>IF([Occurrence33]=0,0,SUM($GR$2:GR171))</f>
        <v>0</v>
      </c>
      <c r="GT171" s="160">
        <f>IF([chambre3]*1='CHAMBRES GARCONS RDC'!$A$11,1,0)</f>
        <v>0</v>
      </c>
      <c r="GU171" s="160">
        <f>IF([Occurrence34]=0,0,SUM($GT$2:GT171))</f>
        <v>0</v>
      </c>
      <c r="GV171" s="160">
        <f>IF([chambre3]*1='CHAMBRES GARCONS RDC'!$A$17,1,0)</f>
        <v>0</v>
      </c>
      <c r="GW171" s="160">
        <f>IF([Occurrence35]=0,0,SUM($GV$2:GV171))</f>
        <v>0</v>
      </c>
      <c r="GX171" s="160">
        <f>IF([chambre3]*1='CHAMBRES GARCONS RDC'!$A$23,1,0)</f>
        <v>0</v>
      </c>
      <c r="GY171" s="160">
        <f>IF([Occurrence36]=0,0,SUM($GX$2:GX171))</f>
        <v>0</v>
      </c>
      <c r="GZ171" s="160">
        <f>IF([chambre3]*1='CHAMBRES GARCONS RDC'!$A$29,1,0)</f>
        <v>0</v>
      </c>
      <c r="HA171" s="160">
        <f>IF([Occurrence37]=0,0,SUM($GZ$2:GZ171))</f>
        <v>0</v>
      </c>
      <c r="HB171" s="160">
        <f>IF([chambre3]*1='CHAMBRES GARCONS RDC'!$A$35,1,0)</f>
        <v>0</v>
      </c>
      <c r="HC171" s="160">
        <f>IF([Occurrence38]=0,0,SUM($HB$2:HB171))</f>
        <v>0</v>
      </c>
      <c r="HD171" s="160">
        <f>IF([chambre3]*1='CHAMBRES GARCONS RDC'!$A$41,1,0)</f>
        <v>0</v>
      </c>
      <c r="HE171" s="160">
        <f>IF([Occurrence39]=0,0,SUM($HD$2:HD171))</f>
        <v>0</v>
      </c>
      <c r="HF171" s="160">
        <f>IF([chambre3]*1='CHAMBRES GARCONS RDC'!$A$47,1,0)</f>
        <v>0</v>
      </c>
      <c r="HG171" s="160">
        <f>IF([Occurrence40]=0,0,SUM($HF$2:HF171))</f>
        <v>0</v>
      </c>
      <c r="HH171" s="160">
        <f>IF([chambre3]*1='CHAMBRES GARCONS RDC'!$A$53,1,0)</f>
        <v>0</v>
      </c>
      <c r="HI171" s="160">
        <f>IF([Occurrence41]=0,0,SUM($HH$2:HH171))</f>
        <v>0</v>
      </c>
      <c r="HJ171" s="160">
        <f>IF([chambre3]*1='CHAMBRES GARCONS RDC'!$A$59,1,0)</f>
        <v>0</v>
      </c>
      <c r="HK171" s="160">
        <f>IF([Occurrence42]=0,0,SUM($HJ$2:HJ171))</f>
        <v>0</v>
      </c>
      <c r="HL171" s="160">
        <f>IF([chambre3]*1='CHAMBRES GARCONS RDC'!$A$65,1,0)</f>
        <v>1</v>
      </c>
      <c r="HM171" s="160">
        <f>IF([Occurrence43]=0,0,SUM($HL$2:HL171))</f>
        <v>3</v>
      </c>
      <c r="HN171" s="160">
        <f>IF([chambre3]*1='CHAMBRES GARCONS RDC'!$A$71,1,0)</f>
        <v>0</v>
      </c>
      <c r="HO171" s="160">
        <f>IF([Occurrence44]=0,0,SUM($HN$2:HN171))</f>
        <v>0</v>
      </c>
      <c r="HP171" s="160">
        <f>IF([chambre3]*1='CHAMBRES GARCONS RDC'!$A$77,1,0)</f>
        <v>0</v>
      </c>
      <c r="HQ171" s="160">
        <f>IF([Occurrence45]=0,0,SUM($HP$2:HP171))</f>
        <v>0</v>
      </c>
      <c r="HR171" s="160">
        <f>IF([chambre3]*1='CHAMBRES GARCONS RDC'!$A$83,1,0)</f>
        <v>0</v>
      </c>
      <c r="HS171" s="160">
        <f>IF([Occurrence46]=0,0,SUM($HR$2:HR171))</f>
        <v>0</v>
      </c>
      <c r="HT171" s="160">
        <f>IF([chambre3]*1='CHAMBRES GARCONS RDC'!$A$89,1,0)</f>
        <v>0</v>
      </c>
      <c r="HU171" s="160">
        <f>IF([Occurrence47]=0,0,SUM($HT$2:HT171))</f>
        <v>0</v>
      </c>
      <c r="HV171" s="160">
        <f>IF([chambre3]*1='CHAMBRES GARCONS RDC'!$A$95,1,0)</f>
        <v>0</v>
      </c>
      <c r="HW171" s="160">
        <f>IF([Occurrence48]=0,0,SUM($HV$2:HV171))</f>
        <v>0</v>
      </c>
      <c r="HX171" s="160"/>
      <c r="HY171" s="160"/>
      <c r="HZ171" s="160">
        <f>IF([Classe]='Liste élève par classes'!$B$5,1,0)</f>
        <v>1</v>
      </c>
      <c r="IA171" s="160">
        <f>IF([Occurrence]=0,0,SUM($HZ$2:HZ171))</f>
        <v>11</v>
      </c>
      <c r="IB17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118</v>
      </c>
      <c r="IC171" s="208"/>
    </row>
    <row r="172" spans="1:237">
      <c r="A172" t="s">
        <v>536</v>
      </c>
      <c r="B172" t="s">
        <v>537</v>
      </c>
      <c r="C172" s="158">
        <v>37164</v>
      </c>
      <c r="D172" s="62">
        <f t="shared" ca="1" si="2"/>
        <v>16</v>
      </c>
      <c r="E172" t="s">
        <v>8</v>
      </c>
      <c r="F172" s="159" t="s">
        <v>50</v>
      </c>
      <c r="G172" t="s">
        <v>40</v>
      </c>
      <c r="H172" s="160"/>
      <c r="I172" s="62"/>
      <c r="J172" s="62"/>
      <c r="K172" s="62"/>
      <c r="L172" s="61"/>
      <c r="M172">
        <v>106</v>
      </c>
      <c r="N172" s="62"/>
      <c r="O172" s="62"/>
      <c r="P172" s="62"/>
      <c r="Q172" s="62"/>
      <c r="R172" s="62"/>
      <c r="S172" s="191"/>
      <c r="T172" s="62"/>
      <c r="U172" s="61"/>
      <c r="V172" s="62"/>
      <c r="W172" s="62"/>
      <c r="X172" s="62"/>
      <c r="Y172" s="62"/>
      <c r="Z172" s="62"/>
      <c r="AA172" s="62"/>
      <c r="AB172" s="62"/>
      <c r="AC172" s="62"/>
      <c r="AD172" s="62"/>
      <c r="AE172" s="62"/>
      <c r="AF172" s="163"/>
      <c r="AG172" s="163"/>
      <c r="AH172" s="163"/>
      <c r="AI172" s="163"/>
      <c r="AJ172" s="163"/>
      <c r="AK172" s="163"/>
      <c r="AL172" s="163"/>
      <c r="AM172" s="163"/>
      <c r="AN172" s="163"/>
      <c r="AO172" s="163"/>
      <c r="AP172" s="163"/>
      <c r="AQ172" s="163"/>
      <c r="AR172" s="163"/>
      <c r="AS172" s="163"/>
      <c r="AT172" s="163"/>
      <c r="AU172" s="163"/>
      <c r="AV172" s="163"/>
      <c r="AW172" s="163"/>
      <c r="AX172" s="163"/>
      <c r="AY172" s="163"/>
      <c r="AZ172" s="163"/>
      <c r="BA172" s="163"/>
      <c r="BB172" s="163"/>
      <c r="BC172" s="163" t="b">
        <v>0</v>
      </c>
      <c r="BD172" s="163" t="b">
        <v>1</v>
      </c>
      <c r="BE172" s="163" t="b">
        <v>1</v>
      </c>
      <c r="BF172" s="163" t="b">
        <v>0</v>
      </c>
      <c r="BG172" s="163" t="b">
        <v>1</v>
      </c>
      <c r="BH172" s="163" t="b">
        <v>0</v>
      </c>
      <c r="BI172" s="163"/>
      <c r="BJ172" s="163"/>
      <c r="BK172" s="163"/>
      <c r="BL172" s="163"/>
      <c r="BM172" s="163"/>
      <c r="BN172" s="163"/>
      <c r="BO172" s="163"/>
      <c r="BP172" s="163"/>
      <c r="BQ172" s="163" t="b">
        <v>0</v>
      </c>
      <c r="BR172" s="163"/>
      <c r="BS172" s="163"/>
      <c r="BT172" s="163"/>
      <c r="BU172" s="163"/>
      <c r="BV172" s="163"/>
      <c r="BW172" s="163"/>
      <c r="BX172" s="163"/>
      <c r="BY172" s="163"/>
      <c r="BZ172" s="163"/>
      <c r="CA172" s="163"/>
      <c r="CB172" s="163"/>
      <c r="CC172" s="163"/>
      <c r="CD172" s="163"/>
      <c r="CE172" s="163"/>
      <c r="CF172" s="163"/>
      <c r="CG172" s="163"/>
      <c r="CH172" s="163"/>
      <c r="CI172" s="163"/>
      <c r="CJ172" s="163"/>
      <c r="CK172" s="163"/>
      <c r="CL172" s="163"/>
      <c r="CM172" s="163"/>
      <c r="CN172" s="163"/>
      <c r="CO172" s="163"/>
      <c r="CP172" s="163"/>
      <c r="CQ172" s="163"/>
      <c r="CR172" s="163"/>
      <c r="CS172" s="163"/>
      <c r="CT172" s="163"/>
      <c r="CU172" s="163"/>
      <c r="CV172" s="163"/>
      <c r="CW172" s="163"/>
      <c r="CX172" s="163"/>
      <c r="CY172" s="163"/>
      <c r="CZ172" s="163"/>
      <c r="DA172" s="163">
        <v>118</v>
      </c>
      <c r="DB172" s="163"/>
      <c r="DC172" s="163"/>
      <c r="DD172" s="163"/>
      <c r="DE172" s="163"/>
      <c r="DF172" s="163"/>
      <c r="DG172" s="208"/>
      <c r="DH172" s="163"/>
      <c r="DI172" s="163"/>
      <c r="DJ172" s="163"/>
      <c r="DK172" s="163"/>
      <c r="DL172" s="163"/>
      <c r="DM172" s="163"/>
      <c r="DN172" s="163"/>
      <c r="DO172" s="163"/>
      <c r="DP172" s="163"/>
      <c r="DQ172" s="163"/>
      <c r="DR172" s="163"/>
      <c r="DS172" s="163"/>
      <c r="DT172" s="163"/>
      <c r="DU172" s="163"/>
      <c r="DV172" s="163"/>
      <c r="DW172" s="163"/>
      <c r="DX172" s="163"/>
      <c r="DY172" s="163"/>
      <c r="DZ172" s="163"/>
      <c r="EA172" s="163"/>
      <c r="EB172" s="163"/>
      <c r="EC172" s="163"/>
      <c r="ED172" s="163"/>
      <c r="EE172" s="163"/>
      <c r="EF172" s="163"/>
      <c r="EG172" s="163"/>
      <c r="EH172" s="160">
        <f>IF([Chambre]*1='CHAMBRES FILLES 2e ETAGE'!$A$5,1,0)</f>
        <v>0</v>
      </c>
      <c r="EI172" s="161">
        <f>IF([Occurrence2]=0,0,SUM($EH$2:EH172))</f>
        <v>0</v>
      </c>
      <c r="EJ172" s="160">
        <f>IF([Chambre]*1='CHAMBRES FILLES 2e ETAGE'!$A$11,1,0)</f>
        <v>0</v>
      </c>
      <c r="EK172" s="160">
        <f>IF([Occurrence3]=0,0,SUM($EJ$2:EJ172))</f>
        <v>0</v>
      </c>
      <c r="EL172" s="160">
        <f>IF([Chambre]*1='CHAMBRES FILLES 2e ETAGE'!$A$17,1,0)</f>
        <v>0</v>
      </c>
      <c r="EM172" s="160">
        <f>IF([Occurrence4]=0,0,SUM($EL$2:EL172))</f>
        <v>0</v>
      </c>
      <c r="EN172" s="160">
        <f>IF([Chambre]*1='CHAMBRES FILLES 2e ETAGE'!$A$23,1,0)</f>
        <v>0</v>
      </c>
      <c r="EO172" s="160">
        <f>IF([Occurrence5]=0,0,SUM($EN$2:EN172))</f>
        <v>0</v>
      </c>
      <c r="EP172" s="160">
        <f>IF([Chambre]*1='CHAMBRES FILLES 2e ETAGE'!$A$29,1,0)</f>
        <v>0</v>
      </c>
      <c r="EQ172" s="160">
        <f>IF([Occurrence6]=0,0,SUM($EP$2:EP172))</f>
        <v>0</v>
      </c>
      <c r="ER172" s="160">
        <f>IF([Chambre]*1='CHAMBRES FILLES 2e ETAGE'!$A$35,1,0)</f>
        <v>0</v>
      </c>
      <c r="ES172" s="160">
        <f>IF([Occurrence7]=0,0,SUM($ER$2:ER172))</f>
        <v>0</v>
      </c>
      <c r="ET172" s="160">
        <f>IF([Chambre]*1='CHAMBRES FILLES 2e ETAGE'!$A$41,1,0)</f>
        <v>0</v>
      </c>
      <c r="EU172" s="160">
        <f>IF([Occurrence8]=0,0,SUM($ET$2:ET172))</f>
        <v>0</v>
      </c>
      <c r="EV172" s="160">
        <f>IF([Chambre]*1='CHAMBRES FILLES 2e ETAGE'!$A$47,1,0)</f>
        <v>0</v>
      </c>
      <c r="EW172" s="160">
        <f>IF([Occurrence9]=0,0,SUM($EV$2:EV172))</f>
        <v>0</v>
      </c>
      <c r="EX172" s="160">
        <f>IF([Chambre]*1='CHAMBRES FILLES 2e ETAGE'!$A$53,1,0)</f>
        <v>0</v>
      </c>
      <c r="EY172" s="160">
        <f>IF([Occurrence10]=0,0,SUM($EX$2:EX172))</f>
        <v>0</v>
      </c>
      <c r="EZ172" s="160">
        <f>IF([Chambre]*1='CHAMBRES FILLES 2e ETAGE'!$A$59,1,0)</f>
        <v>0</v>
      </c>
      <c r="FA172" s="160">
        <f>IF([Occurrence11]=0,0,SUM($EZ$2:EZ172))</f>
        <v>0</v>
      </c>
      <c r="FB172" s="160">
        <f>IF([Chambre]*1='CHAMBRES FILLES 2e ETAGE'!$A$65,1,0)</f>
        <v>0</v>
      </c>
      <c r="FC172" s="160">
        <f>IF([Occurrence12]=0,0,SUM($FB$2:FB172))</f>
        <v>0</v>
      </c>
      <c r="FD172" s="160">
        <f>IF([Chambre]*1='CHAMBRES FILLES 2e ETAGE'!$A$71,1,0)</f>
        <v>0</v>
      </c>
      <c r="FE172" s="160">
        <f>IF([Occurrence13]=0,0,SUM($FD$2:FD172))</f>
        <v>0</v>
      </c>
      <c r="FF172" s="160">
        <f>IF([Chambre]*1='CHAMBRES FILLES 2e ETAGE'!$A$77,1,0)</f>
        <v>0</v>
      </c>
      <c r="FG172" s="160">
        <f>IF([Occurrence14]=0,0,SUM($FF$2:FF172))</f>
        <v>0</v>
      </c>
      <c r="FH172" s="160">
        <f>IF([Chambre]*1='CHAMBRES FILLES 2e ETAGE'!$A$83,1,0)</f>
        <v>0</v>
      </c>
      <c r="FI172" s="160">
        <f>IF([Occurrence15]=0,0,SUM($FH$2:FH172))</f>
        <v>0</v>
      </c>
      <c r="FJ172" s="160">
        <f>IF([Chambre]*1='CHAMBRES FILLES 2e ETAGE'!$A$89,1,0)</f>
        <v>0</v>
      </c>
      <c r="FK172" s="160">
        <f>IF([Occurrence16]=0,0,SUM($FJ$2:FJ172))</f>
        <v>0</v>
      </c>
      <c r="FL172" s="160">
        <f>IF([Chambre]*1='CHAMBRES FILLES 2e ETAGE'!$A$95,1,0)</f>
        <v>0</v>
      </c>
      <c r="FM172" s="160">
        <f>IF([Occurrence17]=0,0,SUM($FL$2:FL172))</f>
        <v>0</v>
      </c>
      <c r="FN172" s="160">
        <f>IF([Chambre2]*1='CHAMBRES FILLES 1e ETAGE'!$A$5,1,0)</f>
        <v>0</v>
      </c>
      <c r="FO172" s="160">
        <f>IF([Occurrence18]=0,0,SUM($FN$2:FN172))</f>
        <v>0</v>
      </c>
      <c r="FP172" s="160">
        <f>IF([Chambre2]*1='CHAMBRES FILLES 1e ETAGE'!$A$11,1,0)</f>
        <v>0</v>
      </c>
      <c r="FQ172" s="160">
        <f>IF([Occurrence19]=0,0,SUM($FP$2:FP172))</f>
        <v>0</v>
      </c>
      <c r="FR172" s="160">
        <f>IF([Chambre2]*1='CHAMBRES FILLES 1e ETAGE'!$A$17,1,0)</f>
        <v>0</v>
      </c>
      <c r="FS172" s="160">
        <f>IF([Occurrence20]=0,0,SUM($FR$2:FR172))</f>
        <v>0</v>
      </c>
      <c r="FT172" s="160">
        <f>IF([Chambre2]*1='CHAMBRES FILLES 1e ETAGE'!$A$23,1,0)</f>
        <v>0</v>
      </c>
      <c r="FU172" s="160">
        <f>IF([Occurrence21]=0,0,SUM($FT$2:FT172))</f>
        <v>0</v>
      </c>
      <c r="FV172" s="160">
        <f>IF([Chambre2]*1='CHAMBRES FILLES 1e ETAGE'!$A$29,1,0)</f>
        <v>0</v>
      </c>
      <c r="FW172" s="160">
        <f>IF([Occurrence22]=0,0,SUM($FV$2:FV172))</f>
        <v>0</v>
      </c>
      <c r="FX172" s="160">
        <f>IF([Chambre2]*1='CHAMBRES FILLES 1e ETAGE'!$A$35,1,0)</f>
        <v>0</v>
      </c>
      <c r="FY172" s="160">
        <f>IF([Occurrence23]=0,0,SUM($FX$2:FX172))</f>
        <v>0</v>
      </c>
      <c r="FZ172" s="160">
        <f>IF([Chambre2]*1='CHAMBRES FILLES 1e ETAGE'!$A$41,1,0)</f>
        <v>0</v>
      </c>
      <c r="GA172" s="160">
        <f>IF([Occurrence24]=0,0,SUM($FZ$2:FZ172))</f>
        <v>0</v>
      </c>
      <c r="GB172" s="160">
        <f>IF([Chambre2]*1='CHAMBRES FILLES 1e ETAGE'!$A$47,1,0)</f>
        <v>0</v>
      </c>
      <c r="GC172" s="160">
        <f>IF([Occurrence25]=0,0,SUM($GB$2:GB172))</f>
        <v>0</v>
      </c>
      <c r="GD172" s="160">
        <f>IF([Chambre2]*1='CHAMBRES FILLES 1e ETAGE'!$A$53,1,0)</f>
        <v>0</v>
      </c>
      <c r="GE172" s="160">
        <f>IF([Occurrence26]=0,0,SUM($GD$2:GD172))</f>
        <v>0</v>
      </c>
      <c r="GF172" s="160">
        <f>IF([chambre4]*1='CHAMBRES GARCONS 1e ETAGE'!$A$5,1,0)</f>
        <v>0</v>
      </c>
      <c r="GG172" s="160">
        <f>IF([Occurrence27]=0,0,SUM($GF$2:GF172))</f>
        <v>0</v>
      </c>
      <c r="GH172" s="160">
        <f>IF([chambre4]*1='CHAMBRES GARCONS 1e ETAGE'!$A$11,1,0)</f>
        <v>0</v>
      </c>
      <c r="GI172" s="160">
        <f>IF([Occurrence28]=0,0,SUM($GH$2:GH172))</f>
        <v>0</v>
      </c>
      <c r="GJ172" s="160">
        <f>IF([chambre4]*1='CHAMBRES GARCONS 1e ETAGE'!$A$17,1,0)</f>
        <v>0</v>
      </c>
      <c r="GK172" s="160">
        <f>IF([Occurrence29]=0,0,SUM($GJ$2:GJ172))</f>
        <v>0</v>
      </c>
      <c r="GL172" s="160">
        <f>IF([chambre4]*1='CHAMBRES GARCONS 1e ETAGE'!$A$23,1,0)</f>
        <v>0</v>
      </c>
      <c r="GM172" s="160">
        <f>IF([Occurrence30]=0,0,SUM($GL$2:GL172))</f>
        <v>0</v>
      </c>
      <c r="GN172" s="160">
        <f>IF([chambre4]*1='CHAMBRES GARCONS 1e ETAGE'!$A$29,1,0)</f>
        <v>0</v>
      </c>
      <c r="GO172" s="160">
        <f>IF([Occurrence31]=0,0,SUM($GN$2:GN172))</f>
        <v>0</v>
      </c>
      <c r="GP172" s="160">
        <f>IF([chambre4]*1='CHAMBRES GARCONS 1e ETAGE'!$A$35,1,0)</f>
        <v>0</v>
      </c>
      <c r="GQ172" s="160">
        <f>IF([Occurrence32]=0,0,SUM($GP$2:GP172))</f>
        <v>0</v>
      </c>
      <c r="GR172" s="160">
        <f>IF([chambre3]*1='CHAMBRES GARCONS RDC'!$A$5,1,0)</f>
        <v>0</v>
      </c>
      <c r="GS172" s="160">
        <f>IF([Occurrence33]=0,0,SUM($GR$2:GR172))</f>
        <v>0</v>
      </c>
      <c r="GT172" s="160">
        <f>IF([chambre3]*1='CHAMBRES GARCONS RDC'!$A$11,1,0)</f>
        <v>0</v>
      </c>
      <c r="GU172" s="160">
        <f>IF([Occurrence34]=0,0,SUM($GT$2:GT172))</f>
        <v>0</v>
      </c>
      <c r="GV172" s="160">
        <f>IF([chambre3]*1='CHAMBRES GARCONS RDC'!$A$17,1,0)</f>
        <v>0</v>
      </c>
      <c r="GW172" s="160">
        <f>IF([Occurrence35]=0,0,SUM($GV$2:GV172))</f>
        <v>0</v>
      </c>
      <c r="GX172" s="160">
        <f>IF([chambre3]*1='CHAMBRES GARCONS RDC'!$A$23,1,0)</f>
        <v>0</v>
      </c>
      <c r="GY172" s="160">
        <f>IF([Occurrence36]=0,0,SUM($GX$2:GX172))</f>
        <v>0</v>
      </c>
      <c r="GZ172" s="160">
        <f>IF([chambre3]*1='CHAMBRES GARCONS RDC'!$A$29,1,0)</f>
        <v>0</v>
      </c>
      <c r="HA172" s="160">
        <f>IF([Occurrence37]=0,0,SUM($GZ$2:GZ172))</f>
        <v>0</v>
      </c>
      <c r="HB172" s="160">
        <f>IF([chambre3]*1='CHAMBRES GARCONS RDC'!$A$35,1,0)</f>
        <v>0</v>
      </c>
      <c r="HC172" s="160">
        <f>IF([Occurrence38]=0,0,SUM($HB$2:HB172))</f>
        <v>0</v>
      </c>
      <c r="HD172" s="160">
        <f>IF([chambre3]*1='CHAMBRES GARCONS RDC'!$A$41,1,0)</f>
        <v>0</v>
      </c>
      <c r="HE172" s="160">
        <f>IF([Occurrence39]=0,0,SUM($HD$2:HD172))</f>
        <v>0</v>
      </c>
      <c r="HF172" s="160">
        <f>IF([chambre3]*1='CHAMBRES GARCONS RDC'!$A$47,1,0)</f>
        <v>0</v>
      </c>
      <c r="HG172" s="160">
        <f>IF([Occurrence40]=0,0,SUM($HF$2:HF172))</f>
        <v>0</v>
      </c>
      <c r="HH172" s="160">
        <f>IF([chambre3]*1='CHAMBRES GARCONS RDC'!$A$53,1,0)</f>
        <v>0</v>
      </c>
      <c r="HI172" s="160">
        <f>IF([Occurrence41]=0,0,SUM($HH$2:HH172))</f>
        <v>0</v>
      </c>
      <c r="HJ172" s="160">
        <f>IF([chambre3]*1='CHAMBRES GARCONS RDC'!$A$59,1,0)</f>
        <v>0</v>
      </c>
      <c r="HK172" s="160">
        <f>IF([Occurrence42]=0,0,SUM($HJ$2:HJ172))</f>
        <v>0</v>
      </c>
      <c r="HL172" s="160">
        <f>IF([chambre3]*1='CHAMBRES GARCONS RDC'!$A$65,1,0)</f>
        <v>1</v>
      </c>
      <c r="HM172" s="160">
        <f>IF([Occurrence43]=0,0,SUM($HL$2:HL172))</f>
        <v>4</v>
      </c>
      <c r="HN172" s="160">
        <f>IF([chambre3]*1='CHAMBRES GARCONS RDC'!$A$71,1,0)</f>
        <v>0</v>
      </c>
      <c r="HO172" s="160">
        <f>IF([Occurrence44]=0,0,SUM($HN$2:HN172))</f>
        <v>0</v>
      </c>
      <c r="HP172" s="160">
        <f>IF([chambre3]*1='CHAMBRES GARCONS RDC'!$A$77,1,0)</f>
        <v>0</v>
      </c>
      <c r="HQ172" s="160">
        <f>IF([Occurrence45]=0,0,SUM($HP$2:HP172))</f>
        <v>0</v>
      </c>
      <c r="HR172" s="160">
        <f>IF([chambre3]*1='CHAMBRES GARCONS RDC'!$A$83,1,0)</f>
        <v>0</v>
      </c>
      <c r="HS172" s="160">
        <f>IF([Occurrence46]=0,0,SUM($HR$2:HR172))</f>
        <v>0</v>
      </c>
      <c r="HT172" s="160">
        <f>IF([chambre3]*1='CHAMBRES GARCONS RDC'!$A$89,1,0)</f>
        <v>0</v>
      </c>
      <c r="HU172" s="160">
        <f>IF([Occurrence47]=0,0,SUM($HT$2:HT172))</f>
        <v>0</v>
      </c>
      <c r="HV172" s="160">
        <f>IF([chambre3]*1='CHAMBRES GARCONS RDC'!$A$95,1,0)</f>
        <v>0</v>
      </c>
      <c r="HW172" s="160">
        <f>IF([Occurrence48]=0,0,SUM($HV$2:HV172))</f>
        <v>0</v>
      </c>
      <c r="HX172" s="160"/>
      <c r="HY172" s="160"/>
      <c r="HZ172" s="160">
        <f>IF([Classe]='Liste élève par classes'!$B$5,1,0)</f>
        <v>1</v>
      </c>
      <c r="IA172" s="160">
        <f>IF([Occurrence]=0,0,SUM($HZ$2:HZ172))</f>
        <v>12</v>
      </c>
      <c r="IB17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118</v>
      </c>
      <c r="IC172" s="208"/>
    </row>
    <row r="173" spans="1:237">
      <c r="A173" t="s">
        <v>538</v>
      </c>
      <c r="B173" t="s">
        <v>539</v>
      </c>
      <c r="C173" s="158" t="s">
        <v>790</v>
      </c>
      <c r="D173" s="62" t="s">
        <v>713</v>
      </c>
      <c r="E173" t="s">
        <v>0</v>
      </c>
      <c r="F173" s="159" t="s">
        <v>50</v>
      </c>
      <c r="G173" t="s">
        <v>40</v>
      </c>
      <c r="H173" s="160"/>
      <c r="I173" s="161"/>
      <c r="J173" s="161"/>
      <c r="K173" s="161"/>
      <c r="L173" s="160"/>
      <c r="M173" t="s">
        <v>791</v>
      </c>
      <c r="N173" s="161"/>
      <c r="O173" s="161"/>
      <c r="P173" s="161"/>
      <c r="Q173" s="161"/>
      <c r="R173" s="161"/>
      <c r="S173" s="190"/>
      <c r="T173" s="161"/>
      <c r="U173" s="160"/>
      <c r="V173" s="161"/>
      <c r="W173" s="161"/>
      <c r="X173" s="161"/>
      <c r="Y173" s="161"/>
      <c r="Z173" s="161"/>
      <c r="AA173" s="161"/>
      <c r="AB173" s="161"/>
      <c r="AC173" s="161"/>
      <c r="AD173" s="161"/>
      <c r="AE173" s="161"/>
      <c r="AF173" s="163"/>
      <c r="AG173" s="163"/>
      <c r="AH173" s="163"/>
      <c r="AI173" s="163" t="b">
        <v>0</v>
      </c>
      <c r="AJ173" s="163" t="b">
        <v>0</v>
      </c>
      <c r="AK173" s="163" t="b">
        <v>0</v>
      </c>
      <c r="AL173" s="163" t="b">
        <v>0</v>
      </c>
      <c r="AM173" s="163" t="b">
        <v>0</v>
      </c>
      <c r="AN173" s="163" t="b">
        <v>0</v>
      </c>
      <c r="AO173" s="163" t="b">
        <v>0</v>
      </c>
      <c r="AP173" s="163" t="b">
        <v>0</v>
      </c>
      <c r="AQ173" s="163" t="b">
        <v>0</v>
      </c>
      <c r="AR173" s="163" t="b">
        <v>0</v>
      </c>
      <c r="AS173" s="163" t="b">
        <v>0</v>
      </c>
      <c r="AT173" s="163" t="b">
        <v>0</v>
      </c>
      <c r="AU173" s="163" t="b">
        <v>0</v>
      </c>
      <c r="AV173" s="163" t="b">
        <v>0</v>
      </c>
      <c r="AW173" s="163" t="b">
        <v>0</v>
      </c>
      <c r="AX173" s="163" t="b">
        <v>0</v>
      </c>
      <c r="AY173" s="163" t="b">
        <v>0</v>
      </c>
      <c r="AZ173" s="163" t="b">
        <v>0</v>
      </c>
      <c r="BA173" s="163" t="b">
        <v>0</v>
      </c>
      <c r="BB173" s="163" t="b">
        <v>0</v>
      </c>
      <c r="BC173" s="163" t="b">
        <v>0</v>
      </c>
      <c r="BD173" s="163" t="b">
        <v>1</v>
      </c>
      <c r="BE173" s="163" t="b">
        <v>1</v>
      </c>
      <c r="BF173" s="163" t="b">
        <v>0</v>
      </c>
      <c r="BG173" s="164" t="b">
        <v>0</v>
      </c>
      <c r="BH173" s="163" t="b">
        <v>1</v>
      </c>
      <c r="BI173" s="163" t="b">
        <v>0</v>
      </c>
      <c r="BJ173" s="163" t="b">
        <v>0</v>
      </c>
      <c r="BK173" s="163" t="b">
        <v>0</v>
      </c>
      <c r="BL173" s="163" t="b">
        <v>0</v>
      </c>
      <c r="BM173" s="163"/>
      <c r="BN173" s="163" t="b">
        <v>0</v>
      </c>
      <c r="BO173" s="163" t="b">
        <v>0</v>
      </c>
      <c r="BP173" s="163"/>
      <c r="BQ173" s="163" t="b">
        <v>1</v>
      </c>
      <c r="BR173" s="163" t="b">
        <v>0</v>
      </c>
      <c r="BS173" s="163"/>
      <c r="BT173" s="163" t="b">
        <v>0</v>
      </c>
      <c r="BU173" s="163" t="b">
        <v>0</v>
      </c>
      <c r="BV173" s="163"/>
      <c r="BW173" s="163" t="b">
        <v>0</v>
      </c>
      <c r="BX173" s="163" t="b">
        <v>0</v>
      </c>
      <c r="BY173" s="163"/>
      <c r="BZ173" s="163" t="b">
        <v>0</v>
      </c>
      <c r="CA173" s="163" t="b">
        <v>0</v>
      </c>
      <c r="CB173" s="163"/>
      <c r="CC173" s="163" t="b">
        <v>0</v>
      </c>
      <c r="CD173" s="163" t="b">
        <v>0</v>
      </c>
      <c r="CE173" s="163"/>
      <c r="CF173" s="163" t="b">
        <v>0</v>
      </c>
      <c r="CG173" s="163" t="b">
        <v>0</v>
      </c>
      <c r="CH173" s="163"/>
      <c r="CI173" s="163" t="b">
        <v>0</v>
      </c>
      <c r="CJ173" s="163" t="b">
        <v>0</v>
      </c>
      <c r="CK173" s="163"/>
      <c r="CL173" s="163" t="b">
        <v>0</v>
      </c>
      <c r="CM173" s="163" t="b">
        <v>0</v>
      </c>
      <c r="CN173" s="163"/>
      <c r="CO173" s="163" t="b">
        <v>0</v>
      </c>
      <c r="CP173" s="163" t="b">
        <v>0</v>
      </c>
      <c r="CQ173" s="163"/>
      <c r="CR173" s="163" t="b">
        <v>0</v>
      </c>
      <c r="CS173" s="163" t="b">
        <v>0</v>
      </c>
      <c r="CT173" s="163" t="b">
        <v>0</v>
      </c>
      <c r="CU173" s="163" t="b">
        <v>0</v>
      </c>
      <c r="CV173" s="163"/>
      <c r="CW173" s="163" t="b">
        <v>0</v>
      </c>
      <c r="CX173" s="163" t="b">
        <v>0</v>
      </c>
      <c r="CY173" s="163" t="b">
        <v>0</v>
      </c>
      <c r="CZ173" s="163" t="b">
        <v>0</v>
      </c>
      <c r="DA173" s="163" t="s">
        <v>787</v>
      </c>
      <c r="DB173" s="163"/>
      <c r="DC173" s="163"/>
      <c r="DD173" s="163"/>
      <c r="DE173" s="163"/>
      <c r="DF173" s="163"/>
      <c r="DG173" s="208"/>
      <c r="DH173" s="163"/>
      <c r="DI173" s="163"/>
      <c r="DJ173" s="163"/>
      <c r="DK173" s="163"/>
      <c r="DL173" s="163"/>
      <c r="DM173" s="163" t="b">
        <v>0</v>
      </c>
      <c r="DN173" s="163" t="b">
        <v>0</v>
      </c>
      <c r="DO173" s="163" t="b">
        <v>0</v>
      </c>
      <c r="DP173" s="163" t="b">
        <v>0</v>
      </c>
      <c r="DQ173" s="163" t="b">
        <v>0</v>
      </c>
      <c r="DR173" s="163" t="b">
        <v>0</v>
      </c>
      <c r="DS173" s="163" t="b">
        <v>0</v>
      </c>
      <c r="DT173" s="163" t="b">
        <v>0</v>
      </c>
      <c r="DU173" s="163" t="b">
        <v>0</v>
      </c>
      <c r="DV173" s="163" t="b">
        <v>0</v>
      </c>
      <c r="DW173" s="163" t="b">
        <v>0</v>
      </c>
      <c r="DX173" s="163" t="b">
        <v>0</v>
      </c>
      <c r="DY173" s="163" t="b">
        <v>0</v>
      </c>
      <c r="DZ173" s="163" t="b">
        <v>0</v>
      </c>
      <c r="EA173" s="163" t="b">
        <v>0</v>
      </c>
      <c r="EB173" s="163" t="b">
        <v>0</v>
      </c>
      <c r="EC173" s="163" t="b">
        <v>0</v>
      </c>
      <c r="ED173" s="163" t="b">
        <v>0</v>
      </c>
      <c r="EE173" s="163" t="b">
        <v>0</v>
      </c>
      <c r="EF173" s="163" t="b">
        <v>0</v>
      </c>
      <c r="EG173" s="163"/>
      <c r="EH173" s="160">
        <f>IF([Chambre]*1='CHAMBRES FILLES 2e ETAGE'!$A$5,1,0)</f>
        <v>0</v>
      </c>
      <c r="EI173" s="161">
        <f>IF([Occurrence2]=0,0,SUM($EH$2:EH173))</f>
        <v>0</v>
      </c>
      <c r="EJ173" s="160">
        <f>IF([Chambre]*1='CHAMBRES FILLES 2e ETAGE'!$A$11,1,0)</f>
        <v>0</v>
      </c>
      <c r="EK173" s="160">
        <f>IF([Occurrence3]=0,0,SUM($EJ$2:EJ173))</f>
        <v>0</v>
      </c>
      <c r="EL173" s="160">
        <f>IF([Chambre]*1='CHAMBRES FILLES 2e ETAGE'!$A$17,1,0)</f>
        <v>0</v>
      </c>
      <c r="EM173" s="160">
        <f>IF([Occurrence4]=0,0,SUM($EL$2:EL173))</f>
        <v>0</v>
      </c>
      <c r="EN173" s="160">
        <f>IF([Chambre]*1='CHAMBRES FILLES 2e ETAGE'!$A$23,1,0)</f>
        <v>0</v>
      </c>
      <c r="EO173" s="160">
        <f>IF([Occurrence5]=0,0,SUM($EN$2:EN173))</f>
        <v>0</v>
      </c>
      <c r="EP173" s="160">
        <f>IF([Chambre]*1='CHAMBRES FILLES 2e ETAGE'!$A$29,1,0)</f>
        <v>0</v>
      </c>
      <c r="EQ173" s="160">
        <f>IF([Occurrence6]=0,0,SUM($EP$2:EP173))</f>
        <v>0</v>
      </c>
      <c r="ER173" s="160">
        <f>IF([Chambre]*1='CHAMBRES FILLES 2e ETAGE'!$A$35,1,0)</f>
        <v>0</v>
      </c>
      <c r="ES173" s="160">
        <f>IF([Occurrence7]=0,0,SUM($ER$2:ER173))</f>
        <v>0</v>
      </c>
      <c r="ET173" s="160">
        <f>IF([Chambre]*1='CHAMBRES FILLES 2e ETAGE'!$A$41,1,0)</f>
        <v>0</v>
      </c>
      <c r="EU173" s="160">
        <f>IF([Occurrence8]=0,0,SUM($ET$2:ET173))</f>
        <v>0</v>
      </c>
      <c r="EV173" s="160">
        <f>IF([Chambre]*1='CHAMBRES FILLES 2e ETAGE'!$A$47,1,0)</f>
        <v>0</v>
      </c>
      <c r="EW173" s="160">
        <f>IF([Occurrence9]=0,0,SUM($EV$2:EV173))</f>
        <v>0</v>
      </c>
      <c r="EX173" s="160">
        <f>IF([Chambre]*1='CHAMBRES FILLES 2e ETAGE'!$A$53,1,0)</f>
        <v>0</v>
      </c>
      <c r="EY173" s="160">
        <f>IF([Occurrence10]=0,0,SUM($EX$2:EX173))</f>
        <v>0</v>
      </c>
      <c r="EZ173" s="160">
        <f>IF([Chambre]*1='CHAMBRES FILLES 2e ETAGE'!$A$59,1,0)</f>
        <v>0</v>
      </c>
      <c r="FA173" s="160">
        <f>IF([Occurrence11]=0,0,SUM($EZ$2:EZ173))</f>
        <v>0</v>
      </c>
      <c r="FB173" s="160">
        <f>IF([Chambre]*1='CHAMBRES FILLES 2e ETAGE'!$A$65,1,0)</f>
        <v>0</v>
      </c>
      <c r="FC173" s="160">
        <f>IF([Occurrence12]=0,0,SUM($FB$2:FB173))</f>
        <v>0</v>
      </c>
      <c r="FD173" s="160">
        <f>IF([Chambre]*1='CHAMBRES FILLES 2e ETAGE'!$A$71,1,0)</f>
        <v>0</v>
      </c>
      <c r="FE173" s="160">
        <f>IF([Occurrence13]=0,0,SUM($FD$2:FD173))</f>
        <v>0</v>
      </c>
      <c r="FF173" s="160">
        <f>IF([Chambre]*1='CHAMBRES FILLES 2e ETAGE'!$A$77,1,0)</f>
        <v>0</v>
      </c>
      <c r="FG173" s="160">
        <f>IF([Occurrence14]=0,0,SUM($FF$2:FF173))</f>
        <v>0</v>
      </c>
      <c r="FH173" s="160">
        <f>IF([Chambre]*1='CHAMBRES FILLES 2e ETAGE'!$A$83,1,0)</f>
        <v>0</v>
      </c>
      <c r="FI173" s="160">
        <f>IF([Occurrence15]=0,0,SUM($FH$2:FH173))</f>
        <v>0</v>
      </c>
      <c r="FJ173" s="160">
        <f>IF([Chambre]*1='CHAMBRES FILLES 2e ETAGE'!$A$89,1,0)</f>
        <v>0</v>
      </c>
      <c r="FK173" s="160">
        <f>IF([Occurrence16]=0,0,SUM($FJ$2:FJ173))</f>
        <v>0</v>
      </c>
      <c r="FL173" s="160">
        <f>IF([Chambre]*1='CHAMBRES FILLES 2e ETAGE'!$A$95,1,0)</f>
        <v>0</v>
      </c>
      <c r="FM173" s="160">
        <f>IF([Occurrence17]=0,0,SUM($FL$2:FL173))</f>
        <v>0</v>
      </c>
      <c r="FN173" s="160">
        <f>IF([Chambre2]*1='CHAMBRES FILLES 1e ETAGE'!$A$5,1,0)</f>
        <v>0</v>
      </c>
      <c r="FO173" s="160">
        <f>IF([Occurrence18]=0,0,SUM($FN$2:FN173))</f>
        <v>0</v>
      </c>
      <c r="FP173" s="160">
        <f>IF([Chambre2]*1='CHAMBRES FILLES 1e ETAGE'!$A$11,1,0)</f>
        <v>0</v>
      </c>
      <c r="FQ173" s="160">
        <f>IF([Occurrence19]=0,0,SUM($FP$2:FP173))</f>
        <v>0</v>
      </c>
      <c r="FR173" s="160">
        <f>IF([Chambre2]*1='CHAMBRES FILLES 1e ETAGE'!$A$17,1,0)</f>
        <v>0</v>
      </c>
      <c r="FS173" s="160">
        <f>IF([Occurrence20]=0,0,SUM($FR$2:FR173))</f>
        <v>0</v>
      </c>
      <c r="FT173" s="160">
        <f>IF([Chambre2]*1='CHAMBRES FILLES 1e ETAGE'!$A$23,1,0)</f>
        <v>0</v>
      </c>
      <c r="FU173" s="160">
        <f>IF([Occurrence21]=0,0,SUM($FT$2:FT173))</f>
        <v>0</v>
      </c>
      <c r="FV173" s="160">
        <f>IF([Chambre2]*1='CHAMBRES FILLES 1e ETAGE'!$A$29,1,0)</f>
        <v>0</v>
      </c>
      <c r="FW173" s="160">
        <f>IF([Occurrence22]=0,0,SUM($FV$2:FV173))</f>
        <v>0</v>
      </c>
      <c r="FX173" s="160">
        <f>IF([Chambre2]*1='CHAMBRES FILLES 1e ETAGE'!$A$35,1,0)</f>
        <v>0</v>
      </c>
      <c r="FY173" s="160">
        <f>IF([Occurrence23]=0,0,SUM($FX$2:FX173))</f>
        <v>0</v>
      </c>
      <c r="FZ173" s="160">
        <f>IF([Chambre2]*1='CHAMBRES FILLES 1e ETAGE'!$A$41,1,0)</f>
        <v>0</v>
      </c>
      <c r="GA173" s="160">
        <f>IF([Occurrence24]=0,0,SUM($FZ$2:FZ173))</f>
        <v>0</v>
      </c>
      <c r="GB173" s="160">
        <f>IF([Chambre2]*1='CHAMBRES FILLES 1e ETAGE'!$A$47,1,0)</f>
        <v>0</v>
      </c>
      <c r="GC173" s="160">
        <f>IF([Occurrence25]=0,0,SUM($GB$2:GB173))</f>
        <v>0</v>
      </c>
      <c r="GD173" s="160">
        <f>IF([Chambre2]*1='CHAMBRES FILLES 1e ETAGE'!$A$53,1,0)</f>
        <v>0</v>
      </c>
      <c r="GE173" s="160">
        <f>IF([Occurrence26]=0,0,SUM($GD$2:GD173))</f>
        <v>0</v>
      </c>
      <c r="GF173" s="160">
        <f>IF([chambre4]*1='CHAMBRES GARCONS 1e ETAGE'!$A$5,1,0)</f>
        <v>0</v>
      </c>
      <c r="GG173" s="160">
        <f>IF([Occurrence27]=0,0,SUM($GF$2:GF173))</f>
        <v>0</v>
      </c>
      <c r="GH173" s="160">
        <f>IF([chambre4]*1='CHAMBRES GARCONS 1e ETAGE'!$A$11,1,0)</f>
        <v>0</v>
      </c>
      <c r="GI173" s="160">
        <f>IF([Occurrence28]=0,0,SUM($GH$2:GH173))</f>
        <v>0</v>
      </c>
      <c r="GJ173" s="160">
        <f>IF([chambre4]*1='CHAMBRES GARCONS 1e ETAGE'!$A$17,1,0)</f>
        <v>0</v>
      </c>
      <c r="GK173" s="160">
        <f>IF([Occurrence29]=0,0,SUM($GJ$2:GJ173))</f>
        <v>0</v>
      </c>
      <c r="GL173" s="160">
        <f>IF([chambre4]*1='CHAMBRES GARCONS 1e ETAGE'!$A$23,1,0)</f>
        <v>0</v>
      </c>
      <c r="GM173" s="160">
        <f>IF([Occurrence30]=0,0,SUM($GL$2:GL173))</f>
        <v>0</v>
      </c>
      <c r="GN173" s="160">
        <f>IF([chambre4]*1='CHAMBRES GARCONS 1e ETAGE'!$A$29,1,0)</f>
        <v>0</v>
      </c>
      <c r="GO173" s="160">
        <f>IF([Occurrence31]=0,0,SUM($GN$2:GN173))</f>
        <v>0</v>
      </c>
      <c r="GP173" s="160">
        <f>IF([chambre4]*1='CHAMBRES GARCONS 1e ETAGE'!$A$35,1,0)</f>
        <v>0</v>
      </c>
      <c r="GQ173" s="160">
        <f>IF([Occurrence32]=0,0,SUM($GP$2:GP173))</f>
        <v>0</v>
      </c>
      <c r="GR173" s="160">
        <f>IF([chambre3]*1='CHAMBRES GARCONS RDC'!$A$5,1,0)</f>
        <v>0</v>
      </c>
      <c r="GS173" s="160">
        <f>IF([Occurrence33]=0,0,SUM($GR$2:GR173))</f>
        <v>0</v>
      </c>
      <c r="GT173" s="160">
        <f>IF([chambre3]*1='CHAMBRES GARCONS RDC'!$A$11,1,0)</f>
        <v>0</v>
      </c>
      <c r="GU173" s="160">
        <f>IF([Occurrence34]=0,0,SUM($GT$2:GT173))</f>
        <v>0</v>
      </c>
      <c r="GV173" s="160">
        <f>IF([chambre3]*1='CHAMBRES GARCONS RDC'!$A$17,1,0)</f>
        <v>0</v>
      </c>
      <c r="GW173" s="160">
        <f>IF([Occurrence35]=0,0,SUM($GV$2:GV173))</f>
        <v>0</v>
      </c>
      <c r="GX173" s="160">
        <f>IF([chambre3]*1='CHAMBRES GARCONS RDC'!$A$23,1,0)</f>
        <v>0</v>
      </c>
      <c r="GY173" s="160">
        <f>IF([Occurrence36]=0,0,SUM($GX$2:GX173))</f>
        <v>0</v>
      </c>
      <c r="GZ173" s="160">
        <f>IF([chambre3]*1='CHAMBRES GARCONS RDC'!$A$29,1,0)</f>
        <v>0</v>
      </c>
      <c r="HA173" s="160">
        <f>IF([Occurrence37]=0,0,SUM($GZ$2:GZ173))</f>
        <v>0</v>
      </c>
      <c r="HB173" s="160">
        <f>IF([chambre3]*1='CHAMBRES GARCONS RDC'!$A$35,1,0)</f>
        <v>0</v>
      </c>
      <c r="HC173" s="160">
        <f>IF([Occurrence38]=0,0,SUM($HB$2:HB173))</f>
        <v>0</v>
      </c>
      <c r="HD173" s="160">
        <f>IF([chambre3]*1='CHAMBRES GARCONS RDC'!$A$41,1,0)</f>
        <v>0</v>
      </c>
      <c r="HE173" s="160">
        <f>IF([Occurrence39]=0,0,SUM($HD$2:HD173))</f>
        <v>0</v>
      </c>
      <c r="HF173" s="160">
        <f>IF([chambre3]*1='CHAMBRES GARCONS RDC'!$A$47,1,0)</f>
        <v>0</v>
      </c>
      <c r="HG173" s="160">
        <f>IF([Occurrence40]=0,0,SUM($HF$2:HF173))</f>
        <v>0</v>
      </c>
      <c r="HH173" s="160">
        <f>IF([chambre3]*1='CHAMBRES GARCONS RDC'!$A$53,1,0)</f>
        <v>0</v>
      </c>
      <c r="HI173" s="160">
        <f>IF([Occurrence41]=0,0,SUM($HH$2:HH173))</f>
        <v>0</v>
      </c>
      <c r="HJ173" s="160">
        <f>IF([chambre3]*1='CHAMBRES GARCONS RDC'!$A$59,1,0)</f>
        <v>0</v>
      </c>
      <c r="HK173" s="160">
        <f>IF([Occurrence42]=0,0,SUM($HJ$2:HJ173))</f>
        <v>0</v>
      </c>
      <c r="HL173" s="160">
        <f>IF([chambre3]*1='CHAMBRES GARCONS RDC'!$A$65,1,0)</f>
        <v>0</v>
      </c>
      <c r="HM173" s="160">
        <f>IF([Occurrence43]=0,0,SUM($HL$2:HL173))</f>
        <v>0</v>
      </c>
      <c r="HN173" s="160">
        <f>IF([chambre3]*1='CHAMBRES GARCONS RDC'!$A$71,1,0)</f>
        <v>0</v>
      </c>
      <c r="HO173" s="160">
        <f>IF([Occurrence44]=0,0,SUM($HN$2:HN173))</f>
        <v>0</v>
      </c>
      <c r="HP173" s="160">
        <f>IF([chambre3]*1='CHAMBRES GARCONS RDC'!$A$77,1,0)</f>
        <v>0</v>
      </c>
      <c r="HQ173" s="160">
        <f>IF([Occurrence45]=0,0,SUM($HP$2:HP173))</f>
        <v>0</v>
      </c>
      <c r="HR173" s="160">
        <f>IF([chambre3]*1='CHAMBRES GARCONS RDC'!$A$83,1,0)</f>
        <v>1</v>
      </c>
      <c r="HS173" s="160">
        <f>IF([Occurrence46]=0,0,SUM($HR$2:HR173))</f>
        <v>4</v>
      </c>
      <c r="HT173" s="160">
        <f>IF([chambre3]*1='CHAMBRES GARCONS RDC'!$A$89,1,0)</f>
        <v>0</v>
      </c>
      <c r="HU173" s="160">
        <f>IF([Occurrence47]=0,0,SUM($HT$2:HT173))</f>
        <v>0</v>
      </c>
      <c r="HV173" s="160">
        <f>IF([chambre3]*1='CHAMBRES GARCONS RDC'!$A$95,1,0)</f>
        <v>0</v>
      </c>
      <c r="HW173" s="160">
        <f>IF([Occurrence48]=0,0,SUM($HV$2:HV173))</f>
        <v>0</v>
      </c>
      <c r="HX173" s="160"/>
      <c r="HY173" s="160"/>
      <c r="HZ173" s="160">
        <f>IF([Classe]='Liste élève par classes'!$B$5,1,0)</f>
        <v>0</v>
      </c>
      <c r="IA173" s="160">
        <f>IF([Occurrence]=0,0,SUM($HZ$2:HZ173))</f>
        <v>0</v>
      </c>
      <c r="IB17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126</v>
      </c>
      <c r="IC173" s="208"/>
    </row>
    <row r="174" spans="1:237">
      <c r="A174" t="s">
        <v>540</v>
      </c>
      <c r="B174" t="s">
        <v>253</v>
      </c>
      <c r="C174" s="158">
        <v>36817</v>
      </c>
      <c r="D174" s="62">
        <f t="shared" ca="1" si="2"/>
        <v>17</v>
      </c>
      <c r="E174" t="s">
        <v>1</v>
      </c>
      <c r="F174" s="159" t="s">
        <v>50</v>
      </c>
      <c r="G174" t="s">
        <v>40</v>
      </c>
      <c r="H174" s="160"/>
      <c r="I174" s="161"/>
      <c r="J174" s="161"/>
      <c r="K174" s="161"/>
      <c r="L174" s="160"/>
      <c r="M174">
        <v>229</v>
      </c>
      <c r="N174" s="161"/>
      <c r="O174" s="161"/>
      <c r="P174" s="161"/>
      <c r="Q174" s="161"/>
      <c r="R174" s="161"/>
      <c r="S174" s="190"/>
      <c r="T174" s="161"/>
      <c r="U174" s="160"/>
      <c r="V174" s="161"/>
      <c r="W174" s="161"/>
      <c r="X174" s="161"/>
      <c r="Y174" s="161"/>
      <c r="Z174" s="161"/>
      <c r="AA174" s="161"/>
      <c r="AB174" s="161"/>
      <c r="AC174" s="161"/>
      <c r="AD174" s="161"/>
      <c r="AE174" s="161"/>
      <c r="AF174" s="163"/>
      <c r="AG174" s="163"/>
      <c r="AH174" s="163"/>
      <c r="AI174" s="163"/>
      <c r="AJ174" s="163"/>
      <c r="AK174" s="163"/>
      <c r="AL174" s="163"/>
      <c r="AM174" s="163"/>
      <c r="AN174" s="163"/>
      <c r="AO174" s="163"/>
      <c r="AP174" s="163"/>
      <c r="AQ174" s="163"/>
      <c r="AR174" s="163"/>
      <c r="AS174" s="163"/>
      <c r="AT174" s="163"/>
      <c r="AU174" s="163"/>
      <c r="AV174" s="163"/>
      <c r="AW174" s="163"/>
      <c r="AX174" s="163"/>
      <c r="AY174" s="163"/>
      <c r="AZ174" s="163"/>
      <c r="BA174" s="163"/>
      <c r="BB174" s="163"/>
      <c r="BC174" s="163" t="b">
        <v>0</v>
      </c>
      <c r="BD174" s="163" t="b">
        <v>1</v>
      </c>
      <c r="BE174" s="163" t="b">
        <v>1</v>
      </c>
      <c r="BF174" s="163" t="b">
        <v>0</v>
      </c>
      <c r="BG174" s="164" t="b">
        <v>0</v>
      </c>
      <c r="BH174" s="163" t="b">
        <v>1</v>
      </c>
      <c r="BI174" s="163"/>
      <c r="BJ174" s="163"/>
      <c r="BK174" s="163"/>
      <c r="BL174" s="163"/>
      <c r="BM174" s="163"/>
      <c r="BN174" s="163"/>
      <c r="BO174" s="163"/>
      <c r="BP174" s="163"/>
      <c r="BQ174" s="163" t="b">
        <v>0</v>
      </c>
      <c r="BR174" s="163"/>
      <c r="BS174" s="163"/>
      <c r="BT174" s="163"/>
      <c r="BU174" s="163"/>
      <c r="BV174" s="163"/>
      <c r="BW174" s="163"/>
      <c r="BX174" s="163"/>
      <c r="BY174" s="163"/>
      <c r="BZ174" s="163"/>
      <c r="CA174" s="163"/>
      <c r="CB174" s="163"/>
      <c r="CC174" s="163"/>
      <c r="CD174" s="163"/>
      <c r="CE174" s="163"/>
      <c r="CF174" s="163"/>
      <c r="CG174" s="163"/>
      <c r="CH174" s="163"/>
      <c r="CI174" s="163"/>
      <c r="CJ174" s="163"/>
      <c r="CK174" s="163"/>
      <c r="CL174" s="163"/>
      <c r="CM174" s="163"/>
      <c r="CN174" s="163"/>
      <c r="CO174" s="163"/>
      <c r="CP174" s="163"/>
      <c r="CQ174" s="163"/>
      <c r="CR174" s="163"/>
      <c r="CS174" s="163"/>
      <c r="CT174" s="163"/>
      <c r="CU174" s="163"/>
      <c r="CV174" s="163"/>
      <c r="CW174" s="163"/>
      <c r="CX174" s="163"/>
      <c r="CY174" s="163"/>
      <c r="CZ174" s="163"/>
      <c r="DA174" s="163">
        <v>117</v>
      </c>
      <c r="DB174" s="163"/>
      <c r="DC174" s="163"/>
      <c r="DD174" s="163"/>
      <c r="DE174" s="163"/>
      <c r="DF174" s="163"/>
      <c r="DG174" s="208"/>
      <c r="DH174" s="163"/>
      <c r="DI174" s="163"/>
      <c r="DJ174" s="163"/>
      <c r="DK174" s="163"/>
      <c r="DL174" s="163"/>
      <c r="DM174" s="163"/>
      <c r="DN174" s="163"/>
      <c r="DO174" s="163"/>
      <c r="DP174" s="163"/>
      <c r="DQ174" s="163"/>
      <c r="DR174" s="163"/>
      <c r="DS174" s="163"/>
      <c r="DT174" s="163"/>
      <c r="DU174" s="163"/>
      <c r="DV174" s="163"/>
      <c r="DW174" s="163"/>
      <c r="DX174" s="163"/>
      <c r="DY174" s="163"/>
      <c r="DZ174" s="163"/>
      <c r="EA174" s="163"/>
      <c r="EB174" s="163"/>
      <c r="EC174" s="163"/>
      <c r="ED174" s="163"/>
      <c r="EE174" s="163"/>
      <c r="EF174" s="163"/>
      <c r="EG174" s="163"/>
      <c r="EH174" s="160">
        <f>IF([Chambre]*1='CHAMBRES FILLES 2e ETAGE'!$A$5,1,0)</f>
        <v>0</v>
      </c>
      <c r="EI174" s="161">
        <f>IF([Occurrence2]=0,0,SUM($EH$2:EH174))</f>
        <v>0</v>
      </c>
      <c r="EJ174" s="160">
        <f>IF([Chambre]*1='CHAMBRES FILLES 2e ETAGE'!$A$11,1,0)</f>
        <v>0</v>
      </c>
      <c r="EK174" s="160">
        <f>IF([Occurrence3]=0,0,SUM($EJ$2:EJ174))</f>
        <v>0</v>
      </c>
      <c r="EL174" s="160">
        <f>IF([Chambre]*1='CHAMBRES FILLES 2e ETAGE'!$A$17,1,0)</f>
        <v>0</v>
      </c>
      <c r="EM174" s="160">
        <f>IF([Occurrence4]=0,0,SUM($EL$2:EL174))</f>
        <v>0</v>
      </c>
      <c r="EN174" s="160">
        <f>IF([Chambre]*1='CHAMBRES FILLES 2e ETAGE'!$A$23,1,0)</f>
        <v>0</v>
      </c>
      <c r="EO174" s="160">
        <f>IF([Occurrence5]=0,0,SUM($EN$2:EN174))</f>
        <v>0</v>
      </c>
      <c r="EP174" s="160">
        <f>IF([Chambre]*1='CHAMBRES FILLES 2e ETAGE'!$A$29,1,0)</f>
        <v>0</v>
      </c>
      <c r="EQ174" s="160">
        <f>IF([Occurrence6]=0,0,SUM($EP$2:EP174))</f>
        <v>0</v>
      </c>
      <c r="ER174" s="160">
        <f>IF([Chambre]*1='CHAMBRES FILLES 2e ETAGE'!$A$35,1,0)</f>
        <v>0</v>
      </c>
      <c r="ES174" s="160">
        <f>IF([Occurrence7]=0,0,SUM($ER$2:ER174))</f>
        <v>0</v>
      </c>
      <c r="ET174" s="160">
        <f>IF([Chambre]*1='CHAMBRES FILLES 2e ETAGE'!$A$41,1,0)</f>
        <v>0</v>
      </c>
      <c r="EU174" s="160">
        <f>IF([Occurrence8]=0,0,SUM($ET$2:ET174))</f>
        <v>0</v>
      </c>
      <c r="EV174" s="160">
        <f>IF([Chambre]*1='CHAMBRES FILLES 2e ETAGE'!$A$47,1,0)</f>
        <v>0</v>
      </c>
      <c r="EW174" s="160">
        <f>IF([Occurrence9]=0,0,SUM($EV$2:EV174))</f>
        <v>0</v>
      </c>
      <c r="EX174" s="160">
        <f>IF([Chambre]*1='CHAMBRES FILLES 2e ETAGE'!$A$53,1,0)</f>
        <v>0</v>
      </c>
      <c r="EY174" s="160">
        <f>IF([Occurrence10]=0,0,SUM($EX$2:EX174))</f>
        <v>0</v>
      </c>
      <c r="EZ174" s="160">
        <f>IF([Chambre]*1='CHAMBRES FILLES 2e ETAGE'!$A$59,1,0)</f>
        <v>0</v>
      </c>
      <c r="FA174" s="160">
        <f>IF([Occurrence11]=0,0,SUM($EZ$2:EZ174))</f>
        <v>0</v>
      </c>
      <c r="FB174" s="160">
        <f>IF([Chambre]*1='CHAMBRES FILLES 2e ETAGE'!$A$65,1,0)</f>
        <v>0</v>
      </c>
      <c r="FC174" s="160">
        <f>IF([Occurrence12]=0,0,SUM($FB$2:FB174))</f>
        <v>0</v>
      </c>
      <c r="FD174" s="160">
        <f>IF([Chambre]*1='CHAMBRES FILLES 2e ETAGE'!$A$71,1,0)</f>
        <v>0</v>
      </c>
      <c r="FE174" s="160">
        <f>IF([Occurrence13]=0,0,SUM($FD$2:FD174))</f>
        <v>0</v>
      </c>
      <c r="FF174" s="160">
        <f>IF([Chambre]*1='CHAMBRES FILLES 2e ETAGE'!$A$77,1,0)</f>
        <v>0</v>
      </c>
      <c r="FG174" s="160">
        <f>IF([Occurrence14]=0,0,SUM($FF$2:FF174))</f>
        <v>0</v>
      </c>
      <c r="FH174" s="160">
        <f>IF([Chambre]*1='CHAMBRES FILLES 2e ETAGE'!$A$83,1,0)</f>
        <v>0</v>
      </c>
      <c r="FI174" s="160">
        <f>IF([Occurrence15]=0,0,SUM($FH$2:FH174))</f>
        <v>0</v>
      </c>
      <c r="FJ174" s="160">
        <f>IF([Chambre]*1='CHAMBRES FILLES 2e ETAGE'!$A$89,1,0)</f>
        <v>0</v>
      </c>
      <c r="FK174" s="160">
        <f>IF([Occurrence16]=0,0,SUM($FJ$2:FJ174))</f>
        <v>0</v>
      </c>
      <c r="FL174" s="160">
        <f>IF([Chambre]*1='CHAMBRES FILLES 2e ETAGE'!$A$95,1,0)</f>
        <v>0</v>
      </c>
      <c r="FM174" s="160">
        <f>IF([Occurrence17]=0,0,SUM($FL$2:FL174))</f>
        <v>0</v>
      </c>
      <c r="FN174" s="160">
        <f>IF([Chambre2]*1='CHAMBRES FILLES 1e ETAGE'!$A$5,1,0)</f>
        <v>0</v>
      </c>
      <c r="FO174" s="160">
        <f>IF([Occurrence18]=0,0,SUM($FN$2:FN174))</f>
        <v>0</v>
      </c>
      <c r="FP174" s="160">
        <f>IF([Chambre2]*1='CHAMBRES FILLES 1e ETAGE'!$A$11,1,0)</f>
        <v>0</v>
      </c>
      <c r="FQ174" s="160">
        <f>IF([Occurrence19]=0,0,SUM($FP$2:FP174))</f>
        <v>0</v>
      </c>
      <c r="FR174" s="160">
        <f>IF([Chambre2]*1='CHAMBRES FILLES 1e ETAGE'!$A$17,1,0)</f>
        <v>0</v>
      </c>
      <c r="FS174" s="160">
        <f>IF([Occurrence20]=0,0,SUM($FR$2:FR174))</f>
        <v>0</v>
      </c>
      <c r="FT174" s="160">
        <f>IF([Chambre2]*1='CHAMBRES FILLES 1e ETAGE'!$A$23,1,0)</f>
        <v>0</v>
      </c>
      <c r="FU174" s="160">
        <f>IF([Occurrence21]=0,0,SUM($FT$2:FT174))</f>
        <v>0</v>
      </c>
      <c r="FV174" s="160">
        <f>IF([Chambre2]*1='CHAMBRES FILLES 1e ETAGE'!$A$29,1,0)</f>
        <v>0</v>
      </c>
      <c r="FW174" s="160">
        <f>IF([Occurrence22]=0,0,SUM($FV$2:FV174))</f>
        <v>0</v>
      </c>
      <c r="FX174" s="160">
        <f>IF([Chambre2]*1='CHAMBRES FILLES 1e ETAGE'!$A$35,1,0)</f>
        <v>0</v>
      </c>
      <c r="FY174" s="160">
        <f>IF([Occurrence23]=0,0,SUM($FX$2:FX174))</f>
        <v>0</v>
      </c>
      <c r="FZ174" s="160">
        <f>IF([Chambre2]*1='CHAMBRES FILLES 1e ETAGE'!$A$41,1,0)</f>
        <v>0</v>
      </c>
      <c r="GA174" s="160">
        <f>IF([Occurrence24]=0,0,SUM($FZ$2:FZ174))</f>
        <v>0</v>
      </c>
      <c r="GB174" s="160">
        <f>IF([Chambre2]*1='CHAMBRES FILLES 1e ETAGE'!$A$47,1,0)</f>
        <v>0</v>
      </c>
      <c r="GC174" s="160">
        <f>IF([Occurrence25]=0,0,SUM($GB$2:GB174))</f>
        <v>0</v>
      </c>
      <c r="GD174" s="160">
        <f>IF([Chambre2]*1='CHAMBRES FILLES 1e ETAGE'!$A$53,1,0)</f>
        <v>0</v>
      </c>
      <c r="GE174" s="160">
        <f>IF([Occurrence26]=0,0,SUM($GD$2:GD174))</f>
        <v>0</v>
      </c>
      <c r="GF174" s="160">
        <f>IF([chambre4]*1='CHAMBRES GARCONS 1e ETAGE'!$A$5,1,0)</f>
        <v>0</v>
      </c>
      <c r="GG174" s="160">
        <f>IF([Occurrence27]=0,0,SUM($GF$2:GF174))</f>
        <v>0</v>
      </c>
      <c r="GH174" s="160">
        <f>IF([chambre4]*1='CHAMBRES GARCONS 1e ETAGE'!$A$11,1,0)</f>
        <v>0</v>
      </c>
      <c r="GI174" s="160">
        <f>IF([Occurrence28]=0,0,SUM($GH$2:GH174))</f>
        <v>0</v>
      </c>
      <c r="GJ174" s="160">
        <f>IF([chambre4]*1='CHAMBRES GARCONS 1e ETAGE'!$A$17,1,0)</f>
        <v>0</v>
      </c>
      <c r="GK174" s="160">
        <f>IF([Occurrence29]=0,0,SUM($GJ$2:GJ174))</f>
        <v>0</v>
      </c>
      <c r="GL174" s="160">
        <f>IF([chambre4]*1='CHAMBRES GARCONS 1e ETAGE'!$A$23,1,0)</f>
        <v>0</v>
      </c>
      <c r="GM174" s="160">
        <f>IF([Occurrence30]=0,0,SUM($GL$2:GL174))</f>
        <v>0</v>
      </c>
      <c r="GN174" s="160">
        <f>IF([chambre4]*1='CHAMBRES GARCONS 1e ETAGE'!$A$29,1,0)</f>
        <v>0</v>
      </c>
      <c r="GO174" s="160">
        <f>IF([Occurrence31]=0,0,SUM($GN$2:GN174))</f>
        <v>0</v>
      </c>
      <c r="GP174" s="160">
        <f>IF([chambre4]*1='CHAMBRES GARCONS 1e ETAGE'!$A$35,1,0)</f>
        <v>0</v>
      </c>
      <c r="GQ174" s="160">
        <f>IF([Occurrence32]=0,0,SUM($GP$2:GP174))</f>
        <v>0</v>
      </c>
      <c r="GR174" s="160">
        <f>IF([chambre3]*1='CHAMBRES GARCONS RDC'!$A$5,1,0)</f>
        <v>0</v>
      </c>
      <c r="GS174" s="160">
        <f>IF([Occurrence33]=0,0,SUM($GR$2:GR174))</f>
        <v>0</v>
      </c>
      <c r="GT174" s="160">
        <f>IF([chambre3]*1='CHAMBRES GARCONS RDC'!$A$11,1,0)</f>
        <v>0</v>
      </c>
      <c r="GU174" s="160">
        <f>IF([Occurrence34]=0,0,SUM($GT$2:GT174))</f>
        <v>0</v>
      </c>
      <c r="GV174" s="160">
        <f>IF([chambre3]*1='CHAMBRES GARCONS RDC'!$A$17,1,0)</f>
        <v>0</v>
      </c>
      <c r="GW174" s="160">
        <f>IF([Occurrence35]=0,0,SUM($GV$2:GV174))</f>
        <v>0</v>
      </c>
      <c r="GX174" s="160">
        <f>IF([chambre3]*1='CHAMBRES GARCONS RDC'!$A$23,1,0)</f>
        <v>0</v>
      </c>
      <c r="GY174" s="160">
        <f>IF([Occurrence36]=0,0,SUM($GX$2:GX174))</f>
        <v>0</v>
      </c>
      <c r="GZ174" s="160">
        <f>IF([chambre3]*1='CHAMBRES GARCONS RDC'!$A$29,1,0)</f>
        <v>0</v>
      </c>
      <c r="HA174" s="160">
        <f>IF([Occurrence37]=0,0,SUM($GZ$2:GZ174))</f>
        <v>0</v>
      </c>
      <c r="HB174" s="160">
        <f>IF([chambre3]*1='CHAMBRES GARCONS RDC'!$A$35,1,0)</f>
        <v>0</v>
      </c>
      <c r="HC174" s="160">
        <f>IF([Occurrence38]=0,0,SUM($HB$2:HB174))</f>
        <v>0</v>
      </c>
      <c r="HD174" s="160">
        <f>IF([chambre3]*1='CHAMBRES GARCONS RDC'!$A$41,1,0)</f>
        <v>0</v>
      </c>
      <c r="HE174" s="160">
        <f>IF([Occurrence39]=0,0,SUM($HD$2:HD174))</f>
        <v>0</v>
      </c>
      <c r="HF174" s="160">
        <f>IF([chambre3]*1='CHAMBRES GARCONS RDC'!$A$47,1,0)</f>
        <v>0</v>
      </c>
      <c r="HG174" s="160">
        <f>IF([Occurrence40]=0,0,SUM($HF$2:HF174))</f>
        <v>0</v>
      </c>
      <c r="HH174" s="160">
        <f>IF([chambre3]*1='CHAMBRES GARCONS RDC'!$A$53,1,0)</f>
        <v>1</v>
      </c>
      <c r="HI174" s="160">
        <f>IF([Occurrence41]=0,0,SUM($HH$2:HH174))</f>
        <v>3</v>
      </c>
      <c r="HJ174" s="160">
        <f>IF([chambre3]*1='CHAMBRES GARCONS RDC'!$A$59,1,0)</f>
        <v>0</v>
      </c>
      <c r="HK174" s="160">
        <f>IF([Occurrence42]=0,0,SUM($HJ$2:HJ174))</f>
        <v>0</v>
      </c>
      <c r="HL174" s="160">
        <f>IF([chambre3]*1='CHAMBRES GARCONS RDC'!$A$65,1,0)</f>
        <v>0</v>
      </c>
      <c r="HM174" s="160">
        <f>IF([Occurrence43]=0,0,SUM($HL$2:HL174))</f>
        <v>0</v>
      </c>
      <c r="HN174" s="160">
        <f>IF([chambre3]*1='CHAMBRES GARCONS RDC'!$A$71,1,0)</f>
        <v>0</v>
      </c>
      <c r="HO174" s="160">
        <f>IF([Occurrence44]=0,0,SUM($HN$2:HN174))</f>
        <v>0</v>
      </c>
      <c r="HP174" s="160">
        <f>IF([chambre3]*1='CHAMBRES GARCONS RDC'!$A$77,1,0)</f>
        <v>0</v>
      </c>
      <c r="HQ174" s="160">
        <f>IF([Occurrence45]=0,0,SUM($HP$2:HP174))</f>
        <v>0</v>
      </c>
      <c r="HR174" s="160">
        <f>IF([chambre3]*1='CHAMBRES GARCONS RDC'!$A$83,1,0)</f>
        <v>0</v>
      </c>
      <c r="HS174" s="160">
        <f>IF([Occurrence46]=0,0,SUM($HR$2:HR174))</f>
        <v>0</v>
      </c>
      <c r="HT174" s="160">
        <f>IF([chambre3]*1='CHAMBRES GARCONS RDC'!$A$89,1,0)</f>
        <v>0</v>
      </c>
      <c r="HU174" s="160">
        <f>IF([Occurrence47]=0,0,SUM($HT$2:HT174))</f>
        <v>0</v>
      </c>
      <c r="HV174" s="160">
        <f>IF([chambre3]*1='CHAMBRES GARCONS RDC'!$A$95,1,0)</f>
        <v>0</v>
      </c>
      <c r="HW174" s="160">
        <f>IF([Occurrence48]=0,0,SUM($HV$2:HV174))</f>
        <v>0</v>
      </c>
      <c r="HX174" s="160"/>
      <c r="HY174" s="160"/>
      <c r="HZ174" s="160">
        <f>IF([Classe]='Liste élève par classes'!$B$5,1,0)</f>
        <v>0</v>
      </c>
      <c r="IA174" s="160">
        <f>IF([Occurrence]=0,0,SUM($HZ$2:HZ174))</f>
        <v>0</v>
      </c>
      <c r="IB17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117</v>
      </c>
      <c r="IC174" s="208"/>
    </row>
    <row r="175" spans="1:237">
      <c r="A175" t="s">
        <v>541</v>
      </c>
      <c r="B175" t="s">
        <v>447</v>
      </c>
      <c r="C175" s="158">
        <v>37451</v>
      </c>
      <c r="D175" s="62">
        <f t="shared" ca="1" si="2"/>
        <v>15</v>
      </c>
      <c r="E175" t="s">
        <v>7</v>
      </c>
      <c r="F175" s="159" t="s">
        <v>50</v>
      </c>
      <c r="G175" t="s">
        <v>40</v>
      </c>
      <c r="H175" s="160"/>
      <c r="I175" s="62"/>
      <c r="J175" s="62"/>
      <c r="K175" s="62"/>
      <c r="L175" s="61"/>
      <c r="M175">
        <v>17</v>
      </c>
      <c r="N175" s="62"/>
      <c r="O175" s="62"/>
      <c r="P175" s="62"/>
      <c r="Q175" s="62"/>
      <c r="R175" s="62"/>
      <c r="S175" s="191"/>
      <c r="T175" s="62"/>
      <c r="U175" s="61"/>
      <c r="V175" s="62"/>
      <c r="W175" s="62"/>
      <c r="X175" s="62"/>
      <c r="Y175" s="62"/>
      <c r="Z175" s="62"/>
      <c r="AA175" s="62"/>
      <c r="AB175" s="62"/>
      <c r="AC175" s="62"/>
      <c r="AD175" s="62"/>
      <c r="AE175" s="62"/>
      <c r="AF175" s="163"/>
      <c r="AG175" s="163"/>
      <c r="AH175" s="163"/>
      <c r="AI175" s="163"/>
      <c r="AJ175" s="163"/>
      <c r="AK175" s="163"/>
      <c r="AL175" s="163"/>
      <c r="AM175" s="163"/>
      <c r="AN175" s="163"/>
      <c r="AO175" s="163"/>
      <c r="AP175" s="163"/>
      <c r="AQ175" s="163"/>
      <c r="AR175" s="163"/>
      <c r="AS175" s="163"/>
      <c r="AT175" s="163"/>
      <c r="AU175" s="163"/>
      <c r="AV175" s="163"/>
      <c r="AW175" s="163"/>
      <c r="AX175" s="163"/>
      <c r="AY175" s="163"/>
      <c r="AZ175" s="163"/>
      <c r="BA175" s="163"/>
      <c r="BB175" s="163"/>
      <c r="BC175" s="163" t="b">
        <v>0</v>
      </c>
      <c r="BD175" s="163" t="b">
        <v>1</v>
      </c>
      <c r="BE175" s="163" t="b">
        <v>1</v>
      </c>
      <c r="BF175" s="163" t="b">
        <v>0</v>
      </c>
      <c r="BG175" s="164" t="b">
        <v>0</v>
      </c>
      <c r="BH175" s="163" t="b">
        <v>1</v>
      </c>
      <c r="BI175" s="163"/>
      <c r="BJ175" s="163"/>
      <c r="BK175" s="163"/>
      <c r="BL175" s="163"/>
      <c r="BM175" s="163"/>
      <c r="BN175" s="163"/>
      <c r="BO175" s="163"/>
      <c r="BP175" s="163"/>
      <c r="BQ175" s="163" t="b">
        <v>1</v>
      </c>
      <c r="BR175" s="163"/>
      <c r="BS175" s="163"/>
      <c r="BT175" s="163"/>
      <c r="BU175" s="163"/>
      <c r="BV175" s="163"/>
      <c r="BW175" s="163"/>
      <c r="BX175" s="163"/>
      <c r="BY175" s="163"/>
      <c r="BZ175" s="163"/>
      <c r="CA175" s="163"/>
      <c r="CB175" s="163"/>
      <c r="CC175" s="163"/>
      <c r="CD175" s="163"/>
      <c r="CE175" s="163"/>
      <c r="CF175" s="163"/>
      <c r="CG175" s="163"/>
      <c r="CH175" s="163"/>
      <c r="CI175" s="163"/>
      <c r="CJ175" s="163"/>
      <c r="CK175" s="163"/>
      <c r="CL175" s="163"/>
      <c r="CM175" s="163"/>
      <c r="CN175" s="163"/>
      <c r="CO175" s="163"/>
      <c r="CP175" s="163"/>
      <c r="CQ175" s="163"/>
      <c r="CR175" s="163"/>
      <c r="CS175" s="163"/>
      <c r="CT175" s="163"/>
      <c r="CU175" s="163"/>
      <c r="CV175" s="163"/>
      <c r="CW175" s="163"/>
      <c r="CX175" s="163"/>
      <c r="CY175" s="163"/>
      <c r="CZ175" s="163"/>
      <c r="DA175" s="163">
        <v>112</v>
      </c>
      <c r="DB175" s="163"/>
      <c r="DC175" s="163"/>
      <c r="DD175" s="163"/>
      <c r="DE175" s="163"/>
      <c r="DF175" s="163"/>
      <c r="DG175" s="208"/>
      <c r="DH175" s="163"/>
      <c r="DI175" s="163"/>
      <c r="DJ175" s="163"/>
      <c r="DK175" s="163"/>
      <c r="DL175" s="163"/>
      <c r="DM175" s="163"/>
      <c r="DN175" s="163"/>
      <c r="DO175" s="163"/>
      <c r="DP175" s="163"/>
      <c r="DQ175" s="163"/>
      <c r="DR175" s="163"/>
      <c r="DS175" s="163"/>
      <c r="DT175" s="163"/>
      <c r="DU175" s="163"/>
      <c r="DV175" s="163"/>
      <c r="DW175" s="163"/>
      <c r="DX175" s="163"/>
      <c r="DY175" s="163"/>
      <c r="DZ175" s="163"/>
      <c r="EA175" s="163"/>
      <c r="EB175" s="163"/>
      <c r="EC175" s="163"/>
      <c r="ED175" s="163"/>
      <c r="EE175" s="163"/>
      <c r="EF175" s="163"/>
      <c r="EG175" s="163"/>
      <c r="EH175" s="160">
        <f>IF([Chambre]*1='CHAMBRES FILLES 2e ETAGE'!$A$5,1,0)</f>
        <v>0</v>
      </c>
      <c r="EI175" s="161">
        <f>IF([Occurrence2]=0,0,SUM($EH$2:EH175))</f>
        <v>0</v>
      </c>
      <c r="EJ175" s="160">
        <f>IF([Chambre]*1='CHAMBRES FILLES 2e ETAGE'!$A$11,1,0)</f>
        <v>0</v>
      </c>
      <c r="EK175" s="160">
        <f>IF([Occurrence3]=0,0,SUM($EJ$2:EJ175))</f>
        <v>0</v>
      </c>
      <c r="EL175" s="160">
        <f>IF([Chambre]*1='CHAMBRES FILLES 2e ETAGE'!$A$17,1,0)</f>
        <v>0</v>
      </c>
      <c r="EM175" s="160">
        <f>IF([Occurrence4]=0,0,SUM($EL$2:EL175))</f>
        <v>0</v>
      </c>
      <c r="EN175" s="160">
        <f>IF([Chambre]*1='CHAMBRES FILLES 2e ETAGE'!$A$23,1,0)</f>
        <v>0</v>
      </c>
      <c r="EO175" s="160">
        <f>IF([Occurrence5]=0,0,SUM($EN$2:EN175))</f>
        <v>0</v>
      </c>
      <c r="EP175" s="160">
        <f>IF([Chambre]*1='CHAMBRES FILLES 2e ETAGE'!$A$29,1,0)</f>
        <v>0</v>
      </c>
      <c r="EQ175" s="160">
        <f>IF([Occurrence6]=0,0,SUM($EP$2:EP175))</f>
        <v>0</v>
      </c>
      <c r="ER175" s="160">
        <f>IF([Chambre]*1='CHAMBRES FILLES 2e ETAGE'!$A$35,1,0)</f>
        <v>0</v>
      </c>
      <c r="ES175" s="160">
        <f>IF([Occurrence7]=0,0,SUM($ER$2:ER175))</f>
        <v>0</v>
      </c>
      <c r="ET175" s="160">
        <f>IF([Chambre]*1='CHAMBRES FILLES 2e ETAGE'!$A$41,1,0)</f>
        <v>0</v>
      </c>
      <c r="EU175" s="160">
        <f>IF([Occurrence8]=0,0,SUM($ET$2:ET175))</f>
        <v>0</v>
      </c>
      <c r="EV175" s="160">
        <f>IF([Chambre]*1='CHAMBRES FILLES 2e ETAGE'!$A$47,1,0)</f>
        <v>0</v>
      </c>
      <c r="EW175" s="160">
        <f>IF([Occurrence9]=0,0,SUM($EV$2:EV175))</f>
        <v>0</v>
      </c>
      <c r="EX175" s="160">
        <f>IF([Chambre]*1='CHAMBRES FILLES 2e ETAGE'!$A$53,1,0)</f>
        <v>0</v>
      </c>
      <c r="EY175" s="160">
        <f>IF([Occurrence10]=0,0,SUM($EX$2:EX175))</f>
        <v>0</v>
      </c>
      <c r="EZ175" s="160">
        <f>IF([Chambre]*1='CHAMBRES FILLES 2e ETAGE'!$A$59,1,0)</f>
        <v>0</v>
      </c>
      <c r="FA175" s="160">
        <f>IF([Occurrence11]=0,0,SUM($EZ$2:EZ175))</f>
        <v>0</v>
      </c>
      <c r="FB175" s="160">
        <f>IF([Chambre]*1='CHAMBRES FILLES 2e ETAGE'!$A$65,1,0)</f>
        <v>0</v>
      </c>
      <c r="FC175" s="160">
        <f>IF([Occurrence12]=0,0,SUM($FB$2:FB175))</f>
        <v>0</v>
      </c>
      <c r="FD175" s="160">
        <f>IF([Chambre]*1='CHAMBRES FILLES 2e ETAGE'!$A$71,1,0)</f>
        <v>0</v>
      </c>
      <c r="FE175" s="160">
        <f>IF([Occurrence13]=0,0,SUM($FD$2:FD175))</f>
        <v>0</v>
      </c>
      <c r="FF175" s="160">
        <f>IF([Chambre]*1='CHAMBRES FILLES 2e ETAGE'!$A$77,1,0)</f>
        <v>0</v>
      </c>
      <c r="FG175" s="160">
        <f>IF([Occurrence14]=0,0,SUM($FF$2:FF175))</f>
        <v>0</v>
      </c>
      <c r="FH175" s="160">
        <f>IF([Chambre]*1='CHAMBRES FILLES 2e ETAGE'!$A$83,1,0)</f>
        <v>0</v>
      </c>
      <c r="FI175" s="160">
        <f>IF([Occurrence15]=0,0,SUM($FH$2:FH175))</f>
        <v>0</v>
      </c>
      <c r="FJ175" s="160">
        <f>IF([Chambre]*1='CHAMBRES FILLES 2e ETAGE'!$A$89,1,0)</f>
        <v>0</v>
      </c>
      <c r="FK175" s="160">
        <f>IF([Occurrence16]=0,0,SUM($FJ$2:FJ175))</f>
        <v>0</v>
      </c>
      <c r="FL175" s="160">
        <f>IF([Chambre]*1='CHAMBRES FILLES 2e ETAGE'!$A$95,1,0)</f>
        <v>0</v>
      </c>
      <c r="FM175" s="160">
        <f>IF([Occurrence17]=0,0,SUM($FL$2:FL175))</f>
        <v>0</v>
      </c>
      <c r="FN175" s="160">
        <f>IF([Chambre2]*1='CHAMBRES FILLES 1e ETAGE'!$A$5,1,0)</f>
        <v>0</v>
      </c>
      <c r="FO175" s="160">
        <f>IF([Occurrence18]=0,0,SUM($FN$2:FN175))</f>
        <v>0</v>
      </c>
      <c r="FP175" s="160">
        <f>IF([Chambre2]*1='CHAMBRES FILLES 1e ETAGE'!$A$11,1,0)</f>
        <v>0</v>
      </c>
      <c r="FQ175" s="160">
        <f>IF([Occurrence19]=0,0,SUM($FP$2:FP175))</f>
        <v>0</v>
      </c>
      <c r="FR175" s="160">
        <f>IF([Chambre2]*1='CHAMBRES FILLES 1e ETAGE'!$A$17,1,0)</f>
        <v>0</v>
      </c>
      <c r="FS175" s="160">
        <f>IF([Occurrence20]=0,0,SUM($FR$2:FR175))</f>
        <v>0</v>
      </c>
      <c r="FT175" s="160">
        <f>IF([Chambre2]*1='CHAMBRES FILLES 1e ETAGE'!$A$23,1,0)</f>
        <v>0</v>
      </c>
      <c r="FU175" s="160">
        <f>IF([Occurrence21]=0,0,SUM($FT$2:FT175))</f>
        <v>0</v>
      </c>
      <c r="FV175" s="160">
        <f>IF([Chambre2]*1='CHAMBRES FILLES 1e ETAGE'!$A$29,1,0)</f>
        <v>0</v>
      </c>
      <c r="FW175" s="160">
        <f>IF([Occurrence22]=0,0,SUM($FV$2:FV175))</f>
        <v>0</v>
      </c>
      <c r="FX175" s="160">
        <f>IF([Chambre2]*1='CHAMBRES FILLES 1e ETAGE'!$A$35,1,0)</f>
        <v>0</v>
      </c>
      <c r="FY175" s="160">
        <f>IF([Occurrence23]=0,0,SUM($FX$2:FX175))</f>
        <v>0</v>
      </c>
      <c r="FZ175" s="160">
        <f>IF([Chambre2]*1='CHAMBRES FILLES 1e ETAGE'!$A$41,1,0)</f>
        <v>0</v>
      </c>
      <c r="GA175" s="160">
        <f>IF([Occurrence24]=0,0,SUM($FZ$2:FZ175))</f>
        <v>0</v>
      </c>
      <c r="GB175" s="160">
        <f>IF([Chambre2]*1='CHAMBRES FILLES 1e ETAGE'!$A$47,1,0)</f>
        <v>0</v>
      </c>
      <c r="GC175" s="160">
        <f>IF([Occurrence25]=0,0,SUM($GB$2:GB175))</f>
        <v>0</v>
      </c>
      <c r="GD175" s="160">
        <f>IF([Chambre2]*1='CHAMBRES FILLES 1e ETAGE'!$A$53,1,0)</f>
        <v>0</v>
      </c>
      <c r="GE175" s="160">
        <f>IF([Occurrence26]=0,0,SUM($GD$2:GD175))</f>
        <v>0</v>
      </c>
      <c r="GF175" s="160">
        <f>IF([chambre4]*1='CHAMBRES GARCONS 1e ETAGE'!$A$5,1,0)</f>
        <v>0</v>
      </c>
      <c r="GG175" s="160">
        <f>IF([Occurrence27]=0,0,SUM($GF$2:GF175))</f>
        <v>0</v>
      </c>
      <c r="GH175" s="160">
        <f>IF([chambre4]*1='CHAMBRES GARCONS 1e ETAGE'!$A$11,1,0)</f>
        <v>0</v>
      </c>
      <c r="GI175" s="160">
        <f>IF([Occurrence28]=0,0,SUM($GH$2:GH175))</f>
        <v>0</v>
      </c>
      <c r="GJ175" s="160">
        <f>IF([chambre4]*1='CHAMBRES GARCONS 1e ETAGE'!$A$17,1,0)</f>
        <v>0</v>
      </c>
      <c r="GK175" s="160">
        <f>IF([Occurrence29]=0,0,SUM($GJ$2:GJ175))</f>
        <v>0</v>
      </c>
      <c r="GL175" s="160">
        <f>IF([chambre4]*1='CHAMBRES GARCONS 1e ETAGE'!$A$23,1,0)</f>
        <v>0</v>
      </c>
      <c r="GM175" s="160">
        <f>IF([Occurrence30]=0,0,SUM($GL$2:GL175))</f>
        <v>0</v>
      </c>
      <c r="GN175" s="160">
        <f>IF([chambre4]*1='CHAMBRES GARCONS 1e ETAGE'!$A$29,1,0)</f>
        <v>0</v>
      </c>
      <c r="GO175" s="160">
        <f>IF([Occurrence31]=0,0,SUM($GN$2:GN175))</f>
        <v>0</v>
      </c>
      <c r="GP175" s="160">
        <f>IF([chambre4]*1='CHAMBRES GARCONS 1e ETAGE'!$A$35,1,0)</f>
        <v>0</v>
      </c>
      <c r="GQ175" s="160">
        <f>IF([Occurrence32]=0,0,SUM($GP$2:GP175))</f>
        <v>0</v>
      </c>
      <c r="GR175" s="160">
        <f>IF([chambre3]*1='CHAMBRES GARCONS RDC'!$A$5,1,0)</f>
        <v>0</v>
      </c>
      <c r="GS175" s="160">
        <f>IF([Occurrence33]=0,0,SUM($GR$2:GR175))</f>
        <v>0</v>
      </c>
      <c r="GT175" s="160">
        <f>IF([chambre3]*1='CHAMBRES GARCONS RDC'!$A$11,1,0)</f>
        <v>0</v>
      </c>
      <c r="GU175" s="160">
        <f>IF([Occurrence34]=0,0,SUM($GT$2:GT175))</f>
        <v>0</v>
      </c>
      <c r="GV175" s="160">
        <f>IF([chambre3]*1='CHAMBRES GARCONS RDC'!$A$17,1,0)</f>
        <v>0</v>
      </c>
      <c r="GW175" s="160">
        <f>IF([Occurrence35]=0,0,SUM($GV$2:GV175))</f>
        <v>0</v>
      </c>
      <c r="GX175" s="160">
        <f>IF([chambre3]*1='CHAMBRES GARCONS RDC'!$A$23,1,0)</f>
        <v>0</v>
      </c>
      <c r="GY175" s="160">
        <f>IF([Occurrence36]=0,0,SUM($GX$2:GX175))</f>
        <v>0</v>
      </c>
      <c r="GZ175" s="160">
        <f>IF([chambre3]*1='CHAMBRES GARCONS RDC'!$A$29,1,0)</f>
        <v>0</v>
      </c>
      <c r="HA175" s="160">
        <f>IF([Occurrence37]=0,0,SUM($GZ$2:GZ175))</f>
        <v>0</v>
      </c>
      <c r="HB175" s="160">
        <f>IF([chambre3]*1='CHAMBRES GARCONS RDC'!$A$35,1,0)</f>
        <v>0</v>
      </c>
      <c r="HC175" s="160">
        <f>IF([Occurrence38]=0,0,SUM($HB$2:HB175))</f>
        <v>0</v>
      </c>
      <c r="HD175" s="160">
        <f>IF([chambre3]*1='CHAMBRES GARCONS RDC'!$A$41,1,0)</f>
        <v>0</v>
      </c>
      <c r="HE175" s="160">
        <f>IF([Occurrence39]=0,0,SUM($HD$2:HD175))</f>
        <v>0</v>
      </c>
      <c r="HF175" s="160">
        <f>IF([chambre3]*1='CHAMBRES GARCONS RDC'!$A$47,1,0)</f>
        <v>1</v>
      </c>
      <c r="HG175" s="160">
        <f>IF([Occurrence40]=0,0,SUM($HF$2:HF175))</f>
        <v>3</v>
      </c>
      <c r="HH175" s="160">
        <f>IF([chambre3]*1='CHAMBRES GARCONS RDC'!$A$53,1,0)</f>
        <v>0</v>
      </c>
      <c r="HI175" s="160">
        <f>IF([Occurrence41]=0,0,SUM($HH$2:HH175))</f>
        <v>0</v>
      </c>
      <c r="HJ175" s="160">
        <f>IF([chambre3]*1='CHAMBRES GARCONS RDC'!$A$59,1,0)</f>
        <v>0</v>
      </c>
      <c r="HK175" s="160">
        <f>IF([Occurrence42]=0,0,SUM($HJ$2:HJ175))</f>
        <v>0</v>
      </c>
      <c r="HL175" s="160">
        <f>IF([chambre3]*1='CHAMBRES GARCONS RDC'!$A$65,1,0)</f>
        <v>0</v>
      </c>
      <c r="HM175" s="160">
        <f>IF([Occurrence43]=0,0,SUM($HL$2:HL175))</f>
        <v>0</v>
      </c>
      <c r="HN175" s="160">
        <f>IF([chambre3]*1='CHAMBRES GARCONS RDC'!$A$71,1,0)</f>
        <v>0</v>
      </c>
      <c r="HO175" s="160">
        <f>IF([Occurrence44]=0,0,SUM($HN$2:HN175))</f>
        <v>0</v>
      </c>
      <c r="HP175" s="160">
        <f>IF([chambre3]*1='CHAMBRES GARCONS RDC'!$A$77,1,0)</f>
        <v>0</v>
      </c>
      <c r="HQ175" s="160">
        <f>IF([Occurrence45]=0,0,SUM($HP$2:HP175))</f>
        <v>0</v>
      </c>
      <c r="HR175" s="160">
        <f>IF([chambre3]*1='CHAMBRES GARCONS RDC'!$A$83,1,0)</f>
        <v>0</v>
      </c>
      <c r="HS175" s="160">
        <f>IF([Occurrence46]=0,0,SUM($HR$2:HR175))</f>
        <v>0</v>
      </c>
      <c r="HT175" s="160">
        <f>IF([chambre3]*1='CHAMBRES GARCONS RDC'!$A$89,1,0)</f>
        <v>0</v>
      </c>
      <c r="HU175" s="160">
        <f>IF([Occurrence47]=0,0,SUM($HT$2:HT175))</f>
        <v>0</v>
      </c>
      <c r="HV175" s="160">
        <f>IF([chambre3]*1='CHAMBRES GARCONS RDC'!$A$95,1,0)</f>
        <v>0</v>
      </c>
      <c r="HW175" s="160">
        <f>IF([Occurrence48]=0,0,SUM($HV$2:HV175))</f>
        <v>0</v>
      </c>
      <c r="HX175" s="160"/>
      <c r="HY175" s="160"/>
      <c r="HZ175" s="160">
        <f>IF([Classe]='Liste élève par classes'!$B$5,1,0)</f>
        <v>0</v>
      </c>
      <c r="IA175" s="160">
        <f>IF([Occurrence]=0,0,SUM($HZ$2:HZ175))</f>
        <v>0</v>
      </c>
      <c r="IB17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112</v>
      </c>
      <c r="IC175" s="208"/>
    </row>
    <row r="176" spans="1:237">
      <c r="A176" t="s">
        <v>542</v>
      </c>
      <c r="B176" t="s">
        <v>306</v>
      </c>
      <c r="C176" s="158">
        <v>37144</v>
      </c>
      <c r="D176" s="62">
        <f t="shared" ca="1" si="2"/>
        <v>16</v>
      </c>
      <c r="E176" t="s">
        <v>11</v>
      </c>
      <c r="F176" s="159" t="s">
        <v>50</v>
      </c>
      <c r="G176" t="s">
        <v>40</v>
      </c>
      <c r="H176" s="160"/>
      <c r="I176" s="62"/>
      <c r="J176" s="62" t="s">
        <v>244</v>
      </c>
      <c r="K176" s="62"/>
      <c r="L176" s="61"/>
      <c r="M176">
        <v>166</v>
      </c>
      <c r="N176" s="62" t="s">
        <v>244</v>
      </c>
      <c r="O176" s="62" t="s">
        <v>244</v>
      </c>
      <c r="P176" s="62" t="s">
        <v>244</v>
      </c>
      <c r="Q176" s="62" t="s">
        <v>244</v>
      </c>
      <c r="R176" s="62" t="s">
        <v>244</v>
      </c>
      <c r="S176" s="191"/>
      <c r="T176" s="62" t="s">
        <v>244</v>
      </c>
      <c r="U176" s="61"/>
      <c r="V176" s="62" t="s">
        <v>244</v>
      </c>
      <c r="W176" s="62" t="s">
        <v>244</v>
      </c>
      <c r="X176" s="62" t="s">
        <v>244</v>
      </c>
      <c r="Y176" s="62" t="s">
        <v>244</v>
      </c>
      <c r="Z176" s="62" t="s">
        <v>244</v>
      </c>
      <c r="AA176" s="62" t="s">
        <v>244</v>
      </c>
      <c r="AB176" s="62" t="s">
        <v>244</v>
      </c>
      <c r="AC176" s="62" t="s">
        <v>244</v>
      </c>
      <c r="AD176" s="62" t="s">
        <v>244</v>
      </c>
      <c r="AE176" s="62" t="s">
        <v>244</v>
      </c>
      <c r="AF176" s="166" t="s">
        <v>244</v>
      </c>
      <c r="AG176" s="166" t="s">
        <v>244</v>
      </c>
      <c r="AH176" s="166" t="s">
        <v>244</v>
      </c>
      <c r="AI176" s="166"/>
      <c r="AJ176" s="166"/>
      <c r="AK176" s="166"/>
      <c r="AL176" s="166"/>
      <c r="AM176" s="166"/>
      <c r="AN176" s="166"/>
      <c r="AO176" s="166"/>
      <c r="AP176" s="166"/>
      <c r="AQ176" s="166"/>
      <c r="AR176" s="166"/>
      <c r="AS176" s="166"/>
      <c r="AT176" s="166"/>
      <c r="AU176" s="166"/>
      <c r="AV176" s="166"/>
      <c r="AW176" s="166"/>
      <c r="AX176" s="166"/>
      <c r="AY176" s="166"/>
      <c r="AZ176" s="166"/>
      <c r="BA176" s="166"/>
      <c r="BB176" s="166"/>
      <c r="BC176" s="163" t="b">
        <v>0</v>
      </c>
      <c r="BD176" s="163" t="b">
        <v>1</v>
      </c>
      <c r="BE176" s="163" t="b">
        <v>1</v>
      </c>
      <c r="BF176" s="163" t="b">
        <v>0</v>
      </c>
      <c r="BG176" s="164" t="b">
        <v>0</v>
      </c>
      <c r="BH176" s="163" t="b">
        <v>1</v>
      </c>
      <c r="BI176" s="166"/>
      <c r="BJ176" s="166"/>
      <c r="BK176" s="166"/>
      <c r="BL176" s="166"/>
      <c r="BM176" s="166"/>
      <c r="BN176" s="166"/>
      <c r="BO176" s="166"/>
      <c r="BP176" s="166"/>
      <c r="BQ176" s="166" t="b">
        <v>1</v>
      </c>
      <c r="BR176" s="166"/>
      <c r="BS176" s="166"/>
      <c r="BT176" s="166"/>
      <c r="BU176" s="166"/>
      <c r="BV176" s="166"/>
      <c r="BW176" s="166"/>
      <c r="BX176" s="166"/>
      <c r="BY176" s="166"/>
      <c r="BZ176" s="166"/>
      <c r="CA176" s="166"/>
      <c r="CB176" s="166"/>
      <c r="CC176" s="166"/>
      <c r="CD176" s="166"/>
      <c r="CE176" s="166"/>
      <c r="CF176" s="166"/>
      <c r="CG176" s="166"/>
      <c r="CH176" s="166"/>
      <c r="CI176" s="166"/>
      <c r="CJ176" s="166"/>
      <c r="CK176" s="166"/>
      <c r="CL176" s="166"/>
      <c r="CM176" s="166"/>
      <c r="CN176" s="166"/>
      <c r="CO176" s="166"/>
      <c r="CP176" s="166"/>
      <c r="CQ176" s="166"/>
      <c r="CR176" s="166"/>
      <c r="CS176" s="166"/>
      <c r="CT176" s="166"/>
      <c r="CU176" s="166"/>
      <c r="CV176" s="166"/>
      <c r="CW176" s="166"/>
      <c r="CX176" s="166"/>
      <c r="CY176" s="166"/>
      <c r="CZ176" s="166"/>
      <c r="DA176" s="166">
        <v>110</v>
      </c>
      <c r="DB176" s="166"/>
      <c r="DC176" s="166"/>
      <c r="DD176" s="166"/>
      <c r="DE176" s="166"/>
      <c r="DF176" s="166"/>
      <c r="DG176" s="212"/>
      <c r="DH176" s="166"/>
      <c r="DI176" s="166"/>
      <c r="DJ176" s="166"/>
      <c r="DK176" s="166"/>
      <c r="DL176" s="166"/>
      <c r="DM176" s="166"/>
      <c r="DN176" s="166"/>
      <c r="DO176" s="166"/>
      <c r="DP176" s="166"/>
      <c r="DQ176" s="166"/>
      <c r="DR176" s="166"/>
      <c r="DS176" s="166"/>
      <c r="DT176" s="166"/>
      <c r="DU176" s="166"/>
      <c r="DV176" s="166"/>
      <c r="DW176" s="166"/>
      <c r="DX176" s="166"/>
      <c r="DY176" s="166"/>
      <c r="DZ176" s="166"/>
      <c r="EA176" s="166"/>
      <c r="EB176" s="166"/>
      <c r="EC176" s="166"/>
      <c r="ED176" s="166"/>
      <c r="EE176" s="166"/>
      <c r="EF176" s="166"/>
      <c r="EG176" s="166"/>
      <c r="EH176" s="160">
        <f>IF([Chambre]*1='CHAMBRES FILLES 2e ETAGE'!$A$5,1,0)</f>
        <v>0</v>
      </c>
      <c r="EI176" s="161">
        <f>IF([Occurrence2]=0,0,SUM($EH$2:EH176))</f>
        <v>0</v>
      </c>
      <c r="EJ176" s="160">
        <f>IF([Chambre]*1='CHAMBRES FILLES 2e ETAGE'!$A$11,1,0)</f>
        <v>0</v>
      </c>
      <c r="EK176" s="160">
        <f>IF([Occurrence3]=0,0,SUM($EJ$2:EJ176))</f>
        <v>0</v>
      </c>
      <c r="EL176" s="160">
        <f>IF([Chambre]*1='CHAMBRES FILLES 2e ETAGE'!$A$17,1,0)</f>
        <v>0</v>
      </c>
      <c r="EM176" s="160">
        <f>IF([Occurrence4]=0,0,SUM($EL$2:EL176))</f>
        <v>0</v>
      </c>
      <c r="EN176" s="160">
        <f>IF([Chambre]*1='CHAMBRES FILLES 2e ETAGE'!$A$23,1,0)</f>
        <v>0</v>
      </c>
      <c r="EO176" s="160">
        <f>IF([Occurrence5]=0,0,SUM($EN$2:EN176))</f>
        <v>0</v>
      </c>
      <c r="EP176" s="160">
        <f>IF([Chambre]*1='CHAMBRES FILLES 2e ETAGE'!$A$29,1,0)</f>
        <v>0</v>
      </c>
      <c r="EQ176" s="160">
        <f>IF([Occurrence6]=0,0,SUM($EP$2:EP176))</f>
        <v>0</v>
      </c>
      <c r="ER176" s="160">
        <f>IF([Chambre]*1='CHAMBRES FILLES 2e ETAGE'!$A$35,1,0)</f>
        <v>0</v>
      </c>
      <c r="ES176" s="160">
        <f>IF([Occurrence7]=0,0,SUM($ER$2:ER176))</f>
        <v>0</v>
      </c>
      <c r="ET176" s="160">
        <f>IF([Chambre]*1='CHAMBRES FILLES 2e ETAGE'!$A$41,1,0)</f>
        <v>0</v>
      </c>
      <c r="EU176" s="160">
        <f>IF([Occurrence8]=0,0,SUM($ET$2:ET176))</f>
        <v>0</v>
      </c>
      <c r="EV176" s="160">
        <f>IF([Chambre]*1='CHAMBRES FILLES 2e ETAGE'!$A$47,1,0)</f>
        <v>0</v>
      </c>
      <c r="EW176" s="160">
        <f>IF([Occurrence9]=0,0,SUM($EV$2:EV176))</f>
        <v>0</v>
      </c>
      <c r="EX176" s="160">
        <f>IF([Chambre]*1='CHAMBRES FILLES 2e ETAGE'!$A$53,1,0)</f>
        <v>0</v>
      </c>
      <c r="EY176" s="160">
        <f>IF([Occurrence10]=0,0,SUM($EX$2:EX176))</f>
        <v>0</v>
      </c>
      <c r="EZ176" s="160">
        <f>IF([Chambre]*1='CHAMBRES FILLES 2e ETAGE'!$A$59,1,0)</f>
        <v>0</v>
      </c>
      <c r="FA176" s="160">
        <f>IF([Occurrence11]=0,0,SUM($EZ$2:EZ176))</f>
        <v>0</v>
      </c>
      <c r="FB176" s="160">
        <f>IF([Chambre]*1='CHAMBRES FILLES 2e ETAGE'!$A$65,1,0)</f>
        <v>0</v>
      </c>
      <c r="FC176" s="160">
        <f>IF([Occurrence12]=0,0,SUM($FB$2:FB176))</f>
        <v>0</v>
      </c>
      <c r="FD176" s="160">
        <f>IF([Chambre]*1='CHAMBRES FILLES 2e ETAGE'!$A$71,1,0)</f>
        <v>0</v>
      </c>
      <c r="FE176" s="160">
        <f>IF([Occurrence13]=0,0,SUM($FD$2:FD176))</f>
        <v>0</v>
      </c>
      <c r="FF176" s="160">
        <f>IF([Chambre]*1='CHAMBRES FILLES 2e ETAGE'!$A$77,1,0)</f>
        <v>0</v>
      </c>
      <c r="FG176" s="160">
        <f>IF([Occurrence14]=0,0,SUM($FF$2:FF176))</f>
        <v>0</v>
      </c>
      <c r="FH176" s="160">
        <f>IF([Chambre]*1='CHAMBRES FILLES 2e ETAGE'!$A$83,1,0)</f>
        <v>0</v>
      </c>
      <c r="FI176" s="160">
        <f>IF([Occurrence15]=0,0,SUM($FH$2:FH176))</f>
        <v>0</v>
      </c>
      <c r="FJ176" s="160">
        <f>IF([Chambre]*1='CHAMBRES FILLES 2e ETAGE'!$A$89,1,0)</f>
        <v>0</v>
      </c>
      <c r="FK176" s="160">
        <f>IF([Occurrence16]=0,0,SUM($FJ$2:FJ176))</f>
        <v>0</v>
      </c>
      <c r="FL176" s="160">
        <f>IF([Chambre]*1='CHAMBRES FILLES 2e ETAGE'!$A$95,1,0)</f>
        <v>0</v>
      </c>
      <c r="FM176" s="160">
        <f>IF([Occurrence17]=0,0,SUM($FL$2:FL176))</f>
        <v>0</v>
      </c>
      <c r="FN176" s="160">
        <f>IF([Chambre2]*1='CHAMBRES FILLES 1e ETAGE'!$A$5,1,0)</f>
        <v>0</v>
      </c>
      <c r="FO176" s="160">
        <f>IF([Occurrence18]=0,0,SUM($FN$2:FN176))</f>
        <v>0</v>
      </c>
      <c r="FP176" s="160">
        <f>IF([Chambre2]*1='CHAMBRES FILLES 1e ETAGE'!$A$11,1,0)</f>
        <v>0</v>
      </c>
      <c r="FQ176" s="160">
        <f>IF([Occurrence19]=0,0,SUM($FP$2:FP176))</f>
        <v>0</v>
      </c>
      <c r="FR176" s="160">
        <f>IF([Chambre2]*1='CHAMBRES FILLES 1e ETAGE'!$A$17,1,0)</f>
        <v>0</v>
      </c>
      <c r="FS176" s="160">
        <f>IF([Occurrence20]=0,0,SUM($FR$2:FR176))</f>
        <v>0</v>
      </c>
      <c r="FT176" s="160">
        <f>IF([Chambre2]*1='CHAMBRES FILLES 1e ETAGE'!$A$23,1,0)</f>
        <v>0</v>
      </c>
      <c r="FU176" s="160">
        <f>IF([Occurrence21]=0,0,SUM($FT$2:FT176))</f>
        <v>0</v>
      </c>
      <c r="FV176" s="160">
        <f>IF([Chambre2]*1='CHAMBRES FILLES 1e ETAGE'!$A$29,1,0)</f>
        <v>0</v>
      </c>
      <c r="FW176" s="160">
        <f>IF([Occurrence22]=0,0,SUM($FV$2:FV176))</f>
        <v>0</v>
      </c>
      <c r="FX176" s="160">
        <f>IF([Chambre2]*1='CHAMBRES FILLES 1e ETAGE'!$A$35,1,0)</f>
        <v>0</v>
      </c>
      <c r="FY176" s="160">
        <f>IF([Occurrence23]=0,0,SUM($FX$2:FX176))</f>
        <v>0</v>
      </c>
      <c r="FZ176" s="160">
        <f>IF([Chambre2]*1='CHAMBRES FILLES 1e ETAGE'!$A$41,1,0)</f>
        <v>0</v>
      </c>
      <c r="GA176" s="160">
        <f>IF([Occurrence24]=0,0,SUM($FZ$2:FZ176))</f>
        <v>0</v>
      </c>
      <c r="GB176" s="160">
        <f>IF([Chambre2]*1='CHAMBRES FILLES 1e ETAGE'!$A$47,1,0)</f>
        <v>0</v>
      </c>
      <c r="GC176" s="160">
        <f>IF([Occurrence25]=0,0,SUM($GB$2:GB176))</f>
        <v>0</v>
      </c>
      <c r="GD176" s="160">
        <f>IF([Chambre2]*1='CHAMBRES FILLES 1e ETAGE'!$A$53,1,0)</f>
        <v>0</v>
      </c>
      <c r="GE176" s="160">
        <f>IF([Occurrence26]=0,0,SUM($GD$2:GD176))</f>
        <v>0</v>
      </c>
      <c r="GF176" s="160">
        <f>IF([chambre4]*1='CHAMBRES GARCONS 1e ETAGE'!$A$5,1,0)</f>
        <v>0</v>
      </c>
      <c r="GG176" s="160">
        <f>IF([Occurrence27]=0,0,SUM($GF$2:GF176))</f>
        <v>0</v>
      </c>
      <c r="GH176" s="160">
        <f>IF([chambre4]*1='CHAMBRES GARCONS 1e ETAGE'!$A$11,1,0)</f>
        <v>0</v>
      </c>
      <c r="GI176" s="160">
        <f>IF([Occurrence28]=0,0,SUM($GH$2:GH176))</f>
        <v>0</v>
      </c>
      <c r="GJ176" s="160">
        <f>IF([chambre4]*1='CHAMBRES GARCONS 1e ETAGE'!$A$17,1,0)</f>
        <v>0</v>
      </c>
      <c r="GK176" s="160">
        <f>IF([Occurrence29]=0,0,SUM($GJ$2:GJ176))</f>
        <v>0</v>
      </c>
      <c r="GL176" s="160">
        <f>IF([chambre4]*1='CHAMBRES GARCONS 1e ETAGE'!$A$23,1,0)</f>
        <v>0</v>
      </c>
      <c r="GM176" s="160">
        <f>IF([Occurrence30]=0,0,SUM($GL$2:GL176))</f>
        <v>0</v>
      </c>
      <c r="GN176" s="160">
        <f>IF([chambre4]*1='CHAMBRES GARCONS 1e ETAGE'!$A$29,1,0)</f>
        <v>0</v>
      </c>
      <c r="GO176" s="160">
        <f>IF([Occurrence31]=0,0,SUM($GN$2:GN176))</f>
        <v>0</v>
      </c>
      <c r="GP176" s="160">
        <f>IF([chambre4]*1='CHAMBRES GARCONS 1e ETAGE'!$A$35,1,0)</f>
        <v>0</v>
      </c>
      <c r="GQ176" s="160">
        <f>IF([Occurrence32]=0,0,SUM($GP$2:GP176))</f>
        <v>0</v>
      </c>
      <c r="GR176" s="160">
        <f>IF([chambre3]*1='CHAMBRES GARCONS RDC'!$A$5,1,0)</f>
        <v>0</v>
      </c>
      <c r="GS176" s="160">
        <f>IF([Occurrence33]=0,0,SUM($GR$2:GR176))</f>
        <v>0</v>
      </c>
      <c r="GT176" s="160">
        <f>IF([chambre3]*1='CHAMBRES GARCONS RDC'!$A$11,1,0)</f>
        <v>0</v>
      </c>
      <c r="GU176" s="160">
        <f>IF([Occurrence34]=0,0,SUM($GT$2:GT176))</f>
        <v>0</v>
      </c>
      <c r="GV176" s="160">
        <f>IF([chambre3]*1='CHAMBRES GARCONS RDC'!$A$17,1,0)</f>
        <v>0</v>
      </c>
      <c r="GW176" s="160">
        <f>IF([Occurrence35]=0,0,SUM($GV$2:GV176))</f>
        <v>0</v>
      </c>
      <c r="GX176" s="160">
        <f>IF([chambre3]*1='CHAMBRES GARCONS RDC'!$A$23,1,0)</f>
        <v>0</v>
      </c>
      <c r="GY176" s="160">
        <f>IF([Occurrence36]=0,0,SUM($GX$2:GX176))</f>
        <v>0</v>
      </c>
      <c r="GZ176" s="160">
        <f>IF([chambre3]*1='CHAMBRES GARCONS RDC'!$A$29,1,0)</f>
        <v>0</v>
      </c>
      <c r="HA176" s="160">
        <f>IF([Occurrence37]=0,0,SUM($GZ$2:GZ176))</f>
        <v>0</v>
      </c>
      <c r="HB176" s="160">
        <f>IF([chambre3]*1='CHAMBRES GARCONS RDC'!$A$35,1,0)</f>
        <v>0</v>
      </c>
      <c r="HC176" s="160">
        <f>IF([Occurrence38]=0,0,SUM($HB$2:HB176))</f>
        <v>0</v>
      </c>
      <c r="HD176" s="160">
        <f>IF([chambre3]*1='CHAMBRES GARCONS RDC'!$A$41,1,0)</f>
        <v>0</v>
      </c>
      <c r="HE176" s="160">
        <f>IF([Occurrence39]=0,0,SUM($HD$2:HD176))</f>
        <v>0</v>
      </c>
      <c r="HF176" s="160">
        <f>IF([chambre3]*1='CHAMBRES GARCONS RDC'!$A$47,1,0)</f>
        <v>0</v>
      </c>
      <c r="HG176" s="160">
        <f>IF([Occurrence40]=0,0,SUM($HF$2:HF176))</f>
        <v>0</v>
      </c>
      <c r="HH176" s="160">
        <f>IF([chambre3]*1='CHAMBRES GARCONS RDC'!$A$53,1,0)</f>
        <v>0</v>
      </c>
      <c r="HI176" s="160">
        <f>IF([Occurrence41]=0,0,SUM($HH$2:HH176))</f>
        <v>0</v>
      </c>
      <c r="HJ176" s="160">
        <f>IF([chambre3]*1='CHAMBRES GARCONS RDC'!$A$59,1,0)</f>
        <v>0</v>
      </c>
      <c r="HK176" s="160">
        <f>IF([Occurrence42]=0,0,SUM($HJ$2:HJ176))</f>
        <v>0</v>
      </c>
      <c r="HL176" s="160">
        <f>IF([chambre3]*1='CHAMBRES GARCONS RDC'!$A$65,1,0)</f>
        <v>0</v>
      </c>
      <c r="HM176" s="160">
        <f>IF([Occurrence43]=0,0,SUM($HL$2:HL176))</f>
        <v>0</v>
      </c>
      <c r="HN176" s="160">
        <f>IF([chambre3]*1='CHAMBRES GARCONS RDC'!$A$71,1,0)</f>
        <v>1</v>
      </c>
      <c r="HO176" s="160">
        <f>IF([Occurrence44]=0,0,SUM($HN$2:HN176))</f>
        <v>4</v>
      </c>
      <c r="HP176" s="160">
        <f>IF([chambre3]*1='CHAMBRES GARCONS RDC'!$A$77,1,0)</f>
        <v>0</v>
      </c>
      <c r="HQ176" s="160">
        <f>IF([Occurrence45]=0,0,SUM($HP$2:HP176))</f>
        <v>0</v>
      </c>
      <c r="HR176" s="160">
        <f>IF([chambre3]*1='CHAMBRES GARCONS RDC'!$A$83,1,0)</f>
        <v>0</v>
      </c>
      <c r="HS176" s="160">
        <f>IF([Occurrence46]=0,0,SUM($HR$2:HR176))</f>
        <v>0</v>
      </c>
      <c r="HT176" s="160">
        <f>IF([chambre3]*1='CHAMBRES GARCONS RDC'!$A$89,1,0)</f>
        <v>0</v>
      </c>
      <c r="HU176" s="160">
        <f>IF([Occurrence47]=0,0,SUM($HT$2:HT176))</f>
        <v>0</v>
      </c>
      <c r="HV176" s="160">
        <f>IF([chambre3]*1='CHAMBRES GARCONS RDC'!$A$95,1,0)</f>
        <v>0</v>
      </c>
      <c r="HW176" s="160">
        <f>IF([Occurrence48]=0,0,SUM($HV$2:HV176))</f>
        <v>0</v>
      </c>
      <c r="HX176" s="160"/>
      <c r="HY176" s="160"/>
      <c r="HZ176" s="160">
        <f>IF([Classe]='Liste élève par classes'!$B$5,1,0)</f>
        <v>0</v>
      </c>
      <c r="IA176" s="160">
        <f>IF([Occurrence]=0,0,SUM($HZ$2:HZ176))</f>
        <v>0</v>
      </c>
      <c r="IB17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110</v>
      </c>
      <c r="IC176" s="208"/>
    </row>
    <row r="177" spans="1:237">
      <c r="A177" t="s">
        <v>543</v>
      </c>
      <c r="B177" t="s">
        <v>544</v>
      </c>
      <c r="C177" s="158">
        <v>36368</v>
      </c>
      <c r="D177" s="62">
        <f t="shared" ca="1" si="2"/>
        <v>18</v>
      </c>
      <c r="E177" t="s">
        <v>3</v>
      </c>
      <c r="F177" s="165" t="s">
        <v>46</v>
      </c>
      <c r="G177" t="s">
        <v>40</v>
      </c>
      <c r="H177" s="160"/>
      <c r="I177" s="62"/>
      <c r="J177" s="62"/>
      <c r="K177" s="62"/>
      <c r="L177" s="61"/>
      <c r="M177" s="62"/>
      <c r="N177" s="62"/>
      <c r="O177" s="62"/>
      <c r="P177" s="62"/>
      <c r="Q177" s="62"/>
      <c r="R177" s="62"/>
      <c r="S177" s="62"/>
      <c r="T177" s="62"/>
      <c r="U177" s="61"/>
      <c r="V177" s="62"/>
      <c r="W177" s="62"/>
      <c r="X177" s="62"/>
      <c r="Y177" s="62"/>
      <c r="Z177" s="62"/>
      <c r="AA177" s="62"/>
      <c r="AB177" s="62"/>
      <c r="AC177" s="62"/>
      <c r="AD177" s="62"/>
      <c r="AE177" s="62"/>
      <c r="AF177" s="163"/>
      <c r="AG177" s="163"/>
      <c r="AH177" s="163"/>
      <c r="AI177" s="163"/>
      <c r="AJ177" s="163"/>
      <c r="AK177" s="163"/>
      <c r="AL177" s="163"/>
      <c r="AM177" s="163"/>
      <c r="AN177" s="163"/>
      <c r="AO177" s="163"/>
      <c r="AP177" s="163"/>
      <c r="AQ177" s="163"/>
      <c r="AR177" s="163"/>
      <c r="AS177" s="163"/>
      <c r="AT177" s="163"/>
      <c r="AU177" s="163"/>
      <c r="AV177" s="163"/>
      <c r="AW177" s="163"/>
      <c r="AX177" s="163"/>
      <c r="AY177" s="163"/>
      <c r="AZ177" s="163"/>
      <c r="BA177" s="163"/>
      <c r="BB177" s="163"/>
      <c r="BC177" s="163" t="b">
        <v>0</v>
      </c>
      <c r="BD177" s="163" t="b">
        <v>0</v>
      </c>
      <c r="BE177" s="163" t="b">
        <v>0</v>
      </c>
      <c r="BF177" s="163" t="b">
        <v>0</v>
      </c>
      <c r="BG177" s="163" t="b">
        <v>0</v>
      </c>
      <c r="BH177" s="163" t="b">
        <v>0</v>
      </c>
      <c r="BI177" s="163" t="b">
        <v>1</v>
      </c>
      <c r="BJ177" s="163" t="b">
        <v>0</v>
      </c>
      <c r="BK177" s="163" t="b">
        <v>0</v>
      </c>
      <c r="BL177" s="163" t="b">
        <v>0</v>
      </c>
      <c r="BM177" s="163"/>
      <c r="BN177" s="163"/>
      <c r="BO177" s="163"/>
      <c r="BP177" s="163"/>
      <c r="BQ177" s="163"/>
      <c r="BR177" s="163"/>
      <c r="BS177" s="163"/>
      <c r="BT177" s="163"/>
      <c r="BU177" s="163"/>
      <c r="BV177" s="163"/>
      <c r="BW177" s="163"/>
      <c r="BX177" s="163"/>
      <c r="BY177" s="163"/>
      <c r="BZ177" s="163"/>
      <c r="CA177" s="163"/>
      <c r="CB177" s="163"/>
      <c r="CC177" s="163"/>
      <c r="CD177" s="163"/>
      <c r="CE177" s="163"/>
      <c r="CF177" s="163"/>
      <c r="CG177" s="163"/>
      <c r="CH177" s="163"/>
      <c r="CI177" s="163"/>
      <c r="CJ177" s="163"/>
      <c r="CK177" s="163"/>
      <c r="CL177" s="163"/>
      <c r="CM177" s="163"/>
      <c r="CN177" s="163"/>
      <c r="CO177" s="163"/>
      <c r="CP177" s="163"/>
      <c r="CQ177" s="163"/>
      <c r="CR177" s="163"/>
      <c r="CS177" s="163"/>
      <c r="CT177" s="163"/>
      <c r="CU177" s="163"/>
      <c r="CV177" s="163"/>
      <c r="CW177" s="163"/>
      <c r="CX177" s="163"/>
      <c r="CY177" s="163"/>
      <c r="CZ177" s="163"/>
      <c r="DA177" s="163"/>
      <c r="DB177" s="163"/>
      <c r="DC177" s="163"/>
      <c r="DD177" s="163"/>
      <c r="DE177" s="163"/>
      <c r="DF177" s="163"/>
      <c r="DG177" s="163"/>
      <c r="DH177" s="163"/>
      <c r="DI177" s="163"/>
      <c r="DJ177" s="163"/>
      <c r="DK177" s="163"/>
      <c r="DL177" s="163"/>
      <c r="DM177" s="163"/>
      <c r="DN177" s="163"/>
      <c r="DO177" s="163"/>
      <c r="DP177" s="163"/>
      <c r="DQ177" s="163"/>
      <c r="DR177" s="163"/>
      <c r="DS177" s="163"/>
      <c r="DT177" s="163"/>
      <c r="DU177" s="163"/>
      <c r="DV177" s="163"/>
      <c r="DW177" s="163"/>
      <c r="DX177" s="163"/>
      <c r="DY177" s="163"/>
      <c r="DZ177" s="163"/>
      <c r="EA177" s="163"/>
      <c r="EB177" s="163"/>
      <c r="EC177" s="163"/>
      <c r="ED177" s="163"/>
      <c r="EE177" s="163"/>
      <c r="EF177" s="163"/>
      <c r="EG177" s="163"/>
      <c r="EH177" s="160">
        <f>IF([Chambre]*1='CHAMBRES FILLES 2e ETAGE'!$A$5,1,0)</f>
        <v>0</v>
      </c>
      <c r="EI177" s="161">
        <f>IF([Occurrence2]=0,0,SUM($EH$2:EH177))</f>
        <v>0</v>
      </c>
      <c r="EJ177" s="160">
        <f>IF([Chambre]*1='CHAMBRES FILLES 2e ETAGE'!$A$11,1,0)</f>
        <v>0</v>
      </c>
      <c r="EK177" s="160">
        <f>IF([Occurrence3]=0,0,SUM($EJ$2:EJ177))</f>
        <v>0</v>
      </c>
      <c r="EL177" s="160">
        <f>IF([Chambre]*1='CHAMBRES FILLES 2e ETAGE'!$A$17,1,0)</f>
        <v>0</v>
      </c>
      <c r="EM177" s="160">
        <f>IF([Occurrence4]=0,0,SUM($EL$2:EL177))</f>
        <v>0</v>
      </c>
      <c r="EN177" s="160">
        <f>IF([Chambre]*1='CHAMBRES FILLES 2e ETAGE'!$A$23,1,0)</f>
        <v>0</v>
      </c>
      <c r="EO177" s="160">
        <f>IF([Occurrence5]=0,0,SUM($EN$2:EN177))</f>
        <v>0</v>
      </c>
      <c r="EP177" s="160">
        <f>IF([Chambre]*1='CHAMBRES FILLES 2e ETAGE'!$A$29,1,0)</f>
        <v>0</v>
      </c>
      <c r="EQ177" s="160">
        <f>IF([Occurrence6]=0,0,SUM($EP$2:EP177))</f>
        <v>0</v>
      </c>
      <c r="ER177" s="160">
        <f>IF([Chambre]*1='CHAMBRES FILLES 2e ETAGE'!$A$35,1,0)</f>
        <v>0</v>
      </c>
      <c r="ES177" s="160">
        <f>IF([Occurrence7]=0,0,SUM($ER$2:ER177))</f>
        <v>0</v>
      </c>
      <c r="ET177" s="160">
        <f>IF([Chambre]*1='CHAMBRES FILLES 2e ETAGE'!$A$41,1,0)</f>
        <v>0</v>
      </c>
      <c r="EU177" s="160">
        <f>IF([Occurrence8]=0,0,SUM($ET$2:ET177))</f>
        <v>0</v>
      </c>
      <c r="EV177" s="160">
        <f>IF([Chambre]*1='CHAMBRES FILLES 2e ETAGE'!$A$47,1,0)</f>
        <v>0</v>
      </c>
      <c r="EW177" s="160">
        <f>IF([Occurrence9]=0,0,SUM($EV$2:EV177))</f>
        <v>0</v>
      </c>
      <c r="EX177" s="160">
        <f>IF([Chambre]*1='CHAMBRES FILLES 2e ETAGE'!$A$53,1,0)</f>
        <v>0</v>
      </c>
      <c r="EY177" s="160">
        <f>IF([Occurrence10]=0,0,SUM($EX$2:EX177))</f>
        <v>0</v>
      </c>
      <c r="EZ177" s="160">
        <f>IF([Chambre]*1='CHAMBRES FILLES 2e ETAGE'!$A$59,1,0)</f>
        <v>0</v>
      </c>
      <c r="FA177" s="160">
        <f>IF([Occurrence11]=0,0,SUM($EZ$2:EZ177))</f>
        <v>0</v>
      </c>
      <c r="FB177" s="160">
        <f>IF([Chambre]*1='CHAMBRES FILLES 2e ETAGE'!$A$65,1,0)</f>
        <v>0</v>
      </c>
      <c r="FC177" s="160">
        <f>IF([Occurrence12]=0,0,SUM($FB$2:FB177))</f>
        <v>0</v>
      </c>
      <c r="FD177" s="160">
        <f>IF([Chambre]*1='CHAMBRES FILLES 2e ETAGE'!$A$71,1,0)</f>
        <v>0</v>
      </c>
      <c r="FE177" s="160">
        <f>IF([Occurrence13]=0,0,SUM($FD$2:FD177))</f>
        <v>0</v>
      </c>
      <c r="FF177" s="160">
        <f>IF([Chambre]*1='CHAMBRES FILLES 2e ETAGE'!$A$77,1,0)</f>
        <v>0</v>
      </c>
      <c r="FG177" s="160">
        <f>IF([Occurrence14]=0,0,SUM($FF$2:FF177))</f>
        <v>0</v>
      </c>
      <c r="FH177" s="160">
        <f>IF([Chambre]*1='CHAMBRES FILLES 2e ETAGE'!$A$83,1,0)</f>
        <v>0</v>
      </c>
      <c r="FI177" s="160">
        <f>IF([Occurrence15]=0,0,SUM($FH$2:FH177))</f>
        <v>0</v>
      </c>
      <c r="FJ177" s="160">
        <f>IF([Chambre]*1='CHAMBRES FILLES 2e ETAGE'!$A$89,1,0)</f>
        <v>0</v>
      </c>
      <c r="FK177" s="160">
        <f>IF([Occurrence16]=0,0,SUM($FJ$2:FJ177))</f>
        <v>0</v>
      </c>
      <c r="FL177" s="160">
        <f>IF([Chambre]*1='CHAMBRES FILLES 2e ETAGE'!$A$95,1,0)</f>
        <v>0</v>
      </c>
      <c r="FM177" s="160">
        <f>IF([Occurrence17]=0,0,SUM($FL$2:FL177))</f>
        <v>0</v>
      </c>
      <c r="FN177" s="160">
        <f>IF([Chambre2]*1='CHAMBRES FILLES 1e ETAGE'!$A$5,1,0)</f>
        <v>0</v>
      </c>
      <c r="FO177" s="160">
        <f>IF([Occurrence18]=0,0,SUM($FN$2:FN177))</f>
        <v>0</v>
      </c>
      <c r="FP177" s="160">
        <f>IF([Chambre2]*1='CHAMBRES FILLES 1e ETAGE'!$A$11,1,0)</f>
        <v>0</v>
      </c>
      <c r="FQ177" s="160">
        <f>IF([Occurrence19]=0,0,SUM($FP$2:FP177))</f>
        <v>0</v>
      </c>
      <c r="FR177" s="160">
        <f>IF([Chambre2]*1='CHAMBRES FILLES 1e ETAGE'!$A$17,1,0)</f>
        <v>0</v>
      </c>
      <c r="FS177" s="160">
        <f>IF([Occurrence20]=0,0,SUM($FR$2:FR177))</f>
        <v>0</v>
      </c>
      <c r="FT177" s="160">
        <f>IF([Chambre2]*1='CHAMBRES FILLES 1e ETAGE'!$A$23,1,0)</f>
        <v>0</v>
      </c>
      <c r="FU177" s="160">
        <f>IF([Occurrence21]=0,0,SUM($FT$2:FT177))</f>
        <v>0</v>
      </c>
      <c r="FV177" s="160">
        <f>IF([Chambre2]*1='CHAMBRES FILLES 1e ETAGE'!$A$29,1,0)</f>
        <v>0</v>
      </c>
      <c r="FW177" s="160">
        <f>IF([Occurrence22]=0,0,SUM($FV$2:FV177))</f>
        <v>0</v>
      </c>
      <c r="FX177" s="160">
        <f>IF([Chambre2]*1='CHAMBRES FILLES 1e ETAGE'!$A$35,1,0)</f>
        <v>0</v>
      </c>
      <c r="FY177" s="160">
        <f>IF([Occurrence23]=0,0,SUM($FX$2:FX177))</f>
        <v>0</v>
      </c>
      <c r="FZ177" s="160">
        <f>IF([Chambre2]*1='CHAMBRES FILLES 1e ETAGE'!$A$41,1,0)</f>
        <v>0</v>
      </c>
      <c r="GA177" s="160">
        <f>IF([Occurrence24]=0,0,SUM($FZ$2:FZ177))</f>
        <v>0</v>
      </c>
      <c r="GB177" s="160">
        <f>IF([Chambre2]*1='CHAMBRES FILLES 1e ETAGE'!$A$47,1,0)</f>
        <v>0</v>
      </c>
      <c r="GC177" s="160">
        <f>IF([Occurrence25]=0,0,SUM($GB$2:GB177))</f>
        <v>0</v>
      </c>
      <c r="GD177" s="160">
        <f>IF([Chambre2]*1='CHAMBRES FILLES 1e ETAGE'!$A$53,1,0)</f>
        <v>0</v>
      </c>
      <c r="GE177" s="160">
        <f>IF([Occurrence26]=0,0,SUM($GD$2:GD177))</f>
        <v>0</v>
      </c>
      <c r="GF177" s="160">
        <f>IF([chambre4]*1='CHAMBRES GARCONS 1e ETAGE'!$A$5,1,0)</f>
        <v>0</v>
      </c>
      <c r="GG177" s="160">
        <f>IF([Occurrence27]=0,0,SUM($GF$2:GF177))</f>
        <v>0</v>
      </c>
      <c r="GH177" s="160">
        <f>IF([chambre4]*1='CHAMBRES GARCONS 1e ETAGE'!$A$11,1,0)</f>
        <v>0</v>
      </c>
      <c r="GI177" s="160">
        <f>IF([Occurrence28]=0,0,SUM($GH$2:GH177))</f>
        <v>0</v>
      </c>
      <c r="GJ177" s="160">
        <f>IF([chambre4]*1='CHAMBRES GARCONS 1e ETAGE'!$A$17,1,0)</f>
        <v>0</v>
      </c>
      <c r="GK177" s="160">
        <f>IF([Occurrence29]=0,0,SUM($GJ$2:GJ177))</f>
        <v>0</v>
      </c>
      <c r="GL177" s="160">
        <f>IF([chambre4]*1='CHAMBRES GARCONS 1e ETAGE'!$A$23,1,0)</f>
        <v>0</v>
      </c>
      <c r="GM177" s="160">
        <f>IF([Occurrence30]=0,0,SUM($GL$2:GL177))</f>
        <v>0</v>
      </c>
      <c r="GN177" s="160">
        <f>IF([chambre4]*1='CHAMBRES GARCONS 1e ETAGE'!$A$29,1,0)</f>
        <v>0</v>
      </c>
      <c r="GO177" s="160">
        <f>IF([Occurrence31]=0,0,SUM($GN$2:GN177))</f>
        <v>0</v>
      </c>
      <c r="GP177" s="160">
        <f>IF([chambre4]*1='CHAMBRES GARCONS 1e ETAGE'!$A$35,1,0)</f>
        <v>0</v>
      </c>
      <c r="GQ177" s="160">
        <f>IF([Occurrence32]=0,0,SUM($GP$2:GP177))</f>
        <v>0</v>
      </c>
      <c r="GR177" s="160">
        <f>IF([chambre3]*1='CHAMBRES GARCONS RDC'!$A$5,1,0)</f>
        <v>0</v>
      </c>
      <c r="GS177" s="160">
        <f>IF([Occurrence33]=0,0,SUM($GR$2:GR177))</f>
        <v>0</v>
      </c>
      <c r="GT177" s="160">
        <f>IF([chambre3]*1='CHAMBRES GARCONS RDC'!$A$11,1,0)</f>
        <v>0</v>
      </c>
      <c r="GU177" s="160">
        <f>IF([Occurrence34]=0,0,SUM($GT$2:GT177))</f>
        <v>0</v>
      </c>
      <c r="GV177" s="160">
        <f>IF([chambre3]*1='CHAMBRES GARCONS RDC'!$A$17,1,0)</f>
        <v>0</v>
      </c>
      <c r="GW177" s="160">
        <f>IF([Occurrence35]=0,0,SUM($GV$2:GV177))</f>
        <v>0</v>
      </c>
      <c r="GX177" s="160">
        <f>IF([chambre3]*1='CHAMBRES GARCONS RDC'!$A$23,1,0)</f>
        <v>0</v>
      </c>
      <c r="GY177" s="160">
        <f>IF([Occurrence36]=0,0,SUM($GX$2:GX177))</f>
        <v>0</v>
      </c>
      <c r="GZ177" s="160">
        <f>IF([chambre3]*1='CHAMBRES GARCONS RDC'!$A$29,1,0)</f>
        <v>0</v>
      </c>
      <c r="HA177" s="160">
        <f>IF([Occurrence37]=0,0,SUM($GZ$2:GZ177))</f>
        <v>0</v>
      </c>
      <c r="HB177" s="160">
        <f>IF([chambre3]*1='CHAMBRES GARCONS RDC'!$A$35,1,0)</f>
        <v>0</v>
      </c>
      <c r="HC177" s="160">
        <f>IF([Occurrence38]=0,0,SUM($HB$2:HB177))</f>
        <v>0</v>
      </c>
      <c r="HD177" s="160">
        <f>IF([chambre3]*1='CHAMBRES GARCONS RDC'!$A$41,1,0)</f>
        <v>0</v>
      </c>
      <c r="HE177" s="160">
        <f>IF([Occurrence39]=0,0,SUM($HD$2:HD177))</f>
        <v>0</v>
      </c>
      <c r="HF177" s="160">
        <f>IF([chambre3]*1='CHAMBRES GARCONS RDC'!$A$47,1,0)</f>
        <v>0</v>
      </c>
      <c r="HG177" s="160">
        <f>IF([Occurrence40]=0,0,SUM($HF$2:HF177))</f>
        <v>0</v>
      </c>
      <c r="HH177" s="160">
        <f>IF([chambre3]*1='CHAMBRES GARCONS RDC'!$A$53,1,0)</f>
        <v>0</v>
      </c>
      <c r="HI177" s="160">
        <f>IF([Occurrence41]=0,0,SUM($HH$2:HH177))</f>
        <v>0</v>
      </c>
      <c r="HJ177" s="160">
        <f>IF([chambre3]*1='CHAMBRES GARCONS RDC'!$A$59,1,0)</f>
        <v>0</v>
      </c>
      <c r="HK177" s="160">
        <f>IF([Occurrence42]=0,0,SUM($HJ$2:HJ177))</f>
        <v>0</v>
      </c>
      <c r="HL177" s="160">
        <f>IF([chambre3]*1='CHAMBRES GARCONS RDC'!$A$65,1,0)</f>
        <v>0</v>
      </c>
      <c r="HM177" s="160">
        <f>IF([Occurrence43]=0,0,SUM($HL$2:HL177))</f>
        <v>0</v>
      </c>
      <c r="HN177" s="160">
        <f>IF([chambre3]*1='CHAMBRES GARCONS RDC'!$A$71,1,0)</f>
        <v>0</v>
      </c>
      <c r="HO177" s="160">
        <f>IF([Occurrence44]=0,0,SUM($HN$2:HN177))</f>
        <v>0</v>
      </c>
      <c r="HP177" s="160">
        <f>IF([chambre3]*1='CHAMBRES GARCONS RDC'!$A$77,1,0)</f>
        <v>0</v>
      </c>
      <c r="HQ177" s="160">
        <f>IF([Occurrence45]=0,0,SUM($HP$2:HP177))</f>
        <v>0</v>
      </c>
      <c r="HR177" s="160">
        <f>IF([chambre3]*1='CHAMBRES GARCONS RDC'!$A$83,1,0)</f>
        <v>0</v>
      </c>
      <c r="HS177" s="160">
        <f>IF([Occurrence46]=0,0,SUM($HR$2:HR177))</f>
        <v>0</v>
      </c>
      <c r="HT177" s="160">
        <f>IF([chambre3]*1='CHAMBRES GARCONS RDC'!$A$89,1,0)</f>
        <v>0</v>
      </c>
      <c r="HU177" s="160">
        <f>IF([Occurrence47]=0,0,SUM($HT$2:HT177))</f>
        <v>0</v>
      </c>
      <c r="HV177" s="160">
        <f>IF([chambre3]*1='CHAMBRES GARCONS RDC'!$A$95,1,0)</f>
        <v>0</v>
      </c>
      <c r="HW177" s="160">
        <f>IF([Occurrence48]=0,0,SUM($HV$2:HV177))</f>
        <v>0</v>
      </c>
      <c r="HX177" s="160"/>
      <c r="HY177" s="160"/>
      <c r="HZ177" s="160">
        <f>IF([Classe]='Liste élève par classes'!$B$5,1,0)</f>
        <v>0</v>
      </c>
      <c r="IA177" s="160">
        <f>IF([Occurrence]=0,0,SUM($HZ$2:HZ177))</f>
        <v>0</v>
      </c>
      <c r="IB17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77" s="208"/>
    </row>
    <row r="178" spans="1:237">
      <c r="A178" t="s">
        <v>545</v>
      </c>
      <c r="B178" t="s">
        <v>546</v>
      </c>
      <c r="C178" s="158">
        <v>36037</v>
      </c>
      <c r="D178" s="62">
        <f t="shared" ca="1" si="2"/>
        <v>19</v>
      </c>
      <c r="E178" t="s">
        <v>4</v>
      </c>
      <c r="F178" s="159" t="s">
        <v>41</v>
      </c>
      <c r="G178" t="s">
        <v>45</v>
      </c>
      <c r="H178" s="160"/>
      <c r="I178" s="161"/>
      <c r="J178" s="161"/>
      <c r="K178" s="161"/>
      <c r="L178" s="160"/>
      <c r="M178" s="161"/>
      <c r="N178" s="161"/>
      <c r="O178" s="161"/>
      <c r="P178" s="161"/>
      <c r="Q178" s="161"/>
      <c r="R178" s="161"/>
      <c r="S178" s="161"/>
      <c r="T178" s="161"/>
      <c r="U178" s="160"/>
      <c r="V178" s="161"/>
      <c r="W178" s="161"/>
      <c r="X178" s="161"/>
      <c r="Y178" s="161"/>
      <c r="Z178" s="161"/>
      <c r="AA178" s="161"/>
      <c r="AB178" s="161"/>
      <c r="AC178" s="161"/>
      <c r="AD178" s="161"/>
      <c r="AE178" s="161"/>
      <c r="AF178" s="163"/>
      <c r="AG178" s="163"/>
      <c r="AH178" s="163"/>
      <c r="AI178" s="163"/>
      <c r="AJ178" s="163"/>
      <c r="AK178" s="163"/>
      <c r="AL178" s="163"/>
      <c r="AM178" s="163"/>
      <c r="AN178" s="163"/>
      <c r="AO178" s="163"/>
      <c r="AP178" s="163"/>
      <c r="AQ178" s="163"/>
      <c r="AR178" s="163"/>
      <c r="AS178" s="163"/>
      <c r="AT178" s="163"/>
      <c r="AU178" s="163"/>
      <c r="AV178" s="163"/>
      <c r="AW178" s="163"/>
      <c r="AX178" s="163"/>
      <c r="AY178" s="163"/>
      <c r="AZ178" s="163"/>
      <c r="BA178" s="163"/>
      <c r="BB178" s="163"/>
      <c r="BC178" s="163" t="b">
        <v>0</v>
      </c>
      <c r="BD178" s="163" t="b">
        <v>0</v>
      </c>
      <c r="BE178" s="163" t="b">
        <v>0</v>
      </c>
      <c r="BF178" s="163" t="b">
        <v>0</v>
      </c>
      <c r="BG178" s="163" t="b">
        <v>0</v>
      </c>
      <c r="BH178" s="163" t="b">
        <v>0</v>
      </c>
      <c r="BI178" s="163" t="b">
        <v>1</v>
      </c>
      <c r="BJ178" s="163" t="b">
        <v>0</v>
      </c>
      <c r="BK178" s="163" t="b">
        <v>0</v>
      </c>
      <c r="BL178" s="163" t="b">
        <v>0</v>
      </c>
      <c r="BM178" s="163"/>
      <c r="BN178" s="163"/>
      <c r="BO178" s="163"/>
      <c r="BP178" s="163"/>
      <c r="BQ178" s="163"/>
      <c r="BR178" s="163"/>
      <c r="BS178" s="163"/>
      <c r="BT178" s="163"/>
      <c r="BU178" s="163"/>
      <c r="BV178" s="163"/>
      <c r="BW178" s="163"/>
      <c r="BX178" s="163"/>
      <c r="BY178" s="163"/>
      <c r="BZ178" s="163"/>
      <c r="CA178" s="163"/>
      <c r="CB178" s="163"/>
      <c r="CC178" s="163"/>
      <c r="CD178" s="163"/>
      <c r="CE178" s="163"/>
      <c r="CF178" s="163"/>
      <c r="CG178" s="163"/>
      <c r="CH178" s="163"/>
      <c r="CI178" s="163"/>
      <c r="CJ178" s="163"/>
      <c r="CK178" s="163"/>
      <c r="CL178" s="163"/>
      <c r="CM178" s="163"/>
      <c r="CN178" s="163"/>
      <c r="CO178" s="163"/>
      <c r="CP178" s="163"/>
      <c r="CQ178" s="163"/>
      <c r="CR178" s="163"/>
      <c r="CS178" s="163"/>
      <c r="CT178" s="163"/>
      <c r="CU178" s="163"/>
      <c r="CV178" s="163"/>
      <c r="CW178" s="163"/>
      <c r="CX178" s="163"/>
      <c r="CY178" s="163"/>
      <c r="CZ178" s="163"/>
      <c r="DA178" s="163"/>
      <c r="DB178" s="163"/>
      <c r="DC178" s="163"/>
      <c r="DD178" s="163"/>
      <c r="DE178" s="163"/>
      <c r="DF178" s="163"/>
      <c r="DG178" s="163"/>
      <c r="DH178" s="163"/>
      <c r="DI178" s="163"/>
      <c r="DJ178" s="163"/>
      <c r="DK178" s="163"/>
      <c r="DL178" s="163"/>
      <c r="DM178" s="163"/>
      <c r="DN178" s="163"/>
      <c r="DO178" s="163"/>
      <c r="DP178" s="163"/>
      <c r="DQ178" s="163"/>
      <c r="DR178" s="163"/>
      <c r="DS178" s="163"/>
      <c r="DT178" s="163"/>
      <c r="DU178" s="163"/>
      <c r="DV178" s="163"/>
      <c r="DW178" s="163"/>
      <c r="DX178" s="163"/>
      <c r="DY178" s="163"/>
      <c r="DZ178" s="163"/>
      <c r="EA178" s="163"/>
      <c r="EB178" s="163"/>
      <c r="EC178" s="163"/>
      <c r="ED178" s="163"/>
      <c r="EE178" s="163"/>
      <c r="EF178" s="163"/>
      <c r="EG178" s="163"/>
      <c r="EH178" s="160">
        <f>IF([Chambre]*1='CHAMBRES FILLES 2e ETAGE'!$A$5,1,0)</f>
        <v>0</v>
      </c>
      <c r="EI178" s="161">
        <f>IF([Occurrence2]=0,0,SUM($EH$2:EH178))</f>
        <v>0</v>
      </c>
      <c r="EJ178" s="160">
        <f>IF([Chambre]*1='CHAMBRES FILLES 2e ETAGE'!$A$11,1,0)</f>
        <v>0</v>
      </c>
      <c r="EK178" s="160">
        <f>IF([Occurrence3]=0,0,SUM($EJ$2:EJ178))</f>
        <v>0</v>
      </c>
      <c r="EL178" s="160">
        <f>IF([Chambre]*1='CHAMBRES FILLES 2e ETAGE'!$A$17,1,0)</f>
        <v>0</v>
      </c>
      <c r="EM178" s="160">
        <f>IF([Occurrence4]=0,0,SUM($EL$2:EL178))</f>
        <v>0</v>
      </c>
      <c r="EN178" s="160">
        <f>IF([Chambre]*1='CHAMBRES FILLES 2e ETAGE'!$A$23,1,0)</f>
        <v>0</v>
      </c>
      <c r="EO178" s="160">
        <f>IF([Occurrence5]=0,0,SUM($EN$2:EN178))</f>
        <v>0</v>
      </c>
      <c r="EP178" s="160">
        <f>IF([Chambre]*1='CHAMBRES FILLES 2e ETAGE'!$A$29,1,0)</f>
        <v>0</v>
      </c>
      <c r="EQ178" s="160">
        <f>IF([Occurrence6]=0,0,SUM($EP$2:EP178))</f>
        <v>0</v>
      </c>
      <c r="ER178" s="160">
        <f>IF([Chambre]*1='CHAMBRES FILLES 2e ETAGE'!$A$35,1,0)</f>
        <v>0</v>
      </c>
      <c r="ES178" s="160">
        <f>IF([Occurrence7]=0,0,SUM($ER$2:ER178))</f>
        <v>0</v>
      </c>
      <c r="ET178" s="160">
        <f>IF([Chambre]*1='CHAMBRES FILLES 2e ETAGE'!$A$41,1,0)</f>
        <v>0</v>
      </c>
      <c r="EU178" s="160">
        <f>IF([Occurrence8]=0,0,SUM($ET$2:ET178))</f>
        <v>0</v>
      </c>
      <c r="EV178" s="160">
        <f>IF([Chambre]*1='CHAMBRES FILLES 2e ETAGE'!$A$47,1,0)</f>
        <v>0</v>
      </c>
      <c r="EW178" s="160">
        <f>IF([Occurrence9]=0,0,SUM($EV$2:EV178))</f>
        <v>0</v>
      </c>
      <c r="EX178" s="160">
        <f>IF([Chambre]*1='CHAMBRES FILLES 2e ETAGE'!$A$53,1,0)</f>
        <v>0</v>
      </c>
      <c r="EY178" s="160">
        <f>IF([Occurrence10]=0,0,SUM($EX$2:EX178))</f>
        <v>0</v>
      </c>
      <c r="EZ178" s="160">
        <f>IF([Chambre]*1='CHAMBRES FILLES 2e ETAGE'!$A$59,1,0)</f>
        <v>0</v>
      </c>
      <c r="FA178" s="160">
        <f>IF([Occurrence11]=0,0,SUM($EZ$2:EZ178))</f>
        <v>0</v>
      </c>
      <c r="FB178" s="160">
        <f>IF([Chambre]*1='CHAMBRES FILLES 2e ETAGE'!$A$65,1,0)</f>
        <v>0</v>
      </c>
      <c r="FC178" s="160">
        <f>IF([Occurrence12]=0,0,SUM($FB$2:FB178))</f>
        <v>0</v>
      </c>
      <c r="FD178" s="160">
        <f>IF([Chambre]*1='CHAMBRES FILLES 2e ETAGE'!$A$71,1,0)</f>
        <v>0</v>
      </c>
      <c r="FE178" s="160">
        <f>IF([Occurrence13]=0,0,SUM($FD$2:FD178))</f>
        <v>0</v>
      </c>
      <c r="FF178" s="160">
        <f>IF([Chambre]*1='CHAMBRES FILLES 2e ETAGE'!$A$77,1,0)</f>
        <v>0</v>
      </c>
      <c r="FG178" s="160">
        <f>IF([Occurrence14]=0,0,SUM($FF$2:FF178))</f>
        <v>0</v>
      </c>
      <c r="FH178" s="160">
        <f>IF([Chambre]*1='CHAMBRES FILLES 2e ETAGE'!$A$83,1,0)</f>
        <v>0</v>
      </c>
      <c r="FI178" s="160">
        <f>IF([Occurrence15]=0,0,SUM($FH$2:FH178))</f>
        <v>0</v>
      </c>
      <c r="FJ178" s="160">
        <f>IF([Chambre]*1='CHAMBRES FILLES 2e ETAGE'!$A$89,1,0)</f>
        <v>0</v>
      </c>
      <c r="FK178" s="160">
        <f>IF([Occurrence16]=0,0,SUM($FJ$2:FJ178))</f>
        <v>0</v>
      </c>
      <c r="FL178" s="160">
        <f>IF([Chambre]*1='CHAMBRES FILLES 2e ETAGE'!$A$95,1,0)</f>
        <v>0</v>
      </c>
      <c r="FM178" s="160">
        <f>IF([Occurrence17]=0,0,SUM($FL$2:FL178))</f>
        <v>0</v>
      </c>
      <c r="FN178" s="160">
        <f>IF([Chambre2]*1='CHAMBRES FILLES 1e ETAGE'!$A$5,1,0)</f>
        <v>0</v>
      </c>
      <c r="FO178" s="160">
        <f>IF([Occurrence18]=0,0,SUM($FN$2:FN178))</f>
        <v>0</v>
      </c>
      <c r="FP178" s="160">
        <f>IF([Chambre2]*1='CHAMBRES FILLES 1e ETAGE'!$A$11,1,0)</f>
        <v>0</v>
      </c>
      <c r="FQ178" s="160">
        <f>IF([Occurrence19]=0,0,SUM($FP$2:FP178))</f>
        <v>0</v>
      </c>
      <c r="FR178" s="160">
        <f>IF([Chambre2]*1='CHAMBRES FILLES 1e ETAGE'!$A$17,1,0)</f>
        <v>0</v>
      </c>
      <c r="FS178" s="160">
        <f>IF([Occurrence20]=0,0,SUM($FR$2:FR178))</f>
        <v>0</v>
      </c>
      <c r="FT178" s="160">
        <f>IF([Chambre2]*1='CHAMBRES FILLES 1e ETAGE'!$A$23,1,0)</f>
        <v>0</v>
      </c>
      <c r="FU178" s="160">
        <f>IF([Occurrence21]=0,0,SUM($FT$2:FT178))</f>
        <v>0</v>
      </c>
      <c r="FV178" s="160">
        <f>IF([Chambre2]*1='CHAMBRES FILLES 1e ETAGE'!$A$29,1,0)</f>
        <v>0</v>
      </c>
      <c r="FW178" s="160">
        <f>IF([Occurrence22]=0,0,SUM($FV$2:FV178))</f>
        <v>0</v>
      </c>
      <c r="FX178" s="160">
        <f>IF([Chambre2]*1='CHAMBRES FILLES 1e ETAGE'!$A$35,1,0)</f>
        <v>0</v>
      </c>
      <c r="FY178" s="160">
        <f>IF([Occurrence23]=0,0,SUM($FX$2:FX178))</f>
        <v>0</v>
      </c>
      <c r="FZ178" s="160">
        <f>IF([Chambre2]*1='CHAMBRES FILLES 1e ETAGE'!$A$41,1,0)</f>
        <v>0</v>
      </c>
      <c r="GA178" s="160">
        <f>IF([Occurrence24]=0,0,SUM($FZ$2:FZ178))</f>
        <v>0</v>
      </c>
      <c r="GB178" s="160">
        <f>IF([Chambre2]*1='CHAMBRES FILLES 1e ETAGE'!$A$47,1,0)</f>
        <v>0</v>
      </c>
      <c r="GC178" s="160">
        <f>IF([Occurrence25]=0,0,SUM($GB$2:GB178))</f>
        <v>0</v>
      </c>
      <c r="GD178" s="160">
        <f>IF([Chambre2]*1='CHAMBRES FILLES 1e ETAGE'!$A$53,1,0)</f>
        <v>0</v>
      </c>
      <c r="GE178" s="160">
        <f>IF([Occurrence26]=0,0,SUM($GD$2:GD178))</f>
        <v>0</v>
      </c>
      <c r="GF178" s="160">
        <f>IF([chambre4]*1='CHAMBRES GARCONS 1e ETAGE'!$A$5,1,0)</f>
        <v>0</v>
      </c>
      <c r="GG178" s="160">
        <f>IF([Occurrence27]=0,0,SUM($GF$2:GF178))</f>
        <v>0</v>
      </c>
      <c r="GH178" s="160">
        <f>IF([chambre4]*1='CHAMBRES GARCONS 1e ETAGE'!$A$11,1,0)</f>
        <v>0</v>
      </c>
      <c r="GI178" s="160">
        <f>IF([Occurrence28]=0,0,SUM($GH$2:GH178))</f>
        <v>0</v>
      </c>
      <c r="GJ178" s="160">
        <f>IF([chambre4]*1='CHAMBRES GARCONS 1e ETAGE'!$A$17,1,0)</f>
        <v>0</v>
      </c>
      <c r="GK178" s="160">
        <f>IF([Occurrence29]=0,0,SUM($GJ$2:GJ178))</f>
        <v>0</v>
      </c>
      <c r="GL178" s="160">
        <f>IF([chambre4]*1='CHAMBRES GARCONS 1e ETAGE'!$A$23,1,0)</f>
        <v>0</v>
      </c>
      <c r="GM178" s="160">
        <f>IF([Occurrence30]=0,0,SUM($GL$2:GL178))</f>
        <v>0</v>
      </c>
      <c r="GN178" s="160">
        <f>IF([chambre4]*1='CHAMBRES GARCONS 1e ETAGE'!$A$29,1,0)</f>
        <v>0</v>
      </c>
      <c r="GO178" s="160">
        <f>IF([Occurrence31]=0,0,SUM($GN$2:GN178))</f>
        <v>0</v>
      </c>
      <c r="GP178" s="160">
        <f>IF([chambre4]*1='CHAMBRES GARCONS 1e ETAGE'!$A$35,1,0)</f>
        <v>0</v>
      </c>
      <c r="GQ178" s="160">
        <f>IF([Occurrence32]=0,0,SUM($GP$2:GP178))</f>
        <v>0</v>
      </c>
      <c r="GR178" s="160">
        <f>IF([chambre3]*1='CHAMBRES GARCONS RDC'!$A$5,1,0)</f>
        <v>0</v>
      </c>
      <c r="GS178" s="160">
        <f>IF([Occurrence33]=0,0,SUM($GR$2:GR178))</f>
        <v>0</v>
      </c>
      <c r="GT178" s="160">
        <f>IF([chambre3]*1='CHAMBRES GARCONS RDC'!$A$11,1,0)</f>
        <v>0</v>
      </c>
      <c r="GU178" s="160">
        <f>IF([Occurrence34]=0,0,SUM($GT$2:GT178))</f>
        <v>0</v>
      </c>
      <c r="GV178" s="160">
        <f>IF([chambre3]*1='CHAMBRES GARCONS RDC'!$A$17,1,0)</f>
        <v>0</v>
      </c>
      <c r="GW178" s="160">
        <f>IF([Occurrence35]=0,0,SUM($GV$2:GV178))</f>
        <v>0</v>
      </c>
      <c r="GX178" s="160">
        <f>IF([chambre3]*1='CHAMBRES GARCONS RDC'!$A$23,1,0)</f>
        <v>0</v>
      </c>
      <c r="GY178" s="160">
        <f>IF([Occurrence36]=0,0,SUM($GX$2:GX178))</f>
        <v>0</v>
      </c>
      <c r="GZ178" s="160">
        <f>IF([chambre3]*1='CHAMBRES GARCONS RDC'!$A$29,1,0)</f>
        <v>0</v>
      </c>
      <c r="HA178" s="160">
        <f>IF([Occurrence37]=0,0,SUM($GZ$2:GZ178))</f>
        <v>0</v>
      </c>
      <c r="HB178" s="160">
        <f>IF([chambre3]*1='CHAMBRES GARCONS RDC'!$A$35,1,0)</f>
        <v>0</v>
      </c>
      <c r="HC178" s="160">
        <f>IF([Occurrence38]=0,0,SUM($HB$2:HB178))</f>
        <v>0</v>
      </c>
      <c r="HD178" s="160">
        <f>IF([chambre3]*1='CHAMBRES GARCONS RDC'!$A$41,1,0)</f>
        <v>0</v>
      </c>
      <c r="HE178" s="160">
        <f>IF([Occurrence39]=0,0,SUM($HD$2:HD178))</f>
        <v>0</v>
      </c>
      <c r="HF178" s="160">
        <f>IF([chambre3]*1='CHAMBRES GARCONS RDC'!$A$47,1,0)</f>
        <v>0</v>
      </c>
      <c r="HG178" s="160">
        <f>IF([Occurrence40]=0,0,SUM($HF$2:HF178))</f>
        <v>0</v>
      </c>
      <c r="HH178" s="160">
        <f>IF([chambre3]*1='CHAMBRES GARCONS RDC'!$A$53,1,0)</f>
        <v>0</v>
      </c>
      <c r="HI178" s="160">
        <f>IF([Occurrence41]=0,0,SUM($HH$2:HH178))</f>
        <v>0</v>
      </c>
      <c r="HJ178" s="160">
        <f>IF([chambre3]*1='CHAMBRES GARCONS RDC'!$A$59,1,0)</f>
        <v>0</v>
      </c>
      <c r="HK178" s="160">
        <f>IF([Occurrence42]=0,0,SUM($HJ$2:HJ178))</f>
        <v>0</v>
      </c>
      <c r="HL178" s="160">
        <f>IF([chambre3]*1='CHAMBRES GARCONS RDC'!$A$65,1,0)</f>
        <v>0</v>
      </c>
      <c r="HM178" s="160">
        <f>IF([Occurrence43]=0,0,SUM($HL$2:HL178))</f>
        <v>0</v>
      </c>
      <c r="HN178" s="160">
        <f>IF([chambre3]*1='CHAMBRES GARCONS RDC'!$A$71,1,0)</f>
        <v>0</v>
      </c>
      <c r="HO178" s="160">
        <f>IF([Occurrence44]=0,0,SUM($HN$2:HN178))</f>
        <v>0</v>
      </c>
      <c r="HP178" s="160">
        <f>IF([chambre3]*1='CHAMBRES GARCONS RDC'!$A$77,1,0)</f>
        <v>0</v>
      </c>
      <c r="HQ178" s="160">
        <f>IF([Occurrence45]=0,0,SUM($HP$2:HP178))</f>
        <v>0</v>
      </c>
      <c r="HR178" s="160">
        <f>IF([chambre3]*1='CHAMBRES GARCONS RDC'!$A$83,1,0)</f>
        <v>0</v>
      </c>
      <c r="HS178" s="160">
        <f>IF([Occurrence46]=0,0,SUM($HR$2:HR178))</f>
        <v>0</v>
      </c>
      <c r="HT178" s="160">
        <f>IF([chambre3]*1='CHAMBRES GARCONS RDC'!$A$89,1,0)</f>
        <v>0</v>
      </c>
      <c r="HU178" s="160">
        <f>IF([Occurrence47]=0,0,SUM($HT$2:HT178))</f>
        <v>0</v>
      </c>
      <c r="HV178" s="160">
        <f>IF([chambre3]*1='CHAMBRES GARCONS RDC'!$A$95,1,0)</f>
        <v>0</v>
      </c>
      <c r="HW178" s="160">
        <f>IF([Occurrence48]=0,0,SUM($HV$2:HV178))</f>
        <v>0</v>
      </c>
      <c r="HX178" s="160"/>
      <c r="HY178" s="160"/>
      <c r="HZ178" s="160">
        <f>IF([Classe]='Liste élève par classes'!$B$5,1,0)</f>
        <v>0</v>
      </c>
      <c r="IA178" s="160">
        <f>IF([Occurrence]=0,0,SUM($HZ$2:HZ178))</f>
        <v>0</v>
      </c>
      <c r="IB17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78" s="208"/>
    </row>
    <row r="179" spans="1:237">
      <c r="A179" t="s">
        <v>547</v>
      </c>
      <c r="B179" t="s">
        <v>445</v>
      </c>
      <c r="C179" s="158">
        <v>37198</v>
      </c>
      <c r="D179" s="62">
        <f t="shared" ca="1" si="2"/>
        <v>16</v>
      </c>
      <c r="E179" t="s">
        <v>2</v>
      </c>
      <c r="F179" s="159" t="s">
        <v>50</v>
      </c>
      <c r="G179" t="s">
        <v>45</v>
      </c>
      <c r="H179" s="160"/>
      <c r="I179" s="62"/>
      <c r="J179" s="62"/>
      <c r="K179" s="62"/>
      <c r="L179" s="61">
        <v>168</v>
      </c>
      <c r="M179">
        <v>152</v>
      </c>
      <c r="N179" s="62"/>
      <c r="O179" s="62"/>
      <c r="P179" s="62"/>
      <c r="Q179" s="62"/>
      <c r="R179" s="62"/>
      <c r="S179" s="191"/>
      <c r="T179" s="62"/>
      <c r="U179" s="61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163"/>
      <c r="AG179" s="163"/>
      <c r="AH179" s="163"/>
      <c r="AI179" s="163"/>
      <c r="AJ179" s="163"/>
      <c r="AK179" s="163"/>
      <c r="AL179" s="163"/>
      <c r="AM179" s="163"/>
      <c r="AN179" s="163"/>
      <c r="AO179" s="163"/>
      <c r="AP179" s="163"/>
      <c r="AQ179" s="163"/>
      <c r="AR179" s="163"/>
      <c r="AS179" s="163"/>
      <c r="AT179" s="163"/>
      <c r="AU179" s="163"/>
      <c r="AV179" s="163"/>
      <c r="AW179" s="163"/>
      <c r="AX179" s="163"/>
      <c r="AY179" s="163"/>
      <c r="AZ179" s="163"/>
      <c r="BA179" s="163"/>
      <c r="BB179" s="163"/>
      <c r="BC179" s="163" t="b">
        <v>0</v>
      </c>
      <c r="BD179" s="163" t="b">
        <v>1</v>
      </c>
      <c r="BE179" s="163" t="b">
        <v>1</v>
      </c>
      <c r="BF179" s="163" t="b">
        <v>0</v>
      </c>
      <c r="BG179" s="164" t="b">
        <v>0</v>
      </c>
      <c r="BH179" s="163" t="b">
        <v>1</v>
      </c>
      <c r="BI179" s="163"/>
      <c r="BJ179" s="163"/>
      <c r="BK179" s="163"/>
      <c r="BL179" s="163"/>
      <c r="BM179" s="163"/>
      <c r="BN179" s="163"/>
      <c r="BO179" s="163"/>
      <c r="BP179" s="163"/>
      <c r="BQ179" s="163" t="b">
        <v>1</v>
      </c>
      <c r="BR179" s="163"/>
      <c r="BS179" s="163"/>
      <c r="BT179" s="163"/>
      <c r="BU179" s="163"/>
      <c r="BV179" s="163"/>
      <c r="BW179" s="163"/>
      <c r="BX179" s="163"/>
      <c r="BY179" s="163"/>
      <c r="BZ179" s="163"/>
      <c r="CA179" s="163"/>
      <c r="CB179" s="163"/>
      <c r="CC179" s="163"/>
      <c r="CD179" s="163"/>
      <c r="CE179" s="163"/>
      <c r="CF179" s="163"/>
      <c r="CG179" s="163"/>
      <c r="CH179" s="163"/>
      <c r="CI179" s="163"/>
      <c r="CJ179" s="163"/>
      <c r="CK179" s="163"/>
      <c r="CL179" s="163"/>
      <c r="CM179" s="163"/>
      <c r="CN179" s="163"/>
      <c r="CO179" s="163"/>
      <c r="CP179" s="163"/>
      <c r="CQ179" s="163"/>
      <c r="CR179" s="163"/>
      <c r="CS179" s="163"/>
      <c r="CT179" s="163"/>
      <c r="CU179" s="163"/>
      <c r="CV179" s="163"/>
      <c r="CW179" s="163"/>
      <c r="CX179" s="163"/>
      <c r="CY179" s="163"/>
      <c r="CZ179" s="163"/>
      <c r="DA179" s="163"/>
      <c r="DB179" s="163"/>
      <c r="DC179" s="163"/>
      <c r="DD179" s="163"/>
      <c r="DE179" s="163"/>
      <c r="DF179" s="163"/>
      <c r="DG179" s="208"/>
      <c r="DH179" s="163"/>
      <c r="DI179" s="163"/>
      <c r="DJ179" s="163"/>
      <c r="DK179" s="163"/>
      <c r="DL179" s="163"/>
      <c r="DM179" s="163"/>
      <c r="DN179" s="163"/>
      <c r="DO179" s="163"/>
      <c r="DP179" s="163"/>
      <c r="DQ179" s="163"/>
      <c r="DR179" s="163"/>
      <c r="DS179" s="163"/>
      <c r="DT179" s="163"/>
      <c r="DU179" s="163"/>
      <c r="DV179" s="163"/>
      <c r="DW179" s="163"/>
      <c r="DX179" s="163"/>
      <c r="DY179" s="163"/>
      <c r="DZ179" s="163"/>
      <c r="EA179" s="163"/>
      <c r="EB179" s="163"/>
      <c r="EC179" s="163"/>
      <c r="ED179" s="163"/>
      <c r="EE179" s="163"/>
      <c r="EF179" s="163"/>
      <c r="EG179" s="163"/>
      <c r="EH179" s="160">
        <f>IF([Chambre]*1='CHAMBRES FILLES 2e ETAGE'!$A$5,1,0)</f>
        <v>0</v>
      </c>
      <c r="EI179" s="161">
        <f>IF([Occurrence2]=0,0,SUM($EH$2:EH179))</f>
        <v>0</v>
      </c>
      <c r="EJ179" s="160">
        <f>IF([Chambre]*1='CHAMBRES FILLES 2e ETAGE'!$A$11,1,0)</f>
        <v>0</v>
      </c>
      <c r="EK179" s="160">
        <f>IF([Occurrence3]=0,0,SUM($EJ$2:EJ179))</f>
        <v>0</v>
      </c>
      <c r="EL179" s="160">
        <f>IF([Chambre]*1='CHAMBRES FILLES 2e ETAGE'!$A$17,1,0)</f>
        <v>0</v>
      </c>
      <c r="EM179" s="160">
        <f>IF([Occurrence4]=0,0,SUM($EL$2:EL179))</f>
        <v>0</v>
      </c>
      <c r="EN179" s="160">
        <f>IF([Chambre]*1='CHAMBRES FILLES 2e ETAGE'!$A$23,1,0)</f>
        <v>0</v>
      </c>
      <c r="EO179" s="160">
        <f>IF([Occurrence5]=0,0,SUM($EN$2:EN179))</f>
        <v>0</v>
      </c>
      <c r="EP179" s="160">
        <f>IF([Chambre]*1='CHAMBRES FILLES 2e ETAGE'!$A$29,1,0)</f>
        <v>1</v>
      </c>
      <c r="EQ179" s="160">
        <f>IF([Occurrence6]=0,0,SUM($EP$2:EP179))</f>
        <v>2</v>
      </c>
      <c r="ER179" s="160">
        <f>IF([Chambre]*1='CHAMBRES FILLES 2e ETAGE'!$A$35,1,0)</f>
        <v>0</v>
      </c>
      <c r="ES179" s="160">
        <f>IF([Occurrence7]=0,0,SUM($ER$2:ER179))</f>
        <v>0</v>
      </c>
      <c r="ET179" s="160">
        <f>IF([Chambre]*1='CHAMBRES FILLES 2e ETAGE'!$A$41,1,0)</f>
        <v>0</v>
      </c>
      <c r="EU179" s="160">
        <f>IF([Occurrence8]=0,0,SUM($ET$2:ET179))</f>
        <v>0</v>
      </c>
      <c r="EV179" s="160">
        <f>IF([Chambre]*1='CHAMBRES FILLES 2e ETAGE'!$A$47,1,0)</f>
        <v>0</v>
      </c>
      <c r="EW179" s="160">
        <f>IF([Occurrence9]=0,0,SUM($EV$2:EV179))</f>
        <v>0</v>
      </c>
      <c r="EX179" s="160">
        <f>IF([Chambre]*1='CHAMBRES FILLES 2e ETAGE'!$A$53,1,0)</f>
        <v>0</v>
      </c>
      <c r="EY179" s="160">
        <f>IF([Occurrence10]=0,0,SUM($EX$2:EX179))</f>
        <v>0</v>
      </c>
      <c r="EZ179" s="160">
        <f>IF([Chambre]*1='CHAMBRES FILLES 2e ETAGE'!$A$59,1,0)</f>
        <v>0</v>
      </c>
      <c r="FA179" s="160">
        <f>IF([Occurrence11]=0,0,SUM($EZ$2:EZ179))</f>
        <v>0</v>
      </c>
      <c r="FB179" s="160">
        <f>IF([Chambre]*1='CHAMBRES FILLES 2e ETAGE'!$A$65,1,0)</f>
        <v>0</v>
      </c>
      <c r="FC179" s="160">
        <f>IF([Occurrence12]=0,0,SUM($FB$2:FB179))</f>
        <v>0</v>
      </c>
      <c r="FD179" s="160">
        <f>IF([Chambre]*1='CHAMBRES FILLES 2e ETAGE'!$A$71,1,0)</f>
        <v>0</v>
      </c>
      <c r="FE179" s="160">
        <f>IF([Occurrence13]=0,0,SUM($FD$2:FD179))</f>
        <v>0</v>
      </c>
      <c r="FF179" s="160">
        <f>IF([Chambre]*1='CHAMBRES FILLES 2e ETAGE'!$A$77,1,0)</f>
        <v>0</v>
      </c>
      <c r="FG179" s="160">
        <f>IF([Occurrence14]=0,0,SUM($FF$2:FF179))</f>
        <v>0</v>
      </c>
      <c r="FH179" s="160">
        <f>IF([Chambre]*1='CHAMBRES FILLES 2e ETAGE'!$A$83,1,0)</f>
        <v>0</v>
      </c>
      <c r="FI179" s="160">
        <f>IF([Occurrence15]=0,0,SUM($FH$2:FH179))</f>
        <v>0</v>
      </c>
      <c r="FJ179" s="160">
        <f>IF([Chambre]*1='CHAMBRES FILLES 2e ETAGE'!$A$89,1,0)</f>
        <v>0</v>
      </c>
      <c r="FK179" s="160">
        <f>IF([Occurrence16]=0,0,SUM($FJ$2:FJ179))</f>
        <v>0</v>
      </c>
      <c r="FL179" s="160">
        <f>IF([Chambre]*1='CHAMBRES FILLES 2e ETAGE'!$A$95,1,0)</f>
        <v>0</v>
      </c>
      <c r="FM179" s="160">
        <f>IF([Occurrence17]=0,0,SUM($FL$2:FL179))</f>
        <v>0</v>
      </c>
      <c r="FN179" s="160">
        <f>IF([Chambre2]*1='CHAMBRES FILLES 1e ETAGE'!$A$5,1,0)</f>
        <v>0</v>
      </c>
      <c r="FO179" s="160">
        <f>IF([Occurrence18]=0,0,SUM($FN$2:FN179))</f>
        <v>0</v>
      </c>
      <c r="FP179" s="160">
        <f>IF([Chambre2]*1='CHAMBRES FILLES 1e ETAGE'!$A$11,1,0)</f>
        <v>0</v>
      </c>
      <c r="FQ179" s="160">
        <f>IF([Occurrence19]=0,0,SUM($FP$2:FP179))</f>
        <v>0</v>
      </c>
      <c r="FR179" s="160">
        <f>IF([Chambre2]*1='CHAMBRES FILLES 1e ETAGE'!$A$17,1,0)</f>
        <v>0</v>
      </c>
      <c r="FS179" s="160">
        <f>IF([Occurrence20]=0,0,SUM($FR$2:FR179))</f>
        <v>0</v>
      </c>
      <c r="FT179" s="160">
        <f>IF([Chambre2]*1='CHAMBRES FILLES 1e ETAGE'!$A$23,1,0)</f>
        <v>0</v>
      </c>
      <c r="FU179" s="160">
        <f>IF([Occurrence21]=0,0,SUM($FT$2:FT179))</f>
        <v>0</v>
      </c>
      <c r="FV179" s="160">
        <f>IF([Chambre2]*1='CHAMBRES FILLES 1e ETAGE'!$A$29,1,0)</f>
        <v>0</v>
      </c>
      <c r="FW179" s="160">
        <f>IF([Occurrence22]=0,0,SUM($FV$2:FV179))</f>
        <v>0</v>
      </c>
      <c r="FX179" s="160">
        <f>IF([Chambre2]*1='CHAMBRES FILLES 1e ETAGE'!$A$35,1,0)</f>
        <v>0</v>
      </c>
      <c r="FY179" s="160">
        <f>IF([Occurrence23]=0,0,SUM($FX$2:FX179))</f>
        <v>0</v>
      </c>
      <c r="FZ179" s="160">
        <f>IF([Chambre2]*1='CHAMBRES FILLES 1e ETAGE'!$A$41,1,0)</f>
        <v>0</v>
      </c>
      <c r="GA179" s="160">
        <f>IF([Occurrence24]=0,0,SUM($FZ$2:FZ179))</f>
        <v>0</v>
      </c>
      <c r="GB179" s="160">
        <f>IF([Chambre2]*1='CHAMBRES FILLES 1e ETAGE'!$A$47,1,0)</f>
        <v>0</v>
      </c>
      <c r="GC179" s="160">
        <f>IF([Occurrence25]=0,0,SUM($GB$2:GB179))</f>
        <v>0</v>
      </c>
      <c r="GD179" s="160">
        <f>IF([Chambre2]*1='CHAMBRES FILLES 1e ETAGE'!$A$53,1,0)</f>
        <v>0</v>
      </c>
      <c r="GE179" s="160">
        <f>IF([Occurrence26]=0,0,SUM($GD$2:GD179))</f>
        <v>0</v>
      </c>
      <c r="GF179" s="160">
        <f>IF([chambre4]*1='CHAMBRES GARCONS 1e ETAGE'!$A$5,1,0)</f>
        <v>0</v>
      </c>
      <c r="GG179" s="160">
        <f>IF([Occurrence27]=0,0,SUM($GF$2:GF179))</f>
        <v>0</v>
      </c>
      <c r="GH179" s="160">
        <f>IF([chambre4]*1='CHAMBRES GARCONS 1e ETAGE'!$A$11,1,0)</f>
        <v>0</v>
      </c>
      <c r="GI179" s="160">
        <f>IF([Occurrence28]=0,0,SUM($GH$2:GH179))</f>
        <v>0</v>
      </c>
      <c r="GJ179" s="160">
        <f>IF([chambre4]*1='CHAMBRES GARCONS 1e ETAGE'!$A$17,1,0)</f>
        <v>0</v>
      </c>
      <c r="GK179" s="160">
        <f>IF([Occurrence29]=0,0,SUM($GJ$2:GJ179))</f>
        <v>0</v>
      </c>
      <c r="GL179" s="160">
        <f>IF([chambre4]*1='CHAMBRES GARCONS 1e ETAGE'!$A$23,1,0)</f>
        <v>0</v>
      </c>
      <c r="GM179" s="160">
        <f>IF([Occurrence30]=0,0,SUM($GL$2:GL179))</f>
        <v>0</v>
      </c>
      <c r="GN179" s="160">
        <f>IF([chambre4]*1='CHAMBRES GARCONS 1e ETAGE'!$A$29,1,0)</f>
        <v>0</v>
      </c>
      <c r="GO179" s="160">
        <f>IF([Occurrence31]=0,0,SUM($GN$2:GN179))</f>
        <v>0</v>
      </c>
      <c r="GP179" s="160">
        <f>IF([chambre4]*1='CHAMBRES GARCONS 1e ETAGE'!$A$35,1,0)</f>
        <v>0</v>
      </c>
      <c r="GQ179" s="160">
        <f>IF([Occurrence32]=0,0,SUM($GP$2:GP179))</f>
        <v>0</v>
      </c>
      <c r="GR179" s="160">
        <f>IF([chambre3]*1='CHAMBRES GARCONS RDC'!$A$5,1,0)</f>
        <v>0</v>
      </c>
      <c r="GS179" s="160">
        <f>IF([Occurrence33]=0,0,SUM($GR$2:GR179))</f>
        <v>0</v>
      </c>
      <c r="GT179" s="160">
        <f>IF([chambre3]*1='CHAMBRES GARCONS RDC'!$A$11,1,0)</f>
        <v>0</v>
      </c>
      <c r="GU179" s="160">
        <f>IF([Occurrence34]=0,0,SUM($GT$2:GT179))</f>
        <v>0</v>
      </c>
      <c r="GV179" s="160">
        <f>IF([chambre3]*1='CHAMBRES GARCONS RDC'!$A$17,1,0)</f>
        <v>0</v>
      </c>
      <c r="GW179" s="160">
        <f>IF([Occurrence35]=0,0,SUM($GV$2:GV179))</f>
        <v>0</v>
      </c>
      <c r="GX179" s="160">
        <f>IF([chambre3]*1='CHAMBRES GARCONS RDC'!$A$23,1,0)</f>
        <v>0</v>
      </c>
      <c r="GY179" s="160">
        <f>IF([Occurrence36]=0,0,SUM($GX$2:GX179))</f>
        <v>0</v>
      </c>
      <c r="GZ179" s="160">
        <f>IF([chambre3]*1='CHAMBRES GARCONS RDC'!$A$29,1,0)</f>
        <v>0</v>
      </c>
      <c r="HA179" s="160">
        <f>IF([Occurrence37]=0,0,SUM($GZ$2:GZ179))</f>
        <v>0</v>
      </c>
      <c r="HB179" s="160">
        <f>IF([chambre3]*1='CHAMBRES GARCONS RDC'!$A$35,1,0)</f>
        <v>0</v>
      </c>
      <c r="HC179" s="160">
        <f>IF([Occurrence38]=0,0,SUM($HB$2:HB179))</f>
        <v>0</v>
      </c>
      <c r="HD179" s="160">
        <f>IF([chambre3]*1='CHAMBRES GARCONS RDC'!$A$41,1,0)</f>
        <v>0</v>
      </c>
      <c r="HE179" s="160">
        <f>IF([Occurrence39]=0,0,SUM($HD$2:HD179))</f>
        <v>0</v>
      </c>
      <c r="HF179" s="160">
        <f>IF([chambre3]*1='CHAMBRES GARCONS RDC'!$A$47,1,0)</f>
        <v>0</v>
      </c>
      <c r="HG179" s="160">
        <f>IF([Occurrence40]=0,0,SUM($HF$2:HF179))</f>
        <v>0</v>
      </c>
      <c r="HH179" s="160">
        <f>IF([chambre3]*1='CHAMBRES GARCONS RDC'!$A$53,1,0)</f>
        <v>0</v>
      </c>
      <c r="HI179" s="160">
        <f>IF([Occurrence41]=0,0,SUM($HH$2:HH179))</f>
        <v>0</v>
      </c>
      <c r="HJ179" s="160">
        <f>IF([chambre3]*1='CHAMBRES GARCONS RDC'!$A$59,1,0)</f>
        <v>0</v>
      </c>
      <c r="HK179" s="160">
        <f>IF([Occurrence42]=0,0,SUM($HJ$2:HJ179))</f>
        <v>0</v>
      </c>
      <c r="HL179" s="160">
        <f>IF([chambre3]*1='CHAMBRES GARCONS RDC'!$A$65,1,0)</f>
        <v>0</v>
      </c>
      <c r="HM179" s="160">
        <f>IF([Occurrence43]=0,0,SUM($HL$2:HL179))</f>
        <v>0</v>
      </c>
      <c r="HN179" s="160">
        <f>IF([chambre3]*1='CHAMBRES GARCONS RDC'!$A$71,1,0)</f>
        <v>0</v>
      </c>
      <c r="HO179" s="160">
        <f>IF([Occurrence44]=0,0,SUM($HN$2:HN179))</f>
        <v>0</v>
      </c>
      <c r="HP179" s="160">
        <f>IF([chambre3]*1='CHAMBRES GARCONS RDC'!$A$77,1,0)</f>
        <v>0</v>
      </c>
      <c r="HQ179" s="160">
        <f>IF([Occurrence45]=0,0,SUM($HP$2:HP179))</f>
        <v>0</v>
      </c>
      <c r="HR179" s="160">
        <f>IF([chambre3]*1='CHAMBRES GARCONS RDC'!$A$83,1,0)</f>
        <v>0</v>
      </c>
      <c r="HS179" s="160">
        <f>IF([Occurrence46]=0,0,SUM($HR$2:HR179))</f>
        <v>0</v>
      </c>
      <c r="HT179" s="160">
        <f>IF([chambre3]*1='CHAMBRES GARCONS RDC'!$A$89,1,0)</f>
        <v>0</v>
      </c>
      <c r="HU179" s="160">
        <f>IF([Occurrence47]=0,0,SUM($HT$2:HT179))</f>
        <v>0</v>
      </c>
      <c r="HV179" s="160">
        <f>IF([chambre3]*1='CHAMBRES GARCONS RDC'!$A$95,1,0)</f>
        <v>0</v>
      </c>
      <c r="HW179" s="160">
        <f>IF([Occurrence48]=0,0,SUM($HV$2:HV179))</f>
        <v>0</v>
      </c>
      <c r="HX179" s="160"/>
      <c r="HY179" s="160"/>
      <c r="HZ179" s="160">
        <f>IF([Classe]='Liste élève par classes'!$B$5,1,0)</f>
        <v>0</v>
      </c>
      <c r="IA179" s="160">
        <f>IF([Occurrence]=0,0,SUM($HZ$2:HZ179))</f>
        <v>0</v>
      </c>
      <c r="IB17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168</v>
      </c>
      <c r="IC179" s="208"/>
    </row>
    <row r="180" spans="1:237">
      <c r="A180" t="s">
        <v>548</v>
      </c>
      <c r="B180" t="s">
        <v>312</v>
      </c>
      <c r="C180" s="158">
        <v>36767</v>
      </c>
      <c r="D180" s="62">
        <f t="shared" ca="1" si="2"/>
        <v>17</v>
      </c>
      <c r="E180" t="s">
        <v>6</v>
      </c>
      <c r="F180" s="159" t="s">
        <v>50</v>
      </c>
      <c r="G180" t="s">
        <v>40</v>
      </c>
      <c r="H180" s="160"/>
      <c r="I180" s="62"/>
      <c r="J180" s="62"/>
      <c r="K180" s="62"/>
      <c r="L180" s="61"/>
      <c r="M180">
        <v>65</v>
      </c>
      <c r="N180" s="62"/>
      <c r="O180" s="62"/>
      <c r="P180" s="62"/>
      <c r="Q180" s="62"/>
      <c r="R180" s="62"/>
      <c r="S180" s="191"/>
      <c r="T180" s="62"/>
      <c r="U180" s="61"/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163"/>
      <c r="AG180" s="163"/>
      <c r="AH180" s="163"/>
      <c r="AI180" s="163"/>
      <c r="AJ180" s="163"/>
      <c r="AK180" s="163"/>
      <c r="AL180" s="163"/>
      <c r="AM180" s="163"/>
      <c r="AN180" s="163"/>
      <c r="AO180" s="163"/>
      <c r="AP180" s="163"/>
      <c r="AQ180" s="163"/>
      <c r="AR180" s="163"/>
      <c r="AS180" s="163"/>
      <c r="AT180" s="163"/>
      <c r="AU180" s="163"/>
      <c r="AV180" s="163"/>
      <c r="AW180" s="163"/>
      <c r="AX180" s="163"/>
      <c r="AY180" s="163"/>
      <c r="AZ180" s="163"/>
      <c r="BA180" s="163"/>
      <c r="BB180" s="163"/>
      <c r="BC180" s="163" t="b">
        <v>0</v>
      </c>
      <c r="BD180" s="163" t="b">
        <v>1</v>
      </c>
      <c r="BE180" s="163" t="b">
        <v>1</v>
      </c>
      <c r="BF180" s="163" t="b">
        <v>0</v>
      </c>
      <c r="BG180" s="163" t="b">
        <v>1</v>
      </c>
      <c r="BH180" s="163" t="b">
        <v>0</v>
      </c>
      <c r="BI180" s="163"/>
      <c r="BJ180" s="163"/>
      <c r="BK180" s="163"/>
      <c r="BL180" s="163"/>
      <c r="BM180" s="163"/>
      <c r="BN180" s="163"/>
      <c r="BO180" s="163"/>
      <c r="BP180" s="163"/>
      <c r="BQ180" s="163" t="b">
        <v>0</v>
      </c>
      <c r="BR180" s="163"/>
      <c r="BS180" s="163"/>
      <c r="BT180" s="163"/>
      <c r="BU180" s="163"/>
      <c r="BV180" s="163"/>
      <c r="BW180" s="163"/>
      <c r="BX180" s="163"/>
      <c r="BY180" s="163"/>
      <c r="BZ180" s="163"/>
      <c r="CA180" s="163"/>
      <c r="CB180" s="163"/>
      <c r="CC180" s="163"/>
      <c r="CD180" s="163"/>
      <c r="CE180" s="163"/>
      <c r="CF180" s="163"/>
      <c r="CG180" s="163"/>
      <c r="CH180" s="163"/>
      <c r="CI180" s="163"/>
      <c r="CJ180" s="163"/>
      <c r="CK180" s="163"/>
      <c r="CL180" s="163"/>
      <c r="CM180" s="163"/>
      <c r="CN180" s="163"/>
      <c r="CO180" s="163"/>
      <c r="CP180" s="163"/>
      <c r="CQ180" s="163"/>
      <c r="CR180" s="163"/>
      <c r="CS180" s="163"/>
      <c r="CT180" s="163"/>
      <c r="CU180" s="163"/>
      <c r="CV180" s="163"/>
      <c r="CW180" s="163"/>
      <c r="CX180" s="163"/>
      <c r="CY180" s="163"/>
      <c r="CZ180" s="163"/>
      <c r="DA180" s="163">
        <v>106</v>
      </c>
      <c r="DB180" s="163"/>
      <c r="DC180" s="163"/>
      <c r="DD180" s="163"/>
      <c r="DE180" s="163"/>
      <c r="DF180" s="163"/>
      <c r="DG180" s="208"/>
      <c r="DH180" s="163"/>
      <c r="DI180" s="163"/>
      <c r="DJ180" s="163"/>
      <c r="DK180" s="163"/>
      <c r="DL180" s="163"/>
      <c r="DM180" s="163"/>
      <c r="DN180" s="163"/>
      <c r="DO180" s="163"/>
      <c r="DP180" s="163"/>
      <c r="DQ180" s="163"/>
      <c r="DR180" s="163"/>
      <c r="DS180" s="163"/>
      <c r="DT180" s="163"/>
      <c r="DU180" s="163"/>
      <c r="DV180" s="163"/>
      <c r="DW180" s="163"/>
      <c r="DX180" s="163"/>
      <c r="DY180" s="163"/>
      <c r="DZ180" s="163"/>
      <c r="EA180" s="163"/>
      <c r="EB180" s="163"/>
      <c r="EC180" s="163"/>
      <c r="ED180" s="163"/>
      <c r="EE180" s="163"/>
      <c r="EF180" s="163"/>
      <c r="EG180" s="163"/>
      <c r="EH180" s="160">
        <f>IF([Chambre]*1='CHAMBRES FILLES 2e ETAGE'!$A$5,1,0)</f>
        <v>0</v>
      </c>
      <c r="EI180" s="161">
        <f>IF([Occurrence2]=0,0,SUM($EH$2:EH180))</f>
        <v>0</v>
      </c>
      <c r="EJ180" s="160">
        <f>IF([Chambre]*1='CHAMBRES FILLES 2e ETAGE'!$A$11,1,0)</f>
        <v>0</v>
      </c>
      <c r="EK180" s="160">
        <f>IF([Occurrence3]=0,0,SUM($EJ$2:EJ180))</f>
        <v>0</v>
      </c>
      <c r="EL180" s="160">
        <f>IF([Chambre]*1='CHAMBRES FILLES 2e ETAGE'!$A$17,1,0)</f>
        <v>0</v>
      </c>
      <c r="EM180" s="160">
        <f>IF([Occurrence4]=0,0,SUM($EL$2:EL180))</f>
        <v>0</v>
      </c>
      <c r="EN180" s="160">
        <f>IF([Chambre]*1='CHAMBRES FILLES 2e ETAGE'!$A$23,1,0)</f>
        <v>0</v>
      </c>
      <c r="EO180" s="160">
        <f>IF([Occurrence5]=0,0,SUM($EN$2:EN180))</f>
        <v>0</v>
      </c>
      <c r="EP180" s="160">
        <f>IF([Chambre]*1='CHAMBRES FILLES 2e ETAGE'!$A$29,1,0)</f>
        <v>0</v>
      </c>
      <c r="EQ180" s="160">
        <f>IF([Occurrence6]=0,0,SUM($EP$2:EP180))</f>
        <v>0</v>
      </c>
      <c r="ER180" s="160">
        <f>IF([Chambre]*1='CHAMBRES FILLES 2e ETAGE'!$A$35,1,0)</f>
        <v>0</v>
      </c>
      <c r="ES180" s="160">
        <f>IF([Occurrence7]=0,0,SUM($ER$2:ER180))</f>
        <v>0</v>
      </c>
      <c r="ET180" s="160">
        <f>IF([Chambre]*1='CHAMBRES FILLES 2e ETAGE'!$A$41,1,0)</f>
        <v>0</v>
      </c>
      <c r="EU180" s="160">
        <f>IF([Occurrence8]=0,0,SUM($ET$2:ET180))</f>
        <v>0</v>
      </c>
      <c r="EV180" s="160">
        <f>IF([Chambre]*1='CHAMBRES FILLES 2e ETAGE'!$A$47,1,0)</f>
        <v>0</v>
      </c>
      <c r="EW180" s="160">
        <f>IF([Occurrence9]=0,0,SUM($EV$2:EV180))</f>
        <v>0</v>
      </c>
      <c r="EX180" s="160">
        <f>IF([Chambre]*1='CHAMBRES FILLES 2e ETAGE'!$A$53,1,0)</f>
        <v>0</v>
      </c>
      <c r="EY180" s="160">
        <f>IF([Occurrence10]=0,0,SUM($EX$2:EX180))</f>
        <v>0</v>
      </c>
      <c r="EZ180" s="160">
        <f>IF([Chambre]*1='CHAMBRES FILLES 2e ETAGE'!$A$59,1,0)</f>
        <v>0</v>
      </c>
      <c r="FA180" s="160">
        <f>IF([Occurrence11]=0,0,SUM($EZ$2:EZ180))</f>
        <v>0</v>
      </c>
      <c r="FB180" s="160">
        <f>IF([Chambre]*1='CHAMBRES FILLES 2e ETAGE'!$A$65,1,0)</f>
        <v>0</v>
      </c>
      <c r="FC180" s="160">
        <f>IF([Occurrence12]=0,0,SUM($FB$2:FB180))</f>
        <v>0</v>
      </c>
      <c r="FD180" s="160">
        <f>IF([Chambre]*1='CHAMBRES FILLES 2e ETAGE'!$A$71,1,0)</f>
        <v>0</v>
      </c>
      <c r="FE180" s="160">
        <f>IF([Occurrence13]=0,0,SUM($FD$2:FD180))</f>
        <v>0</v>
      </c>
      <c r="FF180" s="160">
        <f>IF([Chambre]*1='CHAMBRES FILLES 2e ETAGE'!$A$77,1,0)</f>
        <v>0</v>
      </c>
      <c r="FG180" s="160">
        <f>IF([Occurrence14]=0,0,SUM($FF$2:FF180))</f>
        <v>0</v>
      </c>
      <c r="FH180" s="160">
        <f>IF([Chambre]*1='CHAMBRES FILLES 2e ETAGE'!$A$83,1,0)</f>
        <v>0</v>
      </c>
      <c r="FI180" s="160">
        <f>IF([Occurrence15]=0,0,SUM($FH$2:FH180))</f>
        <v>0</v>
      </c>
      <c r="FJ180" s="160">
        <f>IF([Chambre]*1='CHAMBRES FILLES 2e ETAGE'!$A$89,1,0)</f>
        <v>0</v>
      </c>
      <c r="FK180" s="160">
        <f>IF([Occurrence16]=0,0,SUM($FJ$2:FJ180))</f>
        <v>0</v>
      </c>
      <c r="FL180" s="160">
        <f>IF([Chambre]*1='CHAMBRES FILLES 2e ETAGE'!$A$95,1,0)</f>
        <v>0</v>
      </c>
      <c r="FM180" s="160">
        <f>IF([Occurrence17]=0,0,SUM($FL$2:FL180))</f>
        <v>0</v>
      </c>
      <c r="FN180" s="160">
        <f>IF([Chambre2]*1='CHAMBRES FILLES 1e ETAGE'!$A$5,1,0)</f>
        <v>0</v>
      </c>
      <c r="FO180" s="160">
        <f>IF([Occurrence18]=0,0,SUM($FN$2:FN180))</f>
        <v>0</v>
      </c>
      <c r="FP180" s="160">
        <f>IF([Chambre2]*1='CHAMBRES FILLES 1e ETAGE'!$A$11,1,0)</f>
        <v>0</v>
      </c>
      <c r="FQ180" s="160">
        <f>IF([Occurrence19]=0,0,SUM($FP$2:FP180))</f>
        <v>0</v>
      </c>
      <c r="FR180" s="160">
        <f>IF([Chambre2]*1='CHAMBRES FILLES 1e ETAGE'!$A$17,1,0)</f>
        <v>0</v>
      </c>
      <c r="FS180" s="160">
        <f>IF([Occurrence20]=0,0,SUM($FR$2:FR180))</f>
        <v>0</v>
      </c>
      <c r="FT180" s="160">
        <f>IF([Chambre2]*1='CHAMBRES FILLES 1e ETAGE'!$A$23,1,0)</f>
        <v>0</v>
      </c>
      <c r="FU180" s="160">
        <f>IF([Occurrence21]=0,0,SUM($FT$2:FT180))</f>
        <v>0</v>
      </c>
      <c r="FV180" s="160">
        <f>IF([Chambre2]*1='CHAMBRES FILLES 1e ETAGE'!$A$29,1,0)</f>
        <v>0</v>
      </c>
      <c r="FW180" s="160">
        <f>IF([Occurrence22]=0,0,SUM($FV$2:FV180))</f>
        <v>0</v>
      </c>
      <c r="FX180" s="160">
        <f>IF([Chambre2]*1='CHAMBRES FILLES 1e ETAGE'!$A$35,1,0)</f>
        <v>0</v>
      </c>
      <c r="FY180" s="160">
        <f>IF([Occurrence23]=0,0,SUM($FX$2:FX180))</f>
        <v>0</v>
      </c>
      <c r="FZ180" s="160">
        <f>IF([Chambre2]*1='CHAMBRES FILLES 1e ETAGE'!$A$41,1,0)</f>
        <v>0</v>
      </c>
      <c r="GA180" s="160">
        <f>IF([Occurrence24]=0,0,SUM($FZ$2:FZ180))</f>
        <v>0</v>
      </c>
      <c r="GB180" s="160">
        <f>IF([Chambre2]*1='CHAMBRES FILLES 1e ETAGE'!$A$47,1,0)</f>
        <v>0</v>
      </c>
      <c r="GC180" s="160">
        <f>IF([Occurrence25]=0,0,SUM($GB$2:GB180))</f>
        <v>0</v>
      </c>
      <c r="GD180" s="160">
        <f>IF([Chambre2]*1='CHAMBRES FILLES 1e ETAGE'!$A$53,1,0)</f>
        <v>0</v>
      </c>
      <c r="GE180" s="160">
        <f>IF([Occurrence26]=0,0,SUM($GD$2:GD180))</f>
        <v>0</v>
      </c>
      <c r="GF180" s="160">
        <f>IF([chambre4]*1='CHAMBRES GARCONS 1e ETAGE'!$A$5,1,0)</f>
        <v>0</v>
      </c>
      <c r="GG180" s="160">
        <f>IF([Occurrence27]=0,0,SUM($GF$2:GF180))</f>
        <v>0</v>
      </c>
      <c r="GH180" s="160">
        <f>IF([chambre4]*1='CHAMBRES GARCONS 1e ETAGE'!$A$11,1,0)</f>
        <v>0</v>
      </c>
      <c r="GI180" s="160">
        <f>IF([Occurrence28]=0,0,SUM($GH$2:GH180))</f>
        <v>0</v>
      </c>
      <c r="GJ180" s="160">
        <f>IF([chambre4]*1='CHAMBRES GARCONS 1e ETAGE'!$A$17,1,0)</f>
        <v>0</v>
      </c>
      <c r="GK180" s="160">
        <f>IF([Occurrence29]=0,0,SUM($GJ$2:GJ180))</f>
        <v>0</v>
      </c>
      <c r="GL180" s="160">
        <f>IF([chambre4]*1='CHAMBRES GARCONS 1e ETAGE'!$A$23,1,0)</f>
        <v>0</v>
      </c>
      <c r="GM180" s="160">
        <f>IF([Occurrence30]=0,0,SUM($GL$2:GL180))</f>
        <v>0</v>
      </c>
      <c r="GN180" s="160">
        <f>IF([chambre4]*1='CHAMBRES GARCONS 1e ETAGE'!$A$29,1,0)</f>
        <v>0</v>
      </c>
      <c r="GO180" s="160">
        <f>IF([Occurrence31]=0,0,SUM($GN$2:GN180))</f>
        <v>0</v>
      </c>
      <c r="GP180" s="160">
        <f>IF([chambre4]*1='CHAMBRES GARCONS 1e ETAGE'!$A$35,1,0)</f>
        <v>0</v>
      </c>
      <c r="GQ180" s="160">
        <f>IF([Occurrence32]=0,0,SUM($GP$2:GP180))</f>
        <v>0</v>
      </c>
      <c r="GR180" s="160">
        <f>IF([chambre3]*1='CHAMBRES GARCONS RDC'!$A$5,1,0)</f>
        <v>0</v>
      </c>
      <c r="GS180" s="160">
        <f>IF([Occurrence33]=0,0,SUM($GR$2:GR180))</f>
        <v>0</v>
      </c>
      <c r="GT180" s="160">
        <f>IF([chambre3]*1='CHAMBRES GARCONS RDC'!$A$11,1,0)</f>
        <v>1</v>
      </c>
      <c r="GU180" s="160">
        <f>IF([Occurrence34]=0,0,SUM($GT$2:GT180))</f>
        <v>3</v>
      </c>
      <c r="GV180" s="160">
        <f>IF([chambre3]*1='CHAMBRES GARCONS RDC'!$A$17,1,0)</f>
        <v>0</v>
      </c>
      <c r="GW180" s="160">
        <f>IF([Occurrence35]=0,0,SUM($GV$2:GV180))</f>
        <v>0</v>
      </c>
      <c r="GX180" s="160">
        <f>IF([chambre3]*1='CHAMBRES GARCONS RDC'!$A$23,1,0)</f>
        <v>0</v>
      </c>
      <c r="GY180" s="160">
        <f>IF([Occurrence36]=0,0,SUM($GX$2:GX180))</f>
        <v>0</v>
      </c>
      <c r="GZ180" s="160">
        <f>IF([chambre3]*1='CHAMBRES GARCONS RDC'!$A$29,1,0)</f>
        <v>0</v>
      </c>
      <c r="HA180" s="160">
        <f>IF([Occurrence37]=0,0,SUM($GZ$2:GZ180))</f>
        <v>0</v>
      </c>
      <c r="HB180" s="160">
        <f>IF([chambre3]*1='CHAMBRES GARCONS RDC'!$A$35,1,0)</f>
        <v>0</v>
      </c>
      <c r="HC180" s="160">
        <f>IF([Occurrence38]=0,0,SUM($HB$2:HB180))</f>
        <v>0</v>
      </c>
      <c r="HD180" s="160">
        <f>IF([chambre3]*1='CHAMBRES GARCONS RDC'!$A$41,1,0)</f>
        <v>0</v>
      </c>
      <c r="HE180" s="160">
        <f>IF([Occurrence39]=0,0,SUM($HD$2:HD180))</f>
        <v>0</v>
      </c>
      <c r="HF180" s="160">
        <f>IF([chambre3]*1='CHAMBRES GARCONS RDC'!$A$47,1,0)</f>
        <v>0</v>
      </c>
      <c r="HG180" s="160">
        <f>IF([Occurrence40]=0,0,SUM($HF$2:HF180))</f>
        <v>0</v>
      </c>
      <c r="HH180" s="160">
        <f>IF([chambre3]*1='CHAMBRES GARCONS RDC'!$A$53,1,0)</f>
        <v>0</v>
      </c>
      <c r="HI180" s="160">
        <f>IF([Occurrence41]=0,0,SUM($HH$2:HH180))</f>
        <v>0</v>
      </c>
      <c r="HJ180" s="160">
        <f>IF([chambre3]*1='CHAMBRES GARCONS RDC'!$A$59,1,0)</f>
        <v>0</v>
      </c>
      <c r="HK180" s="160">
        <f>IF([Occurrence42]=0,0,SUM($HJ$2:HJ180))</f>
        <v>0</v>
      </c>
      <c r="HL180" s="160">
        <f>IF([chambre3]*1='CHAMBRES GARCONS RDC'!$A$65,1,0)</f>
        <v>0</v>
      </c>
      <c r="HM180" s="160">
        <f>IF([Occurrence43]=0,0,SUM($HL$2:HL180))</f>
        <v>0</v>
      </c>
      <c r="HN180" s="160">
        <f>IF([chambre3]*1='CHAMBRES GARCONS RDC'!$A$71,1,0)</f>
        <v>0</v>
      </c>
      <c r="HO180" s="160">
        <f>IF([Occurrence44]=0,0,SUM($HN$2:HN180))</f>
        <v>0</v>
      </c>
      <c r="HP180" s="160">
        <f>IF([chambre3]*1='CHAMBRES GARCONS RDC'!$A$77,1,0)</f>
        <v>0</v>
      </c>
      <c r="HQ180" s="160">
        <f>IF([Occurrence45]=0,0,SUM($HP$2:HP180))</f>
        <v>0</v>
      </c>
      <c r="HR180" s="160">
        <f>IF([chambre3]*1='CHAMBRES GARCONS RDC'!$A$83,1,0)</f>
        <v>0</v>
      </c>
      <c r="HS180" s="160">
        <f>IF([Occurrence46]=0,0,SUM($HR$2:HR180))</f>
        <v>0</v>
      </c>
      <c r="HT180" s="160">
        <f>IF([chambre3]*1='CHAMBRES GARCONS RDC'!$A$89,1,0)</f>
        <v>0</v>
      </c>
      <c r="HU180" s="160">
        <f>IF([Occurrence47]=0,0,SUM($HT$2:HT180))</f>
        <v>0</v>
      </c>
      <c r="HV180" s="160">
        <f>IF([chambre3]*1='CHAMBRES GARCONS RDC'!$A$95,1,0)</f>
        <v>0</v>
      </c>
      <c r="HW180" s="160">
        <f>IF([Occurrence48]=0,0,SUM($HV$2:HV180))</f>
        <v>0</v>
      </c>
      <c r="HX180" s="160"/>
      <c r="HY180" s="160"/>
      <c r="HZ180" s="160">
        <f>IF([Classe]='Liste élève par classes'!$B$5,1,0)</f>
        <v>0</v>
      </c>
      <c r="IA180" s="160">
        <f>IF([Occurrence]=0,0,SUM($HZ$2:HZ180))</f>
        <v>0</v>
      </c>
      <c r="IB18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106</v>
      </c>
      <c r="IC180" s="208"/>
    </row>
    <row r="181" spans="1:237">
      <c r="A181" t="s">
        <v>549</v>
      </c>
      <c r="B181" t="s">
        <v>550</v>
      </c>
      <c r="C181" s="158">
        <v>37672</v>
      </c>
      <c r="D181" s="62">
        <f t="shared" ca="1" si="2"/>
        <v>14</v>
      </c>
      <c r="E181" t="s">
        <v>12</v>
      </c>
      <c r="F181" s="159" t="s">
        <v>50</v>
      </c>
      <c r="G181" t="s">
        <v>45</v>
      </c>
      <c r="H181" s="160"/>
      <c r="I181" s="62"/>
      <c r="J181" s="62" t="s">
        <v>244</v>
      </c>
      <c r="K181" s="62"/>
      <c r="L181" s="61">
        <v>167</v>
      </c>
      <c r="M181">
        <v>90</v>
      </c>
      <c r="N181" s="62" t="s">
        <v>244</v>
      </c>
      <c r="O181" s="62" t="s">
        <v>244</v>
      </c>
      <c r="P181" s="62" t="s">
        <v>244</v>
      </c>
      <c r="Q181" s="62" t="s">
        <v>244</v>
      </c>
      <c r="R181" s="62" t="s">
        <v>244</v>
      </c>
      <c r="S181" s="191"/>
      <c r="T181" s="62" t="s">
        <v>244</v>
      </c>
      <c r="U181" s="61"/>
      <c r="V181" s="62" t="s">
        <v>244</v>
      </c>
      <c r="W181" s="62" t="s">
        <v>244</v>
      </c>
      <c r="X181" s="62" t="s">
        <v>244</v>
      </c>
      <c r="Y181" s="62" t="s">
        <v>244</v>
      </c>
      <c r="Z181" s="62" t="s">
        <v>244</v>
      </c>
      <c r="AA181" s="62" t="s">
        <v>244</v>
      </c>
      <c r="AB181" s="62" t="s">
        <v>244</v>
      </c>
      <c r="AC181" s="62" t="s">
        <v>244</v>
      </c>
      <c r="AD181" s="62" t="s">
        <v>244</v>
      </c>
      <c r="AE181" s="62" t="s">
        <v>244</v>
      </c>
      <c r="AF181" s="163" t="s">
        <v>244</v>
      </c>
      <c r="AG181" s="163" t="s">
        <v>244</v>
      </c>
      <c r="AH181" s="163" t="s">
        <v>244</v>
      </c>
      <c r="AI181" s="163"/>
      <c r="AJ181" s="163"/>
      <c r="AK181" s="163"/>
      <c r="AL181" s="163"/>
      <c r="AM181" s="163"/>
      <c r="AN181" s="163"/>
      <c r="AO181" s="163"/>
      <c r="AP181" s="163"/>
      <c r="AQ181" s="163"/>
      <c r="AR181" s="163"/>
      <c r="AS181" s="163"/>
      <c r="AT181" s="163"/>
      <c r="AU181" s="163"/>
      <c r="AV181" s="163"/>
      <c r="AW181" s="163"/>
      <c r="AX181" s="163"/>
      <c r="AY181" s="163"/>
      <c r="AZ181" s="163"/>
      <c r="BA181" s="163"/>
      <c r="BB181" s="163"/>
      <c r="BC181" s="163" t="b">
        <v>0</v>
      </c>
      <c r="BD181" s="163" t="b">
        <v>1</v>
      </c>
      <c r="BE181" s="163" t="b">
        <v>1</v>
      </c>
      <c r="BF181" s="163" t="b">
        <v>0</v>
      </c>
      <c r="BG181" s="164" t="b">
        <v>0</v>
      </c>
      <c r="BH181" s="163" t="b">
        <v>1</v>
      </c>
      <c r="BI181" s="163"/>
      <c r="BJ181" s="163"/>
      <c r="BK181" s="163"/>
      <c r="BL181" s="163"/>
      <c r="BM181" s="163"/>
      <c r="BN181" s="163"/>
      <c r="BO181" s="163"/>
      <c r="BP181" s="163"/>
      <c r="BQ181" s="163" t="b">
        <v>1</v>
      </c>
      <c r="BR181" s="163"/>
      <c r="BS181" s="163"/>
      <c r="BT181" s="163"/>
      <c r="BU181" s="163"/>
      <c r="BV181" s="163"/>
      <c r="BW181" s="163"/>
      <c r="BX181" s="163"/>
      <c r="BY181" s="163"/>
      <c r="BZ181" s="163"/>
      <c r="CA181" s="163"/>
      <c r="CB181" s="163"/>
      <c r="CC181" s="163"/>
      <c r="CD181" s="163"/>
      <c r="CE181" s="163"/>
      <c r="CF181" s="163"/>
      <c r="CG181" s="163"/>
      <c r="CH181" s="163"/>
      <c r="CI181" s="163"/>
      <c r="CJ181" s="163"/>
      <c r="CK181" s="163"/>
      <c r="CL181" s="163"/>
      <c r="CM181" s="163"/>
      <c r="CN181" s="163"/>
      <c r="CO181" s="163"/>
      <c r="CP181" s="163"/>
      <c r="CQ181" s="163"/>
      <c r="CR181" s="163"/>
      <c r="CS181" s="163"/>
      <c r="CT181" s="163"/>
      <c r="CU181" s="163"/>
      <c r="CV181" s="163"/>
      <c r="CW181" s="163"/>
      <c r="CX181" s="163"/>
      <c r="CY181" s="163"/>
      <c r="CZ181" s="163"/>
      <c r="DA181" s="163"/>
      <c r="DB181" s="163"/>
      <c r="DC181" s="163"/>
      <c r="DD181" s="163"/>
      <c r="DE181" s="163"/>
      <c r="DF181" s="163"/>
      <c r="DG181" s="208"/>
      <c r="DH181" s="163"/>
      <c r="DI181" s="163"/>
      <c r="DJ181" s="163"/>
      <c r="DK181" s="163"/>
      <c r="DL181" s="163"/>
      <c r="DM181" s="163"/>
      <c r="DN181" s="163"/>
      <c r="DO181" s="163"/>
      <c r="DP181" s="163"/>
      <c r="DQ181" s="163"/>
      <c r="DR181" s="163"/>
      <c r="DS181" s="163"/>
      <c r="DT181" s="163"/>
      <c r="DU181" s="163"/>
      <c r="DV181" s="163"/>
      <c r="DW181" s="163"/>
      <c r="DX181" s="163"/>
      <c r="DY181" s="163"/>
      <c r="DZ181" s="163"/>
      <c r="EA181" s="163"/>
      <c r="EB181" s="163"/>
      <c r="EC181" s="163"/>
      <c r="ED181" s="163"/>
      <c r="EE181" s="163"/>
      <c r="EF181" s="163"/>
      <c r="EG181" s="163"/>
      <c r="EH181" s="160">
        <f>IF([Chambre]*1='CHAMBRES FILLES 2e ETAGE'!$A$5,1,0)</f>
        <v>0</v>
      </c>
      <c r="EI181" s="161">
        <f>IF([Occurrence2]=0,0,SUM($EH$2:EH181))</f>
        <v>0</v>
      </c>
      <c r="EJ181" s="160">
        <f>IF([Chambre]*1='CHAMBRES FILLES 2e ETAGE'!$A$11,1,0)</f>
        <v>0</v>
      </c>
      <c r="EK181" s="160">
        <f>IF([Occurrence3]=0,0,SUM($EJ$2:EJ181))</f>
        <v>0</v>
      </c>
      <c r="EL181" s="160">
        <f>IF([Chambre]*1='CHAMBRES FILLES 2e ETAGE'!$A$17,1,0)</f>
        <v>0</v>
      </c>
      <c r="EM181" s="160">
        <f>IF([Occurrence4]=0,0,SUM($EL$2:EL181))</f>
        <v>0</v>
      </c>
      <c r="EN181" s="160">
        <f>IF([Chambre]*1='CHAMBRES FILLES 2e ETAGE'!$A$23,1,0)</f>
        <v>1</v>
      </c>
      <c r="EO181" s="160">
        <f>IF([Occurrence5]=0,0,SUM($EN$2:EN181))</f>
        <v>4</v>
      </c>
      <c r="EP181" s="160">
        <f>IF([Chambre]*1='CHAMBRES FILLES 2e ETAGE'!$A$29,1,0)</f>
        <v>0</v>
      </c>
      <c r="EQ181" s="160">
        <f>IF([Occurrence6]=0,0,SUM($EP$2:EP181))</f>
        <v>0</v>
      </c>
      <c r="ER181" s="160">
        <f>IF([Chambre]*1='CHAMBRES FILLES 2e ETAGE'!$A$35,1,0)</f>
        <v>0</v>
      </c>
      <c r="ES181" s="160">
        <f>IF([Occurrence7]=0,0,SUM($ER$2:ER181))</f>
        <v>0</v>
      </c>
      <c r="ET181" s="160">
        <f>IF([Chambre]*1='CHAMBRES FILLES 2e ETAGE'!$A$41,1,0)</f>
        <v>0</v>
      </c>
      <c r="EU181" s="160">
        <f>IF([Occurrence8]=0,0,SUM($ET$2:ET181))</f>
        <v>0</v>
      </c>
      <c r="EV181" s="160">
        <f>IF([Chambre]*1='CHAMBRES FILLES 2e ETAGE'!$A$47,1,0)</f>
        <v>0</v>
      </c>
      <c r="EW181" s="160">
        <f>IF([Occurrence9]=0,0,SUM($EV$2:EV181))</f>
        <v>0</v>
      </c>
      <c r="EX181" s="160">
        <f>IF([Chambre]*1='CHAMBRES FILLES 2e ETAGE'!$A$53,1,0)</f>
        <v>0</v>
      </c>
      <c r="EY181" s="160">
        <f>IF([Occurrence10]=0,0,SUM($EX$2:EX181))</f>
        <v>0</v>
      </c>
      <c r="EZ181" s="160">
        <f>IF([Chambre]*1='CHAMBRES FILLES 2e ETAGE'!$A$59,1,0)</f>
        <v>0</v>
      </c>
      <c r="FA181" s="160">
        <f>IF([Occurrence11]=0,0,SUM($EZ$2:EZ181))</f>
        <v>0</v>
      </c>
      <c r="FB181" s="160">
        <f>IF([Chambre]*1='CHAMBRES FILLES 2e ETAGE'!$A$65,1,0)</f>
        <v>0</v>
      </c>
      <c r="FC181" s="160">
        <f>IF([Occurrence12]=0,0,SUM($FB$2:FB181))</f>
        <v>0</v>
      </c>
      <c r="FD181" s="160">
        <f>IF([Chambre]*1='CHAMBRES FILLES 2e ETAGE'!$A$71,1,0)</f>
        <v>0</v>
      </c>
      <c r="FE181" s="160">
        <f>IF([Occurrence13]=0,0,SUM($FD$2:FD181))</f>
        <v>0</v>
      </c>
      <c r="FF181" s="160">
        <f>IF([Chambre]*1='CHAMBRES FILLES 2e ETAGE'!$A$77,1,0)</f>
        <v>0</v>
      </c>
      <c r="FG181" s="160">
        <f>IF([Occurrence14]=0,0,SUM($FF$2:FF181))</f>
        <v>0</v>
      </c>
      <c r="FH181" s="160">
        <f>IF([Chambre]*1='CHAMBRES FILLES 2e ETAGE'!$A$83,1,0)</f>
        <v>0</v>
      </c>
      <c r="FI181" s="160">
        <f>IF([Occurrence15]=0,0,SUM($FH$2:FH181))</f>
        <v>0</v>
      </c>
      <c r="FJ181" s="160">
        <f>IF([Chambre]*1='CHAMBRES FILLES 2e ETAGE'!$A$89,1,0)</f>
        <v>0</v>
      </c>
      <c r="FK181" s="160">
        <f>IF([Occurrence16]=0,0,SUM($FJ$2:FJ181))</f>
        <v>0</v>
      </c>
      <c r="FL181" s="160">
        <f>IF([Chambre]*1='CHAMBRES FILLES 2e ETAGE'!$A$95,1,0)</f>
        <v>0</v>
      </c>
      <c r="FM181" s="160">
        <f>IF([Occurrence17]=0,0,SUM($FL$2:FL181))</f>
        <v>0</v>
      </c>
      <c r="FN181" s="160">
        <f>IF([Chambre2]*1='CHAMBRES FILLES 1e ETAGE'!$A$5,1,0)</f>
        <v>0</v>
      </c>
      <c r="FO181" s="160">
        <f>IF([Occurrence18]=0,0,SUM($FN$2:FN181))</f>
        <v>0</v>
      </c>
      <c r="FP181" s="160">
        <f>IF([Chambre2]*1='CHAMBRES FILLES 1e ETAGE'!$A$11,1,0)</f>
        <v>0</v>
      </c>
      <c r="FQ181" s="160">
        <f>IF([Occurrence19]=0,0,SUM($FP$2:FP181))</f>
        <v>0</v>
      </c>
      <c r="FR181" s="160">
        <f>IF([Chambre2]*1='CHAMBRES FILLES 1e ETAGE'!$A$17,1,0)</f>
        <v>0</v>
      </c>
      <c r="FS181" s="160">
        <f>IF([Occurrence20]=0,0,SUM($FR$2:FR181))</f>
        <v>0</v>
      </c>
      <c r="FT181" s="160">
        <f>IF([Chambre2]*1='CHAMBRES FILLES 1e ETAGE'!$A$23,1,0)</f>
        <v>0</v>
      </c>
      <c r="FU181" s="160">
        <f>IF([Occurrence21]=0,0,SUM($FT$2:FT181))</f>
        <v>0</v>
      </c>
      <c r="FV181" s="160">
        <f>IF([Chambre2]*1='CHAMBRES FILLES 1e ETAGE'!$A$29,1,0)</f>
        <v>0</v>
      </c>
      <c r="FW181" s="160">
        <f>IF([Occurrence22]=0,0,SUM($FV$2:FV181))</f>
        <v>0</v>
      </c>
      <c r="FX181" s="160">
        <f>IF([Chambre2]*1='CHAMBRES FILLES 1e ETAGE'!$A$35,1,0)</f>
        <v>0</v>
      </c>
      <c r="FY181" s="160">
        <f>IF([Occurrence23]=0,0,SUM($FX$2:FX181))</f>
        <v>0</v>
      </c>
      <c r="FZ181" s="160">
        <f>IF([Chambre2]*1='CHAMBRES FILLES 1e ETAGE'!$A$41,1,0)</f>
        <v>0</v>
      </c>
      <c r="GA181" s="160">
        <f>IF([Occurrence24]=0,0,SUM($FZ$2:FZ181))</f>
        <v>0</v>
      </c>
      <c r="GB181" s="160">
        <f>IF([Chambre2]*1='CHAMBRES FILLES 1e ETAGE'!$A$47,1,0)</f>
        <v>0</v>
      </c>
      <c r="GC181" s="160">
        <f>IF([Occurrence25]=0,0,SUM($GB$2:GB181))</f>
        <v>0</v>
      </c>
      <c r="GD181" s="160">
        <f>IF([Chambre2]*1='CHAMBRES FILLES 1e ETAGE'!$A$53,1,0)</f>
        <v>0</v>
      </c>
      <c r="GE181" s="160">
        <f>IF([Occurrence26]=0,0,SUM($GD$2:GD181))</f>
        <v>0</v>
      </c>
      <c r="GF181" s="160">
        <f>IF([chambre4]*1='CHAMBRES GARCONS 1e ETAGE'!$A$5,1,0)</f>
        <v>0</v>
      </c>
      <c r="GG181" s="160">
        <f>IF([Occurrence27]=0,0,SUM($GF$2:GF181))</f>
        <v>0</v>
      </c>
      <c r="GH181" s="160">
        <f>IF([chambre4]*1='CHAMBRES GARCONS 1e ETAGE'!$A$11,1,0)</f>
        <v>0</v>
      </c>
      <c r="GI181" s="160">
        <f>IF([Occurrence28]=0,0,SUM($GH$2:GH181))</f>
        <v>0</v>
      </c>
      <c r="GJ181" s="160">
        <f>IF([chambre4]*1='CHAMBRES GARCONS 1e ETAGE'!$A$17,1,0)</f>
        <v>0</v>
      </c>
      <c r="GK181" s="160">
        <f>IF([Occurrence29]=0,0,SUM($GJ$2:GJ181))</f>
        <v>0</v>
      </c>
      <c r="GL181" s="160">
        <f>IF([chambre4]*1='CHAMBRES GARCONS 1e ETAGE'!$A$23,1,0)</f>
        <v>0</v>
      </c>
      <c r="GM181" s="160">
        <f>IF([Occurrence30]=0,0,SUM($GL$2:GL181))</f>
        <v>0</v>
      </c>
      <c r="GN181" s="160">
        <f>IF([chambre4]*1='CHAMBRES GARCONS 1e ETAGE'!$A$29,1,0)</f>
        <v>0</v>
      </c>
      <c r="GO181" s="160">
        <f>IF([Occurrence31]=0,0,SUM($GN$2:GN181))</f>
        <v>0</v>
      </c>
      <c r="GP181" s="160">
        <f>IF([chambre4]*1='CHAMBRES GARCONS 1e ETAGE'!$A$35,1,0)</f>
        <v>0</v>
      </c>
      <c r="GQ181" s="160">
        <f>IF([Occurrence32]=0,0,SUM($GP$2:GP181))</f>
        <v>0</v>
      </c>
      <c r="GR181" s="160">
        <f>IF([chambre3]*1='CHAMBRES GARCONS RDC'!$A$5,1,0)</f>
        <v>0</v>
      </c>
      <c r="GS181" s="160">
        <f>IF([Occurrence33]=0,0,SUM($GR$2:GR181))</f>
        <v>0</v>
      </c>
      <c r="GT181" s="160">
        <f>IF([chambre3]*1='CHAMBRES GARCONS RDC'!$A$11,1,0)</f>
        <v>0</v>
      </c>
      <c r="GU181" s="160">
        <f>IF([Occurrence34]=0,0,SUM($GT$2:GT181))</f>
        <v>0</v>
      </c>
      <c r="GV181" s="160">
        <f>IF([chambre3]*1='CHAMBRES GARCONS RDC'!$A$17,1,0)</f>
        <v>0</v>
      </c>
      <c r="GW181" s="160">
        <f>IF([Occurrence35]=0,0,SUM($GV$2:GV181))</f>
        <v>0</v>
      </c>
      <c r="GX181" s="160">
        <f>IF([chambre3]*1='CHAMBRES GARCONS RDC'!$A$23,1,0)</f>
        <v>0</v>
      </c>
      <c r="GY181" s="160">
        <f>IF([Occurrence36]=0,0,SUM($GX$2:GX181))</f>
        <v>0</v>
      </c>
      <c r="GZ181" s="160">
        <f>IF([chambre3]*1='CHAMBRES GARCONS RDC'!$A$29,1,0)</f>
        <v>0</v>
      </c>
      <c r="HA181" s="160">
        <f>IF([Occurrence37]=0,0,SUM($GZ$2:GZ181))</f>
        <v>0</v>
      </c>
      <c r="HB181" s="160">
        <f>IF([chambre3]*1='CHAMBRES GARCONS RDC'!$A$35,1,0)</f>
        <v>0</v>
      </c>
      <c r="HC181" s="160">
        <f>IF([Occurrence38]=0,0,SUM($HB$2:HB181))</f>
        <v>0</v>
      </c>
      <c r="HD181" s="160">
        <f>IF([chambre3]*1='CHAMBRES GARCONS RDC'!$A$41,1,0)</f>
        <v>0</v>
      </c>
      <c r="HE181" s="160">
        <f>IF([Occurrence39]=0,0,SUM($HD$2:HD181))</f>
        <v>0</v>
      </c>
      <c r="HF181" s="160">
        <f>IF([chambre3]*1='CHAMBRES GARCONS RDC'!$A$47,1,0)</f>
        <v>0</v>
      </c>
      <c r="HG181" s="160">
        <f>IF([Occurrence40]=0,0,SUM($HF$2:HF181))</f>
        <v>0</v>
      </c>
      <c r="HH181" s="160">
        <f>IF([chambre3]*1='CHAMBRES GARCONS RDC'!$A$53,1,0)</f>
        <v>0</v>
      </c>
      <c r="HI181" s="160">
        <f>IF([Occurrence41]=0,0,SUM($HH$2:HH181))</f>
        <v>0</v>
      </c>
      <c r="HJ181" s="160">
        <f>IF([chambre3]*1='CHAMBRES GARCONS RDC'!$A$59,1,0)</f>
        <v>0</v>
      </c>
      <c r="HK181" s="160">
        <f>IF([Occurrence42]=0,0,SUM($HJ$2:HJ181))</f>
        <v>0</v>
      </c>
      <c r="HL181" s="160">
        <f>IF([chambre3]*1='CHAMBRES GARCONS RDC'!$A$65,1,0)</f>
        <v>0</v>
      </c>
      <c r="HM181" s="160">
        <f>IF([Occurrence43]=0,0,SUM($HL$2:HL181))</f>
        <v>0</v>
      </c>
      <c r="HN181" s="160">
        <f>IF([chambre3]*1='CHAMBRES GARCONS RDC'!$A$71,1,0)</f>
        <v>0</v>
      </c>
      <c r="HO181" s="160">
        <f>IF([Occurrence44]=0,0,SUM($HN$2:HN181))</f>
        <v>0</v>
      </c>
      <c r="HP181" s="160">
        <f>IF([chambre3]*1='CHAMBRES GARCONS RDC'!$A$77,1,0)</f>
        <v>0</v>
      </c>
      <c r="HQ181" s="160">
        <f>IF([Occurrence45]=0,0,SUM($HP$2:HP181))</f>
        <v>0</v>
      </c>
      <c r="HR181" s="160">
        <f>IF([chambre3]*1='CHAMBRES GARCONS RDC'!$A$83,1,0)</f>
        <v>0</v>
      </c>
      <c r="HS181" s="160">
        <f>IF([Occurrence46]=0,0,SUM($HR$2:HR181))</f>
        <v>0</v>
      </c>
      <c r="HT181" s="160">
        <f>IF([chambre3]*1='CHAMBRES GARCONS RDC'!$A$89,1,0)</f>
        <v>0</v>
      </c>
      <c r="HU181" s="160">
        <f>IF([Occurrence47]=0,0,SUM($HT$2:HT181))</f>
        <v>0</v>
      </c>
      <c r="HV181" s="160">
        <f>IF([chambre3]*1='CHAMBRES GARCONS RDC'!$A$95,1,0)</f>
        <v>0</v>
      </c>
      <c r="HW181" s="160">
        <f>IF([Occurrence48]=0,0,SUM($HV$2:HV181))</f>
        <v>0</v>
      </c>
      <c r="HX181" s="160"/>
      <c r="HY181" s="160"/>
      <c r="HZ181" s="160">
        <f>IF([Classe]='Liste élève par classes'!$B$5,1,0)</f>
        <v>0</v>
      </c>
      <c r="IA181" s="160">
        <f>IF([Occurrence]=0,0,SUM($HZ$2:HZ181))</f>
        <v>0</v>
      </c>
      <c r="IB18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167</v>
      </c>
      <c r="IC181" s="208"/>
    </row>
    <row r="182" spans="1:237">
      <c r="A182" t="s">
        <v>551</v>
      </c>
      <c r="B182" t="s">
        <v>552</v>
      </c>
      <c r="C182" s="158">
        <v>37158</v>
      </c>
      <c r="D182" s="62">
        <f t="shared" ca="1" si="2"/>
        <v>16</v>
      </c>
      <c r="E182" t="s">
        <v>11</v>
      </c>
      <c r="F182" s="159" t="s">
        <v>50</v>
      </c>
      <c r="G182" t="s">
        <v>45</v>
      </c>
      <c r="H182" s="160"/>
      <c r="I182" s="62"/>
      <c r="J182" s="62" t="s">
        <v>244</v>
      </c>
      <c r="K182" s="62"/>
      <c r="L182" s="61"/>
      <c r="M182">
        <v>167</v>
      </c>
      <c r="N182" s="62" t="s">
        <v>244</v>
      </c>
      <c r="O182" s="62" t="s">
        <v>244</v>
      </c>
      <c r="P182" s="62" t="s">
        <v>244</v>
      </c>
      <c r="Q182" s="62" t="s">
        <v>244</v>
      </c>
      <c r="R182" s="62" t="s">
        <v>244</v>
      </c>
      <c r="S182" s="191"/>
      <c r="T182" s="62" t="s">
        <v>244</v>
      </c>
      <c r="U182" s="61">
        <v>141</v>
      </c>
      <c r="V182" s="62" t="s">
        <v>244</v>
      </c>
      <c r="W182" s="62" t="s">
        <v>244</v>
      </c>
      <c r="X182" s="62" t="s">
        <v>244</v>
      </c>
      <c r="Y182" s="62" t="s">
        <v>244</v>
      </c>
      <c r="Z182" s="62" t="s">
        <v>244</v>
      </c>
      <c r="AA182" s="62" t="s">
        <v>244</v>
      </c>
      <c r="AB182" s="62" t="s">
        <v>244</v>
      </c>
      <c r="AC182" s="62" t="s">
        <v>244</v>
      </c>
      <c r="AD182" s="62" t="s">
        <v>244</v>
      </c>
      <c r="AE182" s="62" t="s">
        <v>244</v>
      </c>
      <c r="AF182" s="163" t="s">
        <v>244</v>
      </c>
      <c r="AG182" s="163" t="s">
        <v>244</v>
      </c>
      <c r="AH182" s="163" t="s">
        <v>244</v>
      </c>
      <c r="AI182" s="163"/>
      <c r="AJ182" s="163"/>
      <c r="AK182" s="163"/>
      <c r="AL182" s="163"/>
      <c r="AM182" s="163"/>
      <c r="AN182" s="163"/>
      <c r="AO182" s="163"/>
      <c r="AP182" s="163"/>
      <c r="AQ182" s="163"/>
      <c r="AR182" s="163"/>
      <c r="AS182" s="163"/>
      <c r="AT182" s="163"/>
      <c r="AU182" s="163"/>
      <c r="AV182" s="163"/>
      <c r="AW182" s="163"/>
      <c r="AX182" s="163"/>
      <c r="AY182" s="163"/>
      <c r="AZ182" s="163"/>
      <c r="BA182" s="163"/>
      <c r="BB182" s="163"/>
      <c r="BC182" s="163" t="b">
        <v>0</v>
      </c>
      <c r="BD182" s="163" t="b">
        <v>1</v>
      </c>
      <c r="BE182" s="163" t="b">
        <v>1</v>
      </c>
      <c r="BF182" s="163" t="b">
        <v>0</v>
      </c>
      <c r="BG182" s="164" t="b">
        <v>0</v>
      </c>
      <c r="BH182" s="163" t="b">
        <v>1</v>
      </c>
      <c r="BI182" s="163"/>
      <c r="BJ182" s="163"/>
      <c r="BK182" s="163"/>
      <c r="BL182" s="163"/>
      <c r="BM182" s="163"/>
      <c r="BN182" s="163"/>
      <c r="BO182" s="163"/>
      <c r="BP182" s="163"/>
      <c r="BQ182" s="163" t="b">
        <v>0</v>
      </c>
      <c r="BR182" s="163"/>
      <c r="BS182" s="163"/>
      <c r="BT182" s="163"/>
      <c r="BU182" s="163"/>
      <c r="BV182" s="163"/>
      <c r="BW182" s="163"/>
      <c r="BX182" s="163"/>
      <c r="BY182" s="163"/>
      <c r="BZ182" s="163"/>
      <c r="CA182" s="163"/>
      <c r="CB182" s="163"/>
      <c r="CC182" s="163"/>
      <c r="CD182" s="163"/>
      <c r="CE182" s="163"/>
      <c r="CF182" s="163"/>
      <c r="CG182" s="163"/>
      <c r="CH182" s="163"/>
      <c r="CI182" s="163"/>
      <c r="CJ182" s="163"/>
      <c r="CK182" s="163"/>
      <c r="CL182" s="163"/>
      <c r="CM182" s="163"/>
      <c r="CN182" s="163"/>
      <c r="CO182" s="163"/>
      <c r="CP182" s="163"/>
      <c r="CQ182" s="163"/>
      <c r="CR182" s="163"/>
      <c r="CS182" s="163"/>
      <c r="CT182" s="163"/>
      <c r="CU182" s="163"/>
      <c r="CV182" s="163"/>
      <c r="CW182" s="163"/>
      <c r="CX182" s="163"/>
      <c r="CY182" s="163"/>
      <c r="CZ182" s="163"/>
      <c r="DA182" s="163"/>
      <c r="DB182" s="163"/>
      <c r="DC182" s="163"/>
      <c r="DD182" s="163"/>
      <c r="DE182" s="163"/>
      <c r="DF182" s="163"/>
      <c r="DG182" s="208"/>
      <c r="DH182" s="163"/>
      <c r="DI182" s="163"/>
      <c r="DJ182" s="163"/>
      <c r="DK182" s="163"/>
      <c r="DL182" s="163"/>
      <c r="DM182" s="163"/>
      <c r="DN182" s="163"/>
      <c r="DO182" s="163"/>
      <c r="DP182" s="163"/>
      <c r="DQ182" s="163"/>
      <c r="DR182" s="163"/>
      <c r="DS182" s="163"/>
      <c r="DT182" s="163"/>
      <c r="DU182" s="163"/>
      <c r="DV182" s="163"/>
      <c r="DW182" s="163"/>
      <c r="DX182" s="163"/>
      <c r="DY182" s="163"/>
      <c r="DZ182" s="163"/>
      <c r="EA182" s="163"/>
      <c r="EB182" s="163"/>
      <c r="EC182" s="163"/>
      <c r="ED182" s="163"/>
      <c r="EE182" s="163"/>
      <c r="EF182" s="163"/>
      <c r="EG182" s="163"/>
      <c r="EH182" s="160">
        <f>IF([Chambre]*1='CHAMBRES FILLES 2e ETAGE'!$A$5,1,0)</f>
        <v>0</v>
      </c>
      <c r="EI182" s="161">
        <f>IF([Occurrence2]=0,0,SUM($EH$2:EH182))</f>
        <v>0</v>
      </c>
      <c r="EJ182" s="160">
        <f>IF([Chambre]*1='CHAMBRES FILLES 2e ETAGE'!$A$11,1,0)</f>
        <v>0</v>
      </c>
      <c r="EK182" s="160">
        <f>IF([Occurrence3]=0,0,SUM($EJ$2:EJ182))</f>
        <v>0</v>
      </c>
      <c r="EL182" s="160">
        <f>IF([Chambre]*1='CHAMBRES FILLES 2e ETAGE'!$A$17,1,0)</f>
        <v>0</v>
      </c>
      <c r="EM182" s="160">
        <f>IF([Occurrence4]=0,0,SUM($EL$2:EL182))</f>
        <v>0</v>
      </c>
      <c r="EN182" s="160">
        <f>IF([Chambre]*1='CHAMBRES FILLES 2e ETAGE'!$A$23,1,0)</f>
        <v>0</v>
      </c>
      <c r="EO182" s="160">
        <f>IF([Occurrence5]=0,0,SUM($EN$2:EN182))</f>
        <v>0</v>
      </c>
      <c r="EP182" s="160">
        <f>IF([Chambre]*1='CHAMBRES FILLES 2e ETAGE'!$A$29,1,0)</f>
        <v>0</v>
      </c>
      <c r="EQ182" s="160">
        <f>IF([Occurrence6]=0,0,SUM($EP$2:EP182))</f>
        <v>0</v>
      </c>
      <c r="ER182" s="160">
        <f>IF([Chambre]*1='CHAMBRES FILLES 2e ETAGE'!$A$35,1,0)</f>
        <v>0</v>
      </c>
      <c r="ES182" s="160">
        <f>IF([Occurrence7]=0,0,SUM($ER$2:ER182))</f>
        <v>0</v>
      </c>
      <c r="ET182" s="160">
        <f>IF([Chambre]*1='CHAMBRES FILLES 2e ETAGE'!$A$41,1,0)</f>
        <v>0</v>
      </c>
      <c r="EU182" s="160">
        <f>IF([Occurrence8]=0,0,SUM($ET$2:ET182))</f>
        <v>0</v>
      </c>
      <c r="EV182" s="160">
        <f>IF([Chambre]*1='CHAMBRES FILLES 2e ETAGE'!$A$47,1,0)</f>
        <v>0</v>
      </c>
      <c r="EW182" s="160">
        <f>IF([Occurrence9]=0,0,SUM($EV$2:EV182))</f>
        <v>0</v>
      </c>
      <c r="EX182" s="160">
        <f>IF([Chambre]*1='CHAMBRES FILLES 2e ETAGE'!$A$53,1,0)</f>
        <v>0</v>
      </c>
      <c r="EY182" s="160">
        <f>IF([Occurrence10]=0,0,SUM($EX$2:EX182))</f>
        <v>0</v>
      </c>
      <c r="EZ182" s="160">
        <f>IF([Chambre]*1='CHAMBRES FILLES 2e ETAGE'!$A$59,1,0)</f>
        <v>0</v>
      </c>
      <c r="FA182" s="160">
        <f>IF([Occurrence11]=0,0,SUM($EZ$2:EZ182))</f>
        <v>0</v>
      </c>
      <c r="FB182" s="160">
        <f>IF([Chambre]*1='CHAMBRES FILLES 2e ETAGE'!$A$65,1,0)</f>
        <v>0</v>
      </c>
      <c r="FC182" s="160">
        <f>IF([Occurrence12]=0,0,SUM($FB$2:FB182))</f>
        <v>0</v>
      </c>
      <c r="FD182" s="160">
        <f>IF([Chambre]*1='CHAMBRES FILLES 2e ETAGE'!$A$71,1,0)</f>
        <v>0</v>
      </c>
      <c r="FE182" s="160">
        <f>IF([Occurrence13]=0,0,SUM($FD$2:FD182))</f>
        <v>0</v>
      </c>
      <c r="FF182" s="160">
        <f>IF([Chambre]*1='CHAMBRES FILLES 2e ETAGE'!$A$77,1,0)</f>
        <v>0</v>
      </c>
      <c r="FG182" s="160">
        <f>IF([Occurrence14]=0,0,SUM($FF$2:FF182))</f>
        <v>0</v>
      </c>
      <c r="FH182" s="160">
        <f>IF([Chambre]*1='CHAMBRES FILLES 2e ETAGE'!$A$83,1,0)</f>
        <v>0</v>
      </c>
      <c r="FI182" s="160">
        <f>IF([Occurrence15]=0,0,SUM($FH$2:FH182))</f>
        <v>0</v>
      </c>
      <c r="FJ182" s="160">
        <f>IF([Chambre]*1='CHAMBRES FILLES 2e ETAGE'!$A$89,1,0)</f>
        <v>0</v>
      </c>
      <c r="FK182" s="160">
        <f>IF([Occurrence16]=0,0,SUM($FJ$2:FJ182))</f>
        <v>0</v>
      </c>
      <c r="FL182" s="160">
        <f>IF([Chambre]*1='CHAMBRES FILLES 2e ETAGE'!$A$95,1,0)</f>
        <v>0</v>
      </c>
      <c r="FM182" s="160">
        <f>IF([Occurrence17]=0,0,SUM($FL$2:FL182))</f>
        <v>0</v>
      </c>
      <c r="FN182" s="160">
        <f>IF([Chambre2]*1='CHAMBRES FILLES 1e ETAGE'!$A$5,1,0)</f>
        <v>0</v>
      </c>
      <c r="FO182" s="160">
        <f>IF([Occurrence18]=0,0,SUM($FN$2:FN182))</f>
        <v>0</v>
      </c>
      <c r="FP182" s="160">
        <f>IF([Chambre2]*1='CHAMBRES FILLES 1e ETAGE'!$A$11,1,0)</f>
        <v>0</v>
      </c>
      <c r="FQ182" s="160">
        <f>IF([Occurrence19]=0,0,SUM($FP$2:FP182))</f>
        <v>0</v>
      </c>
      <c r="FR182" s="160">
        <f>IF([Chambre2]*1='CHAMBRES FILLES 1e ETAGE'!$A$17,1,0)</f>
        <v>0</v>
      </c>
      <c r="FS182" s="160">
        <f>IF([Occurrence20]=0,0,SUM($FR$2:FR182))</f>
        <v>0</v>
      </c>
      <c r="FT182" s="160">
        <f>IF([Chambre2]*1='CHAMBRES FILLES 1e ETAGE'!$A$23,1,0)</f>
        <v>1</v>
      </c>
      <c r="FU182" s="160">
        <f>IF([Occurrence21]=0,0,SUM($FT$2:FT182))</f>
        <v>3</v>
      </c>
      <c r="FV182" s="160">
        <f>IF([Chambre2]*1='CHAMBRES FILLES 1e ETAGE'!$A$29,1,0)</f>
        <v>0</v>
      </c>
      <c r="FW182" s="160">
        <f>IF([Occurrence22]=0,0,SUM($FV$2:FV182))</f>
        <v>0</v>
      </c>
      <c r="FX182" s="160">
        <f>IF([Chambre2]*1='CHAMBRES FILLES 1e ETAGE'!$A$35,1,0)</f>
        <v>0</v>
      </c>
      <c r="FY182" s="160">
        <f>IF([Occurrence23]=0,0,SUM($FX$2:FX182))</f>
        <v>0</v>
      </c>
      <c r="FZ182" s="160">
        <f>IF([Chambre2]*1='CHAMBRES FILLES 1e ETAGE'!$A$41,1,0)</f>
        <v>0</v>
      </c>
      <c r="GA182" s="160">
        <f>IF([Occurrence24]=0,0,SUM($FZ$2:FZ182))</f>
        <v>0</v>
      </c>
      <c r="GB182" s="160">
        <f>IF([Chambre2]*1='CHAMBRES FILLES 1e ETAGE'!$A$47,1,0)</f>
        <v>0</v>
      </c>
      <c r="GC182" s="160">
        <f>IF([Occurrence25]=0,0,SUM($GB$2:GB182))</f>
        <v>0</v>
      </c>
      <c r="GD182" s="160">
        <f>IF([Chambre2]*1='CHAMBRES FILLES 1e ETAGE'!$A$53,1,0)</f>
        <v>0</v>
      </c>
      <c r="GE182" s="160">
        <f>IF([Occurrence26]=0,0,SUM($GD$2:GD182))</f>
        <v>0</v>
      </c>
      <c r="GF182" s="160">
        <f>IF([chambre4]*1='CHAMBRES GARCONS 1e ETAGE'!$A$5,1,0)</f>
        <v>0</v>
      </c>
      <c r="GG182" s="160">
        <f>IF([Occurrence27]=0,0,SUM($GF$2:GF182))</f>
        <v>0</v>
      </c>
      <c r="GH182" s="160">
        <f>IF([chambre4]*1='CHAMBRES GARCONS 1e ETAGE'!$A$11,1,0)</f>
        <v>0</v>
      </c>
      <c r="GI182" s="160">
        <f>IF([Occurrence28]=0,0,SUM($GH$2:GH182))</f>
        <v>0</v>
      </c>
      <c r="GJ182" s="160">
        <f>IF([chambre4]*1='CHAMBRES GARCONS 1e ETAGE'!$A$17,1,0)</f>
        <v>0</v>
      </c>
      <c r="GK182" s="160">
        <f>IF([Occurrence29]=0,0,SUM($GJ$2:GJ182))</f>
        <v>0</v>
      </c>
      <c r="GL182" s="160">
        <f>IF([chambre4]*1='CHAMBRES GARCONS 1e ETAGE'!$A$23,1,0)</f>
        <v>0</v>
      </c>
      <c r="GM182" s="160">
        <f>IF([Occurrence30]=0,0,SUM($GL$2:GL182))</f>
        <v>0</v>
      </c>
      <c r="GN182" s="160">
        <f>IF([chambre4]*1='CHAMBRES GARCONS 1e ETAGE'!$A$29,1,0)</f>
        <v>0</v>
      </c>
      <c r="GO182" s="160">
        <f>IF([Occurrence31]=0,0,SUM($GN$2:GN182))</f>
        <v>0</v>
      </c>
      <c r="GP182" s="160">
        <f>IF([chambre4]*1='CHAMBRES GARCONS 1e ETAGE'!$A$35,1,0)</f>
        <v>0</v>
      </c>
      <c r="GQ182" s="160">
        <f>IF([Occurrence32]=0,0,SUM($GP$2:GP182))</f>
        <v>0</v>
      </c>
      <c r="GR182" s="160">
        <f>IF([chambre3]*1='CHAMBRES GARCONS RDC'!$A$5,1,0)</f>
        <v>0</v>
      </c>
      <c r="GS182" s="160">
        <f>IF([Occurrence33]=0,0,SUM($GR$2:GR182))</f>
        <v>0</v>
      </c>
      <c r="GT182" s="160">
        <f>IF([chambre3]*1='CHAMBRES GARCONS RDC'!$A$11,1,0)</f>
        <v>0</v>
      </c>
      <c r="GU182" s="160">
        <f>IF([Occurrence34]=0,0,SUM($GT$2:GT182))</f>
        <v>0</v>
      </c>
      <c r="GV182" s="160">
        <f>IF([chambre3]*1='CHAMBRES GARCONS RDC'!$A$17,1,0)</f>
        <v>0</v>
      </c>
      <c r="GW182" s="160">
        <f>IF([Occurrence35]=0,0,SUM($GV$2:GV182))</f>
        <v>0</v>
      </c>
      <c r="GX182" s="160">
        <f>IF([chambre3]*1='CHAMBRES GARCONS RDC'!$A$23,1,0)</f>
        <v>0</v>
      </c>
      <c r="GY182" s="160">
        <f>IF([Occurrence36]=0,0,SUM($GX$2:GX182))</f>
        <v>0</v>
      </c>
      <c r="GZ182" s="160">
        <f>IF([chambre3]*1='CHAMBRES GARCONS RDC'!$A$29,1,0)</f>
        <v>0</v>
      </c>
      <c r="HA182" s="160">
        <f>IF([Occurrence37]=0,0,SUM($GZ$2:GZ182))</f>
        <v>0</v>
      </c>
      <c r="HB182" s="160">
        <f>IF([chambre3]*1='CHAMBRES GARCONS RDC'!$A$35,1,0)</f>
        <v>0</v>
      </c>
      <c r="HC182" s="160">
        <f>IF([Occurrence38]=0,0,SUM($HB$2:HB182))</f>
        <v>0</v>
      </c>
      <c r="HD182" s="160">
        <f>IF([chambre3]*1='CHAMBRES GARCONS RDC'!$A$41,1,0)</f>
        <v>0</v>
      </c>
      <c r="HE182" s="160">
        <f>IF([Occurrence39]=0,0,SUM($HD$2:HD182))</f>
        <v>0</v>
      </c>
      <c r="HF182" s="160">
        <f>IF([chambre3]*1='CHAMBRES GARCONS RDC'!$A$47,1,0)</f>
        <v>0</v>
      </c>
      <c r="HG182" s="160">
        <f>IF([Occurrence40]=0,0,SUM($HF$2:HF182))</f>
        <v>0</v>
      </c>
      <c r="HH182" s="160">
        <f>IF([chambre3]*1='CHAMBRES GARCONS RDC'!$A$53,1,0)</f>
        <v>0</v>
      </c>
      <c r="HI182" s="160">
        <f>IF([Occurrence41]=0,0,SUM($HH$2:HH182))</f>
        <v>0</v>
      </c>
      <c r="HJ182" s="160">
        <f>IF([chambre3]*1='CHAMBRES GARCONS RDC'!$A$59,1,0)</f>
        <v>0</v>
      </c>
      <c r="HK182" s="160">
        <f>IF([Occurrence42]=0,0,SUM($HJ$2:HJ182))</f>
        <v>0</v>
      </c>
      <c r="HL182" s="160">
        <f>IF([chambre3]*1='CHAMBRES GARCONS RDC'!$A$65,1,0)</f>
        <v>0</v>
      </c>
      <c r="HM182" s="160">
        <f>IF([Occurrence43]=0,0,SUM($HL$2:HL182))</f>
        <v>0</v>
      </c>
      <c r="HN182" s="160">
        <f>IF([chambre3]*1='CHAMBRES GARCONS RDC'!$A$71,1,0)</f>
        <v>0</v>
      </c>
      <c r="HO182" s="160">
        <f>IF([Occurrence44]=0,0,SUM($HN$2:HN182))</f>
        <v>0</v>
      </c>
      <c r="HP182" s="160">
        <f>IF([chambre3]*1='CHAMBRES GARCONS RDC'!$A$77,1,0)</f>
        <v>0</v>
      </c>
      <c r="HQ182" s="160">
        <f>IF([Occurrence45]=0,0,SUM($HP$2:HP182))</f>
        <v>0</v>
      </c>
      <c r="HR182" s="160">
        <f>IF([chambre3]*1='CHAMBRES GARCONS RDC'!$A$83,1,0)</f>
        <v>0</v>
      </c>
      <c r="HS182" s="160">
        <f>IF([Occurrence46]=0,0,SUM($HR$2:HR182))</f>
        <v>0</v>
      </c>
      <c r="HT182" s="160">
        <f>IF([chambre3]*1='CHAMBRES GARCONS RDC'!$A$89,1,0)</f>
        <v>0</v>
      </c>
      <c r="HU182" s="160">
        <f>IF([Occurrence47]=0,0,SUM($HT$2:HT182))</f>
        <v>0</v>
      </c>
      <c r="HV182" s="160">
        <f>IF([chambre3]*1='CHAMBRES GARCONS RDC'!$A$95,1,0)</f>
        <v>0</v>
      </c>
      <c r="HW182" s="160">
        <f>IF([Occurrence48]=0,0,SUM($HV$2:HV182))</f>
        <v>0</v>
      </c>
      <c r="HX182" s="160"/>
      <c r="HY182" s="160"/>
      <c r="HZ182" s="160">
        <f>IF([Classe]='Liste élève par classes'!$B$5,1,0)</f>
        <v>0</v>
      </c>
      <c r="IA182" s="160">
        <f>IF([Occurrence]=0,0,SUM($HZ$2:HZ182))</f>
        <v>0</v>
      </c>
      <c r="IB18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141</v>
      </c>
      <c r="IC182" s="208"/>
    </row>
    <row r="183" spans="1:237">
      <c r="A183" t="s">
        <v>553</v>
      </c>
      <c r="B183" t="s">
        <v>554</v>
      </c>
      <c r="C183" s="158">
        <v>36075</v>
      </c>
      <c r="D183" s="62">
        <f t="shared" ca="1" si="2"/>
        <v>19</v>
      </c>
      <c r="E183" t="s">
        <v>4</v>
      </c>
      <c r="F183" s="159" t="s">
        <v>41</v>
      </c>
      <c r="G183" t="s">
        <v>45</v>
      </c>
      <c r="H183" s="160"/>
      <c r="I183" s="161"/>
      <c r="J183" s="161"/>
      <c r="K183" s="161"/>
      <c r="L183" s="160"/>
      <c r="M183" s="161"/>
      <c r="N183" s="161"/>
      <c r="O183" s="161"/>
      <c r="P183" s="161"/>
      <c r="Q183" s="161"/>
      <c r="R183" s="161"/>
      <c r="S183" s="161"/>
      <c r="T183" s="161"/>
      <c r="U183" s="160"/>
      <c r="V183" s="161"/>
      <c r="W183" s="161"/>
      <c r="X183" s="161"/>
      <c r="Y183" s="161"/>
      <c r="Z183" s="161"/>
      <c r="AA183" s="161"/>
      <c r="AB183" s="161"/>
      <c r="AC183" s="161"/>
      <c r="AD183" s="161"/>
      <c r="AE183" s="161"/>
      <c r="AF183" s="163"/>
      <c r="AG183" s="163"/>
      <c r="AH183" s="163"/>
      <c r="AI183" s="163"/>
      <c r="AJ183" s="163"/>
      <c r="AK183" s="163"/>
      <c r="AL183" s="163"/>
      <c r="AM183" s="163"/>
      <c r="AN183" s="163"/>
      <c r="AO183" s="163"/>
      <c r="AP183" s="163"/>
      <c r="AQ183" s="163"/>
      <c r="AR183" s="163"/>
      <c r="AS183" s="163"/>
      <c r="AT183" s="163"/>
      <c r="AU183" s="163"/>
      <c r="AV183" s="163"/>
      <c r="AW183" s="163"/>
      <c r="AX183" s="163"/>
      <c r="AY183" s="163"/>
      <c r="AZ183" s="163"/>
      <c r="BA183" s="163"/>
      <c r="BB183" s="163"/>
      <c r="BC183" s="163" t="b">
        <v>0</v>
      </c>
      <c r="BD183" s="163" t="b">
        <v>0</v>
      </c>
      <c r="BE183" s="163" t="b">
        <v>0</v>
      </c>
      <c r="BF183" s="163" t="b">
        <v>0</v>
      </c>
      <c r="BG183" s="163" t="b">
        <v>0</v>
      </c>
      <c r="BH183" s="163" t="b">
        <v>0</v>
      </c>
      <c r="BI183" s="163" t="b">
        <v>1</v>
      </c>
      <c r="BJ183" s="163" t="b">
        <v>0</v>
      </c>
      <c r="BK183" s="163" t="b">
        <v>0</v>
      </c>
      <c r="BL183" s="163" t="b">
        <v>0</v>
      </c>
      <c r="BM183" s="163"/>
      <c r="BN183" s="163"/>
      <c r="BO183" s="163"/>
      <c r="BP183" s="163"/>
      <c r="BQ183" s="163"/>
      <c r="BR183" s="163"/>
      <c r="BS183" s="163"/>
      <c r="BT183" s="163"/>
      <c r="BU183" s="163"/>
      <c r="BV183" s="163"/>
      <c r="BW183" s="163"/>
      <c r="BX183" s="163"/>
      <c r="BY183" s="163"/>
      <c r="BZ183" s="163"/>
      <c r="CA183" s="163"/>
      <c r="CB183" s="163"/>
      <c r="CC183" s="163"/>
      <c r="CD183" s="163"/>
      <c r="CE183" s="163"/>
      <c r="CF183" s="163"/>
      <c r="CG183" s="163"/>
      <c r="CH183" s="163"/>
      <c r="CI183" s="163"/>
      <c r="CJ183" s="163"/>
      <c r="CK183" s="163"/>
      <c r="CL183" s="163"/>
      <c r="CM183" s="163"/>
      <c r="CN183" s="163"/>
      <c r="CO183" s="163"/>
      <c r="CP183" s="163"/>
      <c r="CQ183" s="163"/>
      <c r="CR183" s="163"/>
      <c r="CS183" s="163"/>
      <c r="CT183" s="163"/>
      <c r="CU183" s="163"/>
      <c r="CV183" s="163"/>
      <c r="CW183" s="163"/>
      <c r="CX183" s="163"/>
      <c r="CY183" s="163"/>
      <c r="CZ183" s="163"/>
      <c r="DA183" s="163"/>
      <c r="DB183" s="163"/>
      <c r="DC183" s="163"/>
      <c r="DD183" s="163"/>
      <c r="DE183" s="163"/>
      <c r="DF183" s="163"/>
      <c r="DG183" s="163"/>
      <c r="DH183" s="163"/>
      <c r="DI183" s="163"/>
      <c r="DJ183" s="163"/>
      <c r="DK183" s="163"/>
      <c r="DL183" s="163"/>
      <c r="DM183" s="163"/>
      <c r="DN183" s="163"/>
      <c r="DO183" s="163"/>
      <c r="DP183" s="163"/>
      <c r="DQ183" s="163"/>
      <c r="DR183" s="163"/>
      <c r="DS183" s="163"/>
      <c r="DT183" s="163"/>
      <c r="DU183" s="163"/>
      <c r="DV183" s="163"/>
      <c r="DW183" s="163"/>
      <c r="DX183" s="163"/>
      <c r="DY183" s="163"/>
      <c r="DZ183" s="163"/>
      <c r="EA183" s="163"/>
      <c r="EB183" s="163"/>
      <c r="EC183" s="163"/>
      <c r="ED183" s="163"/>
      <c r="EE183" s="163"/>
      <c r="EF183" s="163"/>
      <c r="EG183" s="163"/>
      <c r="EH183" s="160">
        <f>IF([Chambre]*1='CHAMBRES FILLES 2e ETAGE'!$A$5,1,0)</f>
        <v>0</v>
      </c>
      <c r="EI183" s="161">
        <f>IF([Occurrence2]=0,0,SUM($EH$2:EH183))</f>
        <v>0</v>
      </c>
      <c r="EJ183" s="160">
        <f>IF([Chambre]*1='CHAMBRES FILLES 2e ETAGE'!$A$11,1,0)</f>
        <v>0</v>
      </c>
      <c r="EK183" s="160">
        <f>IF([Occurrence3]=0,0,SUM($EJ$2:EJ183))</f>
        <v>0</v>
      </c>
      <c r="EL183" s="160">
        <f>IF([Chambre]*1='CHAMBRES FILLES 2e ETAGE'!$A$17,1,0)</f>
        <v>0</v>
      </c>
      <c r="EM183" s="160">
        <f>IF([Occurrence4]=0,0,SUM($EL$2:EL183))</f>
        <v>0</v>
      </c>
      <c r="EN183" s="160">
        <f>IF([Chambre]*1='CHAMBRES FILLES 2e ETAGE'!$A$23,1,0)</f>
        <v>0</v>
      </c>
      <c r="EO183" s="160">
        <f>IF([Occurrence5]=0,0,SUM($EN$2:EN183))</f>
        <v>0</v>
      </c>
      <c r="EP183" s="160">
        <f>IF([Chambre]*1='CHAMBRES FILLES 2e ETAGE'!$A$29,1,0)</f>
        <v>0</v>
      </c>
      <c r="EQ183" s="160">
        <f>IF([Occurrence6]=0,0,SUM($EP$2:EP183))</f>
        <v>0</v>
      </c>
      <c r="ER183" s="160">
        <f>IF([Chambre]*1='CHAMBRES FILLES 2e ETAGE'!$A$35,1,0)</f>
        <v>0</v>
      </c>
      <c r="ES183" s="160">
        <f>IF([Occurrence7]=0,0,SUM($ER$2:ER183))</f>
        <v>0</v>
      </c>
      <c r="ET183" s="160">
        <f>IF([Chambre]*1='CHAMBRES FILLES 2e ETAGE'!$A$41,1,0)</f>
        <v>0</v>
      </c>
      <c r="EU183" s="160">
        <f>IF([Occurrence8]=0,0,SUM($ET$2:ET183))</f>
        <v>0</v>
      </c>
      <c r="EV183" s="160">
        <f>IF([Chambre]*1='CHAMBRES FILLES 2e ETAGE'!$A$47,1,0)</f>
        <v>0</v>
      </c>
      <c r="EW183" s="160">
        <f>IF([Occurrence9]=0,0,SUM($EV$2:EV183))</f>
        <v>0</v>
      </c>
      <c r="EX183" s="160">
        <f>IF([Chambre]*1='CHAMBRES FILLES 2e ETAGE'!$A$53,1,0)</f>
        <v>0</v>
      </c>
      <c r="EY183" s="160">
        <f>IF([Occurrence10]=0,0,SUM($EX$2:EX183))</f>
        <v>0</v>
      </c>
      <c r="EZ183" s="160">
        <f>IF([Chambre]*1='CHAMBRES FILLES 2e ETAGE'!$A$59,1,0)</f>
        <v>0</v>
      </c>
      <c r="FA183" s="160">
        <f>IF([Occurrence11]=0,0,SUM($EZ$2:EZ183))</f>
        <v>0</v>
      </c>
      <c r="FB183" s="160">
        <f>IF([Chambre]*1='CHAMBRES FILLES 2e ETAGE'!$A$65,1,0)</f>
        <v>0</v>
      </c>
      <c r="FC183" s="160">
        <f>IF([Occurrence12]=0,0,SUM($FB$2:FB183))</f>
        <v>0</v>
      </c>
      <c r="FD183" s="160">
        <f>IF([Chambre]*1='CHAMBRES FILLES 2e ETAGE'!$A$71,1,0)</f>
        <v>0</v>
      </c>
      <c r="FE183" s="160">
        <f>IF([Occurrence13]=0,0,SUM($FD$2:FD183))</f>
        <v>0</v>
      </c>
      <c r="FF183" s="160">
        <f>IF([Chambre]*1='CHAMBRES FILLES 2e ETAGE'!$A$77,1,0)</f>
        <v>0</v>
      </c>
      <c r="FG183" s="160">
        <f>IF([Occurrence14]=0,0,SUM($FF$2:FF183))</f>
        <v>0</v>
      </c>
      <c r="FH183" s="160">
        <f>IF([Chambre]*1='CHAMBRES FILLES 2e ETAGE'!$A$83,1,0)</f>
        <v>0</v>
      </c>
      <c r="FI183" s="160">
        <f>IF([Occurrence15]=0,0,SUM($FH$2:FH183))</f>
        <v>0</v>
      </c>
      <c r="FJ183" s="160">
        <f>IF([Chambre]*1='CHAMBRES FILLES 2e ETAGE'!$A$89,1,0)</f>
        <v>0</v>
      </c>
      <c r="FK183" s="160">
        <f>IF([Occurrence16]=0,0,SUM($FJ$2:FJ183))</f>
        <v>0</v>
      </c>
      <c r="FL183" s="160">
        <f>IF([Chambre]*1='CHAMBRES FILLES 2e ETAGE'!$A$95,1,0)</f>
        <v>0</v>
      </c>
      <c r="FM183" s="160">
        <f>IF([Occurrence17]=0,0,SUM($FL$2:FL183))</f>
        <v>0</v>
      </c>
      <c r="FN183" s="160">
        <f>IF([Chambre2]*1='CHAMBRES FILLES 1e ETAGE'!$A$5,1,0)</f>
        <v>0</v>
      </c>
      <c r="FO183" s="160">
        <f>IF([Occurrence18]=0,0,SUM($FN$2:FN183))</f>
        <v>0</v>
      </c>
      <c r="FP183" s="160">
        <f>IF([Chambre2]*1='CHAMBRES FILLES 1e ETAGE'!$A$11,1,0)</f>
        <v>0</v>
      </c>
      <c r="FQ183" s="160">
        <f>IF([Occurrence19]=0,0,SUM($FP$2:FP183))</f>
        <v>0</v>
      </c>
      <c r="FR183" s="160">
        <f>IF([Chambre2]*1='CHAMBRES FILLES 1e ETAGE'!$A$17,1,0)</f>
        <v>0</v>
      </c>
      <c r="FS183" s="160">
        <f>IF([Occurrence20]=0,0,SUM($FR$2:FR183))</f>
        <v>0</v>
      </c>
      <c r="FT183" s="160">
        <f>IF([Chambre2]*1='CHAMBRES FILLES 1e ETAGE'!$A$23,1,0)</f>
        <v>0</v>
      </c>
      <c r="FU183" s="160">
        <f>IF([Occurrence21]=0,0,SUM($FT$2:FT183))</f>
        <v>0</v>
      </c>
      <c r="FV183" s="160">
        <f>IF([Chambre2]*1='CHAMBRES FILLES 1e ETAGE'!$A$29,1,0)</f>
        <v>0</v>
      </c>
      <c r="FW183" s="160">
        <f>IF([Occurrence22]=0,0,SUM($FV$2:FV183))</f>
        <v>0</v>
      </c>
      <c r="FX183" s="160">
        <f>IF([Chambre2]*1='CHAMBRES FILLES 1e ETAGE'!$A$35,1,0)</f>
        <v>0</v>
      </c>
      <c r="FY183" s="160">
        <f>IF([Occurrence23]=0,0,SUM($FX$2:FX183))</f>
        <v>0</v>
      </c>
      <c r="FZ183" s="160">
        <f>IF([Chambre2]*1='CHAMBRES FILLES 1e ETAGE'!$A$41,1,0)</f>
        <v>0</v>
      </c>
      <c r="GA183" s="160">
        <f>IF([Occurrence24]=0,0,SUM($FZ$2:FZ183))</f>
        <v>0</v>
      </c>
      <c r="GB183" s="160">
        <f>IF([Chambre2]*1='CHAMBRES FILLES 1e ETAGE'!$A$47,1,0)</f>
        <v>0</v>
      </c>
      <c r="GC183" s="160">
        <f>IF([Occurrence25]=0,0,SUM($GB$2:GB183))</f>
        <v>0</v>
      </c>
      <c r="GD183" s="160">
        <f>IF([Chambre2]*1='CHAMBRES FILLES 1e ETAGE'!$A$53,1,0)</f>
        <v>0</v>
      </c>
      <c r="GE183" s="160">
        <f>IF([Occurrence26]=0,0,SUM($GD$2:GD183))</f>
        <v>0</v>
      </c>
      <c r="GF183" s="160">
        <f>IF([chambre4]*1='CHAMBRES GARCONS 1e ETAGE'!$A$5,1,0)</f>
        <v>0</v>
      </c>
      <c r="GG183" s="160">
        <f>IF([Occurrence27]=0,0,SUM($GF$2:GF183))</f>
        <v>0</v>
      </c>
      <c r="GH183" s="160">
        <f>IF([chambre4]*1='CHAMBRES GARCONS 1e ETAGE'!$A$11,1,0)</f>
        <v>0</v>
      </c>
      <c r="GI183" s="160">
        <f>IF([Occurrence28]=0,0,SUM($GH$2:GH183))</f>
        <v>0</v>
      </c>
      <c r="GJ183" s="160">
        <f>IF([chambre4]*1='CHAMBRES GARCONS 1e ETAGE'!$A$17,1,0)</f>
        <v>0</v>
      </c>
      <c r="GK183" s="160">
        <f>IF([Occurrence29]=0,0,SUM($GJ$2:GJ183))</f>
        <v>0</v>
      </c>
      <c r="GL183" s="160">
        <f>IF([chambre4]*1='CHAMBRES GARCONS 1e ETAGE'!$A$23,1,0)</f>
        <v>0</v>
      </c>
      <c r="GM183" s="160">
        <f>IF([Occurrence30]=0,0,SUM($GL$2:GL183))</f>
        <v>0</v>
      </c>
      <c r="GN183" s="160">
        <f>IF([chambre4]*1='CHAMBRES GARCONS 1e ETAGE'!$A$29,1,0)</f>
        <v>0</v>
      </c>
      <c r="GO183" s="160">
        <f>IF([Occurrence31]=0,0,SUM($GN$2:GN183))</f>
        <v>0</v>
      </c>
      <c r="GP183" s="160">
        <f>IF([chambre4]*1='CHAMBRES GARCONS 1e ETAGE'!$A$35,1,0)</f>
        <v>0</v>
      </c>
      <c r="GQ183" s="160">
        <f>IF([Occurrence32]=0,0,SUM($GP$2:GP183))</f>
        <v>0</v>
      </c>
      <c r="GR183" s="160">
        <f>IF([chambre3]*1='CHAMBRES GARCONS RDC'!$A$5,1,0)</f>
        <v>0</v>
      </c>
      <c r="GS183" s="160">
        <f>IF([Occurrence33]=0,0,SUM($GR$2:GR183))</f>
        <v>0</v>
      </c>
      <c r="GT183" s="160">
        <f>IF([chambre3]*1='CHAMBRES GARCONS RDC'!$A$11,1,0)</f>
        <v>0</v>
      </c>
      <c r="GU183" s="160">
        <f>IF([Occurrence34]=0,0,SUM($GT$2:GT183))</f>
        <v>0</v>
      </c>
      <c r="GV183" s="160">
        <f>IF([chambre3]*1='CHAMBRES GARCONS RDC'!$A$17,1,0)</f>
        <v>0</v>
      </c>
      <c r="GW183" s="160">
        <f>IF([Occurrence35]=0,0,SUM($GV$2:GV183))</f>
        <v>0</v>
      </c>
      <c r="GX183" s="160">
        <f>IF([chambre3]*1='CHAMBRES GARCONS RDC'!$A$23,1,0)</f>
        <v>0</v>
      </c>
      <c r="GY183" s="160">
        <f>IF([Occurrence36]=0,0,SUM($GX$2:GX183))</f>
        <v>0</v>
      </c>
      <c r="GZ183" s="160">
        <f>IF([chambre3]*1='CHAMBRES GARCONS RDC'!$A$29,1,0)</f>
        <v>0</v>
      </c>
      <c r="HA183" s="160">
        <f>IF([Occurrence37]=0,0,SUM($GZ$2:GZ183))</f>
        <v>0</v>
      </c>
      <c r="HB183" s="160">
        <f>IF([chambre3]*1='CHAMBRES GARCONS RDC'!$A$35,1,0)</f>
        <v>0</v>
      </c>
      <c r="HC183" s="160">
        <f>IF([Occurrence38]=0,0,SUM($HB$2:HB183))</f>
        <v>0</v>
      </c>
      <c r="HD183" s="160">
        <f>IF([chambre3]*1='CHAMBRES GARCONS RDC'!$A$41,1,0)</f>
        <v>0</v>
      </c>
      <c r="HE183" s="160">
        <f>IF([Occurrence39]=0,0,SUM($HD$2:HD183))</f>
        <v>0</v>
      </c>
      <c r="HF183" s="160">
        <f>IF([chambre3]*1='CHAMBRES GARCONS RDC'!$A$47,1,0)</f>
        <v>0</v>
      </c>
      <c r="HG183" s="160">
        <f>IF([Occurrence40]=0,0,SUM($HF$2:HF183))</f>
        <v>0</v>
      </c>
      <c r="HH183" s="160">
        <f>IF([chambre3]*1='CHAMBRES GARCONS RDC'!$A$53,1,0)</f>
        <v>0</v>
      </c>
      <c r="HI183" s="160">
        <f>IF([Occurrence41]=0,0,SUM($HH$2:HH183))</f>
        <v>0</v>
      </c>
      <c r="HJ183" s="160">
        <f>IF([chambre3]*1='CHAMBRES GARCONS RDC'!$A$59,1,0)</f>
        <v>0</v>
      </c>
      <c r="HK183" s="160">
        <f>IF([Occurrence42]=0,0,SUM($HJ$2:HJ183))</f>
        <v>0</v>
      </c>
      <c r="HL183" s="160">
        <f>IF([chambre3]*1='CHAMBRES GARCONS RDC'!$A$65,1,0)</f>
        <v>0</v>
      </c>
      <c r="HM183" s="160">
        <f>IF([Occurrence43]=0,0,SUM($HL$2:HL183))</f>
        <v>0</v>
      </c>
      <c r="HN183" s="160">
        <f>IF([chambre3]*1='CHAMBRES GARCONS RDC'!$A$71,1,0)</f>
        <v>0</v>
      </c>
      <c r="HO183" s="160">
        <f>IF([Occurrence44]=0,0,SUM($HN$2:HN183))</f>
        <v>0</v>
      </c>
      <c r="HP183" s="160">
        <f>IF([chambre3]*1='CHAMBRES GARCONS RDC'!$A$77,1,0)</f>
        <v>0</v>
      </c>
      <c r="HQ183" s="160">
        <f>IF([Occurrence45]=0,0,SUM($HP$2:HP183))</f>
        <v>0</v>
      </c>
      <c r="HR183" s="160">
        <f>IF([chambre3]*1='CHAMBRES GARCONS RDC'!$A$83,1,0)</f>
        <v>0</v>
      </c>
      <c r="HS183" s="160">
        <f>IF([Occurrence46]=0,0,SUM($HR$2:HR183))</f>
        <v>0</v>
      </c>
      <c r="HT183" s="160">
        <f>IF([chambre3]*1='CHAMBRES GARCONS RDC'!$A$89,1,0)</f>
        <v>0</v>
      </c>
      <c r="HU183" s="160">
        <f>IF([Occurrence47]=0,0,SUM($HT$2:HT183))</f>
        <v>0</v>
      </c>
      <c r="HV183" s="160">
        <f>IF([chambre3]*1='CHAMBRES GARCONS RDC'!$A$95,1,0)</f>
        <v>0</v>
      </c>
      <c r="HW183" s="160">
        <f>IF([Occurrence48]=0,0,SUM($HV$2:HV183))</f>
        <v>0</v>
      </c>
      <c r="HX183" s="160"/>
      <c r="HY183" s="160"/>
      <c r="HZ183" s="160">
        <f>IF([Classe]='Liste élève par classes'!$B$5,1,0)</f>
        <v>0</v>
      </c>
      <c r="IA183" s="160">
        <f>IF([Occurrence]=0,0,SUM($HZ$2:HZ183))</f>
        <v>0</v>
      </c>
      <c r="IB18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83" s="208"/>
    </row>
    <row r="184" spans="1:237">
      <c r="A184" t="s">
        <v>555</v>
      </c>
      <c r="B184" t="s">
        <v>556</v>
      </c>
      <c r="C184" s="158">
        <v>39080</v>
      </c>
      <c r="D184" s="62">
        <f t="shared" ca="1" si="2"/>
        <v>10</v>
      </c>
      <c r="E184" t="s">
        <v>5</v>
      </c>
      <c r="F184" s="159" t="s">
        <v>46</v>
      </c>
      <c r="G184" t="s">
        <v>40</v>
      </c>
      <c r="H184" s="160"/>
      <c r="I184" s="62"/>
      <c r="J184" s="161" t="s">
        <v>244</v>
      </c>
      <c r="K184" s="161"/>
      <c r="L184" s="160"/>
      <c r="M184">
        <v>260</v>
      </c>
      <c r="N184" s="161" t="s">
        <v>244</v>
      </c>
      <c r="O184" s="161" t="s">
        <v>244</v>
      </c>
      <c r="P184" s="161" t="s">
        <v>244</v>
      </c>
      <c r="Q184" s="161" t="s">
        <v>244</v>
      </c>
      <c r="R184" s="161" t="s">
        <v>244</v>
      </c>
      <c r="S184" s="161"/>
      <c r="T184" s="161" t="s">
        <v>244</v>
      </c>
      <c r="U184" s="160"/>
      <c r="V184" s="161" t="s">
        <v>244</v>
      </c>
      <c r="W184" s="161" t="s">
        <v>244</v>
      </c>
      <c r="X184" s="161" t="s">
        <v>244</v>
      </c>
      <c r="Y184" s="161" t="s">
        <v>244</v>
      </c>
      <c r="Z184" s="161" t="s">
        <v>244</v>
      </c>
      <c r="AA184" s="161" t="s">
        <v>244</v>
      </c>
      <c r="AB184" s="161" t="s">
        <v>244</v>
      </c>
      <c r="AC184" s="161" t="s">
        <v>244</v>
      </c>
      <c r="AD184" s="161" t="s">
        <v>244</v>
      </c>
      <c r="AE184" s="161" t="s">
        <v>244</v>
      </c>
      <c r="AF184" s="163" t="s">
        <v>244</v>
      </c>
      <c r="AG184" s="163" t="s">
        <v>244</v>
      </c>
      <c r="AH184" s="163" t="s">
        <v>244</v>
      </c>
      <c r="AI184" s="163"/>
      <c r="AJ184" s="163"/>
      <c r="AK184" s="163"/>
      <c r="AL184" s="163"/>
      <c r="AM184" s="163"/>
      <c r="AN184" s="163"/>
      <c r="AO184" s="163"/>
      <c r="AP184" s="163"/>
      <c r="AQ184" s="163"/>
      <c r="AR184" s="163"/>
      <c r="AS184" s="163"/>
      <c r="AT184" s="163"/>
      <c r="AU184" s="163"/>
      <c r="AV184" s="163"/>
      <c r="AW184" s="163"/>
      <c r="AX184" s="163"/>
      <c r="AY184" s="163"/>
      <c r="AZ184" s="163"/>
      <c r="BA184" s="163"/>
      <c r="BB184" s="163"/>
      <c r="BC184" s="163"/>
      <c r="BD184" s="163"/>
      <c r="BE184" s="163"/>
      <c r="BF184" s="163"/>
      <c r="BG184" s="163"/>
      <c r="BH184" s="163"/>
      <c r="BI184" s="163"/>
      <c r="BJ184" s="163"/>
      <c r="BK184" s="163"/>
      <c r="BL184" s="163"/>
      <c r="BM184" s="163"/>
      <c r="BN184" s="163"/>
      <c r="BO184" s="163"/>
      <c r="BP184" s="163"/>
      <c r="BQ184" s="163"/>
      <c r="BR184" s="163"/>
      <c r="BS184" s="163"/>
      <c r="BT184" s="163"/>
      <c r="BU184" s="163"/>
      <c r="BV184" s="163"/>
      <c r="BW184" s="163"/>
      <c r="BX184" s="163"/>
      <c r="BY184" s="163"/>
      <c r="BZ184" s="163"/>
      <c r="CA184" s="163"/>
      <c r="CB184" s="163"/>
      <c r="CC184" s="163"/>
      <c r="CD184" s="163"/>
      <c r="CE184" s="163"/>
      <c r="CF184" s="163"/>
      <c r="CG184" s="163"/>
      <c r="CH184" s="163"/>
      <c r="CI184" s="163"/>
      <c r="CJ184" s="163"/>
      <c r="CK184" s="163"/>
      <c r="CL184" s="163"/>
      <c r="CM184" s="163"/>
      <c r="CN184" s="163"/>
      <c r="CO184" s="163"/>
      <c r="CP184" s="163"/>
      <c r="CQ184" s="163"/>
      <c r="CR184" s="163"/>
      <c r="CS184" s="163"/>
      <c r="CT184" s="163"/>
      <c r="CU184" s="163"/>
      <c r="CV184" s="163"/>
      <c r="CW184" s="163"/>
      <c r="CX184" s="163"/>
      <c r="CY184" s="163"/>
      <c r="CZ184" s="163"/>
      <c r="DA184" s="163"/>
      <c r="DB184" s="163"/>
      <c r="DC184" s="163"/>
      <c r="DD184" s="163"/>
      <c r="DE184" s="163"/>
      <c r="DF184" s="163"/>
      <c r="DG184" s="163"/>
      <c r="DH184" s="163"/>
      <c r="DI184" s="163"/>
      <c r="DJ184" s="163"/>
      <c r="DK184" s="163"/>
      <c r="DL184" s="163"/>
      <c r="DM184" s="163"/>
      <c r="DN184" s="163"/>
      <c r="DO184" s="163"/>
      <c r="DP184" s="163"/>
      <c r="DQ184" s="163"/>
      <c r="DR184" s="163"/>
      <c r="DS184" s="163"/>
      <c r="DT184" s="163"/>
      <c r="DU184" s="163"/>
      <c r="DV184" s="163"/>
      <c r="DW184" s="163"/>
      <c r="DX184" s="163"/>
      <c r="DY184" s="163"/>
      <c r="DZ184" s="163"/>
      <c r="EA184" s="163"/>
      <c r="EB184" s="163"/>
      <c r="EC184" s="163"/>
      <c r="ED184" s="163"/>
      <c r="EE184" s="163"/>
      <c r="EF184" s="163"/>
      <c r="EG184" s="163"/>
      <c r="EH184" s="160">
        <f>IF([Chambre]*1='CHAMBRES FILLES 2e ETAGE'!$A$5,1,0)</f>
        <v>0</v>
      </c>
      <c r="EI184" s="161">
        <f>IF([Occurrence2]=0,0,SUM($EH$2:EH184))</f>
        <v>0</v>
      </c>
      <c r="EJ184" s="160">
        <f>IF([Chambre]*1='CHAMBRES FILLES 2e ETAGE'!$A$11,1,0)</f>
        <v>0</v>
      </c>
      <c r="EK184" s="160">
        <f>IF([Occurrence3]=0,0,SUM($EJ$2:EJ184))</f>
        <v>0</v>
      </c>
      <c r="EL184" s="160">
        <f>IF([Chambre]*1='CHAMBRES FILLES 2e ETAGE'!$A$17,1,0)</f>
        <v>0</v>
      </c>
      <c r="EM184" s="160">
        <f>IF([Occurrence4]=0,0,SUM($EL$2:EL184))</f>
        <v>0</v>
      </c>
      <c r="EN184" s="160">
        <f>IF([Chambre]*1='CHAMBRES FILLES 2e ETAGE'!$A$23,1,0)</f>
        <v>0</v>
      </c>
      <c r="EO184" s="160">
        <f>IF([Occurrence5]=0,0,SUM($EN$2:EN184))</f>
        <v>0</v>
      </c>
      <c r="EP184" s="160">
        <f>IF([Chambre]*1='CHAMBRES FILLES 2e ETAGE'!$A$29,1,0)</f>
        <v>0</v>
      </c>
      <c r="EQ184" s="160">
        <f>IF([Occurrence6]=0,0,SUM($EP$2:EP184))</f>
        <v>0</v>
      </c>
      <c r="ER184" s="160">
        <f>IF([Chambre]*1='CHAMBRES FILLES 2e ETAGE'!$A$35,1,0)</f>
        <v>0</v>
      </c>
      <c r="ES184" s="160">
        <f>IF([Occurrence7]=0,0,SUM($ER$2:ER184))</f>
        <v>0</v>
      </c>
      <c r="ET184" s="160">
        <f>IF([Chambre]*1='CHAMBRES FILLES 2e ETAGE'!$A$41,1,0)</f>
        <v>0</v>
      </c>
      <c r="EU184" s="160">
        <f>IF([Occurrence8]=0,0,SUM($ET$2:ET184))</f>
        <v>0</v>
      </c>
      <c r="EV184" s="160">
        <f>IF([Chambre]*1='CHAMBRES FILLES 2e ETAGE'!$A$47,1,0)</f>
        <v>0</v>
      </c>
      <c r="EW184" s="160">
        <f>IF([Occurrence9]=0,0,SUM($EV$2:EV184))</f>
        <v>0</v>
      </c>
      <c r="EX184" s="160">
        <f>IF([Chambre]*1='CHAMBRES FILLES 2e ETAGE'!$A$53,1,0)</f>
        <v>0</v>
      </c>
      <c r="EY184" s="160">
        <f>IF([Occurrence10]=0,0,SUM($EX$2:EX184))</f>
        <v>0</v>
      </c>
      <c r="EZ184" s="160">
        <f>IF([Chambre]*1='CHAMBRES FILLES 2e ETAGE'!$A$59,1,0)</f>
        <v>0</v>
      </c>
      <c r="FA184" s="160">
        <f>IF([Occurrence11]=0,0,SUM($EZ$2:EZ184))</f>
        <v>0</v>
      </c>
      <c r="FB184" s="160">
        <f>IF([Chambre]*1='CHAMBRES FILLES 2e ETAGE'!$A$65,1,0)</f>
        <v>0</v>
      </c>
      <c r="FC184" s="160">
        <f>IF([Occurrence12]=0,0,SUM($FB$2:FB184))</f>
        <v>0</v>
      </c>
      <c r="FD184" s="160">
        <f>IF([Chambre]*1='CHAMBRES FILLES 2e ETAGE'!$A$71,1,0)</f>
        <v>0</v>
      </c>
      <c r="FE184" s="160">
        <f>IF([Occurrence13]=0,0,SUM($FD$2:FD184))</f>
        <v>0</v>
      </c>
      <c r="FF184" s="160">
        <f>IF([Chambre]*1='CHAMBRES FILLES 2e ETAGE'!$A$77,1,0)</f>
        <v>0</v>
      </c>
      <c r="FG184" s="160">
        <f>IF([Occurrence14]=0,0,SUM($FF$2:FF184))</f>
        <v>0</v>
      </c>
      <c r="FH184" s="160">
        <f>IF([Chambre]*1='CHAMBRES FILLES 2e ETAGE'!$A$83,1,0)</f>
        <v>0</v>
      </c>
      <c r="FI184" s="160">
        <f>IF([Occurrence15]=0,0,SUM($FH$2:FH184))</f>
        <v>0</v>
      </c>
      <c r="FJ184" s="160">
        <f>IF([Chambre]*1='CHAMBRES FILLES 2e ETAGE'!$A$89,1,0)</f>
        <v>0</v>
      </c>
      <c r="FK184" s="160">
        <f>IF([Occurrence16]=0,0,SUM($FJ$2:FJ184))</f>
        <v>0</v>
      </c>
      <c r="FL184" s="160">
        <f>IF([Chambre]*1='CHAMBRES FILLES 2e ETAGE'!$A$95,1,0)</f>
        <v>0</v>
      </c>
      <c r="FM184" s="160">
        <f>IF([Occurrence17]=0,0,SUM($FL$2:FL184))</f>
        <v>0</v>
      </c>
      <c r="FN184" s="160">
        <f>IF([Chambre2]*1='CHAMBRES FILLES 1e ETAGE'!$A$5,1,0)</f>
        <v>0</v>
      </c>
      <c r="FO184" s="160">
        <f>IF([Occurrence18]=0,0,SUM($FN$2:FN184))</f>
        <v>0</v>
      </c>
      <c r="FP184" s="160">
        <f>IF([Chambre2]*1='CHAMBRES FILLES 1e ETAGE'!$A$11,1,0)</f>
        <v>0</v>
      </c>
      <c r="FQ184" s="160">
        <f>IF([Occurrence19]=0,0,SUM($FP$2:FP184))</f>
        <v>0</v>
      </c>
      <c r="FR184" s="160">
        <f>IF([Chambre2]*1='CHAMBRES FILLES 1e ETAGE'!$A$17,1,0)</f>
        <v>0</v>
      </c>
      <c r="FS184" s="160">
        <f>IF([Occurrence20]=0,0,SUM($FR$2:FR184))</f>
        <v>0</v>
      </c>
      <c r="FT184" s="160">
        <f>IF([Chambre2]*1='CHAMBRES FILLES 1e ETAGE'!$A$23,1,0)</f>
        <v>0</v>
      </c>
      <c r="FU184" s="160">
        <f>IF([Occurrence21]=0,0,SUM($FT$2:FT184))</f>
        <v>0</v>
      </c>
      <c r="FV184" s="160">
        <f>IF([Chambre2]*1='CHAMBRES FILLES 1e ETAGE'!$A$29,1,0)</f>
        <v>0</v>
      </c>
      <c r="FW184" s="160">
        <f>IF([Occurrence22]=0,0,SUM($FV$2:FV184))</f>
        <v>0</v>
      </c>
      <c r="FX184" s="160">
        <f>IF([Chambre2]*1='CHAMBRES FILLES 1e ETAGE'!$A$35,1,0)</f>
        <v>0</v>
      </c>
      <c r="FY184" s="160">
        <f>IF([Occurrence23]=0,0,SUM($FX$2:FX184))</f>
        <v>0</v>
      </c>
      <c r="FZ184" s="160">
        <f>IF([Chambre2]*1='CHAMBRES FILLES 1e ETAGE'!$A$41,1,0)</f>
        <v>0</v>
      </c>
      <c r="GA184" s="160">
        <f>IF([Occurrence24]=0,0,SUM($FZ$2:FZ184))</f>
        <v>0</v>
      </c>
      <c r="GB184" s="160">
        <f>IF([Chambre2]*1='CHAMBRES FILLES 1e ETAGE'!$A$47,1,0)</f>
        <v>0</v>
      </c>
      <c r="GC184" s="160">
        <f>IF([Occurrence25]=0,0,SUM($GB$2:GB184))</f>
        <v>0</v>
      </c>
      <c r="GD184" s="160">
        <f>IF([Chambre2]*1='CHAMBRES FILLES 1e ETAGE'!$A$53,1,0)</f>
        <v>0</v>
      </c>
      <c r="GE184" s="160">
        <f>IF([Occurrence26]=0,0,SUM($GD$2:GD184))</f>
        <v>0</v>
      </c>
      <c r="GF184" s="160">
        <f>IF([chambre4]*1='CHAMBRES GARCONS 1e ETAGE'!$A$5,1,0)</f>
        <v>0</v>
      </c>
      <c r="GG184" s="160">
        <f>IF([Occurrence27]=0,0,SUM($GF$2:GF184))</f>
        <v>0</v>
      </c>
      <c r="GH184" s="160">
        <f>IF([chambre4]*1='CHAMBRES GARCONS 1e ETAGE'!$A$11,1,0)</f>
        <v>0</v>
      </c>
      <c r="GI184" s="160">
        <f>IF([Occurrence28]=0,0,SUM($GH$2:GH184))</f>
        <v>0</v>
      </c>
      <c r="GJ184" s="160">
        <f>IF([chambre4]*1='CHAMBRES GARCONS 1e ETAGE'!$A$17,1,0)</f>
        <v>0</v>
      </c>
      <c r="GK184" s="160">
        <f>IF([Occurrence29]=0,0,SUM($GJ$2:GJ184))</f>
        <v>0</v>
      </c>
      <c r="GL184" s="160">
        <f>IF([chambre4]*1='CHAMBRES GARCONS 1e ETAGE'!$A$23,1,0)</f>
        <v>0</v>
      </c>
      <c r="GM184" s="160">
        <f>IF([Occurrence30]=0,0,SUM($GL$2:GL184))</f>
        <v>0</v>
      </c>
      <c r="GN184" s="160">
        <f>IF([chambre4]*1='CHAMBRES GARCONS 1e ETAGE'!$A$29,1,0)</f>
        <v>0</v>
      </c>
      <c r="GO184" s="160">
        <f>IF([Occurrence31]=0,0,SUM($GN$2:GN184))</f>
        <v>0</v>
      </c>
      <c r="GP184" s="160">
        <f>IF([chambre4]*1='CHAMBRES GARCONS 1e ETAGE'!$A$35,1,0)</f>
        <v>0</v>
      </c>
      <c r="GQ184" s="160">
        <f>IF([Occurrence32]=0,0,SUM($GP$2:GP184))</f>
        <v>0</v>
      </c>
      <c r="GR184" s="160">
        <f>IF([chambre3]*1='CHAMBRES GARCONS RDC'!$A$5,1,0)</f>
        <v>0</v>
      </c>
      <c r="GS184" s="160">
        <f>IF([Occurrence33]=0,0,SUM($GR$2:GR184))</f>
        <v>0</v>
      </c>
      <c r="GT184" s="160">
        <f>IF([chambre3]*1='CHAMBRES GARCONS RDC'!$A$11,1,0)</f>
        <v>0</v>
      </c>
      <c r="GU184" s="160">
        <f>IF([Occurrence34]=0,0,SUM($GT$2:GT184))</f>
        <v>0</v>
      </c>
      <c r="GV184" s="160">
        <f>IF([chambre3]*1='CHAMBRES GARCONS RDC'!$A$17,1,0)</f>
        <v>0</v>
      </c>
      <c r="GW184" s="160">
        <f>IF([Occurrence35]=0,0,SUM($GV$2:GV184))</f>
        <v>0</v>
      </c>
      <c r="GX184" s="160">
        <f>IF([chambre3]*1='CHAMBRES GARCONS RDC'!$A$23,1,0)</f>
        <v>0</v>
      </c>
      <c r="GY184" s="160">
        <f>IF([Occurrence36]=0,0,SUM($GX$2:GX184))</f>
        <v>0</v>
      </c>
      <c r="GZ184" s="160">
        <f>IF([chambre3]*1='CHAMBRES GARCONS RDC'!$A$29,1,0)</f>
        <v>0</v>
      </c>
      <c r="HA184" s="160">
        <f>IF([Occurrence37]=0,0,SUM($GZ$2:GZ184))</f>
        <v>0</v>
      </c>
      <c r="HB184" s="160">
        <f>IF([chambre3]*1='CHAMBRES GARCONS RDC'!$A$35,1,0)</f>
        <v>0</v>
      </c>
      <c r="HC184" s="160">
        <f>IF([Occurrence38]=0,0,SUM($HB$2:HB184))</f>
        <v>0</v>
      </c>
      <c r="HD184" s="160">
        <f>IF([chambre3]*1='CHAMBRES GARCONS RDC'!$A$41,1,0)</f>
        <v>0</v>
      </c>
      <c r="HE184" s="160">
        <f>IF([Occurrence39]=0,0,SUM($HD$2:HD184))</f>
        <v>0</v>
      </c>
      <c r="HF184" s="160">
        <f>IF([chambre3]*1='CHAMBRES GARCONS RDC'!$A$47,1,0)</f>
        <v>0</v>
      </c>
      <c r="HG184" s="160">
        <f>IF([Occurrence40]=0,0,SUM($HF$2:HF184))</f>
        <v>0</v>
      </c>
      <c r="HH184" s="160">
        <f>IF([chambre3]*1='CHAMBRES GARCONS RDC'!$A$53,1,0)</f>
        <v>0</v>
      </c>
      <c r="HI184" s="160">
        <f>IF([Occurrence41]=0,0,SUM($HH$2:HH184))</f>
        <v>0</v>
      </c>
      <c r="HJ184" s="160">
        <f>IF([chambre3]*1='CHAMBRES GARCONS RDC'!$A$59,1,0)</f>
        <v>0</v>
      </c>
      <c r="HK184" s="160">
        <f>IF([Occurrence42]=0,0,SUM($HJ$2:HJ184))</f>
        <v>0</v>
      </c>
      <c r="HL184" s="160">
        <f>IF([chambre3]*1='CHAMBRES GARCONS RDC'!$A$65,1,0)</f>
        <v>0</v>
      </c>
      <c r="HM184" s="160">
        <f>IF([Occurrence43]=0,0,SUM($HL$2:HL184))</f>
        <v>0</v>
      </c>
      <c r="HN184" s="160">
        <f>IF([chambre3]*1='CHAMBRES GARCONS RDC'!$A$71,1,0)</f>
        <v>0</v>
      </c>
      <c r="HO184" s="160">
        <f>IF([Occurrence44]=0,0,SUM($HN$2:HN184))</f>
        <v>0</v>
      </c>
      <c r="HP184" s="160">
        <f>IF([chambre3]*1='CHAMBRES GARCONS RDC'!$A$77,1,0)</f>
        <v>0</v>
      </c>
      <c r="HQ184" s="160">
        <f>IF([Occurrence45]=0,0,SUM($HP$2:HP184))</f>
        <v>0</v>
      </c>
      <c r="HR184" s="160">
        <f>IF([chambre3]*1='CHAMBRES GARCONS RDC'!$A$83,1,0)</f>
        <v>0</v>
      </c>
      <c r="HS184" s="160">
        <f>IF([Occurrence46]=0,0,SUM($HR$2:HR184))</f>
        <v>0</v>
      </c>
      <c r="HT184" s="160">
        <f>IF([chambre3]*1='CHAMBRES GARCONS RDC'!$A$89,1,0)</f>
        <v>0</v>
      </c>
      <c r="HU184" s="160">
        <f>IF([Occurrence47]=0,0,SUM($HT$2:HT184))</f>
        <v>0</v>
      </c>
      <c r="HV184" s="160">
        <f>IF([chambre3]*1='CHAMBRES GARCONS RDC'!$A$95,1,0)</f>
        <v>0</v>
      </c>
      <c r="HW184" s="160">
        <f>IF([Occurrence48]=0,0,SUM($HV$2:HV184))</f>
        <v>0</v>
      </c>
      <c r="HX184" s="160"/>
      <c r="HY184" s="160"/>
      <c r="HZ184" s="160">
        <f>IF([Classe]='Liste élève par classes'!$B$5,1,0)</f>
        <v>0</v>
      </c>
      <c r="IA184" s="160">
        <f>IF([Occurrence]=0,0,SUM($HZ$2:HZ184))</f>
        <v>0</v>
      </c>
      <c r="IB18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84" s="208"/>
    </row>
    <row r="185" spans="1:237">
      <c r="A185" t="s">
        <v>557</v>
      </c>
      <c r="B185" t="s">
        <v>512</v>
      </c>
      <c r="C185" s="158">
        <v>37147</v>
      </c>
      <c r="D185" s="62">
        <f t="shared" ca="1" si="2"/>
        <v>16</v>
      </c>
      <c r="E185" t="s">
        <v>2</v>
      </c>
      <c r="F185" s="159" t="s">
        <v>50</v>
      </c>
      <c r="G185" t="s">
        <v>40</v>
      </c>
      <c r="H185" s="160"/>
      <c r="I185" s="62"/>
      <c r="J185" s="62"/>
      <c r="K185" s="62"/>
      <c r="L185" s="61"/>
      <c r="M185">
        <v>153</v>
      </c>
      <c r="N185" s="62"/>
      <c r="O185" s="62"/>
      <c r="P185" s="62"/>
      <c r="Q185" s="62"/>
      <c r="R185" s="62"/>
      <c r="S185" s="191"/>
      <c r="T185" s="62"/>
      <c r="U185" s="61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163"/>
      <c r="AG185" s="163"/>
      <c r="AH185" s="163"/>
      <c r="AI185" s="163"/>
      <c r="AJ185" s="163"/>
      <c r="AK185" s="163"/>
      <c r="AL185" s="163"/>
      <c r="AM185" s="163"/>
      <c r="AN185" s="163"/>
      <c r="AO185" s="163"/>
      <c r="AP185" s="163"/>
      <c r="AQ185" s="163"/>
      <c r="AR185" s="163"/>
      <c r="AS185" s="163"/>
      <c r="AT185" s="163"/>
      <c r="AU185" s="163"/>
      <c r="AV185" s="163"/>
      <c r="AW185" s="163"/>
      <c r="AX185" s="163"/>
      <c r="AY185" s="163"/>
      <c r="AZ185" s="163"/>
      <c r="BA185" s="163"/>
      <c r="BB185" s="163"/>
      <c r="BC185" s="163" t="b">
        <v>0</v>
      </c>
      <c r="BD185" s="163" t="b">
        <v>1</v>
      </c>
      <c r="BE185" s="163" t="b">
        <v>1</v>
      </c>
      <c r="BF185" s="163" t="b">
        <v>0</v>
      </c>
      <c r="BG185" s="164" t="b">
        <v>0</v>
      </c>
      <c r="BH185" s="163" t="b">
        <v>1</v>
      </c>
      <c r="BI185" s="163"/>
      <c r="BJ185" s="163"/>
      <c r="BK185" s="163"/>
      <c r="BL185" s="163"/>
      <c r="BM185" s="163"/>
      <c r="BN185" s="163"/>
      <c r="BO185" s="163"/>
      <c r="BP185" s="163"/>
      <c r="BQ185" s="163" t="b">
        <v>0</v>
      </c>
      <c r="BR185" s="163"/>
      <c r="BS185" s="163"/>
      <c r="BT185" s="163"/>
      <c r="BU185" s="163"/>
      <c r="BV185" s="163"/>
      <c r="BW185" s="163"/>
      <c r="BX185" s="163"/>
      <c r="BY185" s="163"/>
      <c r="BZ185" s="163"/>
      <c r="CA185" s="163"/>
      <c r="CB185" s="163"/>
      <c r="CC185" s="163"/>
      <c r="CD185" s="163"/>
      <c r="CE185" s="163"/>
      <c r="CF185" s="163"/>
      <c r="CG185" s="163"/>
      <c r="CH185" s="163"/>
      <c r="CI185" s="163"/>
      <c r="CJ185" s="163"/>
      <c r="CK185" s="163"/>
      <c r="CL185" s="163"/>
      <c r="CM185" s="163"/>
      <c r="CN185" s="163"/>
      <c r="CO185" s="163"/>
      <c r="CP185" s="163"/>
      <c r="CQ185" s="163"/>
      <c r="CR185" s="163"/>
      <c r="CS185" s="163"/>
      <c r="CT185" s="163"/>
      <c r="CU185" s="163"/>
      <c r="CV185" s="163"/>
      <c r="CW185" s="163"/>
      <c r="CX185" s="163"/>
      <c r="CY185" s="163"/>
      <c r="CZ185" s="163"/>
      <c r="DA185" s="163">
        <v>115</v>
      </c>
      <c r="DB185" s="163"/>
      <c r="DC185" s="163"/>
      <c r="DD185" s="163"/>
      <c r="DE185" s="163"/>
      <c r="DF185" s="163"/>
      <c r="DG185" s="208"/>
      <c r="DH185" s="163"/>
      <c r="DI185" s="163"/>
      <c r="DJ185" s="163"/>
      <c r="DK185" s="163"/>
      <c r="DL185" s="163"/>
      <c r="DM185" s="163"/>
      <c r="DN185" s="163"/>
      <c r="DO185" s="163"/>
      <c r="DP185" s="163"/>
      <c r="DQ185" s="163"/>
      <c r="DR185" s="163"/>
      <c r="DS185" s="163"/>
      <c r="DT185" s="163"/>
      <c r="DU185" s="163"/>
      <c r="DV185" s="163"/>
      <c r="DW185" s="163"/>
      <c r="DX185" s="163"/>
      <c r="DY185" s="163"/>
      <c r="DZ185" s="163"/>
      <c r="EA185" s="163"/>
      <c r="EB185" s="163"/>
      <c r="EC185" s="163"/>
      <c r="ED185" s="163"/>
      <c r="EE185" s="163"/>
      <c r="EF185" s="163"/>
      <c r="EG185" s="163"/>
      <c r="EH185" s="160">
        <f>IF([Chambre]*1='CHAMBRES FILLES 2e ETAGE'!$A$5,1,0)</f>
        <v>0</v>
      </c>
      <c r="EI185" s="161">
        <f>IF([Occurrence2]=0,0,SUM($EH$2:EH185))</f>
        <v>0</v>
      </c>
      <c r="EJ185" s="160">
        <f>IF([Chambre]*1='CHAMBRES FILLES 2e ETAGE'!$A$11,1,0)</f>
        <v>0</v>
      </c>
      <c r="EK185" s="160">
        <f>IF([Occurrence3]=0,0,SUM($EJ$2:EJ185))</f>
        <v>0</v>
      </c>
      <c r="EL185" s="160">
        <f>IF([Chambre]*1='CHAMBRES FILLES 2e ETAGE'!$A$17,1,0)</f>
        <v>0</v>
      </c>
      <c r="EM185" s="160">
        <f>IF([Occurrence4]=0,0,SUM($EL$2:EL185))</f>
        <v>0</v>
      </c>
      <c r="EN185" s="160">
        <f>IF([Chambre]*1='CHAMBRES FILLES 2e ETAGE'!$A$23,1,0)</f>
        <v>0</v>
      </c>
      <c r="EO185" s="160">
        <f>IF([Occurrence5]=0,0,SUM($EN$2:EN185))</f>
        <v>0</v>
      </c>
      <c r="EP185" s="160">
        <f>IF([Chambre]*1='CHAMBRES FILLES 2e ETAGE'!$A$29,1,0)</f>
        <v>0</v>
      </c>
      <c r="EQ185" s="160">
        <f>IF([Occurrence6]=0,0,SUM($EP$2:EP185))</f>
        <v>0</v>
      </c>
      <c r="ER185" s="160">
        <f>IF([Chambre]*1='CHAMBRES FILLES 2e ETAGE'!$A$35,1,0)</f>
        <v>0</v>
      </c>
      <c r="ES185" s="160">
        <f>IF([Occurrence7]=0,0,SUM($ER$2:ER185))</f>
        <v>0</v>
      </c>
      <c r="ET185" s="160">
        <f>IF([Chambre]*1='CHAMBRES FILLES 2e ETAGE'!$A$41,1,0)</f>
        <v>0</v>
      </c>
      <c r="EU185" s="160">
        <f>IF([Occurrence8]=0,0,SUM($ET$2:ET185))</f>
        <v>0</v>
      </c>
      <c r="EV185" s="160">
        <f>IF([Chambre]*1='CHAMBRES FILLES 2e ETAGE'!$A$47,1,0)</f>
        <v>0</v>
      </c>
      <c r="EW185" s="160">
        <f>IF([Occurrence9]=0,0,SUM($EV$2:EV185))</f>
        <v>0</v>
      </c>
      <c r="EX185" s="160">
        <f>IF([Chambre]*1='CHAMBRES FILLES 2e ETAGE'!$A$53,1,0)</f>
        <v>0</v>
      </c>
      <c r="EY185" s="160">
        <f>IF([Occurrence10]=0,0,SUM($EX$2:EX185))</f>
        <v>0</v>
      </c>
      <c r="EZ185" s="160">
        <f>IF([Chambre]*1='CHAMBRES FILLES 2e ETAGE'!$A$59,1,0)</f>
        <v>0</v>
      </c>
      <c r="FA185" s="160">
        <f>IF([Occurrence11]=0,0,SUM($EZ$2:EZ185))</f>
        <v>0</v>
      </c>
      <c r="FB185" s="160">
        <f>IF([Chambre]*1='CHAMBRES FILLES 2e ETAGE'!$A$65,1,0)</f>
        <v>0</v>
      </c>
      <c r="FC185" s="160">
        <f>IF([Occurrence12]=0,0,SUM($FB$2:FB185))</f>
        <v>0</v>
      </c>
      <c r="FD185" s="160">
        <f>IF([Chambre]*1='CHAMBRES FILLES 2e ETAGE'!$A$71,1,0)</f>
        <v>0</v>
      </c>
      <c r="FE185" s="160">
        <f>IF([Occurrence13]=0,0,SUM($FD$2:FD185))</f>
        <v>0</v>
      </c>
      <c r="FF185" s="160">
        <f>IF([Chambre]*1='CHAMBRES FILLES 2e ETAGE'!$A$77,1,0)</f>
        <v>0</v>
      </c>
      <c r="FG185" s="160">
        <f>IF([Occurrence14]=0,0,SUM($FF$2:FF185))</f>
        <v>0</v>
      </c>
      <c r="FH185" s="160">
        <f>IF([Chambre]*1='CHAMBRES FILLES 2e ETAGE'!$A$83,1,0)</f>
        <v>0</v>
      </c>
      <c r="FI185" s="160">
        <f>IF([Occurrence15]=0,0,SUM($FH$2:FH185))</f>
        <v>0</v>
      </c>
      <c r="FJ185" s="160">
        <f>IF([Chambre]*1='CHAMBRES FILLES 2e ETAGE'!$A$89,1,0)</f>
        <v>0</v>
      </c>
      <c r="FK185" s="160">
        <f>IF([Occurrence16]=0,0,SUM($FJ$2:FJ185))</f>
        <v>0</v>
      </c>
      <c r="FL185" s="160">
        <f>IF([Chambre]*1='CHAMBRES FILLES 2e ETAGE'!$A$95,1,0)</f>
        <v>0</v>
      </c>
      <c r="FM185" s="160">
        <f>IF([Occurrence17]=0,0,SUM($FL$2:FL185))</f>
        <v>0</v>
      </c>
      <c r="FN185" s="160">
        <f>IF([Chambre2]*1='CHAMBRES FILLES 1e ETAGE'!$A$5,1,0)</f>
        <v>0</v>
      </c>
      <c r="FO185" s="160">
        <f>IF([Occurrence18]=0,0,SUM($FN$2:FN185))</f>
        <v>0</v>
      </c>
      <c r="FP185" s="160">
        <f>IF([Chambre2]*1='CHAMBRES FILLES 1e ETAGE'!$A$11,1,0)</f>
        <v>0</v>
      </c>
      <c r="FQ185" s="160">
        <f>IF([Occurrence19]=0,0,SUM($FP$2:FP185))</f>
        <v>0</v>
      </c>
      <c r="FR185" s="160">
        <f>IF([Chambre2]*1='CHAMBRES FILLES 1e ETAGE'!$A$17,1,0)</f>
        <v>0</v>
      </c>
      <c r="FS185" s="160">
        <f>IF([Occurrence20]=0,0,SUM($FR$2:FR185))</f>
        <v>0</v>
      </c>
      <c r="FT185" s="160">
        <f>IF([Chambre2]*1='CHAMBRES FILLES 1e ETAGE'!$A$23,1,0)</f>
        <v>0</v>
      </c>
      <c r="FU185" s="160">
        <f>IF([Occurrence21]=0,0,SUM($FT$2:FT185))</f>
        <v>0</v>
      </c>
      <c r="FV185" s="160">
        <f>IF([Chambre2]*1='CHAMBRES FILLES 1e ETAGE'!$A$29,1,0)</f>
        <v>0</v>
      </c>
      <c r="FW185" s="160">
        <f>IF([Occurrence22]=0,0,SUM($FV$2:FV185))</f>
        <v>0</v>
      </c>
      <c r="FX185" s="160">
        <f>IF([Chambre2]*1='CHAMBRES FILLES 1e ETAGE'!$A$35,1,0)</f>
        <v>0</v>
      </c>
      <c r="FY185" s="160">
        <f>IF([Occurrence23]=0,0,SUM($FX$2:FX185))</f>
        <v>0</v>
      </c>
      <c r="FZ185" s="160">
        <f>IF([Chambre2]*1='CHAMBRES FILLES 1e ETAGE'!$A$41,1,0)</f>
        <v>0</v>
      </c>
      <c r="GA185" s="160">
        <f>IF([Occurrence24]=0,0,SUM($FZ$2:FZ185))</f>
        <v>0</v>
      </c>
      <c r="GB185" s="160">
        <f>IF([Chambre2]*1='CHAMBRES FILLES 1e ETAGE'!$A$47,1,0)</f>
        <v>0</v>
      </c>
      <c r="GC185" s="160">
        <f>IF([Occurrence25]=0,0,SUM($GB$2:GB185))</f>
        <v>0</v>
      </c>
      <c r="GD185" s="160">
        <f>IF([Chambre2]*1='CHAMBRES FILLES 1e ETAGE'!$A$53,1,0)</f>
        <v>0</v>
      </c>
      <c r="GE185" s="160">
        <f>IF([Occurrence26]=0,0,SUM($GD$2:GD185))</f>
        <v>0</v>
      </c>
      <c r="GF185" s="160">
        <f>IF([chambre4]*1='CHAMBRES GARCONS 1e ETAGE'!$A$5,1,0)</f>
        <v>0</v>
      </c>
      <c r="GG185" s="160">
        <f>IF([Occurrence27]=0,0,SUM($GF$2:GF185))</f>
        <v>0</v>
      </c>
      <c r="GH185" s="160">
        <f>IF([chambre4]*1='CHAMBRES GARCONS 1e ETAGE'!$A$11,1,0)</f>
        <v>0</v>
      </c>
      <c r="GI185" s="160">
        <f>IF([Occurrence28]=0,0,SUM($GH$2:GH185))</f>
        <v>0</v>
      </c>
      <c r="GJ185" s="160">
        <f>IF([chambre4]*1='CHAMBRES GARCONS 1e ETAGE'!$A$17,1,0)</f>
        <v>0</v>
      </c>
      <c r="GK185" s="160">
        <f>IF([Occurrence29]=0,0,SUM($GJ$2:GJ185))</f>
        <v>0</v>
      </c>
      <c r="GL185" s="160">
        <f>IF([chambre4]*1='CHAMBRES GARCONS 1e ETAGE'!$A$23,1,0)</f>
        <v>0</v>
      </c>
      <c r="GM185" s="160">
        <f>IF([Occurrence30]=0,0,SUM($GL$2:GL185))</f>
        <v>0</v>
      </c>
      <c r="GN185" s="160">
        <f>IF([chambre4]*1='CHAMBRES GARCONS 1e ETAGE'!$A$29,1,0)</f>
        <v>0</v>
      </c>
      <c r="GO185" s="160">
        <f>IF([Occurrence31]=0,0,SUM($GN$2:GN185))</f>
        <v>0</v>
      </c>
      <c r="GP185" s="160">
        <f>IF([chambre4]*1='CHAMBRES GARCONS 1e ETAGE'!$A$35,1,0)</f>
        <v>0</v>
      </c>
      <c r="GQ185" s="160">
        <f>IF([Occurrence32]=0,0,SUM($GP$2:GP185))</f>
        <v>0</v>
      </c>
      <c r="GR185" s="160">
        <f>IF([chambre3]*1='CHAMBRES GARCONS RDC'!$A$5,1,0)</f>
        <v>0</v>
      </c>
      <c r="GS185" s="160">
        <f>IF([Occurrence33]=0,0,SUM($GR$2:GR185))</f>
        <v>0</v>
      </c>
      <c r="GT185" s="160">
        <f>IF([chambre3]*1='CHAMBRES GARCONS RDC'!$A$11,1,0)</f>
        <v>0</v>
      </c>
      <c r="GU185" s="160">
        <f>IF([Occurrence34]=0,0,SUM($GT$2:GT185))</f>
        <v>0</v>
      </c>
      <c r="GV185" s="160">
        <f>IF([chambre3]*1='CHAMBRES GARCONS RDC'!$A$17,1,0)</f>
        <v>0</v>
      </c>
      <c r="GW185" s="160">
        <f>IF([Occurrence35]=0,0,SUM($GV$2:GV185))</f>
        <v>0</v>
      </c>
      <c r="GX185" s="160">
        <f>IF([chambre3]*1='CHAMBRES GARCONS RDC'!$A$23,1,0)</f>
        <v>0</v>
      </c>
      <c r="GY185" s="160">
        <f>IF([Occurrence36]=0,0,SUM($GX$2:GX185))</f>
        <v>0</v>
      </c>
      <c r="GZ185" s="160">
        <f>IF([chambre3]*1='CHAMBRES GARCONS RDC'!$A$29,1,0)</f>
        <v>0</v>
      </c>
      <c r="HA185" s="160">
        <f>IF([Occurrence37]=0,0,SUM($GZ$2:GZ185))</f>
        <v>0</v>
      </c>
      <c r="HB185" s="160">
        <f>IF([chambre3]*1='CHAMBRES GARCONS RDC'!$A$35,1,0)</f>
        <v>1</v>
      </c>
      <c r="HC185" s="160">
        <f>IF([Occurrence38]=0,0,SUM($HB$2:HB185))</f>
        <v>3</v>
      </c>
      <c r="HD185" s="160">
        <f>IF([chambre3]*1='CHAMBRES GARCONS RDC'!$A$41,1,0)</f>
        <v>0</v>
      </c>
      <c r="HE185" s="160">
        <f>IF([Occurrence39]=0,0,SUM($HD$2:HD185))</f>
        <v>0</v>
      </c>
      <c r="HF185" s="160">
        <f>IF([chambre3]*1='CHAMBRES GARCONS RDC'!$A$47,1,0)</f>
        <v>0</v>
      </c>
      <c r="HG185" s="160">
        <f>IF([Occurrence40]=0,0,SUM($HF$2:HF185))</f>
        <v>0</v>
      </c>
      <c r="HH185" s="160">
        <f>IF([chambre3]*1='CHAMBRES GARCONS RDC'!$A$53,1,0)</f>
        <v>0</v>
      </c>
      <c r="HI185" s="160">
        <f>IF([Occurrence41]=0,0,SUM($HH$2:HH185))</f>
        <v>0</v>
      </c>
      <c r="HJ185" s="160">
        <f>IF([chambre3]*1='CHAMBRES GARCONS RDC'!$A$59,1,0)</f>
        <v>0</v>
      </c>
      <c r="HK185" s="160">
        <f>IF([Occurrence42]=0,0,SUM($HJ$2:HJ185))</f>
        <v>0</v>
      </c>
      <c r="HL185" s="160">
        <f>IF([chambre3]*1='CHAMBRES GARCONS RDC'!$A$65,1,0)</f>
        <v>0</v>
      </c>
      <c r="HM185" s="160">
        <f>IF([Occurrence43]=0,0,SUM($HL$2:HL185))</f>
        <v>0</v>
      </c>
      <c r="HN185" s="160">
        <f>IF([chambre3]*1='CHAMBRES GARCONS RDC'!$A$71,1,0)</f>
        <v>0</v>
      </c>
      <c r="HO185" s="160">
        <f>IF([Occurrence44]=0,0,SUM($HN$2:HN185))</f>
        <v>0</v>
      </c>
      <c r="HP185" s="160">
        <f>IF([chambre3]*1='CHAMBRES GARCONS RDC'!$A$77,1,0)</f>
        <v>0</v>
      </c>
      <c r="HQ185" s="160">
        <f>IF([Occurrence45]=0,0,SUM($HP$2:HP185))</f>
        <v>0</v>
      </c>
      <c r="HR185" s="160">
        <f>IF([chambre3]*1='CHAMBRES GARCONS RDC'!$A$83,1,0)</f>
        <v>0</v>
      </c>
      <c r="HS185" s="160">
        <f>IF([Occurrence46]=0,0,SUM($HR$2:HR185))</f>
        <v>0</v>
      </c>
      <c r="HT185" s="160">
        <f>IF([chambre3]*1='CHAMBRES GARCONS RDC'!$A$89,1,0)</f>
        <v>0</v>
      </c>
      <c r="HU185" s="160">
        <f>IF([Occurrence47]=0,0,SUM($HT$2:HT185))</f>
        <v>0</v>
      </c>
      <c r="HV185" s="160">
        <f>IF([chambre3]*1='CHAMBRES GARCONS RDC'!$A$95,1,0)</f>
        <v>0</v>
      </c>
      <c r="HW185" s="160">
        <f>IF([Occurrence48]=0,0,SUM($HV$2:HV185))</f>
        <v>0</v>
      </c>
      <c r="HX185" s="160"/>
      <c r="HY185" s="160"/>
      <c r="HZ185" s="160">
        <f>IF([Classe]='Liste élève par classes'!$B$5,1,0)</f>
        <v>0</v>
      </c>
      <c r="IA185" s="160">
        <f>IF([Occurrence]=0,0,SUM($HZ$2:HZ185))</f>
        <v>0</v>
      </c>
      <c r="IB18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115</v>
      </c>
      <c r="IC185" s="208"/>
    </row>
    <row r="186" spans="1:237" ht="15.75">
      <c r="A186" t="s">
        <v>558</v>
      </c>
      <c r="B186" t="s">
        <v>253</v>
      </c>
      <c r="C186" s="158">
        <v>36636</v>
      </c>
      <c r="D186" s="62">
        <f t="shared" ca="1" si="2"/>
        <v>17</v>
      </c>
      <c r="E186" t="s">
        <v>14</v>
      </c>
      <c r="F186" s="159" t="s">
        <v>50</v>
      </c>
      <c r="G186" t="s">
        <v>40</v>
      </c>
      <c r="H186" s="160"/>
      <c r="I186" s="62"/>
      <c r="J186" s="6"/>
      <c r="K186" s="168"/>
      <c r="L186" s="61"/>
      <c r="M186">
        <v>182</v>
      </c>
      <c r="N186" s="62"/>
      <c r="O186" s="62"/>
      <c r="P186" s="62"/>
      <c r="Q186" s="62"/>
      <c r="R186" s="62"/>
      <c r="S186" s="191"/>
      <c r="T186" s="62"/>
      <c r="U186" s="61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163"/>
      <c r="AG186" s="163"/>
      <c r="AH186" s="163"/>
      <c r="AI186" s="163"/>
      <c r="AJ186" s="163"/>
      <c r="AK186" s="163"/>
      <c r="AL186" s="163"/>
      <c r="AM186" s="163"/>
      <c r="AN186" s="163"/>
      <c r="AO186" s="163"/>
      <c r="AP186" s="163"/>
      <c r="AQ186" s="163"/>
      <c r="AR186" s="163"/>
      <c r="AS186" s="163"/>
      <c r="AT186" s="163"/>
      <c r="AU186" s="163"/>
      <c r="AV186" s="163"/>
      <c r="AW186" s="163"/>
      <c r="AX186" s="163"/>
      <c r="AY186" s="163"/>
      <c r="AZ186" s="163"/>
      <c r="BA186" s="163"/>
      <c r="BB186" s="163"/>
      <c r="BC186" s="163" t="b">
        <v>0</v>
      </c>
      <c r="BD186" s="163" t="b">
        <v>1</v>
      </c>
      <c r="BE186" s="163" t="b">
        <v>1</v>
      </c>
      <c r="BF186" s="163" t="b">
        <v>0</v>
      </c>
      <c r="BG186" s="164" t="b">
        <v>0</v>
      </c>
      <c r="BH186" s="163" t="b">
        <v>1</v>
      </c>
      <c r="BI186" s="163"/>
      <c r="BJ186" s="163"/>
      <c r="BK186" s="163"/>
      <c r="BL186" s="163"/>
      <c r="BM186" s="163"/>
      <c r="BN186" s="163"/>
      <c r="BO186" s="163"/>
      <c r="BP186" s="163"/>
      <c r="BQ186" s="163" t="b">
        <v>1</v>
      </c>
      <c r="BR186" s="163"/>
      <c r="BS186" s="163"/>
      <c r="BT186" s="163"/>
      <c r="BU186" s="163"/>
      <c r="BV186" s="163"/>
      <c r="BW186" s="163"/>
      <c r="BX186" s="163"/>
      <c r="BY186" s="163"/>
      <c r="BZ186" s="163"/>
      <c r="CA186" s="163"/>
      <c r="CB186" s="163"/>
      <c r="CC186" s="163"/>
      <c r="CD186" s="163"/>
      <c r="CE186" s="163"/>
      <c r="CF186" s="163"/>
      <c r="CG186" s="163"/>
      <c r="CH186" s="163"/>
      <c r="CI186" s="163"/>
      <c r="CJ186" s="163"/>
      <c r="CK186" s="163"/>
      <c r="CL186" s="163"/>
      <c r="CM186" s="163"/>
      <c r="CN186" s="163"/>
      <c r="CO186" s="163"/>
      <c r="CP186" s="163"/>
      <c r="CQ186" s="163"/>
      <c r="CR186" s="163"/>
      <c r="CS186" s="163"/>
      <c r="CT186" s="163"/>
      <c r="CU186" s="163"/>
      <c r="CV186" s="163"/>
      <c r="CW186" s="163"/>
      <c r="CX186" s="163"/>
      <c r="CY186" s="163"/>
      <c r="CZ186" s="163"/>
      <c r="DA186" s="163">
        <v>116</v>
      </c>
      <c r="DB186" s="163"/>
      <c r="DC186" s="163"/>
      <c r="DD186" s="163"/>
      <c r="DE186" s="163"/>
      <c r="DF186" s="163"/>
      <c r="DG186" s="208"/>
      <c r="DH186" s="163"/>
      <c r="DI186" s="163"/>
      <c r="DJ186" s="163"/>
      <c r="DK186" s="163"/>
      <c r="DL186" s="163"/>
      <c r="DM186" s="163"/>
      <c r="DN186" s="163"/>
      <c r="DO186" s="163"/>
      <c r="DP186" s="163"/>
      <c r="DQ186" s="163"/>
      <c r="DR186" s="163"/>
      <c r="DS186" s="163"/>
      <c r="DT186" s="163"/>
      <c r="DU186" s="163"/>
      <c r="DV186" s="163"/>
      <c r="DW186" s="163"/>
      <c r="DX186" s="163"/>
      <c r="DY186" s="163"/>
      <c r="DZ186" s="163"/>
      <c r="EA186" s="163"/>
      <c r="EB186" s="163"/>
      <c r="EC186" s="163"/>
      <c r="ED186" s="163"/>
      <c r="EE186" s="163"/>
      <c r="EF186" s="163"/>
      <c r="EG186" s="163"/>
      <c r="EH186" s="160">
        <f>IF([Chambre]*1='CHAMBRES FILLES 2e ETAGE'!$A$5,1,0)</f>
        <v>0</v>
      </c>
      <c r="EI186" s="161">
        <f>IF([Occurrence2]=0,0,SUM($EH$2:EH186))</f>
        <v>0</v>
      </c>
      <c r="EJ186" s="160">
        <f>IF([Chambre]*1='CHAMBRES FILLES 2e ETAGE'!$A$11,1,0)</f>
        <v>0</v>
      </c>
      <c r="EK186" s="160">
        <f>IF([Occurrence3]=0,0,SUM($EJ$2:EJ186))</f>
        <v>0</v>
      </c>
      <c r="EL186" s="160">
        <f>IF([Chambre]*1='CHAMBRES FILLES 2e ETAGE'!$A$17,1,0)</f>
        <v>0</v>
      </c>
      <c r="EM186" s="160">
        <f>IF([Occurrence4]=0,0,SUM($EL$2:EL186))</f>
        <v>0</v>
      </c>
      <c r="EN186" s="160">
        <f>IF([Chambre]*1='CHAMBRES FILLES 2e ETAGE'!$A$23,1,0)</f>
        <v>0</v>
      </c>
      <c r="EO186" s="160">
        <f>IF([Occurrence5]=0,0,SUM($EN$2:EN186))</f>
        <v>0</v>
      </c>
      <c r="EP186" s="160">
        <f>IF([Chambre]*1='CHAMBRES FILLES 2e ETAGE'!$A$29,1,0)</f>
        <v>0</v>
      </c>
      <c r="EQ186" s="160">
        <f>IF([Occurrence6]=0,0,SUM($EP$2:EP186))</f>
        <v>0</v>
      </c>
      <c r="ER186" s="160">
        <f>IF([Chambre]*1='CHAMBRES FILLES 2e ETAGE'!$A$35,1,0)</f>
        <v>0</v>
      </c>
      <c r="ES186" s="160">
        <f>IF([Occurrence7]=0,0,SUM($ER$2:ER186))</f>
        <v>0</v>
      </c>
      <c r="ET186" s="160">
        <f>IF([Chambre]*1='CHAMBRES FILLES 2e ETAGE'!$A$41,1,0)</f>
        <v>0</v>
      </c>
      <c r="EU186" s="160">
        <f>IF([Occurrence8]=0,0,SUM($ET$2:ET186))</f>
        <v>0</v>
      </c>
      <c r="EV186" s="160">
        <f>IF([Chambre]*1='CHAMBRES FILLES 2e ETAGE'!$A$47,1,0)</f>
        <v>0</v>
      </c>
      <c r="EW186" s="160">
        <f>IF([Occurrence9]=0,0,SUM($EV$2:EV186))</f>
        <v>0</v>
      </c>
      <c r="EX186" s="160">
        <f>IF([Chambre]*1='CHAMBRES FILLES 2e ETAGE'!$A$53,1,0)</f>
        <v>0</v>
      </c>
      <c r="EY186" s="160">
        <f>IF([Occurrence10]=0,0,SUM($EX$2:EX186))</f>
        <v>0</v>
      </c>
      <c r="EZ186" s="160">
        <f>IF([Chambre]*1='CHAMBRES FILLES 2e ETAGE'!$A$59,1,0)</f>
        <v>0</v>
      </c>
      <c r="FA186" s="160">
        <f>IF([Occurrence11]=0,0,SUM($EZ$2:EZ186))</f>
        <v>0</v>
      </c>
      <c r="FB186" s="160">
        <f>IF([Chambre]*1='CHAMBRES FILLES 2e ETAGE'!$A$65,1,0)</f>
        <v>0</v>
      </c>
      <c r="FC186" s="160">
        <f>IF([Occurrence12]=0,0,SUM($FB$2:FB186))</f>
        <v>0</v>
      </c>
      <c r="FD186" s="160">
        <f>IF([Chambre]*1='CHAMBRES FILLES 2e ETAGE'!$A$71,1,0)</f>
        <v>0</v>
      </c>
      <c r="FE186" s="160">
        <f>IF([Occurrence13]=0,0,SUM($FD$2:FD186))</f>
        <v>0</v>
      </c>
      <c r="FF186" s="160">
        <f>IF([Chambre]*1='CHAMBRES FILLES 2e ETAGE'!$A$77,1,0)</f>
        <v>0</v>
      </c>
      <c r="FG186" s="160">
        <f>IF([Occurrence14]=0,0,SUM($FF$2:FF186))</f>
        <v>0</v>
      </c>
      <c r="FH186" s="160">
        <f>IF([Chambre]*1='CHAMBRES FILLES 2e ETAGE'!$A$83,1,0)</f>
        <v>0</v>
      </c>
      <c r="FI186" s="160">
        <f>IF([Occurrence15]=0,0,SUM($FH$2:FH186))</f>
        <v>0</v>
      </c>
      <c r="FJ186" s="160">
        <f>IF([Chambre]*1='CHAMBRES FILLES 2e ETAGE'!$A$89,1,0)</f>
        <v>0</v>
      </c>
      <c r="FK186" s="160">
        <f>IF([Occurrence16]=0,0,SUM($FJ$2:FJ186))</f>
        <v>0</v>
      </c>
      <c r="FL186" s="160">
        <f>IF([Chambre]*1='CHAMBRES FILLES 2e ETAGE'!$A$95,1,0)</f>
        <v>0</v>
      </c>
      <c r="FM186" s="160">
        <f>IF([Occurrence17]=0,0,SUM($FL$2:FL186))</f>
        <v>0</v>
      </c>
      <c r="FN186" s="160">
        <f>IF([Chambre2]*1='CHAMBRES FILLES 1e ETAGE'!$A$5,1,0)</f>
        <v>0</v>
      </c>
      <c r="FO186" s="160">
        <f>IF([Occurrence18]=0,0,SUM($FN$2:FN186))</f>
        <v>0</v>
      </c>
      <c r="FP186" s="160">
        <f>IF([Chambre2]*1='CHAMBRES FILLES 1e ETAGE'!$A$11,1,0)</f>
        <v>0</v>
      </c>
      <c r="FQ186" s="160">
        <f>IF([Occurrence19]=0,0,SUM($FP$2:FP186))</f>
        <v>0</v>
      </c>
      <c r="FR186" s="160">
        <f>IF([Chambre2]*1='CHAMBRES FILLES 1e ETAGE'!$A$17,1,0)</f>
        <v>0</v>
      </c>
      <c r="FS186" s="160">
        <f>IF([Occurrence20]=0,0,SUM($FR$2:FR186))</f>
        <v>0</v>
      </c>
      <c r="FT186" s="160">
        <f>IF([Chambre2]*1='CHAMBRES FILLES 1e ETAGE'!$A$23,1,0)</f>
        <v>0</v>
      </c>
      <c r="FU186" s="160">
        <f>IF([Occurrence21]=0,0,SUM($FT$2:FT186))</f>
        <v>0</v>
      </c>
      <c r="FV186" s="160">
        <f>IF([Chambre2]*1='CHAMBRES FILLES 1e ETAGE'!$A$29,1,0)</f>
        <v>0</v>
      </c>
      <c r="FW186" s="160">
        <f>IF([Occurrence22]=0,0,SUM($FV$2:FV186))</f>
        <v>0</v>
      </c>
      <c r="FX186" s="160">
        <f>IF([Chambre2]*1='CHAMBRES FILLES 1e ETAGE'!$A$35,1,0)</f>
        <v>0</v>
      </c>
      <c r="FY186" s="160">
        <f>IF([Occurrence23]=0,0,SUM($FX$2:FX186))</f>
        <v>0</v>
      </c>
      <c r="FZ186" s="160">
        <f>IF([Chambre2]*1='CHAMBRES FILLES 1e ETAGE'!$A$41,1,0)</f>
        <v>0</v>
      </c>
      <c r="GA186" s="160">
        <f>IF([Occurrence24]=0,0,SUM($FZ$2:FZ186))</f>
        <v>0</v>
      </c>
      <c r="GB186" s="160">
        <f>IF([Chambre2]*1='CHAMBRES FILLES 1e ETAGE'!$A$47,1,0)</f>
        <v>0</v>
      </c>
      <c r="GC186" s="160">
        <f>IF([Occurrence25]=0,0,SUM($GB$2:GB186))</f>
        <v>0</v>
      </c>
      <c r="GD186" s="160">
        <f>IF([Chambre2]*1='CHAMBRES FILLES 1e ETAGE'!$A$53,1,0)</f>
        <v>0</v>
      </c>
      <c r="GE186" s="160">
        <f>IF([Occurrence26]=0,0,SUM($GD$2:GD186))</f>
        <v>0</v>
      </c>
      <c r="GF186" s="160">
        <f>IF([chambre4]*1='CHAMBRES GARCONS 1e ETAGE'!$A$5,1,0)</f>
        <v>0</v>
      </c>
      <c r="GG186" s="160">
        <f>IF([Occurrence27]=0,0,SUM($GF$2:GF186))</f>
        <v>0</v>
      </c>
      <c r="GH186" s="160">
        <f>IF([chambre4]*1='CHAMBRES GARCONS 1e ETAGE'!$A$11,1,0)</f>
        <v>0</v>
      </c>
      <c r="GI186" s="160">
        <f>IF([Occurrence28]=0,0,SUM($GH$2:GH186))</f>
        <v>0</v>
      </c>
      <c r="GJ186" s="160">
        <f>IF([chambre4]*1='CHAMBRES GARCONS 1e ETAGE'!$A$17,1,0)</f>
        <v>0</v>
      </c>
      <c r="GK186" s="160">
        <f>IF([Occurrence29]=0,0,SUM($GJ$2:GJ186))</f>
        <v>0</v>
      </c>
      <c r="GL186" s="160">
        <f>IF([chambre4]*1='CHAMBRES GARCONS 1e ETAGE'!$A$23,1,0)</f>
        <v>0</v>
      </c>
      <c r="GM186" s="160">
        <f>IF([Occurrence30]=0,0,SUM($GL$2:GL186))</f>
        <v>0</v>
      </c>
      <c r="GN186" s="160">
        <f>IF([chambre4]*1='CHAMBRES GARCONS 1e ETAGE'!$A$29,1,0)</f>
        <v>0</v>
      </c>
      <c r="GO186" s="160">
        <f>IF([Occurrence31]=0,0,SUM($GN$2:GN186))</f>
        <v>0</v>
      </c>
      <c r="GP186" s="160">
        <f>IF([chambre4]*1='CHAMBRES GARCONS 1e ETAGE'!$A$35,1,0)</f>
        <v>0</v>
      </c>
      <c r="GQ186" s="160">
        <f>IF([Occurrence32]=0,0,SUM($GP$2:GP186))</f>
        <v>0</v>
      </c>
      <c r="GR186" s="160">
        <f>IF([chambre3]*1='CHAMBRES GARCONS RDC'!$A$5,1,0)</f>
        <v>0</v>
      </c>
      <c r="GS186" s="160">
        <f>IF([Occurrence33]=0,0,SUM($GR$2:GR186))</f>
        <v>0</v>
      </c>
      <c r="GT186" s="160">
        <f>IF([chambre3]*1='CHAMBRES GARCONS RDC'!$A$11,1,0)</f>
        <v>0</v>
      </c>
      <c r="GU186" s="160">
        <f>IF([Occurrence34]=0,0,SUM($GT$2:GT186))</f>
        <v>0</v>
      </c>
      <c r="GV186" s="160">
        <f>IF([chambre3]*1='CHAMBRES GARCONS RDC'!$A$17,1,0)</f>
        <v>0</v>
      </c>
      <c r="GW186" s="160">
        <f>IF([Occurrence35]=0,0,SUM($GV$2:GV186))</f>
        <v>0</v>
      </c>
      <c r="GX186" s="160">
        <f>IF([chambre3]*1='CHAMBRES GARCONS RDC'!$A$23,1,0)</f>
        <v>0</v>
      </c>
      <c r="GY186" s="160">
        <f>IF([Occurrence36]=0,0,SUM($GX$2:GX186))</f>
        <v>0</v>
      </c>
      <c r="GZ186" s="160">
        <f>IF([chambre3]*1='CHAMBRES GARCONS RDC'!$A$29,1,0)</f>
        <v>0</v>
      </c>
      <c r="HA186" s="160">
        <f>IF([Occurrence37]=0,0,SUM($GZ$2:GZ186))</f>
        <v>0</v>
      </c>
      <c r="HB186" s="160">
        <f>IF([chambre3]*1='CHAMBRES GARCONS RDC'!$A$35,1,0)</f>
        <v>0</v>
      </c>
      <c r="HC186" s="160">
        <f>IF([Occurrence38]=0,0,SUM($HB$2:HB186))</f>
        <v>0</v>
      </c>
      <c r="HD186" s="160">
        <f>IF([chambre3]*1='CHAMBRES GARCONS RDC'!$A$41,1,0)</f>
        <v>0</v>
      </c>
      <c r="HE186" s="160">
        <f>IF([Occurrence39]=0,0,SUM($HD$2:HD186))</f>
        <v>0</v>
      </c>
      <c r="HF186" s="160">
        <f>IF([chambre3]*1='CHAMBRES GARCONS RDC'!$A$47,1,0)</f>
        <v>0</v>
      </c>
      <c r="HG186" s="160">
        <f>IF([Occurrence40]=0,0,SUM($HF$2:HF186))</f>
        <v>0</v>
      </c>
      <c r="HH186" s="160">
        <f>IF([chambre3]*1='CHAMBRES GARCONS RDC'!$A$53,1,0)</f>
        <v>0</v>
      </c>
      <c r="HI186" s="160">
        <f>IF([Occurrence41]=0,0,SUM($HH$2:HH186))</f>
        <v>0</v>
      </c>
      <c r="HJ186" s="160">
        <f>IF([chambre3]*1='CHAMBRES GARCONS RDC'!$A$59,1,0)</f>
        <v>0</v>
      </c>
      <c r="HK186" s="160">
        <f>IF([Occurrence42]=0,0,SUM($HJ$2:HJ186))</f>
        <v>0</v>
      </c>
      <c r="HL186" s="160">
        <f>IF([chambre3]*1='CHAMBRES GARCONS RDC'!$A$65,1,0)</f>
        <v>0</v>
      </c>
      <c r="HM186" s="160">
        <f>IF([Occurrence43]=0,0,SUM($HL$2:HL186))</f>
        <v>0</v>
      </c>
      <c r="HN186" s="160">
        <f>IF([chambre3]*1='CHAMBRES GARCONS RDC'!$A$71,1,0)</f>
        <v>0</v>
      </c>
      <c r="HO186" s="160">
        <f>IF([Occurrence44]=0,0,SUM($HN$2:HN186))</f>
        <v>0</v>
      </c>
      <c r="HP186" s="160">
        <f>IF([chambre3]*1='CHAMBRES GARCONS RDC'!$A$77,1,0)</f>
        <v>1</v>
      </c>
      <c r="HQ186" s="160">
        <f>IF([Occurrence45]=0,0,SUM($HP$2:HP186))</f>
        <v>2</v>
      </c>
      <c r="HR186" s="160">
        <f>IF([chambre3]*1='CHAMBRES GARCONS RDC'!$A$83,1,0)</f>
        <v>0</v>
      </c>
      <c r="HS186" s="160">
        <f>IF([Occurrence46]=0,0,SUM($HR$2:HR186))</f>
        <v>0</v>
      </c>
      <c r="HT186" s="160">
        <f>IF([chambre3]*1='CHAMBRES GARCONS RDC'!$A$89,1,0)</f>
        <v>0</v>
      </c>
      <c r="HU186" s="160">
        <f>IF([Occurrence47]=0,0,SUM($HT$2:HT186))</f>
        <v>0</v>
      </c>
      <c r="HV186" s="160">
        <f>IF([chambre3]*1='CHAMBRES GARCONS RDC'!$A$95,1,0)</f>
        <v>0</v>
      </c>
      <c r="HW186" s="160">
        <f>IF([Occurrence48]=0,0,SUM($HV$2:HV186))</f>
        <v>0</v>
      </c>
      <c r="HX186" s="160"/>
      <c r="HY186" s="160"/>
      <c r="HZ186" s="160">
        <f>IF([Classe]='Liste élève par classes'!$B$5,1,0)</f>
        <v>0</v>
      </c>
      <c r="IA186" s="160">
        <f>IF([Occurrence]=0,0,SUM($HZ$2:HZ186))</f>
        <v>0</v>
      </c>
      <c r="IB18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116</v>
      </c>
      <c r="IC186" s="208"/>
    </row>
    <row r="187" spans="1:237">
      <c r="A187" t="s">
        <v>559</v>
      </c>
      <c r="B187" t="s">
        <v>560</v>
      </c>
      <c r="C187" s="158">
        <v>36310</v>
      </c>
      <c r="D187" s="62">
        <f t="shared" ca="1" si="2"/>
        <v>18</v>
      </c>
      <c r="E187" t="s">
        <v>3</v>
      </c>
      <c r="F187" s="165" t="s">
        <v>46</v>
      </c>
      <c r="G187" t="s">
        <v>40</v>
      </c>
      <c r="H187" s="160"/>
      <c r="I187" s="62"/>
      <c r="J187" s="62"/>
      <c r="K187" s="62"/>
      <c r="L187" s="61"/>
      <c r="M187" s="62"/>
      <c r="N187" s="62"/>
      <c r="O187" s="62"/>
      <c r="P187" s="62"/>
      <c r="Q187" s="62"/>
      <c r="R187" s="62"/>
      <c r="S187" s="62"/>
      <c r="T187" s="62"/>
      <c r="U187" s="61"/>
      <c r="V187" s="62"/>
      <c r="W187" s="62"/>
      <c r="X187" s="62"/>
      <c r="Y187" s="62"/>
      <c r="Z187" s="62"/>
      <c r="AA187" s="62"/>
      <c r="AB187" s="62"/>
      <c r="AC187" s="62"/>
      <c r="AD187" s="62"/>
      <c r="AE187" s="62"/>
      <c r="AF187" s="163"/>
      <c r="AG187" s="163"/>
      <c r="AH187" s="163"/>
      <c r="AI187" s="163"/>
      <c r="AJ187" s="163"/>
      <c r="AK187" s="163"/>
      <c r="AL187" s="163"/>
      <c r="AM187" s="163"/>
      <c r="AN187" s="163"/>
      <c r="AO187" s="163"/>
      <c r="AP187" s="163"/>
      <c r="AQ187" s="163"/>
      <c r="AR187" s="163"/>
      <c r="AS187" s="163"/>
      <c r="AT187" s="163"/>
      <c r="AU187" s="163"/>
      <c r="AV187" s="163"/>
      <c r="AW187" s="163"/>
      <c r="AX187" s="163"/>
      <c r="AY187" s="163"/>
      <c r="AZ187" s="163"/>
      <c r="BA187" s="163"/>
      <c r="BB187" s="163"/>
      <c r="BC187" s="163" t="b">
        <v>0</v>
      </c>
      <c r="BD187" s="163" t="b">
        <v>0</v>
      </c>
      <c r="BE187" s="163" t="b">
        <v>0</v>
      </c>
      <c r="BF187" s="163" t="b">
        <v>0</v>
      </c>
      <c r="BG187" s="163" t="b">
        <v>0</v>
      </c>
      <c r="BH187" s="163" t="b">
        <v>0</v>
      </c>
      <c r="BI187" s="163" t="b">
        <v>1</v>
      </c>
      <c r="BJ187" s="163" t="b">
        <v>0</v>
      </c>
      <c r="BK187" s="163" t="b">
        <v>0</v>
      </c>
      <c r="BL187" s="163" t="b">
        <v>0</v>
      </c>
      <c r="BM187" s="163"/>
      <c r="BN187" s="163"/>
      <c r="BO187" s="163"/>
      <c r="BP187" s="163"/>
      <c r="BQ187" s="163"/>
      <c r="BR187" s="163"/>
      <c r="BS187" s="163"/>
      <c r="BT187" s="163"/>
      <c r="BU187" s="163"/>
      <c r="BV187" s="163"/>
      <c r="BW187" s="163"/>
      <c r="BX187" s="163"/>
      <c r="BY187" s="163"/>
      <c r="BZ187" s="163"/>
      <c r="CA187" s="163"/>
      <c r="CB187" s="163"/>
      <c r="CC187" s="163"/>
      <c r="CD187" s="163"/>
      <c r="CE187" s="163"/>
      <c r="CF187" s="163"/>
      <c r="CG187" s="163"/>
      <c r="CH187" s="163"/>
      <c r="CI187" s="163"/>
      <c r="CJ187" s="163"/>
      <c r="CK187" s="163"/>
      <c r="CL187" s="163"/>
      <c r="CM187" s="163"/>
      <c r="CN187" s="163"/>
      <c r="CO187" s="163"/>
      <c r="CP187" s="163"/>
      <c r="CQ187" s="163"/>
      <c r="CR187" s="163"/>
      <c r="CS187" s="163"/>
      <c r="CT187" s="163"/>
      <c r="CU187" s="163"/>
      <c r="CV187" s="163"/>
      <c r="CW187" s="163"/>
      <c r="CX187" s="163"/>
      <c r="CY187" s="163"/>
      <c r="CZ187" s="163"/>
      <c r="DA187" s="163"/>
      <c r="DB187" s="163"/>
      <c r="DC187" s="163"/>
      <c r="DD187" s="163"/>
      <c r="DE187" s="163"/>
      <c r="DF187" s="163"/>
      <c r="DG187" s="163"/>
      <c r="DH187" s="163"/>
      <c r="DI187" s="163"/>
      <c r="DJ187" s="163"/>
      <c r="DK187" s="163"/>
      <c r="DL187" s="163"/>
      <c r="DM187" s="163"/>
      <c r="DN187" s="163"/>
      <c r="DO187" s="163"/>
      <c r="DP187" s="163"/>
      <c r="DQ187" s="163"/>
      <c r="DR187" s="163"/>
      <c r="DS187" s="163"/>
      <c r="DT187" s="163"/>
      <c r="DU187" s="163"/>
      <c r="DV187" s="163"/>
      <c r="DW187" s="163"/>
      <c r="DX187" s="163"/>
      <c r="DY187" s="163"/>
      <c r="DZ187" s="163"/>
      <c r="EA187" s="163"/>
      <c r="EB187" s="163"/>
      <c r="EC187" s="163"/>
      <c r="ED187" s="163"/>
      <c r="EE187" s="163"/>
      <c r="EF187" s="163"/>
      <c r="EG187" s="163"/>
      <c r="EH187" s="160">
        <f>IF([Chambre]*1='CHAMBRES FILLES 2e ETAGE'!$A$5,1,0)</f>
        <v>0</v>
      </c>
      <c r="EI187" s="161">
        <f>IF([Occurrence2]=0,0,SUM($EH$2:EH187))</f>
        <v>0</v>
      </c>
      <c r="EJ187" s="160">
        <f>IF([Chambre]*1='CHAMBRES FILLES 2e ETAGE'!$A$11,1,0)</f>
        <v>0</v>
      </c>
      <c r="EK187" s="160">
        <f>IF([Occurrence3]=0,0,SUM($EJ$2:EJ187))</f>
        <v>0</v>
      </c>
      <c r="EL187" s="160">
        <f>IF([Chambre]*1='CHAMBRES FILLES 2e ETAGE'!$A$17,1,0)</f>
        <v>0</v>
      </c>
      <c r="EM187" s="160">
        <f>IF([Occurrence4]=0,0,SUM($EL$2:EL187))</f>
        <v>0</v>
      </c>
      <c r="EN187" s="160">
        <f>IF([Chambre]*1='CHAMBRES FILLES 2e ETAGE'!$A$23,1,0)</f>
        <v>0</v>
      </c>
      <c r="EO187" s="160">
        <f>IF([Occurrence5]=0,0,SUM($EN$2:EN187))</f>
        <v>0</v>
      </c>
      <c r="EP187" s="160">
        <f>IF([Chambre]*1='CHAMBRES FILLES 2e ETAGE'!$A$29,1,0)</f>
        <v>0</v>
      </c>
      <c r="EQ187" s="160">
        <f>IF([Occurrence6]=0,0,SUM($EP$2:EP187))</f>
        <v>0</v>
      </c>
      <c r="ER187" s="160">
        <f>IF([Chambre]*1='CHAMBRES FILLES 2e ETAGE'!$A$35,1,0)</f>
        <v>0</v>
      </c>
      <c r="ES187" s="160">
        <f>IF([Occurrence7]=0,0,SUM($ER$2:ER187))</f>
        <v>0</v>
      </c>
      <c r="ET187" s="160">
        <f>IF([Chambre]*1='CHAMBRES FILLES 2e ETAGE'!$A$41,1,0)</f>
        <v>0</v>
      </c>
      <c r="EU187" s="160">
        <f>IF([Occurrence8]=0,0,SUM($ET$2:ET187))</f>
        <v>0</v>
      </c>
      <c r="EV187" s="160">
        <f>IF([Chambre]*1='CHAMBRES FILLES 2e ETAGE'!$A$47,1,0)</f>
        <v>0</v>
      </c>
      <c r="EW187" s="160">
        <f>IF([Occurrence9]=0,0,SUM($EV$2:EV187))</f>
        <v>0</v>
      </c>
      <c r="EX187" s="160">
        <f>IF([Chambre]*1='CHAMBRES FILLES 2e ETAGE'!$A$53,1,0)</f>
        <v>0</v>
      </c>
      <c r="EY187" s="160">
        <f>IF([Occurrence10]=0,0,SUM($EX$2:EX187))</f>
        <v>0</v>
      </c>
      <c r="EZ187" s="160">
        <f>IF([Chambre]*1='CHAMBRES FILLES 2e ETAGE'!$A$59,1,0)</f>
        <v>0</v>
      </c>
      <c r="FA187" s="160">
        <f>IF([Occurrence11]=0,0,SUM($EZ$2:EZ187))</f>
        <v>0</v>
      </c>
      <c r="FB187" s="160">
        <f>IF([Chambre]*1='CHAMBRES FILLES 2e ETAGE'!$A$65,1,0)</f>
        <v>0</v>
      </c>
      <c r="FC187" s="160">
        <f>IF([Occurrence12]=0,0,SUM($FB$2:FB187))</f>
        <v>0</v>
      </c>
      <c r="FD187" s="160">
        <f>IF([Chambre]*1='CHAMBRES FILLES 2e ETAGE'!$A$71,1,0)</f>
        <v>0</v>
      </c>
      <c r="FE187" s="160">
        <f>IF([Occurrence13]=0,0,SUM($FD$2:FD187))</f>
        <v>0</v>
      </c>
      <c r="FF187" s="160">
        <f>IF([Chambre]*1='CHAMBRES FILLES 2e ETAGE'!$A$77,1,0)</f>
        <v>0</v>
      </c>
      <c r="FG187" s="160">
        <f>IF([Occurrence14]=0,0,SUM($FF$2:FF187))</f>
        <v>0</v>
      </c>
      <c r="FH187" s="160">
        <f>IF([Chambre]*1='CHAMBRES FILLES 2e ETAGE'!$A$83,1,0)</f>
        <v>0</v>
      </c>
      <c r="FI187" s="160">
        <f>IF([Occurrence15]=0,0,SUM($FH$2:FH187))</f>
        <v>0</v>
      </c>
      <c r="FJ187" s="160">
        <f>IF([Chambre]*1='CHAMBRES FILLES 2e ETAGE'!$A$89,1,0)</f>
        <v>0</v>
      </c>
      <c r="FK187" s="160">
        <f>IF([Occurrence16]=0,0,SUM($FJ$2:FJ187))</f>
        <v>0</v>
      </c>
      <c r="FL187" s="160">
        <f>IF([Chambre]*1='CHAMBRES FILLES 2e ETAGE'!$A$95,1,0)</f>
        <v>0</v>
      </c>
      <c r="FM187" s="160">
        <f>IF([Occurrence17]=0,0,SUM($FL$2:FL187))</f>
        <v>0</v>
      </c>
      <c r="FN187" s="160">
        <f>IF([Chambre2]*1='CHAMBRES FILLES 1e ETAGE'!$A$5,1,0)</f>
        <v>0</v>
      </c>
      <c r="FO187" s="160">
        <f>IF([Occurrence18]=0,0,SUM($FN$2:FN187))</f>
        <v>0</v>
      </c>
      <c r="FP187" s="160">
        <f>IF([Chambre2]*1='CHAMBRES FILLES 1e ETAGE'!$A$11,1,0)</f>
        <v>0</v>
      </c>
      <c r="FQ187" s="160">
        <f>IF([Occurrence19]=0,0,SUM($FP$2:FP187))</f>
        <v>0</v>
      </c>
      <c r="FR187" s="160">
        <f>IF([Chambre2]*1='CHAMBRES FILLES 1e ETAGE'!$A$17,1,0)</f>
        <v>0</v>
      </c>
      <c r="FS187" s="160">
        <f>IF([Occurrence20]=0,0,SUM($FR$2:FR187))</f>
        <v>0</v>
      </c>
      <c r="FT187" s="160">
        <f>IF([Chambre2]*1='CHAMBRES FILLES 1e ETAGE'!$A$23,1,0)</f>
        <v>0</v>
      </c>
      <c r="FU187" s="160">
        <f>IF([Occurrence21]=0,0,SUM($FT$2:FT187))</f>
        <v>0</v>
      </c>
      <c r="FV187" s="160">
        <f>IF([Chambre2]*1='CHAMBRES FILLES 1e ETAGE'!$A$29,1,0)</f>
        <v>0</v>
      </c>
      <c r="FW187" s="160">
        <f>IF([Occurrence22]=0,0,SUM($FV$2:FV187))</f>
        <v>0</v>
      </c>
      <c r="FX187" s="160">
        <f>IF([Chambre2]*1='CHAMBRES FILLES 1e ETAGE'!$A$35,1,0)</f>
        <v>0</v>
      </c>
      <c r="FY187" s="160">
        <f>IF([Occurrence23]=0,0,SUM($FX$2:FX187))</f>
        <v>0</v>
      </c>
      <c r="FZ187" s="160">
        <f>IF([Chambre2]*1='CHAMBRES FILLES 1e ETAGE'!$A$41,1,0)</f>
        <v>0</v>
      </c>
      <c r="GA187" s="160">
        <f>IF([Occurrence24]=0,0,SUM($FZ$2:FZ187))</f>
        <v>0</v>
      </c>
      <c r="GB187" s="160">
        <f>IF([Chambre2]*1='CHAMBRES FILLES 1e ETAGE'!$A$47,1,0)</f>
        <v>0</v>
      </c>
      <c r="GC187" s="160">
        <f>IF([Occurrence25]=0,0,SUM($GB$2:GB187))</f>
        <v>0</v>
      </c>
      <c r="GD187" s="160">
        <f>IF([Chambre2]*1='CHAMBRES FILLES 1e ETAGE'!$A$53,1,0)</f>
        <v>0</v>
      </c>
      <c r="GE187" s="160">
        <f>IF([Occurrence26]=0,0,SUM($GD$2:GD187))</f>
        <v>0</v>
      </c>
      <c r="GF187" s="160">
        <f>IF([chambre4]*1='CHAMBRES GARCONS 1e ETAGE'!$A$5,1,0)</f>
        <v>0</v>
      </c>
      <c r="GG187" s="160">
        <f>IF([Occurrence27]=0,0,SUM($GF$2:GF187))</f>
        <v>0</v>
      </c>
      <c r="GH187" s="160">
        <f>IF([chambre4]*1='CHAMBRES GARCONS 1e ETAGE'!$A$11,1,0)</f>
        <v>0</v>
      </c>
      <c r="GI187" s="160">
        <f>IF([Occurrence28]=0,0,SUM($GH$2:GH187))</f>
        <v>0</v>
      </c>
      <c r="GJ187" s="160">
        <f>IF([chambre4]*1='CHAMBRES GARCONS 1e ETAGE'!$A$17,1,0)</f>
        <v>0</v>
      </c>
      <c r="GK187" s="160">
        <f>IF([Occurrence29]=0,0,SUM($GJ$2:GJ187))</f>
        <v>0</v>
      </c>
      <c r="GL187" s="160">
        <f>IF([chambre4]*1='CHAMBRES GARCONS 1e ETAGE'!$A$23,1,0)</f>
        <v>0</v>
      </c>
      <c r="GM187" s="160">
        <f>IF([Occurrence30]=0,0,SUM($GL$2:GL187))</f>
        <v>0</v>
      </c>
      <c r="GN187" s="160">
        <f>IF([chambre4]*1='CHAMBRES GARCONS 1e ETAGE'!$A$29,1,0)</f>
        <v>0</v>
      </c>
      <c r="GO187" s="160">
        <f>IF([Occurrence31]=0,0,SUM($GN$2:GN187))</f>
        <v>0</v>
      </c>
      <c r="GP187" s="160">
        <f>IF([chambre4]*1='CHAMBRES GARCONS 1e ETAGE'!$A$35,1,0)</f>
        <v>0</v>
      </c>
      <c r="GQ187" s="160">
        <f>IF([Occurrence32]=0,0,SUM($GP$2:GP187))</f>
        <v>0</v>
      </c>
      <c r="GR187" s="160">
        <f>IF([chambre3]*1='CHAMBRES GARCONS RDC'!$A$5,1,0)</f>
        <v>0</v>
      </c>
      <c r="GS187" s="160">
        <f>IF([Occurrence33]=0,0,SUM($GR$2:GR187))</f>
        <v>0</v>
      </c>
      <c r="GT187" s="160">
        <f>IF([chambre3]*1='CHAMBRES GARCONS RDC'!$A$11,1,0)</f>
        <v>0</v>
      </c>
      <c r="GU187" s="160">
        <f>IF([Occurrence34]=0,0,SUM($GT$2:GT187))</f>
        <v>0</v>
      </c>
      <c r="GV187" s="160">
        <f>IF([chambre3]*1='CHAMBRES GARCONS RDC'!$A$17,1,0)</f>
        <v>0</v>
      </c>
      <c r="GW187" s="160">
        <f>IF([Occurrence35]=0,0,SUM($GV$2:GV187))</f>
        <v>0</v>
      </c>
      <c r="GX187" s="160">
        <f>IF([chambre3]*1='CHAMBRES GARCONS RDC'!$A$23,1,0)</f>
        <v>0</v>
      </c>
      <c r="GY187" s="160">
        <f>IF([Occurrence36]=0,0,SUM($GX$2:GX187))</f>
        <v>0</v>
      </c>
      <c r="GZ187" s="160">
        <f>IF([chambre3]*1='CHAMBRES GARCONS RDC'!$A$29,1,0)</f>
        <v>0</v>
      </c>
      <c r="HA187" s="160">
        <f>IF([Occurrence37]=0,0,SUM($GZ$2:GZ187))</f>
        <v>0</v>
      </c>
      <c r="HB187" s="160">
        <f>IF([chambre3]*1='CHAMBRES GARCONS RDC'!$A$35,1,0)</f>
        <v>0</v>
      </c>
      <c r="HC187" s="160">
        <f>IF([Occurrence38]=0,0,SUM($HB$2:HB187))</f>
        <v>0</v>
      </c>
      <c r="HD187" s="160">
        <f>IF([chambre3]*1='CHAMBRES GARCONS RDC'!$A$41,1,0)</f>
        <v>0</v>
      </c>
      <c r="HE187" s="160">
        <f>IF([Occurrence39]=0,0,SUM($HD$2:HD187))</f>
        <v>0</v>
      </c>
      <c r="HF187" s="160">
        <f>IF([chambre3]*1='CHAMBRES GARCONS RDC'!$A$47,1,0)</f>
        <v>0</v>
      </c>
      <c r="HG187" s="160">
        <f>IF([Occurrence40]=0,0,SUM($HF$2:HF187))</f>
        <v>0</v>
      </c>
      <c r="HH187" s="160">
        <f>IF([chambre3]*1='CHAMBRES GARCONS RDC'!$A$53,1,0)</f>
        <v>0</v>
      </c>
      <c r="HI187" s="160">
        <f>IF([Occurrence41]=0,0,SUM($HH$2:HH187))</f>
        <v>0</v>
      </c>
      <c r="HJ187" s="160">
        <f>IF([chambre3]*1='CHAMBRES GARCONS RDC'!$A$59,1,0)</f>
        <v>0</v>
      </c>
      <c r="HK187" s="160">
        <f>IF([Occurrence42]=0,0,SUM($HJ$2:HJ187))</f>
        <v>0</v>
      </c>
      <c r="HL187" s="160">
        <f>IF([chambre3]*1='CHAMBRES GARCONS RDC'!$A$65,1,0)</f>
        <v>0</v>
      </c>
      <c r="HM187" s="160">
        <f>IF([Occurrence43]=0,0,SUM($HL$2:HL187))</f>
        <v>0</v>
      </c>
      <c r="HN187" s="160">
        <f>IF([chambre3]*1='CHAMBRES GARCONS RDC'!$A$71,1,0)</f>
        <v>0</v>
      </c>
      <c r="HO187" s="160">
        <f>IF([Occurrence44]=0,0,SUM($HN$2:HN187))</f>
        <v>0</v>
      </c>
      <c r="HP187" s="160">
        <f>IF([chambre3]*1='CHAMBRES GARCONS RDC'!$A$77,1,0)</f>
        <v>0</v>
      </c>
      <c r="HQ187" s="160">
        <f>IF([Occurrence45]=0,0,SUM($HP$2:HP187))</f>
        <v>0</v>
      </c>
      <c r="HR187" s="160">
        <f>IF([chambre3]*1='CHAMBRES GARCONS RDC'!$A$83,1,0)</f>
        <v>0</v>
      </c>
      <c r="HS187" s="160">
        <f>IF([Occurrence46]=0,0,SUM($HR$2:HR187))</f>
        <v>0</v>
      </c>
      <c r="HT187" s="160">
        <f>IF([chambre3]*1='CHAMBRES GARCONS RDC'!$A$89,1,0)</f>
        <v>0</v>
      </c>
      <c r="HU187" s="160">
        <f>IF([Occurrence47]=0,0,SUM($HT$2:HT187))</f>
        <v>0</v>
      </c>
      <c r="HV187" s="160">
        <f>IF([chambre3]*1='CHAMBRES GARCONS RDC'!$A$95,1,0)</f>
        <v>0</v>
      </c>
      <c r="HW187" s="160">
        <f>IF([Occurrence48]=0,0,SUM($HV$2:HV187))</f>
        <v>0</v>
      </c>
      <c r="HX187" s="160"/>
      <c r="HY187" s="160"/>
      <c r="HZ187" s="160">
        <f>IF([Classe]='Liste élève par classes'!$B$5,1,0)</f>
        <v>0</v>
      </c>
      <c r="IA187" s="160">
        <f>IF([Occurrence]=0,0,SUM($HZ$2:HZ187))</f>
        <v>0</v>
      </c>
      <c r="IB18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87" s="208"/>
    </row>
    <row r="188" spans="1:237">
      <c r="A188" t="s">
        <v>561</v>
      </c>
      <c r="B188" t="s">
        <v>261</v>
      </c>
      <c r="C188" s="158">
        <v>36704</v>
      </c>
      <c r="D188" s="62">
        <f t="shared" ca="1" si="2"/>
        <v>17</v>
      </c>
      <c r="E188" t="s">
        <v>13</v>
      </c>
      <c r="F188" s="159" t="s">
        <v>50</v>
      </c>
      <c r="G188" t="s">
        <v>40</v>
      </c>
      <c r="H188" s="160"/>
      <c r="I188" s="161"/>
      <c r="J188" s="161"/>
      <c r="K188" s="161"/>
      <c r="L188" s="160"/>
      <c r="M188">
        <v>125</v>
      </c>
      <c r="N188" s="161"/>
      <c r="O188" s="161"/>
      <c r="P188" s="161"/>
      <c r="Q188" s="161"/>
      <c r="R188" s="161"/>
      <c r="S188" s="190"/>
      <c r="T188" s="161"/>
      <c r="U188" s="160"/>
      <c r="V188" s="161"/>
      <c r="W188" s="161"/>
      <c r="X188" s="161"/>
      <c r="Y188" s="161"/>
      <c r="Z188" s="161"/>
      <c r="AA188" s="161"/>
      <c r="AB188" s="161"/>
      <c r="AC188" s="161"/>
      <c r="AD188" s="161"/>
      <c r="AE188" s="161"/>
      <c r="AF188" s="163"/>
      <c r="AG188" s="163"/>
      <c r="AH188" s="163"/>
      <c r="AI188" s="163"/>
      <c r="AJ188" s="163"/>
      <c r="AK188" s="163"/>
      <c r="AL188" s="163"/>
      <c r="AM188" s="163"/>
      <c r="AN188" s="163"/>
      <c r="AO188" s="163"/>
      <c r="AP188" s="163"/>
      <c r="AQ188" s="163"/>
      <c r="AR188" s="163"/>
      <c r="AS188" s="163"/>
      <c r="AT188" s="163"/>
      <c r="AU188" s="163"/>
      <c r="AV188" s="163"/>
      <c r="AW188" s="163"/>
      <c r="AX188" s="163"/>
      <c r="AY188" s="163"/>
      <c r="AZ188" s="163"/>
      <c r="BA188" s="163"/>
      <c r="BB188" s="163"/>
      <c r="BC188" s="163" t="b">
        <v>0</v>
      </c>
      <c r="BD188" s="163" t="b">
        <v>1</v>
      </c>
      <c r="BE188" s="163" t="b">
        <v>1</v>
      </c>
      <c r="BF188" s="163" t="b">
        <v>0</v>
      </c>
      <c r="BG188" s="164" t="b">
        <v>0</v>
      </c>
      <c r="BH188" s="163" t="b">
        <v>1</v>
      </c>
      <c r="BI188" s="163"/>
      <c r="BJ188" s="163"/>
      <c r="BK188" s="163"/>
      <c r="BL188" s="163"/>
      <c r="BM188" s="163"/>
      <c r="BN188" s="163"/>
      <c r="BO188" s="163"/>
      <c r="BP188" s="163"/>
      <c r="BQ188" s="163" t="b">
        <v>0</v>
      </c>
      <c r="BR188" s="163"/>
      <c r="BS188" s="163"/>
      <c r="BT188" s="163"/>
      <c r="BU188" s="163"/>
      <c r="BV188" s="163"/>
      <c r="BW188" s="163"/>
      <c r="BX188" s="163"/>
      <c r="BY188" s="163"/>
      <c r="BZ188" s="163"/>
      <c r="CA188" s="163"/>
      <c r="CB188" s="163"/>
      <c r="CC188" s="163"/>
      <c r="CD188" s="163"/>
      <c r="CE188" s="163"/>
      <c r="CF188" s="163"/>
      <c r="CG188" s="163"/>
      <c r="CH188" s="163"/>
      <c r="CI188" s="163"/>
      <c r="CJ188" s="163"/>
      <c r="CK188" s="163"/>
      <c r="CL188" s="163"/>
      <c r="CM188" s="163"/>
      <c r="CN188" s="163"/>
      <c r="CO188" s="163"/>
      <c r="CP188" s="163"/>
      <c r="CQ188" s="163"/>
      <c r="CR188" s="163"/>
      <c r="CS188" s="163"/>
      <c r="CT188" s="163"/>
      <c r="CU188" s="163"/>
      <c r="CV188" s="163"/>
      <c r="CW188" s="163"/>
      <c r="CX188" s="163"/>
      <c r="CY188" s="163"/>
      <c r="CZ188" s="163"/>
      <c r="DA188" s="163">
        <v>124</v>
      </c>
      <c r="DB188" s="163"/>
      <c r="DC188" s="163"/>
      <c r="DD188" s="163"/>
      <c r="DE188" s="163"/>
      <c r="DF188" s="163"/>
      <c r="DG188" s="208"/>
      <c r="DH188" s="163"/>
      <c r="DI188" s="163"/>
      <c r="DJ188" s="163"/>
      <c r="DK188" s="163"/>
      <c r="DL188" s="163"/>
      <c r="DM188" s="163"/>
      <c r="DN188" s="163"/>
      <c r="DO188" s="163"/>
      <c r="DP188" s="163"/>
      <c r="DQ188" s="163"/>
      <c r="DR188" s="163"/>
      <c r="DS188" s="163"/>
      <c r="DT188" s="163"/>
      <c r="DU188" s="163"/>
      <c r="DV188" s="163"/>
      <c r="DW188" s="163"/>
      <c r="DX188" s="163"/>
      <c r="DY188" s="163"/>
      <c r="DZ188" s="163"/>
      <c r="EA188" s="163"/>
      <c r="EB188" s="163"/>
      <c r="EC188" s="163"/>
      <c r="ED188" s="163"/>
      <c r="EE188" s="163"/>
      <c r="EF188" s="163"/>
      <c r="EG188" s="163"/>
      <c r="EH188" s="160">
        <f>IF([Chambre]*1='CHAMBRES FILLES 2e ETAGE'!$A$5,1,0)</f>
        <v>0</v>
      </c>
      <c r="EI188" s="161">
        <f>IF([Occurrence2]=0,0,SUM($EH$2:EH188))</f>
        <v>0</v>
      </c>
      <c r="EJ188" s="160">
        <f>IF([Chambre]*1='CHAMBRES FILLES 2e ETAGE'!$A$11,1,0)</f>
        <v>0</v>
      </c>
      <c r="EK188" s="160">
        <f>IF([Occurrence3]=0,0,SUM($EJ$2:EJ188))</f>
        <v>0</v>
      </c>
      <c r="EL188" s="160">
        <f>IF([Chambre]*1='CHAMBRES FILLES 2e ETAGE'!$A$17,1,0)</f>
        <v>0</v>
      </c>
      <c r="EM188" s="160">
        <f>IF([Occurrence4]=0,0,SUM($EL$2:EL188))</f>
        <v>0</v>
      </c>
      <c r="EN188" s="160">
        <f>IF([Chambre]*1='CHAMBRES FILLES 2e ETAGE'!$A$23,1,0)</f>
        <v>0</v>
      </c>
      <c r="EO188" s="160">
        <f>IF([Occurrence5]=0,0,SUM($EN$2:EN188))</f>
        <v>0</v>
      </c>
      <c r="EP188" s="160">
        <f>IF([Chambre]*1='CHAMBRES FILLES 2e ETAGE'!$A$29,1,0)</f>
        <v>0</v>
      </c>
      <c r="EQ188" s="160">
        <f>IF([Occurrence6]=0,0,SUM($EP$2:EP188))</f>
        <v>0</v>
      </c>
      <c r="ER188" s="160">
        <f>IF([Chambre]*1='CHAMBRES FILLES 2e ETAGE'!$A$35,1,0)</f>
        <v>0</v>
      </c>
      <c r="ES188" s="160">
        <f>IF([Occurrence7]=0,0,SUM($ER$2:ER188))</f>
        <v>0</v>
      </c>
      <c r="ET188" s="160">
        <f>IF([Chambre]*1='CHAMBRES FILLES 2e ETAGE'!$A$41,1,0)</f>
        <v>0</v>
      </c>
      <c r="EU188" s="160">
        <f>IF([Occurrence8]=0,0,SUM($ET$2:ET188))</f>
        <v>0</v>
      </c>
      <c r="EV188" s="160">
        <f>IF([Chambre]*1='CHAMBRES FILLES 2e ETAGE'!$A$47,1,0)</f>
        <v>0</v>
      </c>
      <c r="EW188" s="160">
        <f>IF([Occurrence9]=0,0,SUM($EV$2:EV188))</f>
        <v>0</v>
      </c>
      <c r="EX188" s="160">
        <f>IF([Chambre]*1='CHAMBRES FILLES 2e ETAGE'!$A$53,1,0)</f>
        <v>0</v>
      </c>
      <c r="EY188" s="160">
        <f>IF([Occurrence10]=0,0,SUM($EX$2:EX188))</f>
        <v>0</v>
      </c>
      <c r="EZ188" s="160">
        <f>IF([Chambre]*1='CHAMBRES FILLES 2e ETAGE'!$A$59,1,0)</f>
        <v>0</v>
      </c>
      <c r="FA188" s="160">
        <f>IF([Occurrence11]=0,0,SUM($EZ$2:EZ188))</f>
        <v>0</v>
      </c>
      <c r="FB188" s="160">
        <f>IF([Chambre]*1='CHAMBRES FILLES 2e ETAGE'!$A$65,1,0)</f>
        <v>0</v>
      </c>
      <c r="FC188" s="160">
        <f>IF([Occurrence12]=0,0,SUM($FB$2:FB188))</f>
        <v>0</v>
      </c>
      <c r="FD188" s="160">
        <f>IF([Chambre]*1='CHAMBRES FILLES 2e ETAGE'!$A$71,1,0)</f>
        <v>0</v>
      </c>
      <c r="FE188" s="160">
        <f>IF([Occurrence13]=0,0,SUM($FD$2:FD188))</f>
        <v>0</v>
      </c>
      <c r="FF188" s="160">
        <f>IF([Chambre]*1='CHAMBRES FILLES 2e ETAGE'!$A$77,1,0)</f>
        <v>0</v>
      </c>
      <c r="FG188" s="160">
        <f>IF([Occurrence14]=0,0,SUM($FF$2:FF188))</f>
        <v>0</v>
      </c>
      <c r="FH188" s="160">
        <f>IF([Chambre]*1='CHAMBRES FILLES 2e ETAGE'!$A$83,1,0)</f>
        <v>0</v>
      </c>
      <c r="FI188" s="160">
        <f>IF([Occurrence15]=0,0,SUM($FH$2:FH188))</f>
        <v>0</v>
      </c>
      <c r="FJ188" s="160">
        <f>IF([Chambre]*1='CHAMBRES FILLES 2e ETAGE'!$A$89,1,0)</f>
        <v>0</v>
      </c>
      <c r="FK188" s="160">
        <f>IF([Occurrence16]=0,0,SUM($FJ$2:FJ188))</f>
        <v>0</v>
      </c>
      <c r="FL188" s="160">
        <f>IF([Chambre]*1='CHAMBRES FILLES 2e ETAGE'!$A$95,1,0)</f>
        <v>0</v>
      </c>
      <c r="FM188" s="160">
        <f>IF([Occurrence17]=0,0,SUM($FL$2:FL188))</f>
        <v>0</v>
      </c>
      <c r="FN188" s="160">
        <f>IF([Chambre2]*1='CHAMBRES FILLES 1e ETAGE'!$A$5,1,0)</f>
        <v>0</v>
      </c>
      <c r="FO188" s="160">
        <f>IF([Occurrence18]=0,0,SUM($FN$2:FN188))</f>
        <v>0</v>
      </c>
      <c r="FP188" s="160">
        <f>IF([Chambre2]*1='CHAMBRES FILLES 1e ETAGE'!$A$11,1,0)</f>
        <v>0</v>
      </c>
      <c r="FQ188" s="160">
        <f>IF([Occurrence19]=0,0,SUM($FP$2:FP188))</f>
        <v>0</v>
      </c>
      <c r="FR188" s="160">
        <f>IF([Chambre2]*1='CHAMBRES FILLES 1e ETAGE'!$A$17,1,0)</f>
        <v>0</v>
      </c>
      <c r="FS188" s="160">
        <f>IF([Occurrence20]=0,0,SUM($FR$2:FR188))</f>
        <v>0</v>
      </c>
      <c r="FT188" s="160">
        <f>IF([Chambre2]*1='CHAMBRES FILLES 1e ETAGE'!$A$23,1,0)</f>
        <v>0</v>
      </c>
      <c r="FU188" s="160">
        <f>IF([Occurrence21]=0,0,SUM($FT$2:FT188))</f>
        <v>0</v>
      </c>
      <c r="FV188" s="160">
        <f>IF([Chambre2]*1='CHAMBRES FILLES 1e ETAGE'!$A$29,1,0)</f>
        <v>0</v>
      </c>
      <c r="FW188" s="160">
        <f>IF([Occurrence22]=0,0,SUM($FV$2:FV188))</f>
        <v>0</v>
      </c>
      <c r="FX188" s="160">
        <f>IF([Chambre2]*1='CHAMBRES FILLES 1e ETAGE'!$A$35,1,0)</f>
        <v>0</v>
      </c>
      <c r="FY188" s="160">
        <f>IF([Occurrence23]=0,0,SUM($FX$2:FX188))</f>
        <v>0</v>
      </c>
      <c r="FZ188" s="160">
        <f>IF([Chambre2]*1='CHAMBRES FILLES 1e ETAGE'!$A$41,1,0)</f>
        <v>0</v>
      </c>
      <c r="GA188" s="160">
        <f>IF([Occurrence24]=0,0,SUM($FZ$2:FZ188))</f>
        <v>0</v>
      </c>
      <c r="GB188" s="160">
        <f>IF([Chambre2]*1='CHAMBRES FILLES 1e ETAGE'!$A$47,1,0)</f>
        <v>0</v>
      </c>
      <c r="GC188" s="160">
        <f>IF([Occurrence25]=0,0,SUM($GB$2:GB188))</f>
        <v>0</v>
      </c>
      <c r="GD188" s="160">
        <f>IF([Chambre2]*1='CHAMBRES FILLES 1e ETAGE'!$A$53,1,0)</f>
        <v>0</v>
      </c>
      <c r="GE188" s="160">
        <f>IF([Occurrence26]=0,0,SUM($GD$2:GD188))</f>
        <v>0</v>
      </c>
      <c r="GF188" s="160">
        <f>IF([chambre4]*1='CHAMBRES GARCONS 1e ETAGE'!$A$5,1,0)</f>
        <v>0</v>
      </c>
      <c r="GG188" s="160">
        <f>IF([Occurrence27]=0,0,SUM($GF$2:GF188))</f>
        <v>0</v>
      </c>
      <c r="GH188" s="160">
        <f>IF([chambre4]*1='CHAMBRES GARCONS 1e ETAGE'!$A$11,1,0)</f>
        <v>0</v>
      </c>
      <c r="GI188" s="160">
        <f>IF([Occurrence28]=0,0,SUM($GH$2:GH188))</f>
        <v>0</v>
      </c>
      <c r="GJ188" s="160">
        <f>IF([chambre4]*1='CHAMBRES GARCONS 1e ETAGE'!$A$17,1,0)</f>
        <v>0</v>
      </c>
      <c r="GK188" s="160">
        <f>IF([Occurrence29]=0,0,SUM($GJ$2:GJ188))</f>
        <v>0</v>
      </c>
      <c r="GL188" s="160">
        <f>IF([chambre4]*1='CHAMBRES GARCONS 1e ETAGE'!$A$23,1,0)</f>
        <v>0</v>
      </c>
      <c r="GM188" s="160">
        <f>IF([Occurrence30]=0,0,SUM($GL$2:GL188))</f>
        <v>0</v>
      </c>
      <c r="GN188" s="160">
        <f>IF([chambre4]*1='CHAMBRES GARCONS 1e ETAGE'!$A$29,1,0)</f>
        <v>0</v>
      </c>
      <c r="GO188" s="160">
        <f>IF([Occurrence31]=0,0,SUM($GN$2:GN188))</f>
        <v>0</v>
      </c>
      <c r="GP188" s="160">
        <f>IF([chambre4]*1='CHAMBRES GARCONS 1e ETAGE'!$A$35,1,0)</f>
        <v>0</v>
      </c>
      <c r="GQ188" s="160">
        <f>IF([Occurrence32]=0,0,SUM($GP$2:GP188))</f>
        <v>0</v>
      </c>
      <c r="GR188" s="160">
        <f>IF([chambre3]*1='CHAMBRES GARCONS RDC'!$A$5,1,0)</f>
        <v>0</v>
      </c>
      <c r="GS188" s="160">
        <f>IF([Occurrence33]=0,0,SUM($GR$2:GR188))</f>
        <v>0</v>
      </c>
      <c r="GT188" s="160">
        <f>IF([chambre3]*1='CHAMBRES GARCONS RDC'!$A$11,1,0)</f>
        <v>0</v>
      </c>
      <c r="GU188" s="160">
        <f>IF([Occurrence34]=0,0,SUM($GT$2:GT188))</f>
        <v>0</v>
      </c>
      <c r="GV188" s="160">
        <f>IF([chambre3]*1='CHAMBRES GARCONS RDC'!$A$17,1,0)</f>
        <v>0</v>
      </c>
      <c r="GW188" s="160">
        <f>IF([Occurrence35]=0,0,SUM($GV$2:GV188))</f>
        <v>0</v>
      </c>
      <c r="GX188" s="160">
        <f>IF([chambre3]*1='CHAMBRES GARCONS RDC'!$A$23,1,0)</f>
        <v>0</v>
      </c>
      <c r="GY188" s="160">
        <f>IF([Occurrence36]=0,0,SUM($GX$2:GX188))</f>
        <v>0</v>
      </c>
      <c r="GZ188" s="160">
        <f>IF([chambre3]*1='CHAMBRES GARCONS RDC'!$A$29,1,0)</f>
        <v>0</v>
      </c>
      <c r="HA188" s="160">
        <f>IF([Occurrence37]=0,0,SUM($GZ$2:GZ188))</f>
        <v>0</v>
      </c>
      <c r="HB188" s="160">
        <f>IF([chambre3]*1='CHAMBRES GARCONS RDC'!$A$35,1,0)</f>
        <v>0</v>
      </c>
      <c r="HC188" s="160">
        <f>IF([Occurrence38]=0,0,SUM($HB$2:HB188))</f>
        <v>0</v>
      </c>
      <c r="HD188" s="160">
        <f>IF([chambre3]*1='CHAMBRES GARCONS RDC'!$A$41,1,0)</f>
        <v>0</v>
      </c>
      <c r="HE188" s="160">
        <f>IF([Occurrence39]=0,0,SUM($HD$2:HD188))</f>
        <v>0</v>
      </c>
      <c r="HF188" s="160">
        <f>IF([chambre3]*1='CHAMBRES GARCONS RDC'!$A$47,1,0)</f>
        <v>0</v>
      </c>
      <c r="HG188" s="160">
        <f>IF([Occurrence40]=0,0,SUM($HF$2:HF188))</f>
        <v>0</v>
      </c>
      <c r="HH188" s="160">
        <f>IF([chambre3]*1='CHAMBRES GARCONS RDC'!$A$53,1,0)</f>
        <v>0</v>
      </c>
      <c r="HI188" s="160">
        <f>IF([Occurrence41]=0,0,SUM($HH$2:HH188))</f>
        <v>0</v>
      </c>
      <c r="HJ188" s="160">
        <f>IF([chambre3]*1='CHAMBRES GARCONS RDC'!$A$59,1,0)</f>
        <v>0</v>
      </c>
      <c r="HK188" s="160">
        <f>IF([Occurrence42]=0,0,SUM($HJ$2:HJ188))</f>
        <v>0</v>
      </c>
      <c r="HL188" s="160">
        <f>IF([chambre3]*1='CHAMBRES GARCONS RDC'!$A$65,1,0)</f>
        <v>0</v>
      </c>
      <c r="HM188" s="160">
        <f>IF([Occurrence43]=0,0,SUM($HL$2:HL188))</f>
        <v>0</v>
      </c>
      <c r="HN188" s="160">
        <f>IF([chambre3]*1='CHAMBRES GARCONS RDC'!$A$71,1,0)</f>
        <v>0</v>
      </c>
      <c r="HO188" s="160">
        <f>IF([Occurrence44]=0,0,SUM($HN$2:HN188))</f>
        <v>0</v>
      </c>
      <c r="HP188" s="160">
        <f>IF([chambre3]*1='CHAMBRES GARCONS RDC'!$A$77,1,0)</f>
        <v>0</v>
      </c>
      <c r="HQ188" s="160">
        <f>IF([Occurrence45]=0,0,SUM($HP$2:HP188))</f>
        <v>0</v>
      </c>
      <c r="HR188" s="160">
        <f>IF([chambre3]*1='CHAMBRES GARCONS RDC'!$A$83,1,0)</f>
        <v>0</v>
      </c>
      <c r="HS188" s="160">
        <f>IF([Occurrence46]=0,0,SUM($HR$2:HR188))</f>
        <v>0</v>
      </c>
      <c r="HT188" s="160">
        <f>IF([chambre3]*1='CHAMBRES GARCONS RDC'!$A$89,1,0)</f>
        <v>0</v>
      </c>
      <c r="HU188" s="160">
        <f>IF([Occurrence47]=0,0,SUM($HT$2:HT188))</f>
        <v>0</v>
      </c>
      <c r="HV188" s="160">
        <f>IF([chambre3]*1='CHAMBRES GARCONS RDC'!$A$95,1,0)</f>
        <v>1</v>
      </c>
      <c r="HW188" s="160">
        <f>IF([Occurrence48]=0,0,SUM($HV$2:HV188))</f>
        <v>2</v>
      </c>
      <c r="HX188" s="160"/>
      <c r="HY188" s="160"/>
      <c r="HZ188" s="160">
        <f>IF([Classe]='Liste élève par classes'!$B$5,1,0)</f>
        <v>0</v>
      </c>
      <c r="IA188" s="160">
        <f>IF([Occurrence]=0,0,SUM($HZ$2:HZ188))</f>
        <v>0</v>
      </c>
      <c r="IB18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124</v>
      </c>
      <c r="IC188" s="208"/>
    </row>
    <row r="189" spans="1:237">
      <c r="A189" t="s">
        <v>562</v>
      </c>
      <c r="B189" t="s">
        <v>563</v>
      </c>
      <c r="C189" s="158">
        <v>36780</v>
      </c>
      <c r="D189" s="62">
        <f t="shared" ca="1" si="2"/>
        <v>17</v>
      </c>
      <c r="E189" t="s">
        <v>10</v>
      </c>
      <c r="F189" s="159" t="s">
        <v>46</v>
      </c>
      <c r="G189" t="s">
        <v>45</v>
      </c>
      <c r="H189" s="160"/>
      <c r="I189" s="62"/>
      <c r="J189" s="62"/>
      <c r="K189" s="62"/>
      <c r="L189" s="61"/>
      <c r="M189">
        <v>198</v>
      </c>
      <c r="N189" s="62"/>
      <c r="O189" s="62"/>
      <c r="P189" s="62"/>
      <c r="Q189" s="62"/>
      <c r="R189" s="62"/>
      <c r="S189" s="62"/>
      <c r="T189" s="62"/>
      <c r="U189" s="61"/>
      <c r="V189" s="62"/>
      <c r="W189" s="62"/>
      <c r="X189" s="62"/>
      <c r="Y189" s="62"/>
      <c r="Z189" s="62"/>
      <c r="AA189" s="62"/>
      <c r="AB189" s="62"/>
      <c r="AC189" s="62"/>
      <c r="AD189" s="62"/>
      <c r="AE189" s="62"/>
      <c r="AF189" s="163"/>
      <c r="AG189" s="163"/>
      <c r="AH189" s="163"/>
      <c r="AI189" s="163"/>
      <c r="AJ189" s="163"/>
      <c r="AK189" s="163"/>
      <c r="AL189" s="163"/>
      <c r="AM189" s="163"/>
      <c r="AN189" s="163"/>
      <c r="AO189" s="163"/>
      <c r="AP189" s="163"/>
      <c r="AQ189" s="163"/>
      <c r="AR189" s="163"/>
      <c r="AS189" s="163"/>
      <c r="AT189" s="163"/>
      <c r="AU189" s="163"/>
      <c r="AV189" s="163"/>
      <c r="AW189" s="163"/>
      <c r="AX189" s="163"/>
      <c r="AY189" s="163"/>
      <c r="AZ189" s="163"/>
      <c r="BA189" s="163"/>
      <c r="BB189" s="163"/>
      <c r="BC189" s="163"/>
      <c r="BD189" s="163"/>
      <c r="BE189" s="163"/>
      <c r="BF189" s="163"/>
      <c r="BG189" s="163"/>
      <c r="BH189" s="163"/>
      <c r="BI189" s="163"/>
      <c r="BJ189" s="163"/>
      <c r="BK189" s="163"/>
      <c r="BL189" s="163"/>
      <c r="BM189" s="163"/>
      <c r="BN189" s="163"/>
      <c r="BO189" s="163"/>
      <c r="BP189" s="163"/>
      <c r="BQ189" s="163"/>
      <c r="BR189" s="163"/>
      <c r="BS189" s="163"/>
      <c r="BT189" s="163"/>
      <c r="BU189" s="163"/>
      <c r="BV189" s="163"/>
      <c r="BW189" s="163"/>
      <c r="BX189" s="163"/>
      <c r="BY189" s="163"/>
      <c r="BZ189" s="163"/>
      <c r="CA189" s="163"/>
      <c r="CB189" s="163"/>
      <c r="CC189" s="163"/>
      <c r="CD189" s="163"/>
      <c r="CE189" s="163"/>
      <c r="CF189" s="163"/>
      <c r="CG189" s="163"/>
      <c r="CH189" s="163"/>
      <c r="CI189" s="163"/>
      <c r="CJ189" s="163"/>
      <c r="CK189" s="163"/>
      <c r="CL189" s="163"/>
      <c r="CM189" s="163"/>
      <c r="CN189" s="163"/>
      <c r="CO189" s="163"/>
      <c r="CP189" s="163"/>
      <c r="CQ189" s="163"/>
      <c r="CR189" s="163"/>
      <c r="CS189" s="163"/>
      <c r="CT189" s="163"/>
      <c r="CU189" s="163"/>
      <c r="CV189" s="163"/>
      <c r="CW189" s="163"/>
      <c r="CX189" s="163"/>
      <c r="CY189" s="163"/>
      <c r="CZ189" s="163"/>
      <c r="DA189" s="163"/>
      <c r="DB189" s="163"/>
      <c r="DC189" s="163"/>
      <c r="DD189" s="163"/>
      <c r="DE189" s="163"/>
      <c r="DF189" s="163"/>
      <c r="DG189" s="163"/>
      <c r="DH189" s="163"/>
      <c r="DI189" s="163"/>
      <c r="DJ189" s="163"/>
      <c r="DK189" s="163"/>
      <c r="DL189" s="163"/>
      <c r="DM189" s="163"/>
      <c r="DN189" s="163"/>
      <c r="DO189" s="163"/>
      <c r="DP189" s="163"/>
      <c r="DQ189" s="163"/>
      <c r="DR189" s="163"/>
      <c r="DS189" s="163"/>
      <c r="DT189" s="163"/>
      <c r="DU189" s="163"/>
      <c r="DV189" s="163"/>
      <c r="DW189" s="163"/>
      <c r="DX189" s="163"/>
      <c r="DY189" s="163"/>
      <c r="DZ189" s="163"/>
      <c r="EA189" s="163"/>
      <c r="EB189" s="163"/>
      <c r="EC189" s="163"/>
      <c r="ED189" s="163"/>
      <c r="EE189" s="163"/>
      <c r="EF189" s="163"/>
      <c r="EG189" s="163"/>
      <c r="EH189" s="160">
        <f>IF([Chambre]*1='CHAMBRES FILLES 2e ETAGE'!$A$5,1,0)</f>
        <v>0</v>
      </c>
      <c r="EI189" s="161">
        <f>IF([Occurrence2]=0,0,SUM($EH$2:EH189))</f>
        <v>0</v>
      </c>
      <c r="EJ189" s="160">
        <f>IF([Chambre]*1='CHAMBRES FILLES 2e ETAGE'!$A$11,1,0)</f>
        <v>0</v>
      </c>
      <c r="EK189" s="160">
        <f>IF([Occurrence3]=0,0,SUM($EJ$2:EJ189))</f>
        <v>0</v>
      </c>
      <c r="EL189" s="160">
        <f>IF([Chambre]*1='CHAMBRES FILLES 2e ETAGE'!$A$17,1,0)</f>
        <v>0</v>
      </c>
      <c r="EM189" s="160">
        <f>IF([Occurrence4]=0,0,SUM($EL$2:EL189))</f>
        <v>0</v>
      </c>
      <c r="EN189" s="160">
        <f>IF([Chambre]*1='CHAMBRES FILLES 2e ETAGE'!$A$23,1,0)</f>
        <v>0</v>
      </c>
      <c r="EO189" s="160">
        <f>IF([Occurrence5]=0,0,SUM($EN$2:EN189))</f>
        <v>0</v>
      </c>
      <c r="EP189" s="160">
        <f>IF([Chambre]*1='CHAMBRES FILLES 2e ETAGE'!$A$29,1,0)</f>
        <v>0</v>
      </c>
      <c r="EQ189" s="160">
        <f>IF([Occurrence6]=0,0,SUM($EP$2:EP189))</f>
        <v>0</v>
      </c>
      <c r="ER189" s="160">
        <f>IF([Chambre]*1='CHAMBRES FILLES 2e ETAGE'!$A$35,1,0)</f>
        <v>0</v>
      </c>
      <c r="ES189" s="160">
        <f>IF([Occurrence7]=0,0,SUM($ER$2:ER189))</f>
        <v>0</v>
      </c>
      <c r="ET189" s="160">
        <f>IF([Chambre]*1='CHAMBRES FILLES 2e ETAGE'!$A$41,1,0)</f>
        <v>0</v>
      </c>
      <c r="EU189" s="160">
        <f>IF([Occurrence8]=0,0,SUM($ET$2:ET189))</f>
        <v>0</v>
      </c>
      <c r="EV189" s="160">
        <f>IF([Chambre]*1='CHAMBRES FILLES 2e ETAGE'!$A$47,1,0)</f>
        <v>0</v>
      </c>
      <c r="EW189" s="160">
        <f>IF([Occurrence9]=0,0,SUM($EV$2:EV189))</f>
        <v>0</v>
      </c>
      <c r="EX189" s="160">
        <f>IF([Chambre]*1='CHAMBRES FILLES 2e ETAGE'!$A$53,1,0)</f>
        <v>0</v>
      </c>
      <c r="EY189" s="160">
        <f>IF([Occurrence10]=0,0,SUM($EX$2:EX189))</f>
        <v>0</v>
      </c>
      <c r="EZ189" s="160">
        <f>IF([Chambre]*1='CHAMBRES FILLES 2e ETAGE'!$A$59,1,0)</f>
        <v>0</v>
      </c>
      <c r="FA189" s="160">
        <f>IF([Occurrence11]=0,0,SUM($EZ$2:EZ189))</f>
        <v>0</v>
      </c>
      <c r="FB189" s="160">
        <f>IF([Chambre]*1='CHAMBRES FILLES 2e ETAGE'!$A$65,1,0)</f>
        <v>0</v>
      </c>
      <c r="FC189" s="160">
        <f>IF([Occurrence12]=0,0,SUM($FB$2:FB189))</f>
        <v>0</v>
      </c>
      <c r="FD189" s="160">
        <f>IF([Chambre]*1='CHAMBRES FILLES 2e ETAGE'!$A$71,1,0)</f>
        <v>0</v>
      </c>
      <c r="FE189" s="160">
        <f>IF([Occurrence13]=0,0,SUM($FD$2:FD189))</f>
        <v>0</v>
      </c>
      <c r="FF189" s="160">
        <f>IF([Chambre]*1='CHAMBRES FILLES 2e ETAGE'!$A$77,1,0)</f>
        <v>0</v>
      </c>
      <c r="FG189" s="160">
        <f>IF([Occurrence14]=0,0,SUM($FF$2:FF189))</f>
        <v>0</v>
      </c>
      <c r="FH189" s="160">
        <f>IF([Chambre]*1='CHAMBRES FILLES 2e ETAGE'!$A$83,1,0)</f>
        <v>0</v>
      </c>
      <c r="FI189" s="160">
        <f>IF([Occurrence15]=0,0,SUM($FH$2:FH189))</f>
        <v>0</v>
      </c>
      <c r="FJ189" s="160">
        <f>IF([Chambre]*1='CHAMBRES FILLES 2e ETAGE'!$A$89,1,0)</f>
        <v>0</v>
      </c>
      <c r="FK189" s="160">
        <f>IF([Occurrence16]=0,0,SUM($FJ$2:FJ189))</f>
        <v>0</v>
      </c>
      <c r="FL189" s="160">
        <f>IF([Chambre]*1='CHAMBRES FILLES 2e ETAGE'!$A$95,1,0)</f>
        <v>0</v>
      </c>
      <c r="FM189" s="160">
        <f>IF([Occurrence17]=0,0,SUM($FL$2:FL189))</f>
        <v>0</v>
      </c>
      <c r="FN189" s="160">
        <f>IF([Chambre2]*1='CHAMBRES FILLES 1e ETAGE'!$A$5,1,0)</f>
        <v>0</v>
      </c>
      <c r="FO189" s="160">
        <f>IF([Occurrence18]=0,0,SUM($FN$2:FN189))</f>
        <v>0</v>
      </c>
      <c r="FP189" s="160">
        <f>IF([Chambre2]*1='CHAMBRES FILLES 1e ETAGE'!$A$11,1,0)</f>
        <v>0</v>
      </c>
      <c r="FQ189" s="160">
        <f>IF([Occurrence19]=0,0,SUM($FP$2:FP189))</f>
        <v>0</v>
      </c>
      <c r="FR189" s="160">
        <f>IF([Chambre2]*1='CHAMBRES FILLES 1e ETAGE'!$A$17,1,0)</f>
        <v>0</v>
      </c>
      <c r="FS189" s="160">
        <f>IF([Occurrence20]=0,0,SUM($FR$2:FR189))</f>
        <v>0</v>
      </c>
      <c r="FT189" s="160">
        <f>IF([Chambre2]*1='CHAMBRES FILLES 1e ETAGE'!$A$23,1,0)</f>
        <v>0</v>
      </c>
      <c r="FU189" s="160">
        <f>IF([Occurrence21]=0,0,SUM($FT$2:FT189))</f>
        <v>0</v>
      </c>
      <c r="FV189" s="160">
        <f>IF([Chambre2]*1='CHAMBRES FILLES 1e ETAGE'!$A$29,1,0)</f>
        <v>0</v>
      </c>
      <c r="FW189" s="160">
        <f>IF([Occurrence22]=0,0,SUM($FV$2:FV189))</f>
        <v>0</v>
      </c>
      <c r="FX189" s="160">
        <f>IF([Chambre2]*1='CHAMBRES FILLES 1e ETAGE'!$A$35,1,0)</f>
        <v>0</v>
      </c>
      <c r="FY189" s="160">
        <f>IF([Occurrence23]=0,0,SUM($FX$2:FX189))</f>
        <v>0</v>
      </c>
      <c r="FZ189" s="160">
        <f>IF([Chambre2]*1='CHAMBRES FILLES 1e ETAGE'!$A$41,1,0)</f>
        <v>0</v>
      </c>
      <c r="GA189" s="160">
        <f>IF([Occurrence24]=0,0,SUM($FZ$2:FZ189))</f>
        <v>0</v>
      </c>
      <c r="GB189" s="160">
        <f>IF([Chambre2]*1='CHAMBRES FILLES 1e ETAGE'!$A$47,1,0)</f>
        <v>0</v>
      </c>
      <c r="GC189" s="160">
        <f>IF([Occurrence25]=0,0,SUM($GB$2:GB189))</f>
        <v>0</v>
      </c>
      <c r="GD189" s="160">
        <f>IF([Chambre2]*1='CHAMBRES FILLES 1e ETAGE'!$A$53,1,0)</f>
        <v>0</v>
      </c>
      <c r="GE189" s="160">
        <f>IF([Occurrence26]=0,0,SUM($GD$2:GD189))</f>
        <v>0</v>
      </c>
      <c r="GF189" s="160">
        <f>IF([chambre4]*1='CHAMBRES GARCONS 1e ETAGE'!$A$5,1,0)</f>
        <v>0</v>
      </c>
      <c r="GG189" s="160">
        <f>IF([Occurrence27]=0,0,SUM($GF$2:GF189))</f>
        <v>0</v>
      </c>
      <c r="GH189" s="160">
        <f>IF([chambre4]*1='CHAMBRES GARCONS 1e ETAGE'!$A$11,1,0)</f>
        <v>0</v>
      </c>
      <c r="GI189" s="160">
        <f>IF([Occurrence28]=0,0,SUM($GH$2:GH189))</f>
        <v>0</v>
      </c>
      <c r="GJ189" s="160">
        <f>IF([chambre4]*1='CHAMBRES GARCONS 1e ETAGE'!$A$17,1,0)</f>
        <v>0</v>
      </c>
      <c r="GK189" s="160">
        <f>IF([Occurrence29]=0,0,SUM($GJ$2:GJ189))</f>
        <v>0</v>
      </c>
      <c r="GL189" s="160">
        <f>IF([chambre4]*1='CHAMBRES GARCONS 1e ETAGE'!$A$23,1,0)</f>
        <v>0</v>
      </c>
      <c r="GM189" s="160">
        <f>IF([Occurrence30]=0,0,SUM($GL$2:GL189))</f>
        <v>0</v>
      </c>
      <c r="GN189" s="160">
        <f>IF([chambre4]*1='CHAMBRES GARCONS 1e ETAGE'!$A$29,1,0)</f>
        <v>0</v>
      </c>
      <c r="GO189" s="160">
        <f>IF([Occurrence31]=0,0,SUM($GN$2:GN189))</f>
        <v>0</v>
      </c>
      <c r="GP189" s="160">
        <f>IF([chambre4]*1='CHAMBRES GARCONS 1e ETAGE'!$A$35,1,0)</f>
        <v>0</v>
      </c>
      <c r="GQ189" s="160">
        <f>IF([Occurrence32]=0,0,SUM($GP$2:GP189))</f>
        <v>0</v>
      </c>
      <c r="GR189" s="160">
        <f>IF([chambre3]*1='CHAMBRES GARCONS RDC'!$A$5,1,0)</f>
        <v>0</v>
      </c>
      <c r="GS189" s="160">
        <f>IF([Occurrence33]=0,0,SUM($GR$2:GR189))</f>
        <v>0</v>
      </c>
      <c r="GT189" s="160">
        <f>IF([chambre3]*1='CHAMBRES GARCONS RDC'!$A$11,1,0)</f>
        <v>0</v>
      </c>
      <c r="GU189" s="160">
        <f>IF([Occurrence34]=0,0,SUM($GT$2:GT189))</f>
        <v>0</v>
      </c>
      <c r="GV189" s="160">
        <f>IF([chambre3]*1='CHAMBRES GARCONS RDC'!$A$17,1,0)</f>
        <v>0</v>
      </c>
      <c r="GW189" s="160">
        <f>IF([Occurrence35]=0,0,SUM($GV$2:GV189))</f>
        <v>0</v>
      </c>
      <c r="GX189" s="160">
        <f>IF([chambre3]*1='CHAMBRES GARCONS RDC'!$A$23,1,0)</f>
        <v>0</v>
      </c>
      <c r="GY189" s="160">
        <f>IF([Occurrence36]=0,0,SUM($GX$2:GX189))</f>
        <v>0</v>
      </c>
      <c r="GZ189" s="160">
        <f>IF([chambre3]*1='CHAMBRES GARCONS RDC'!$A$29,1,0)</f>
        <v>0</v>
      </c>
      <c r="HA189" s="160">
        <f>IF([Occurrence37]=0,0,SUM($GZ$2:GZ189))</f>
        <v>0</v>
      </c>
      <c r="HB189" s="160">
        <f>IF([chambre3]*1='CHAMBRES GARCONS RDC'!$A$35,1,0)</f>
        <v>0</v>
      </c>
      <c r="HC189" s="160">
        <f>IF([Occurrence38]=0,0,SUM($HB$2:HB189))</f>
        <v>0</v>
      </c>
      <c r="HD189" s="160">
        <f>IF([chambre3]*1='CHAMBRES GARCONS RDC'!$A$41,1,0)</f>
        <v>0</v>
      </c>
      <c r="HE189" s="160">
        <f>IF([Occurrence39]=0,0,SUM($HD$2:HD189))</f>
        <v>0</v>
      </c>
      <c r="HF189" s="160">
        <f>IF([chambre3]*1='CHAMBRES GARCONS RDC'!$A$47,1,0)</f>
        <v>0</v>
      </c>
      <c r="HG189" s="160">
        <f>IF([Occurrence40]=0,0,SUM($HF$2:HF189))</f>
        <v>0</v>
      </c>
      <c r="HH189" s="160">
        <f>IF([chambre3]*1='CHAMBRES GARCONS RDC'!$A$53,1,0)</f>
        <v>0</v>
      </c>
      <c r="HI189" s="160">
        <f>IF([Occurrence41]=0,0,SUM($HH$2:HH189))</f>
        <v>0</v>
      </c>
      <c r="HJ189" s="160">
        <f>IF([chambre3]*1='CHAMBRES GARCONS RDC'!$A$59,1,0)</f>
        <v>0</v>
      </c>
      <c r="HK189" s="160">
        <f>IF([Occurrence42]=0,0,SUM($HJ$2:HJ189))</f>
        <v>0</v>
      </c>
      <c r="HL189" s="160">
        <f>IF([chambre3]*1='CHAMBRES GARCONS RDC'!$A$65,1,0)</f>
        <v>0</v>
      </c>
      <c r="HM189" s="160">
        <f>IF([Occurrence43]=0,0,SUM($HL$2:HL189))</f>
        <v>0</v>
      </c>
      <c r="HN189" s="160">
        <f>IF([chambre3]*1='CHAMBRES GARCONS RDC'!$A$71,1,0)</f>
        <v>0</v>
      </c>
      <c r="HO189" s="160">
        <f>IF([Occurrence44]=0,0,SUM($HN$2:HN189))</f>
        <v>0</v>
      </c>
      <c r="HP189" s="160">
        <f>IF([chambre3]*1='CHAMBRES GARCONS RDC'!$A$77,1,0)</f>
        <v>0</v>
      </c>
      <c r="HQ189" s="160">
        <f>IF([Occurrence45]=0,0,SUM($HP$2:HP189))</f>
        <v>0</v>
      </c>
      <c r="HR189" s="160">
        <f>IF([chambre3]*1='CHAMBRES GARCONS RDC'!$A$83,1,0)</f>
        <v>0</v>
      </c>
      <c r="HS189" s="160">
        <f>IF([Occurrence46]=0,0,SUM($HR$2:HR189))</f>
        <v>0</v>
      </c>
      <c r="HT189" s="160">
        <f>IF([chambre3]*1='CHAMBRES GARCONS RDC'!$A$89,1,0)</f>
        <v>0</v>
      </c>
      <c r="HU189" s="160">
        <f>IF([Occurrence47]=0,0,SUM($HT$2:HT189))</f>
        <v>0</v>
      </c>
      <c r="HV189" s="160">
        <f>IF([chambre3]*1='CHAMBRES GARCONS RDC'!$A$95,1,0)</f>
        <v>0</v>
      </c>
      <c r="HW189" s="160">
        <f>IF([Occurrence48]=0,0,SUM($HV$2:HV189))</f>
        <v>0</v>
      </c>
      <c r="HX189" s="160"/>
      <c r="HY189" s="160"/>
      <c r="HZ189" s="160">
        <f>IF([Classe]='Liste élève par classes'!$B$5,1,0)</f>
        <v>0</v>
      </c>
      <c r="IA189" s="160">
        <f>IF([Occurrence]=0,0,SUM($HZ$2:HZ189))</f>
        <v>0</v>
      </c>
      <c r="IB18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89" s="208"/>
    </row>
    <row r="190" spans="1:237">
      <c r="A190" t="s">
        <v>564</v>
      </c>
      <c r="B190" t="s">
        <v>565</v>
      </c>
      <c r="C190" s="158">
        <v>34980</v>
      </c>
      <c r="D190" s="62">
        <f t="shared" ca="1" si="2"/>
        <v>22</v>
      </c>
      <c r="E190" t="s">
        <v>4</v>
      </c>
      <c r="F190" s="159" t="s">
        <v>46</v>
      </c>
      <c r="G190" t="s">
        <v>45</v>
      </c>
      <c r="H190" s="160"/>
      <c r="I190" s="161"/>
      <c r="J190" s="161"/>
      <c r="K190" s="161"/>
      <c r="L190" s="160"/>
      <c r="M190" s="161"/>
      <c r="N190" s="161"/>
      <c r="O190" s="161"/>
      <c r="P190" s="161"/>
      <c r="Q190" s="161"/>
      <c r="R190" s="161"/>
      <c r="S190" s="161"/>
      <c r="T190" s="161"/>
      <c r="U190" s="160"/>
      <c r="V190" s="161"/>
      <c r="W190" s="161"/>
      <c r="X190" s="161"/>
      <c r="Y190" s="161"/>
      <c r="Z190" s="161"/>
      <c r="AA190" s="161"/>
      <c r="AB190" s="161"/>
      <c r="AC190" s="161"/>
      <c r="AD190" s="161"/>
      <c r="AE190" s="161"/>
      <c r="AF190" s="163"/>
      <c r="AG190" s="163"/>
      <c r="AH190" s="163"/>
      <c r="AI190" s="163"/>
      <c r="AJ190" s="163"/>
      <c r="AK190" s="163"/>
      <c r="AL190" s="163"/>
      <c r="AM190" s="163"/>
      <c r="AN190" s="163"/>
      <c r="AO190" s="163"/>
      <c r="AP190" s="163"/>
      <c r="AQ190" s="163"/>
      <c r="AR190" s="163"/>
      <c r="AS190" s="163"/>
      <c r="AT190" s="163"/>
      <c r="AU190" s="163"/>
      <c r="AV190" s="163"/>
      <c r="AW190" s="163"/>
      <c r="AX190" s="163"/>
      <c r="AY190" s="163"/>
      <c r="AZ190" s="163"/>
      <c r="BA190" s="163"/>
      <c r="BB190" s="163"/>
      <c r="BC190" s="163" t="b">
        <v>0</v>
      </c>
      <c r="BD190" s="163" t="b">
        <v>0</v>
      </c>
      <c r="BE190" s="163" t="b">
        <v>0</v>
      </c>
      <c r="BF190" s="163" t="b">
        <v>0</v>
      </c>
      <c r="BG190" s="163" t="b">
        <v>0</v>
      </c>
      <c r="BH190" s="163" t="b">
        <v>0</v>
      </c>
      <c r="BI190" s="163" t="b">
        <v>1</v>
      </c>
      <c r="BJ190" s="163" t="b">
        <v>0</v>
      </c>
      <c r="BK190" s="163" t="b">
        <v>0</v>
      </c>
      <c r="BL190" s="163" t="b">
        <v>0</v>
      </c>
      <c r="BM190" s="163"/>
      <c r="BN190" s="163"/>
      <c r="BO190" s="163"/>
      <c r="BP190" s="163"/>
      <c r="BQ190" s="163"/>
      <c r="BR190" s="163"/>
      <c r="BS190" s="163"/>
      <c r="BT190" s="163"/>
      <c r="BU190" s="163"/>
      <c r="BV190" s="163"/>
      <c r="BW190" s="163"/>
      <c r="BX190" s="163"/>
      <c r="BY190" s="163"/>
      <c r="BZ190" s="163"/>
      <c r="CA190" s="163"/>
      <c r="CB190" s="163"/>
      <c r="CC190" s="163"/>
      <c r="CD190" s="163"/>
      <c r="CE190" s="163"/>
      <c r="CF190" s="163"/>
      <c r="CG190" s="163"/>
      <c r="CH190" s="163"/>
      <c r="CI190" s="163"/>
      <c r="CJ190" s="163"/>
      <c r="CK190" s="163"/>
      <c r="CL190" s="163"/>
      <c r="CM190" s="163"/>
      <c r="CN190" s="163"/>
      <c r="CO190" s="163"/>
      <c r="CP190" s="163"/>
      <c r="CQ190" s="163"/>
      <c r="CR190" s="163"/>
      <c r="CS190" s="163"/>
      <c r="CT190" s="163"/>
      <c r="CU190" s="163"/>
      <c r="CV190" s="163"/>
      <c r="CW190" s="163"/>
      <c r="CX190" s="163"/>
      <c r="CY190" s="163"/>
      <c r="CZ190" s="163"/>
      <c r="DA190" s="163"/>
      <c r="DB190" s="163"/>
      <c r="DC190" s="163"/>
      <c r="DD190" s="163"/>
      <c r="DE190" s="163"/>
      <c r="DF190" s="163"/>
      <c r="DG190" s="163"/>
      <c r="DH190" s="163"/>
      <c r="DI190" s="163"/>
      <c r="DJ190" s="163"/>
      <c r="DK190" s="163"/>
      <c r="DL190" s="163"/>
      <c r="DM190" s="163"/>
      <c r="DN190" s="163"/>
      <c r="DO190" s="163"/>
      <c r="DP190" s="163"/>
      <c r="DQ190" s="163"/>
      <c r="DR190" s="163"/>
      <c r="DS190" s="163"/>
      <c r="DT190" s="163"/>
      <c r="DU190" s="163"/>
      <c r="DV190" s="163"/>
      <c r="DW190" s="163"/>
      <c r="DX190" s="163"/>
      <c r="DY190" s="163"/>
      <c r="DZ190" s="163"/>
      <c r="EA190" s="163"/>
      <c r="EB190" s="163"/>
      <c r="EC190" s="163"/>
      <c r="ED190" s="163"/>
      <c r="EE190" s="163"/>
      <c r="EF190" s="163"/>
      <c r="EG190" s="163"/>
      <c r="EH190" s="160">
        <f>IF([Chambre]*1='CHAMBRES FILLES 2e ETAGE'!$A$5,1,0)</f>
        <v>0</v>
      </c>
      <c r="EI190" s="161">
        <f>IF([Occurrence2]=0,0,SUM($EH$2:EH190))</f>
        <v>0</v>
      </c>
      <c r="EJ190" s="160">
        <f>IF([Chambre]*1='CHAMBRES FILLES 2e ETAGE'!$A$11,1,0)</f>
        <v>0</v>
      </c>
      <c r="EK190" s="160">
        <f>IF([Occurrence3]=0,0,SUM($EJ$2:EJ190))</f>
        <v>0</v>
      </c>
      <c r="EL190" s="160">
        <f>IF([Chambre]*1='CHAMBRES FILLES 2e ETAGE'!$A$17,1,0)</f>
        <v>0</v>
      </c>
      <c r="EM190" s="160">
        <f>IF([Occurrence4]=0,0,SUM($EL$2:EL190))</f>
        <v>0</v>
      </c>
      <c r="EN190" s="160">
        <f>IF([Chambre]*1='CHAMBRES FILLES 2e ETAGE'!$A$23,1,0)</f>
        <v>0</v>
      </c>
      <c r="EO190" s="160">
        <f>IF([Occurrence5]=0,0,SUM($EN$2:EN190))</f>
        <v>0</v>
      </c>
      <c r="EP190" s="160">
        <f>IF([Chambre]*1='CHAMBRES FILLES 2e ETAGE'!$A$29,1,0)</f>
        <v>0</v>
      </c>
      <c r="EQ190" s="160">
        <f>IF([Occurrence6]=0,0,SUM($EP$2:EP190))</f>
        <v>0</v>
      </c>
      <c r="ER190" s="160">
        <f>IF([Chambre]*1='CHAMBRES FILLES 2e ETAGE'!$A$35,1,0)</f>
        <v>0</v>
      </c>
      <c r="ES190" s="160">
        <f>IF([Occurrence7]=0,0,SUM($ER$2:ER190))</f>
        <v>0</v>
      </c>
      <c r="ET190" s="160">
        <f>IF([Chambre]*1='CHAMBRES FILLES 2e ETAGE'!$A$41,1,0)</f>
        <v>0</v>
      </c>
      <c r="EU190" s="160">
        <f>IF([Occurrence8]=0,0,SUM($ET$2:ET190))</f>
        <v>0</v>
      </c>
      <c r="EV190" s="160">
        <f>IF([Chambre]*1='CHAMBRES FILLES 2e ETAGE'!$A$47,1,0)</f>
        <v>0</v>
      </c>
      <c r="EW190" s="160">
        <f>IF([Occurrence9]=0,0,SUM($EV$2:EV190))</f>
        <v>0</v>
      </c>
      <c r="EX190" s="160">
        <f>IF([Chambre]*1='CHAMBRES FILLES 2e ETAGE'!$A$53,1,0)</f>
        <v>0</v>
      </c>
      <c r="EY190" s="160">
        <f>IF([Occurrence10]=0,0,SUM($EX$2:EX190))</f>
        <v>0</v>
      </c>
      <c r="EZ190" s="160">
        <f>IF([Chambre]*1='CHAMBRES FILLES 2e ETAGE'!$A$59,1,0)</f>
        <v>0</v>
      </c>
      <c r="FA190" s="160">
        <f>IF([Occurrence11]=0,0,SUM($EZ$2:EZ190))</f>
        <v>0</v>
      </c>
      <c r="FB190" s="160">
        <f>IF([Chambre]*1='CHAMBRES FILLES 2e ETAGE'!$A$65,1,0)</f>
        <v>0</v>
      </c>
      <c r="FC190" s="160">
        <f>IF([Occurrence12]=0,0,SUM($FB$2:FB190))</f>
        <v>0</v>
      </c>
      <c r="FD190" s="160">
        <f>IF([Chambre]*1='CHAMBRES FILLES 2e ETAGE'!$A$71,1,0)</f>
        <v>0</v>
      </c>
      <c r="FE190" s="160">
        <f>IF([Occurrence13]=0,0,SUM($FD$2:FD190))</f>
        <v>0</v>
      </c>
      <c r="FF190" s="160">
        <f>IF([Chambre]*1='CHAMBRES FILLES 2e ETAGE'!$A$77,1,0)</f>
        <v>0</v>
      </c>
      <c r="FG190" s="160">
        <f>IF([Occurrence14]=0,0,SUM($FF$2:FF190))</f>
        <v>0</v>
      </c>
      <c r="FH190" s="160">
        <f>IF([Chambre]*1='CHAMBRES FILLES 2e ETAGE'!$A$83,1,0)</f>
        <v>0</v>
      </c>
      <c r="FI190" s="160">
        <f>IF([Occurrence15]=0,0,SUM($FH$2:FH190))</f>
        <v>0</v>
      </c>
      <c r="FJ190" s="160">
        <f>IF([Chambre]*1='CHAMBRES FILLES 2e ETAGE'!$A$89,1,0)</f>
        <v>0</v>
      </c>
      <c r="FK190" s="160">
        <f>IF([Occurrence16]=0,0,SUM($FJ$2:FJ190))</f>
        <v>0</v>
      </c>
      <c r="FL190" s="160">
        <f>IF([Chambre]*1='CHAMBRES FILLES 2e ETAGE'!$A$95,1,0)</f>
        <v>0</v>
      </c>
      <c r="FM190" s="160">
        <f>IF([Occurrence17]=0,0,SUM($FL$2:FL190))</f>
        <v>0</v>
      </c>
      <c r="FN190" s="160">
        <f>IF([Chambre2]*1='CHAMBRES FILLES 1e ETAGE'!$A$5,1,0)</f>
        <v>0</v>
      </c>
      <c r="FO190" s="160">
        <f>IF([Occurrence18]=0,0,SUM($FN$2:FN190))</f>
        <v>0</v>
      </c>
      <c r="FP190" s="160">
        <f>IF([Chambre2]*1='CHAMBRES FILLES 1e ETAGE'!$A$11,1,0)</f>
        <v>0</v>
      </c>
      <c r="FQ190" s="160">
        <f>IF([Occurrence19]=0,0,SUM($FP$2:FP190))</f>
        <v>0</v>
      </c>
      <c r="FR190" s="160">
        <f>IF([Chambre2]*1='CHAMBRES FILLES 1e ETAGE'!$A$17,1,0)</f>
        <v>0</v>
      </c>
      <c r="FS190" s="160">
        <f>IF([Occurrence20]=0,0,SUM($FR$2:FR190))</f>
        <v>0</v>
      </c>
      <c r="FT190" s="160">
        <f>IF([Chambre2]*1='CHAMBRES FILLES 1e ETAGE'!$A$23,1,0)</f>
        <v>0</v>
      </c>
      <c r="FU190" s="160">
        <f>IF([Occurrence21]=0,0,SUM($FT$2:FT190))</f>
        <v>0</v>
      </c>
      <c r="FV190" s="160">
        <f>IF([Chambre2]*1='CHAMBRES FILLES 1e ETAGE'!$A$29,1,0)</f>
        <v>0</v>
      </c>
      <c r="FW190" s="160">
        <f>IF([Occurrence22]=0,0,SUM($FV$2:FV190))</f>
        <v>0</v>
      </c>
      <c r="FX190" s="160">
        <f>IF([Chambre2]*1='CHAMBRES FILLES 1e ETAGE'!$A$35,1,0)</f>
        <v>0</v>
      </c>
      <c r="FY190" s="160">
        <f>IF([Occurrence23]=0,0,SUM($FX$2:FX190))</f>
        <v>0</v>
      </c>
      <c r="FZ190" s="160">
        <f>IF([Chambre2]*1='CHAMBRES FILLES 1e ETAGE'!$A$41,1,0)</f>
        <v>0</v>
      </c>
      <c r="GA190" s="160">
        <f>IF([Occurrence24]=0,0,SUM($FZ$2:FZ190))</f>
        <v>0</v>
      </c>
      <c r="GB190" s="160">
        <f>IF([Chambre2]*1='CHAMBRES FILLES 1e ETAGE'!$A$47,1,0)</f>
        <v>0</v>
      </c>
      <c r="GC190" s="160">
        <f>IF([Occurrence25]=0,0,SUM($GB$2:GB190))</f>
        <v>0</v>
      </c>
      <c r="GD190" s="160">
        <f>IF([Chambre2]*1='CHAMBRES FILLES 1e ETAGE'!$A$53,1,0)</f>
        <v>0</v>
      </c>
      <c r="GE190" s="160">
        <f>IF([Occurrence26]=0,0,SUM($GD$2:GD190))</f>
        <v>0</v>
      </c>
      <c r="GF190" s="160">
        <f>IF([chambre4]*1='CHAMBRES GARCONS 1e ETAGE'!$A$5,1,0)</f>
        <v>0</v>
      </c>
      <c r="GG190" s="160">
        <f>IF([Occurrence27]=0,0,SUM($GF$2:GF190))</f>
        <v>0</v>
      </c>
      <c r="GH190" s="160">
        <f>IF([chambre4]*1='CHAMBRES GARCONS 1e ETAGE'!$A$11,1,0)</f>
        <v>0</v>
      </c>
      <c r="GI190" s="160">
        <f>IF([Occurrence28]=0,0,SUM($GH$2:GH190))</f>
        <v>0</v>
      </c>
      <c r="GJ190" s="160">
        <f>IF([chambre4]*1='CHAMBRES GARCONS 1e ETAGE'!$A$17,1,0)</f>
        <v>0</v>
      </c>
      <c r="GK190" s="160">
        <f>IF([Occurrence29]=0,0,SUM($GJ$2:GJ190))</f>
        <v>0</v>
      </c>
      <c r="GL190" s="160">
        <f>IF([chambre4]*1='CHAMBRES GARCONS 1e ETAGE'!$A$23,1,0)</f>
        <v>0</v>
      </c>
      <c r="GM190" s="160">
        <f>IF([Occurrence30]=0,0,SUM($GL$2:GL190))</f>
        <v>0</v>
      </c>
      <c r="GN190" s="160">
        <f>IF([chambre4]*1='CHAMBRES GARCONS 1e ETAGE'!$A$29,1,0)</f>
        <v>0</v>
      </c>
      <c r="GO190" s="160">
        <f>IF([Occurrence31]=0,0,SUM($GN$2:GN190))</f>
        <v>0</v>
      </c>
      <c r="GP190" s="160">
        <f>IF([chambre4]*1='CHAMBRES GARCONS 1e ETAGE'!$A$35,1,0)</f>
        <v>0</v>
      </c>
      <c r="GQ190" s="160">
        <f>IF([Occurrence32]=0,0,SUM($GP$2:GP190))</f>
        <v>0</v>
      </c>
      <c r="GR190" s="160">
        <f>IF([chambre3]*1='CHAMBRES GARCONS RDC'!$A$5,1,0)</f>
        <v>0</v>
      </c>
      <c r="GS190" s="160">
        <f>IF([Occurrence33]=0,0,SUM($GR$2:GR190))</f>
        <v>0</v>
      </c>
      <c r="GT190" s="160">
        <f>IF([chambre3]*1='CHAMBRES GARCONS RDC'!$A$11,1,0)</f>
        <v>0</v>
      </c>
      <c r="GU190" s="160">
        <f>IF([Occurrence34]=0,0,SUM($GT$2:GT190))</f>
        <v>0</v>
      </c>
      <c r="GV190" s="160">
        <f>IF([chambre3]*1='CHAMBRES GARCONS RDC'!$A$17,1,0)</f>
        <v>0</v>
      </c>
      <c r="GW190" s="160">
        <f>IF([Occurrence35]=0,0,SUM($GV$2:GV190))</f>
        <v>0</v>
      </c>
      <c r="GX190" s="160">
        <f>IF([chambre3]*1='CHAMBRES GARCONS RDC'!$A$23,1,0)</f>
        <v>0</v>
      </c>
      <c r="GY190" s="160">
        <f>IF([Occurrence36]=0,0,SUM($GX$2:GX190))</f>
        <v>0</v>
      </c>
      <c r="GZ190" s="160">
        <f>IF([chambre3]*1='CHAMBRES GARCONS RDC'!$A$29,1,0)</f>
        <v>0</v>
      </c>
      <c r="HA190" s="160">
        <f>IF([Occurrence37]=0,0,SUM($GZ$2:GZ190))</f>
        <v>0</v>
      </c>
      <c r="HB190" s="160">
        <f>IF([chambre3]*1='CHAMBRES GARCONS RDC'!$A$35,1,0)</f>
        <v>0</v>
      </c>
      <c r="HC190" s="160">
        <f>IF([Occurrence38]=0,0,SUM($HB$2:HB190))</f>
        <v>0</v>
      </c>
      <c r="HD190" s="160">
        <f>IF([chambre3]*1='CHAMBRES GARCONS RDC'!$A$41,1,0)</f>
        <v>0</v>
      </c>
      <c r="HE190" s="160">
        <f>IF([Occurrence39]=0,0,SUM($HD$2:HD190))</f>
        <v>0</v>
      </c>
      <c r="HF190" s="160">
        <f>IF([chambre3]*1='CHAMBRES GARCONS RDC'!$A$47,1,0)</f>
        <v>0</v>
      </c>
      <c r="HG190" s="160">
        <f>IF([Occurrence40]=0,0,SUM($HF$2:HF190))</f>
        <v>0</v>
      </c>
      <c r="HH190" s="160">
        <f>IF([chambre3]*1='CHAMBRES GARCONS RDC'!$A$53,1,0)</f>
        <v>0</v>
      </c>
      <c r="HI190" s="160">
        <f>IF([Occurrence41]=0,0,SUM($HH$2:HH190))</f>
        <v>0</v>
      </c>
      <c r="HJ190" s="160">
        <f>IF([chambre3]*1='CHAMBRES GARCONS RDC'!$A$59,1,0)</f>
        <v>0</v>
      </c>
      <c r="HK190" s="160">
        <f>IF([Occurrence42]=0,0,SUM($HJ$2:HJ190))</f>
        <v>0</v>
      </c>
      <c r="HL190" s="160">
        <f>IF([chambre3]*1='CHAMBRES GARCONS RDC'!$A$65,1,0)</f>
        <v>0</v>
      </c>
      <c r="HM190" s="160">
        <f>IF([Occurrence43]=0,0,SUM($HL$2:HL190))</f>
        <v>0</v>
      </c>
      <c r="HN190" s="160">
        <f>IF([chambre3]*1='CHAMBRES GARCONS RDC'!$A$71,1,0)</f>
        <v>0</v>
      </c>
      <c r="HO190" s="160">
        <f>IF([Occurrence44]=0,0,SUM($HN$2:HN190))</f>
        <v>0</v>
      </c>
      <c r="HP190" s="160">
        <f>IF([chambre3]*1='CHAMBRES GARCONS RDC'!$A$77,1,0)</f>
        <v>0</v>
      </c>
      <c r="HQ190" s="160">
        <f>IF([Occurrence45]=0,0,SUM($HP$2:HP190))</f>
        <v>0</v>
      </c>
      <c r="HR190" s="160">
        <f>IF([chambre3]*1='CHAMBRES GARCONS RDC'!$A$83,1,0)</f>
        <v>0</v>
      </c>
      <c r="HS190" s="160">
        <f>IF([Occurrence46]=0,0,SUM($HR$2:HR190))</f>
        <v>0</v>
      </c>
      <c r="HT190" s="160">
        <f>IF([chambre3]*1='CHAMBRES GARCONS RDC'!$A$89,1,0)</f>
        <v>0</v>
      </c>
      <c r="HU190" s="160">
        <f>IF([Occurrence47]=0,0,SUM($HT$2:HT190))</f>
        <v>0</v>
      </c>
      <c r="HV190" s="160">
        <f>IF([chambre3]*1='CHAMBRES GARCONS RDC'!$A$95,1,0)</f>
        <v>0</v>
      </c>
      <c r="HW190" s="160">
        <f>IF([Occurrence48]=0,0,SUM($HV$2:HV190))</f>
        <v>0</v>
      </c>
      <c r="HX190" s="160"/>
      <c r="HY190" s="160"/>
      <c r="HZ190" s="160">
        <f>IF([Classe]='Liste élève par classes'!$B$5,1,0)</f>
        <v>0</v>
      </c>
      <c r="IA190" s="160">
        <f>IF([Occurrence]=0,0,SUM($HZ$2:HZ190))</f>
        <v>0</v>
      </c>
      <c r="IB19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90" s="208"/>
    </row>
    <row r="191" spans="1:237">
      <c r="A191" t="s">
        <v>566</v>
      </c>
      <c r="B191" t="s">
        <v>567</v>
      </c>
      <c r="C191" s="158">
        <v>37188</v>
      </c>
      <c r="D191" s="62">
        <f t="shared" ca="1" si="2"/>
        <v>16</v>
      </c>
      <c r="E191" t="s">
        <v>10</v>
      </c>
      <c r="F191" s="159" t="s">
        <v>50</v>
      </c>
      <c r="G191" t="s">
        <v>40</v>
      </c>
      <c r="H191" s="160"/>
      <c r="I191" s="62"/>
      <c r="J191" s="62" t="s">
        <v>244</v>
      </c>
      <c r="K191" s="62"/>
      <c r="L191" s="61"/>
      <c r="M191">
        <v>199</v>
      </c>
      <c r="N191" s="62" t="s">
        <v>244</v>
      </c>
      <c r="O191" s="62" t="s">
        <v>244</v>
      </c>
      <c r="P191" s="62" t="s">
        <v>244</v>
      </c>
      <c r="Q191" s="62" t="s">
        <v>244</v>
      </c>
      <c r="R191" s="62" t="s">
        <v>244</v>
      </c>
      <c r="S191" s="191"/>
      <c r="T191" s="62" t="s">
        <v>244</v>
      </c>
      <c r="U191" s="61"/>
      <c r="V191" s="62" t="s">
        <v>244</v>
      </c>
      <c r="W191" s="62" t="s">
        <v>244</v>
      </c>
      <c r="X191" s="62" t="s">
        <v>244</v>
      </c>
      <c r="Y191" s="62" t="s">
        <v>244</v>
      </c>
      <c r="Z191" s="62" t="s">
        <v>244</v>
      </c>
      <c r="AA191" s="62" t="s">
        <v>244</v>
      </c>
      <c r="AB191" s="62" t="s">
        <v>244</v>
      </c>
      <c r="AC191" s="62" t="s">
        <v>244</v>
      </c>
      <c r="AD191" s="62" t="s">
        <v>244</v>
      </c>
      <c r="AE191" s="62" t="s">
        <v>244</v>
      </c>
      <c r="AF191" s="166" t="s">
        <v>244</v>
      </c>
      <c r="AG191" s="166" t="s">
        <v>244</v>
      </c>
      <c r="AH191" s="166" t="s">
        <v>244</v>
      </c>
      <c r="AI191" s="166"/>
      <c r="AJ191" s="166"/>
      <c r="AK191" s="166"/>
      <c r="AL191" s="166"/>
      <c r="AM191" s="166"/>
      <c r="AN191" s="166"/>
      <c r="AO191" s="166"/>
      <c r="AP191" s="166"/>
      <c r="AQ191" s="166"/>
      <c r="AR191" s="166"/>
      <c r="AS191" s="166"/>
      <c r="AT191" s="166"/>
      <c r="AU191" s="166"/>
      <c r="AV191" s="166"/>
      <c r="AW191" s="166"/>
      <c r="AX191" s="166"/>
      <c r="AY191" s="166"/>
      <c r="AZ191" s="166"/>
      <c r="BA191" s="166"/>
      <c r="BB191" s="166"/>
      <c r="BC191" s="163" t="b">
        <v>0</v>
      </c>
      <c r="BD191" s="163" t="b">
        <v>1</v>
      </c>
      <c r="BE191" s="163" t="b">
        <v>1</v>
      </c>
      <c r="BF191" s="163" t="b">
        <v>0</v>
      </c>
      <c r="BG191" s="164" t="b">
        <v>0</v>
      </c>
      <c r="BH191" s="163" t="b">
        <v>1</v>
      </c>
      <c r="BI191" s="166"/>
      <c r="BJ191" s="166"/>
      <c r="BK191" s="166"/>
      <c r="BL191" s="166"/>
      <c r="BM191" s="166"/>
      <c r="BN191" s="166"/>
      <c r="BO191" s="166"/>
      <c r="BP191" s="166"/>
      <c r="BQ191" s="166" t="b">
        <v>1</v>
      </c>
      <c r="BR191" s="166"/>
      <c r="BS191" s="166"/>
      <c r="BT191" s="166"/>
      <c r="BU191" s="166"/>
      <c r="BV191" s="166"/>
      <c r="BW191" s="166"/>
      <c r="BX191" s="166"/>
      <c r="BY191" s="166"/>
      <c r="BZ191" s="166"/>
      <c r="CA191" s="166"/>
      <c r="CB191" s="166"/>
      <c r="CC191" s="166"/>
      <c r="CD191" s="166"/>
      <c r="CE191" s="166"/>
      <c r="CF191" s="166"/>
      <c r="CG191" s="166"/>
      <c r="CH191" s="166"/>
      <c r="CI191" s="166"/>
      <c r="CJ191" s="166"/>
      <c r="CK191" s="166"/>
      <c r="CL191" s="166"/>
      <c r="CM191" s="166"/>
      <c r="CN191" s="166"/>
      <c r="CO191" s="166"/>
      <c r="CP191" s="166"/>
      <c r="CQ191" s="166"/>
      <c r="CR191" s="166"/>
      <c r="CS191" s="166"/>
      <c r="CT191" s="166"/>
      <c r="CU191" s="166"/>
      <c r="CV191" s="166"/>
      <c r="CW191" s="166"/>
      <c r="CX191" s="166"/>
      <c r="CY191" s="166"/>
      <c r="CZ191" s="166"/>
      <c r="DA191" s="166">
        <v>116</v>
      </c>
      <c r="DB191" s="166"/>
      <c r="DC191" s="166"/>
      <c r="DD191" s="166"/>
      <c r="DE191" s="166"/>
      <c r="DF191" s="166"/>
      <c r="DG191" s="212"/>
      <c r="DH191" s="166"/>
      <c r="DI191" s="166"/>
      <c r="DJ191" s="166"/>
      <c r="DK191" s="166"/>
      <c r="DL191" s="166"/>
      <c r="DM191" s="166"/>
      <c r="DN191" s="166"/>
      <c r="DO191" s="166"/>
      <c r="DP191" s="166"/>
      <c r="DQ191" s="166"/>
      <c r="DR191" s="166"/>
      <c r="DS191" s="166"/>
      <c r="DT191" s="166"/>
      <c r="DU191" s="166"/>
      <c r="DV191" s="166"/>
      <c r="DW191" s="166"/>
      <c r="DX191" s="166"/>
      <c r="DY191" s="166"/>
      <c r="DZ191" s="166"/>
      <c r="EA191" s="166"/>
      <c r="EB191" s="166"/>
      <c r="EC191" s="166"/>
      <c r="ED191" s="166"/>
      <c r="EE191" s="166"/>
      <c r="EF191" s="166"/>
      <c r="EG191" s="166"/>
      <c r="EH191" s="160">
        <f>IF([Chambre]*1='CHAMBRES FILLES 2e ETAGE'!$A$5,1,0)</f>
        <v>0</v>
      </c>
      <c r="EI191" s="161">
        <f>IF([Occurrence2]=0,0,SUM($EH$2:EH191))</f>
        <v>0</v>
      </c>
      <c r="EJ191" s="160">
        <f>IF([Chambre]*1='CHAMBRES FILLES 2e ETAGE'!$A$11,1,0)</f>
        <v>0</v>
      </c>
      <c r="EK191" s="160">
        <f>IF([Occurrence3]=0,0,SUM($EJ$2:EJ191))</f>
        <v>0</v>
      </c>
      <c r="EL191" s="160">
        <f>IF([Chambre]*1='CHAMBRES FILLES 2e ETAGE'!$A$17,1,0)</f>
        <v>0</v>
      </c>
      <c r="EM191" s="160">
        <f>IF([Occurrence4]=0,0,SUM($EL$2:EL191))</f>
        <v>0</v>
      </c>
      <c r="EN191" s="160">
        <f>IF([Chambre]*1='CHAMBRES FILLES 2e ETAGE'!$A$23,1,0)</f>
        <v>0</v>
      </c>
      <c r="EO191" s="160">
        <f>IF([Occurrence5]=0,0,SUM($EN$2:EN191))</f>
        <v>0</v>
      </c>
      <c r="EP191" s="160">
        <f>IF([Chambre]*1='CHAMBRES FILLES 2e ETAGE'!$A$29,1,0)</f>
        <v>0</v>
      </c>
      <c r="EQ191" s="160">
        <f>IF([Occurrence6]=0,0,SUM($EP$2:EP191))</f>
        <v>0</v>
      </c>
      <c r="ER191" s="160">
        <f>IF([Chambre]*1='CHAMBRES FILLES 2e ETAGE'!$A$35,1,0)</f>
        <v>0</v>
      </c>
      <c r="ES191" s="160">
        <f>IF([Occurrence7]=0,0,SUM($ER$2:ER191))</f>
        <v>0</v>
      </c>
      <c r="ET191" s="160">
        <f>IF([Chambre]*1='CHAMBRES FILLES 2e ETAGE'!$A$41,1,0)</f>
        <v>0</v>
      </c>
      <c r="EU191" s="160">
        <f>IF([Occurrence8]=0,0,SUM($ET$2:ET191))</f>
        <v>0</v>
      </c>
      <c r="EV191" s="160">
        <f>IF([Chambre]*1='CHAMBRES FILLES 2e ETAGE'!$A$47,1,0)</f>
        <v>0</v>
      </c>
      <c r="EW191" s="160">
        <f>IF([Occurrence9]=0,0,SUM($EV$2:EV191))</f>
        <v>0</v>
      </c>
      <c r="EX191" s="160">
        <f>IF([Chambre]*1='CHAMBRES FILLES 2e ETAGE'!$A$53,1,0)</f>
        <v>0</v>
      </c>
      <c r="EY191" s="160">
        <f>IF([Occurrence10]=0,0,SUM($EX$2:EX191))</f>
        <v>0</v>
      </c>
      <c r="EZ191" s="160">
        <f>IF([Chambre]*1='CHAMBRES FILLES 2e ETAGE'!$A$59,1,0)</f>
        <v>0</v>
      </c>
      <c r="FA191" s="160">
        <f>IF([Occurrence11]=0,0,SUM($EZ$2:EZ191))</f>
        <v>0</v>
      </c>
      <c r="FB191" s="160">
        <f>IF([Chambre]*1='CHAMBRES FILLES 2e ETAGE'!$A$65,1,0)</f>
        <v>0</v>
      </c>
      <c r="FC191" s="160">
        <f>IF([Occurrence12]=0,0,SUM($FB$2:FB191))</f>
        <v>0</v>
      </c>
      <c r="FD191" s="160">
        <f>IF([Chambre]*1='CHAMBRES FILLES 2e ETAGE'!$A$71,1,0)</f>
        <v>0</v>
      </c>
      <c r="FE191" s="160">
        <f>IF([Occurrence13]=0,0,SUM($FD$2:FD191))</f>
        <v>0</v>
      </c>
      <c r="FF191" s="160">
        <f>IF([Chambre]*1='CHAMBRES FILLES 2e ETAGE'!$A$77,1,0)</f>
        <v>0</v>
      </c>
      <c r="FG191" s="160">
        <f>IF([Occurrence14]=0,0,SUM($FF$2:FF191))</f>
        <v>0</v>
      </c>
      <c r="FH191" s="160">
        <f>IF([Chambre]*1='CHAMBRES FILLES 2e ETAGE'!$A$83,1,0)</f>
        <v>0</v>
      </c>
      <c r="FI191" s="160">
        <f>IF([Occurrence15]=0,0,SUM($FH$2:FH191))</f>
        <v>0</v>
      </c>
      <c r="FJ191" s="160">
        <f>IF([Chambre]*1='CHAMBRES FILLES 2e ETAGE'!$A$89,1,0)</f>
        <v>0</v>
      </c>
      <c r="FK191" s="160">
        <f>IF([Occurrence16]=0,0,SUM($FJ$2:FJ191))</f>
        <v>0</v>
      </c>
      <c r="FL191" s="160">
        <f>IF([Chambre]*1='CHAMBRES FILLES 2e ETAGE'!$A$95,1,0)</f>
        <v>0</v>
      </c>
      <c r="FM191" s="160">
        <f>IF([Occurrence17]=0,0,SUM($FL$2:FL191))</f>
        <v>0</v>
      </c>
      <c r="FN191" s="160">
        <f>IF([Chambre2]*1='CHAMBRES FILLES 1e ETAGE'!$A$5,1,0)</f>
        <v>0</v>
      </c>
      <c r="FO191" s="160">
        <f>IF([Occurrence18]=0,0,SUM($FN$2:FN191))</f>
        <v>0</v>
      </c>
      <c r="FP191" s="160">
        <f>IF([Chambre2]*1='CHAMBRES FILLES 1e ETAGE'!$A$11,1,0)</f>
        <v>0</v>
      </c>
      <c r="FQ191" s="160">
        <f>IF([Occurrence19]=0,0,SUM($FP$2:FP191))</f>
        <v>0</v>
      </c>
      <c r="FR191" s="160">
        <f>IF([Chambre2]*1='CHAMBRES FILLES 1e ETAGE'!$A$17,1,0)</f>
        <v>0</v>
      </c>
      <c r="FS191" s="160">
        <f>IF([Occurrence20]=0,0,SUM($FR$2:FR191))</f>
        <v>0</v>
      </c>
      <c r="FT191" s="160">
        <f>IF([Chambre2]*1='CHAMBRES FILLES 1e ETAGE'!$A$23,1,0)</f>
        <v>0</v>
      </c>
      <c r="FU191" s="160">
        <f>IF([Occurrence21]=0,0,SUM($FT$2:FT191))</f>
        <v>0</v>
      </c>
      <c r="FV191" s="160">
        <f>IF([Chambre2]*1='CHAMBRES FILLES 1e ETAGE'!$A$29,1,0)</f>
        <v>0</v>
      </c>
      <c r="FW191" s="160">
        <f>IF([Occurrence22]=0,0,SUM($FV$2:FV191))</f>
        <v>0</v>
      </c>
      <c r="FX191" s="160">
        <f>IF([Chambre2]*1='CHAMBRES FILLES 1e ETAGE'!$A$35,1,0)</f>
        <v>0</v>
      </c>
      <c r="FY191" s="160">
        <f>IF([Occurrence23]=0,0,SUM($FX$2:FX191))</f>
        <v>0</v>
      </c>
      <c r="FZ191" s="160">
        <f>IF([Chambre2]*1='CHAMBRES FILLES 1e ETAGE'!$A$41,1,0)</f>
        <v>0</v>
      </c>
      <c r="GA191" s="160">
        <f>IF([Occurrence24]=0,0,SUM($FZ$2:FZ191))</f>
        <v>0</v>
      </c>
      <c r="GB191" s="160">
        <f>IF([Chambre2]*1='CHAMBRES FILLES 1e ETAGE'!$A$47,1,0)</f>
        <v>0</v>
      </c>
      <c r="GC191" s="160">
        <f>IF([Occurrence25]=0,0,SUM($GB$2:GB191))</f>
        <v>0</v>
      </c>
      <c r="GD191" s="160">
        <f>IF([Chambre2]*1='CHAMBRES FILLES 1e ETAGE'!$A$53,1,0)</f>
        <v>0</v>
      </c>
      <c r="GE191" s="160">
        <f>IF([Occurrence26]=0,0,SUM($GD$2:GD191))</f>
        <v>0</v>
      </c>
      <c r="GF191" s="160">
        <f>IF([chambre4]*1='CHAMBRES GARCONS 1e ETAGE'!$A$5,1,0)</f>
        <v>0</v>
      </c>
      <c r="GG191" s="160">
        <f>IF([Occurrence27]=0,0,SUM($GF$2:GF191))</f>
        <v>0</v>
      </c>
      <c r="GH191" s="160">
        <f>IF([chambre4]*1='CHAMBRES GARCONS 1e ETAGE'!$A$11,1,0)</f>
        <v>0</v>
      </c>
      <c r="GI191" s="160">
        <f>IF([Occurrence28]=0,0,SUM($GH$2:GH191))</f>
        <v>0</v>
      </c>
      <c r="GJ191" s="160">
        <f>IF([chambre4]*1='CHAMBRES GARCONS 1e ETAGE'!$A$17,1,0)</f>
        <v>0</v>
      </c>
      <c r="GK191" s="160">
        <f>IF([Occurrence29]=0,0,SUM($GJ$2:GJ191))</f>
        <v>0</v>
      </c>
      <c r="GL191" s="160">
        <f>IF([chambre4]*1='CHAMBRES GARCONS 1e ETAGE'!$A$23,1,0)</f>
        <v>0</v>
      </c>
      <c r="GM191" s="160">
        <f>IF([Occurrence30]=0,0,SUM($GL$2:GL191))</f>
        <v>0</v>
      </c>
      <c r="GN191" s="160">
        <f>IF([chambre4]*1='CHAMBRES GARCONS 1e ETAGE'!$A$29,1,0)</f>
        <v>0</v>
      </c>
      <c r="GO191" s="160">
        <f>IF([Occurrence31]=0,0,SUM($GN$2:GN191))</f>
        <v>0</v>
      </c>
      <c r="GP191" s="160">
        <f>IF([chambre4]*1='CHAMBRES GARCONS 1e ETAGE'!$A$35,1,0)</f>
        <v>0</v>
      </c>
      <c r="GQ191" s="160">
        <f>IF([Occurrence32]=0,0,SUM($GP$2:GP191))</f>
        <v>0</v>
      </c>
      <c r="GR191" s="160">
        <f>IF([chambre3]*1='CHAMBRES GARCONS RDC'!$A$5,1,0)</f>
        <v>0</v>
      </c>
      <c r="GS191" s="160">
        <f>IF([Occurrence33]=0,0,SUM($GR$2:GR191))</f>
        <v>0</v>
      </c>
      <c r="GT191" s="160">
        <f>IF([chambre3]*1='CHAMBRES GARCONS RDC'!$A$11,1,0)</f>
        <v>0</v>
      </c>
      <c r="GU191" s="160">
        <f>IF([Occurrence34]=0,0,SUM($GT$2:GT191))</f>
        <v>0</v>
      </c>
      <c r="GV191" s="160">
        <f>IF([chambre3]*1='CHAMBRES GARCONS RDC'!$A$17,1,0)</f>
        <v>0</v>
      </c>
      <c r="GW191" s="160">
        <f>IF([Occurrence35]=0,0,SUM($GV$2:GV191))</f>
        <v>0</v>
      </c>
      <c r="GX191" s="160">
        <f>IF([chambre3]*1='CHAMBRES GARCONS RDC'!$A$23,1,0)</f>
        <v>0</v>
      </c>
      <c r="GY191" s="160">
        <f>IF([Occurrence36]=0,0,SUM($GX$2:GX191))</f>
        <v>0</v>
      </c>
      <c r="GZ191" s="160">
        <f>IF([chambre3]*1='CHAMBRES GARCONS RDC'!$A$29,1,0)</f>
        <v>0</v>
      </c>
      <c r="HA191" s="160">
        <f>IF([Occurrence37]=0,0,SUM($GZ$2:GZ191))</f>
        <v>0</v>
      </c>
      <c r="HB191" s="160">
        <f>IF([chambre3]*1='CHAMBRES GARCONS RDC'!$A$35,1,0)</f>
        <v>0</v>
      </c>
      <c r="HC191" s="160">
        <f>IF([Occurrence38]=0,0,SUM($HB$2:HB191))</f>
        <v>0</v>
      </c>
      <c r="HD191" s="160">
        <f>IF([chambre3]*1='CHAMBRES GARCONS RDC'!$A$41,1,0)</f>
        <v>0</v>
      </c>
      <c r="HE191" s="160">
        <f>IF([Occurrence39]=0,0,SUM($HD$2:HD191))</f>
        <v>0</v>
      </c>
      <c r="HF191" s="160">
        <f>IF([chambre3]*1='CHAMBRES GARCONS RDC'!$A$47,1,0)</f>
        <v>0</v>
      </c>
      <c r="HG191" s="160">
        <f>IF([Occurrence40]=0,0,SUM($HF$2:HF191))</f>
        <v>0</v>
      </c>
      <c r="HH191" s="160">
        <f>IF([chambre3]*1='CHAMBRES GARCONS RDC'!$A$53,1,0)</f>
        <v>0</v>
      </c>
      <c r="HI191" s="160">
        <f>IF([Occurrence41]=0,0,SUM($HH$2:HH191))</f>
        <v>0</v>
      </c>
      <c r="HJ191" s="160">
        <f>IF([chambre3]*1='CHAMBRES GARCONS RDC'!$A$59,1,0)</f>
        <v>0</v>
      </c>
      <c r="HK191" s="160">
        <f>IF([Occurrence42]=0,0,SUM($HJ$2:HJ191))</f>
        <v>0</v>
      </c>
      <c r="HL191" s="160">
        <f>IF([chambre3]*1='CHAMBRES GARCONS RDC'!$A$65,1,0)</f>
        <v>0</v>
      </c>
      <c r="HM191" s="160">
        <f>IF([Occurrence43]=0,0,SUM($HL$2:HL191))</f>
        <v>0</v>
      </c>
      <c r="HN191" s="160">
        <f>IF([chambre3]*1='CHAMBRES GARCONS RDC'!$A$71,1,0)</f>
        <v>0</v>
      </c>
      <c r="HO191" s="160">
        <f>IF([Occurrence44]=0,0,SUM($HN$2:HN191))</f>
        <v>0</v>
      </c>
      <c r="HP191" s="160">
        <f>IF([chambre3]*1='CHAMBRES GARCONS RDC'!$A$77,1,0)</f>
        <v>1</v>
      </c>
      <c r="HQ191" s="160">
        <f>IF([Occurrence45]=0,0,SUM($HP$2:HP191))</f>
        <v>3</v>
      </c>
      <c r="HR191" s="160">
        <f>IF([chambre3]*1='CHAMBRES GARCONS RDC'!$A$83,1,0)</f>
        <v>0</v>
      </c>
      <c r="HS191" s="160">
        <f>IF([Occurrence46]=0,0,SUM($HR$2:HR191))</f>
        <v>0</v>
      </c>
      <c r="HT191" s="160">
        <f>IF([chambre3]*1='CHAMBRES GARCONS RDC'!$A$89,1,0)</f>
        <v>0</v>
      </c>
      <c r="HU191" s="160">
        <f>IF([Occurrence47]=0,0,SUM($HT$2:HT191))</f>
        <v>0</v>
      </c>
      <c r="HV191" s="160">
        <f>IF([chambre3]*1='CHAMBRES GARCONS RDC'!$A$95,1,0)</f>
        <v>0</v>
      </c>
      <c r="HW191" s="160">
        <f>IF([Occurrence48]=0,0,SUM($HV$2:HV191))</f>
        <v>0</v>
      </c>
      <c r="HX191" s="160"/>
      <c r="HY191" s="160"/>
      <c r="HZ191" s="160">
        <f>IF([Classe]='Liste élève par classes'!$B$5,1,0)</f>
        <v>0</v>
      </c>
      <c r="IA191" s="160">
        <f>IF([Occurrence]=0,0,SUM($HZ$2:HZ191))</f>
        <v>0</v>
      </c>
      <c r="IB19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116</v>
      </c>
      <c r="IC191" s="208"/>
    </row>
    <row r="192" spans="1:237">
      <c r="A192" t="s">
        <v>568</v>
      </c>
      <c r="B192" t="s">
        <v>569</v>
      </c>
      <c r="C192" s="158">
        <v>36541</v>
      </c>
      <c r="D192" s="62">
        <f t="shared" ca="1" si="2"/>
        <v>17</v>
      </c>
      <c r="E192" t="s">
        <v>9</v>
      </c>
      <c r="F192" s="159" t="s">
        <v>50</v>
      </c>
      <c r="G192" t="s">
        <v>40</v>
      </c>
      <c r="H192" s="160"/>
      <c r="I192" s="161"/>
      <c r="J192" s="161"/>
      <c r="K192" s="161"/>
      <c r="L192" s="160"/>
      <c r="M192">
        <v>38</v>
      </c>
      <c r="N192" s="161"/>
      <c r="O192" s="161"/>
      <c r="P192" s="161"/>
      <c r="Q192" s="161"/>
      <c r="R192" s="161"/>
      <c r="S192" s="190"/>
      <c r="T192" s="161"/>
      <c r="U192" s="160"/>
      <c r="V192" s="161"/>
      <c r="W192" s="161"/>
      <c r="X192" s="161"/>
      <c r="Y192" s="161"/>
      <c r="Z192" s="161"/>
      <c r="AA192" s="161"/>
      <c r="AB192" s="161"/>
      <c r="AC192" s="161"/>
      <c r="AD192" s="161"/>
      <c r="AE192" s="161"/>
      <c r="AF192" s="163"/>
      <c r="AG192" s="163"/>
      <c r="AH192" s="163"/>
      <c r="AI192" s="163"/>
      <c r="AJ192" s="163"/>
      <c r="AK192" s="163"/>
      <c r="AL192" s="163"/>
      <c r="AM192" s="163"/>
      <c r="AN192" s="163"/>
      <c r="AO192" s="163"/>
      <c r="AP192" s="163"/>
      <c r="AQ192" s="163"/>
      <c r="AR192" s="163"/>
      <c r="AS192" s="163"/>
      <c r="AT192" s="163"/>
      <c r="AU192" s="163"/>
      <c r="AV192" s="163"/>
      <c r="AW192" s="163"/>
      <c r="AX192" s="163"/>
      <c r="AY192" s="163"/>
      <c r="AZ192" s="163"/>
      <c r="BA192" s="163"/>
      <c r="BB192" s="163"/>
      <c r="BC192" s="163" t="b">
        <v>0</v>
      </c>
      <c r="BD192" s="163" t="b">
        <v>1</v>
      </c>
      <c r="BE192" s="163" t="b">
        <v>1</v>
      </c>
      <c r="BF192" s="163" t="b">
        <v>0</v>
      </c>
      <c r="BG192" s="164" t="b">
        <v>0</v>
      </c>
      <c r="BH192" s="163" t="b">
        <v>1</v>
      </c>
      <c r="BI192" s="163"/>
      <c r="BJ192" s="163"/>
      <c r="BK192" s="163"/>
      <c r="BL192" s="163"/>
      <c r="BM192" s="163"/>
      <c r="BN192" s="163"/>
      <c r="BO192" s="163"/>
      <c r="BP192" s="163"/>
      <c r="BQ192" s="163" t="b">
        <v>0</v>
      </c>
      <c r="BR192" s="163"/>
      <c r="BS192" s="163"/>
      <c r="BT192" s="163"/>
      <c r="BU192" s="163"/>
      <c r="BV192" s="163"/>
      <c r="BW192" s="163"/>
      <c r="BX192" s="163"/>
      <c r="BY192" s="163"/>
      <c r="BZ192" s="163"/>
      <c r="CA192" s="163"/>
      <c r="CB192" s="163"/>
      <c r="CC192" s="163"/>
      <c r="CD192" s="163"/>
      <c r="CE192" s="163"/>
      <c r="CF192" s="163"/>
      <c r="CG192" s="163"/>
      <c r="CH192" s="163"/>
      <c r="CI192" s="163"/>
      <c r="CJ192" s="163"/>
      <c r="CK192" s="163"/>
      <c r="CL192" s="163"/>
      <c r="CM192" s="163"/>
      <c r="CN192" s="163"/>
      <c r="CO192" s="163"/>
      <c r="CP192" s="163"/>
      <c r="CQ192" s="163"/>
      <c r="CR192" s="163"/>
      <c r="CS192" s="163"/>
      <c r="CT192" s="163"/>
      <c r="CU192" s="163"/>
      <c r="CV192" s="163"/>
      <c r="CW192" s="163"/>
      <c r="CX192" s="163"/>
      <c r="CY192" s="163"/>
      <c r="CZ192" s="163"/>
      <c r="DA192" s="163"/>
      <c r="DB192" s="163"/>
      <c r="DC192" s="163"/>
      <c r="DD192" s="163"/>
      <c r="DE192" s="163"/>
      <c r="DF192" s="163"/>
      <c r="DG192" s="208">
        <v>154</v>
      </c>
      <c r="DH192" s="163"/>
      <c r="DI192" s="163"/>
      <c r="DJ192" s="163"/>
      <c r="DK192" s="163"/>
      <c r="DL192" s="163"/>
      <c r="DM192" s="163"/>
      <c r="DN192" s="163"/>
      <c r="DO192" s="163"/>
      <c r="DP192" s="163"/>
      <c r="DQ192" s="163"/>
      <c r="DR192" s="163"/>
      <c r="DS192" s="163"/>
      <c r="DT192" s="163"/>
      <c r="DU192" s="163"/>
      <c r="DV192" s="163"/>
      <c r="DW192" s="163"/>
      <c r="DX192" s="163"/>
      <c r="DY192" s="163"/>
      <c r="DZ192" s="163"/>
      <c r="EA192" s="163"/>
      <c r="EB192" s="163"/>
      <c r="EC192" s="163"/>
      <c r="ED192" s="163"/>
      <c r="EE192" s="163"/>
      <c r="EF192" s="163"/>
      <c r="EG192" s="163"/>
      <c r="EH192" s="160">
        <f>IF([Chambre]*1='CHAMBRES FILLES 2e ETAGE'!$A$5,1,0)</f>
        <v>0</v>
      </c>
      <c r="EI192" s="161">
        <f>IF([Occurrence2]=0,0,SUM($EH$2:EH192))</f>
        <v>0</v>
      </c>
      <c r="EJ192" s="160">
        <f>IF([Chambre]*1='CHAMBRES FILLES 2e ETAGE'!$A$11,1,0)</f>
        <v>0</v>
      </c>
      <c r="EK192" s="160">
        <f>IF([Occurrence3]=0,0,SUM($EJ$2:EJ192))</f>
        <v>0</v>
      </c>
      <c r="EL192" s="160">
        <f>IF([Chambre]*1='CHAMBRES FILLES 2e ETAGE'!$A$17,1,0)</f>
        <v>0</v>
      </c>
      <c r="EM192" s="160">
        <f>IF([Occurrence4]=0,0,SUM($EL$2:EL192))</f>
        <v>0</v>
      </c>
      <c r="EN192" s="160">
        <f>IF([Chambre]*1='CHAMBRES FILLES 2e ETAGE'!$A$23,1,0)</f>
        <v>0</v>
      </c>
      <c r="EO192" s="160">
        <f>IF([Occurrence5]=0,0,SUM($EN$2:EN192))</f>
        <v>0</v>
      </c>
      <c r="EP192" s="160">
        <f>IF([Chambre]*1='CHAMBRES FILLES 2e ETAGE'!$A$29,1,0)</f>
        <v>0</v>
      </c>
      <c r="EQ192" s="160">
        <f>IF([Occurrence6]=0,0,SUM($EP$2:EP192))</f>
        <v>0</v>
      </c>
      <c r="ER192" s="160">
        <f>IF([Chambre]*1='CHAMBRES FILLES 2e ETAGE'!$A$35,1,0)</f>
        <v>0</v>
      </c>
      <c r="ES192" s="160">
        <f>IF([Occurrence7]=0,0,SUM($ER$2:ER192))</f>
        <v>0</v>
      </c>
      <c r="ET192" s="160">
        <f>IF([Chambre]*1='CHAMBRES FILLES 2e ETAGE'!$A$41,1,0)</f>
        <v>0</v>
      </c>
      <c r="EU192" s="160">
        <f>IF([Occurrence8]=0,0,SUM($ET$2:ET192))</f>
        <v>0</v>
      </c>
      <c r="EV192" s="160">
        <f>IF([Chambre]*1='CHAMBRES FILLES 2e ETAGE'!$A$47,1,0)</f>
        <v>0</v>
      </c>
      <c r="EW192" s="160">
        <f>IF([Occurrence9]=0,0,SUM($EV$2:EV192))</f>
        <v>0</v>
      </c>
      <c r="EX192" s="160">
        <f>IF([Chambre]*1='CHAMBRES FILLES 2e ETAGE'!$A$53,1,0)</f>
        <v>0</v>
      </c>
      <c r="EY192" s="160">
        <f>IF([Occurrence10]=0,0,SUM($EX$2:EX192))</f>
        <v>0</v>
      </c>
      <c r="EZ192" s="160">
        <f>IF([Chambre]*1='CHAMBRES FILLES 2e ETAGE'!$A$59,1,0)</f>
        <v>0</v>
      </c>
      <c r="FA192" s="160">
        <f>IF([Occurrence11]=0,0,SUM($EZ$2:EZ192))</f>
        <v>0</v>
      </c>
      <c r="FB192" s="160">
        <f>IF([Chambre]*1='CHAMBRES FILLES 2e ETAGE'!$A$65,1,0)</f>
        <v>0</v>
      </c>
      <c r="FC192" s="160">
        <f>IF([Occurrence12]=0,0,SUM($FB$2:FB192))</f>
        <v>0</v>
      </c>
      <c r="FD192" s="160">
        <f>IF([Chambre]*1='CHAMBRES FILLES 2e ETAGE'!$A$71,1,0)</f>
        <v>0</v>
      </c>
      <c r="FE192" s="160">
        <f>IF([Occurrence13]=0,0,SUM($FD$2:FD192))</f>
        <v>0</v>
      </c>
      <c r="FF192" s="160">
        <f>IF([Chambre]*1='CHAMBRES FILLES 2e ETAGE'!$A$77,1,0)</f>
        <v>0</v>
      </c>
      <c r="FG192" s="160">
        <f>IF([Occurrence14]=0,0,SUM($FF$2:FF192))</f>
        <v>0</v>
      </c>
      <c r="FH192" s="160">
        <f>IF([Chambre]*1='CHAMBRES FILLES 2e ETAGE'!$A$83,1,0)</f>
        <v>0</v>
      </c>
      <c r="FI192" s="160">
        <f>IF([Occurrence15]=0,0,SUM($FH$2:FH192))</f>
        <v>0</v>
      </c>
      <c r="FJ192" s="160">
        <f>IF([Chambre]*1='CHAMBRES FILLES 2e ETAGE'!$A$89,1,0)</f>
        <v>0</v>
      </c>
      <c r="FK192" s="160">
        <f>IF([Occurrence16]=0,0,SUM($FJ$2:FJ192))</f>
        <v>0</v>
      </c>
      <c r="FL192" s="160">
        <f>IF([Chambre]*1='CHAMBRES FILLES 2e ETAGE'!$A$95,1,0)</f>
        <v>0</v>
      </c>
      <c r="FM192" s="160">
        <f>IF([Occurrence17]=0,0,SUM($FL$2:FL192))</f>
        <v>0</v>
      </c>
      <c r="FN192" s="160">
        <f>IF([Chambre2]*1='CHAMBRES FILLES 1e ETAGE'!$A$5,1,0)</f>
        <v>0</v>
      </c>
      <c r="FO192" s="160">
        <f>IF([Occurrence18]=0,0,SUM($FN$2:FN192))</f>
        <v>0</v>
      </c>
      <c r="FP192" s="160">
        <f>IF([Chambre2]*1='CHAMBRES FILLES 1e ETAGE'!$A$11,1,0)</f>
        <v>0</v>
      </c>
      <c r="FQ192" s="160">
        <f>IF([Occurrence19]=0,0,SUM($FP$2:FP192))</f>
        <v>0</v>
      </c>
      <c r="FR192" s="160">
        <f>IF([Chambre2]*1='CHAMBRES FILLES 1e ETAGE'!$A$17,1,0)</f>
        <v>0</v>
      </c>
      <c r="FS192" s="160">
        <f>IF([Occurrence20]=0,0,SUM($FR$2:FR192))</f>
        <v>0</v>
      </c>
      <c r="FT192" s="160">
        <f>IF([Chambre2]*1='CHAMBRES FILLES 1e ETAGE'!$A$23,1,0)</f>
        <v>0</v>
      </c>
      <c r="FU192" s="160">
        <f>IF([Occurrence21]=0,0,SUM($FT$2:FT192))</f>
        <v>0</v>
      </c>
      <c r="FV192" s="160">
        <f>IF([Chambre2]*1='CHAMBRES FILLES 1e ETAGE'!$A$29,1,0)</f>
        <v>0</v>
      </c>
      <c r="FW192" s="160">
        <f>IF([Occurrence22]=0,0,SUM($FV$2:FV192))</f>
        <v>0</v>
      </c>
      <c r="FX192" s="160">
        <f>IF([Chambre2]*1='CHAMBRES FILLES 1e ETAGE'!$A$35,1,0)</f>
        <v>0</v>
      </c>
      <c r="FY192" s="160">
        <f>IF([Occurrence23]=0,0,SUM($FX$2:FX192))</f>
        <v>0</v>
      </c>
      <c r="FZ192" s="160">
        <f>IF([Chambre2]*1='CHAMBRES FILLES 1e ETAGE'!$A$41,1,0)</f>
        <v>0</v>
      </c>
      <c r="GA192" s="160">
        <f>IF([Occurrence24]=0,0,SUM($FZ$2:FZ192))</f>
        <v>0</v>
      </c>
      <c r="GB192" s="160">
        <f>IF([Chambre2]*1='CHAMBRES FILLES 1e ETAGE'!$A$47,1,0)</f>
        <v>0</v>
      </c>
      <c r="GC192" s="160">
        <f>IF([Occurrence25]=0,0,SUM($GB$2:GB192))</f>
        <v>0</v>
      </c>
      <c r="GD192" s="160">
        <f>IF([Chambre2]*1='CHAMBRES FILLES 1e ETAGE'!$A$53,1,0)</f>
        <v>0</v>
      </c>
      <c r="GE192" s="160">
        <f>IF([Occurrence26]=0,0,SUM($GD$2:GD192))</f>
        <v>0</v>
      </c>
      <c r="GF192" s="160">
        <f>IF([chambre4]*1='CHAMBRES GARCONS 1e ETAGE'!$A$5,1,0)</f>
        <v>0</v>
      </c>
      <c r="GG192" s="160">
        <f>IF([Occurrence27]=0,0,SUM($GF$2:GF192))</f>
        <v>0</v>
      </c>
      <c r="GH192" s="160">
        <f>IF([chambre4]*1='CHAMBRES GARCONS 1e ETAGE'!$A$11,1,0)</f>
        <v>0</v>
      </c>
      <c r="GI192" s="160">
        <f>IF([Occurrence28]=0,0,SUM($GH$2:GH192))</f>
        <v>0</v>
      </c>
      <c r="GJ192" s="160">
        <f>IF([chambre4]*1='CHAMBRES GARCONS 1e ETAGE'!$A$17,1,0)</f>
        <v>0</v>
      </c>
      <c r="GK192" s="160">
        <f>IF([Occurrence29]=0,0,SUM($GJ$2:GJ192))</f>
        <v>0</v>
      </c>
      <c r="GL192" s="160">
        <f>IF([chambre4]*1='CHAMBRES GARCONS 1e ETAGE'!$A$23,1,0)</f>
        <v>0</v>
      </c>
      <c r="GM192" s="160">
        <f>IF([Occurrence30]=0,0,SUM($GL$2:GL192))</f>
        <v>0</v>
      </c>
      <c r="GN192" s="160">
        <f>IF([chambre4]*1='CHAMBRES GARCONS 1e ETAGE'!$A$29,1,0)</f>
        <v>0</v>
      </c>
      <c r="GO192" s="160">
        <f>IF([Occurrence31]=0,0,SUM($GN$2:GN192))</f>
        <v>0</v>
      </c>
      <c r="GP192" s="160">
        <f>IF([chambre4]*1='CHAMBRES GARCONS 1e ETAGE'!$A$35,1,0)</f>
        <v>1</v>
      </c>
      <c r="GQ192" s="160">
        <f>IF([Occurrence32]=0,0,SUM($GP$2:GP192))</f>
        <v>3</v>
      </c>
      <c r="GR192" s="160">
        <f>IF([chambre3]*1='CHAMBRES GARCONS RDC'!$A$5,1,0)</f>
        <v>0</v>
      </c>
      <c r="GS192" s="160">
        <f>IF([Occurrence33]=0,0,SUM($GR$2:GR192))</f>
        <v>0</v>
      </c>
      <c r="GT192" s="160">
        <f>IF([chambre3]*1='CHAMBRES GARCONS RDC'!$A$11,1,0)</f>
        <v>0</v>
      </c>
      <c r="GU192" s="160">
        <f>IF([Occurrence34]=0,0,SUM($GT$2:GT192))</f>
        <v>0</v>
      </c>
      <c r="GV192" s="160">
        <f>IF([chambre3]*1='CHAMBRES GARCONS RDC'!$A$17,1,0)</f>
        <v>0</v>
      </c>
      <c r="GW192" s="160">
        <f>IF([Occurrence35]=0,0,SUM($GV$2:GV192))</f>
        <v>0</v>
      </c>
      <c r="GX192" s="160">
        <f>IF([chambre3]*1='CHAMBRES GARCONS RDC'!$A$23,1,0)</f>
        <v>0</v>
      </c>
      <c r="GY192" s="160">
        <f>IF([Occurrence36]=0,0,SUM($GX$2:GX192))</f>
        <v>0</v>
      </c>
      <c r="GZ192" s="160">
        <f>IF([chambre3]*1='CHAMBRES GARCONS RDC'!$A$29,1,0)</f>
        <v>0</v>
      </c>
      <c r="HA192" s="160">
        <f>IF([Occurrence37]=0,0,SUM($GZ$2:GZ192))</f>
        <v>0</v>
      </c>
      <c r="HB192" s="160">
        <f>IF([chambre3]*1='CHAMBRES GARCONS RDC'!$A$35,1,0)</f>
        <v>0</v>
      </c>
      <c r="HC192" s="160">
        <f>IF([Occurrence38]=0,0,SUM($HB$2:HB192))</f>
        <v>0</v>
      </c>
      <c r="HD192" s="160">
        <f>IF([chambre3]*1='CHAMBRES GARCONS RDC'!$A$41,1,0)</f>
        <v>0</v>
      </c>
      <c r="HE192" s="160">
        <f>IF([Occurrence39]=0,0,SUM($HD$2:HD192))</f>
        <v>0</v>
      </c>
      <c r="HF192" s="160">
        <f>IF([chambre3]*1='CHAMBRES GARCONS RDC'!$A$47,1,0)</f>
        <v>0</v>
      </c>
      <c r="HG192" s="160">
        <f>IF([Occurrence40]=0,0,SUM($HF$2:HF192))</f>
        <v>0</v>
      </c>
      <c r="HH192" s="160">
        <f>IF([chambre3]*1='CHAMBRES GARCONS RDC'!$A$53,1,0)</f>
        <v>0</v>
      </c>
      <c r="HI192" s="160">
        <f>IF([Occurrence41]=0,0,SUM($HH$2:HH192))</f>
        <v>0</v>
      </c>
      <c r="HJ192" s="160">
        <f>IF([chambre3]*1='CHAMBRES GARCONS RDC'!$A$59,1,0)</f>
        <v>0</v>
      </c>
      <c r="HK192" s="160">
        <f>IF([Occurrence42]=0,0,SUM($HJ$2:HJ192))</f>
        <v>0</v>
      </c>
      <c r="HL192" s="160">
        <f>IF([chambre3]*1='CHAMBRES GARCONS RDC'!$A$65,1,0)</f>
        <v>0</v>
      </c>
      <c r="HM192" s="160">
        <f>IF([Occurrence43]=0,0,SUM($HL$2:HL192))</f>
        <v>0</v>
      </c>
      <c r="HN192" s="160">
        <f>IF([chambre3]*1='CHAMBRES GARCONS RDC'!$A$71,1,0)</f>
        <v>0</v>
      </c>
      <c r="HO192" s="160">
        <f>IF([Occurrence44]=0,0,SUM($HN$2:HN192))</f>
        <v>0</v>
      </c>
      <c r="HP192" s="160">
        <f>IF([chambre3]*1='CHAMBRES GARCONS RDC'!$A$77,1,0)</f>
        <v>0</v>
      </c>
      <c r="HQ192" s="160">
        <f>IF([Occurrence45]=0,0,SUM($HP$2:HP192))</f>
        <v>0</v>
      </c>
      <c r="HR192" s="160">
        <f>IF([chambre3]*1='CHAMBRES GARCONS RDC'!$A$83,1,0)</f>
        <v>0</v>
      </c>
      <c r="HS192" s="160">
        <f>IF([Occurrence46]=0,0,SUM($HR$2:HR192))</f>
        <v>0</v>
      </c>
      <c r="HT192" s="160">
        <f>IF([chambre3]*1='CHAMBRES GARCONS RDC'!$A$89,1,0)</f>
        <v>0</v>
      </c>
      <c r="HU192" s="160">
        <f>IF([Occurrence47]=0,0,SUM($HT$2:HT192))</f>
        <v>0</v>
      </c>
      <c r="HV192" s="160">
        <f>IF([chambre3]*1='CHAMBRES GARCONS RDC'!$A$95,1,0)</f>
        <v>0</v>
      </c>
      <c r="HW192" s="160">
        <f>IF([Occurrence48]=0,0,SUM($HV$2:HV192))</f>
        <v>0</v>
      </c>
      <c r="HX192" s="160"/>
      <c r="HY192" s="160"/>
      <c r="HZ192" s="160">
        <f>IF([Classe]='Liste élève par classes'!$B$5,1,0)</f>
        <v>0</v>
      </c>
      <c r="IA192" s="160">
        <f>IF([Occurrence]=0,0,SUM($HZ$2:HZ192))</f>
        <v>0</v>
      </c>
      <c r="IB19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154</v>
      </c>
      <c r="IC192" s="208"/>
    </row>
    <row r="193" spans="1:237">
      <c r="A193" t="s">
        <v>570</v>
      </c>
      <c r="B193" t="s">
        <v>447</v>
      </c>
      <c r="C193" s="158" t="s">
        <v>780</v>
      </c>
      <c r="D193" s="62" t="s">
        <v>778</v>
      </c>
      <c r="E193" t="s">
        <v>6</v>
      </c>
      <c r="F193" s="159" t="s">
        <v>50</v>
      </c>
      <c r="G193" t="s">
        <v>40</v>
      </c>
      <c r="H193" s="160"/>
      <c r="I193" s="62"/>
      <c r="J193" s="62"/>
      <c r="K193" s="62"/>
      <c r="L193" s="61"/>
      <c r="M193" t="s">
        <v>781</v>
      </c>
      <c r="N193" s="62"/>
      <c r="O193" s="62"/>
      <c r="P193" s="62"/>
      <c r="Q193" s="62"/>
      <c r="R193" s="62"/>
      <c r="S193" s="191"/>
      <c r="T193" s="62"/>
      <c r="U193" s="61"/>
      <c r="V193" s="62"/>
      <c r="W193" s="62"/>
      <c r="X193" s="62"/>
      <c r="Y193" s="62"/>
      <c r="Z193" s="62"/>
      <c r="AA193" s="62"/>
      <c r="AB193" s="62"/>
      <c r="AC193" s="62"/>
      <c r="AD193" s="62"/>
      <c r="AE193" s="62"/>
      <c r="AF193" s="163"/>
      <c r="AG193" s="163"/>
      <c r="AH193" s="163"/>
      <c r="AI193" s="163" t="b">
        <v>0</v>
      </c>
      <c r="AJ193" s="163" t="b">
        <v>0</v>
      </c>
      <c r="AK193" s="163" t="b">
        <v>0</v>
      </c>
      <c r="AL193" s="163" t="b">
        <v>0</v>
      </c>
      <c r="AM193" s="163" t="b">
        <v>0</v>
      </c>
      <c r="AN193" s="163" t="b">
        <v>0</v>
      </c>
      <c r="AO193" s="163" t="b">
        <v>0</v>
      </c>
      <c r="AP193" s="163" t="b">
        <v>0</v>
      </c>
      <c r="AQ193" s="163" t="b">
        <v>0</v>
      </c>
      <c r="AR193" s="163" t="b">
        <v>0</v>
      </c>
      <c r="AS193" s="163" t="b">
        <v>0</v>
      </c>
      <c r="AT193" s="163" t="b">
        <v>0</v>
      </c>
      <c r="AU193" s="163" t="b">
        <v>0</v>
      </c>
      <c r="AV193" s="163" t="b">
        <v>0</v>
      </c>
      <c r="AW193" s="163" t="b">
        <v>0</v>
      </c>
      <c r="AX193" s="163" t="b">
        <v>0</v>
      </c>
      <c r="AY193" s="163" t="b">
        <v>0</v>
      </c>
      <c r="AZ193" s="163" t="b">
        <v>0</v>
      </c>
      <c r="BA193" s="163" t="b">
        <v>0</v>
      </c>
      <c r="BB193" s="163" t="b">
        <v>0</v>
      </c>
      <c r="BC193" s="163" t="b">
        <v>0</v>
      </c>
      <c r="BD193" s="163" t="b">
        <v>1</v>
      </c>
      <c r="BE193" s="163" t="b">
        <v>1</v>
      </c>
      <c r="BF193" s="163" t="b">
        <v>0</v>
      </c>
      <c r="BG193" s="164" t="b">
        <v>0</v>
      </c>
      <c r="BH193" s="163" t="b">
        <v>1</v>
      </c>
      <c r="BI193" s="163" t="b">
        <v>0</v>
      </c>
      <c r="BJ193" s="163" t="b">
        <v>0</v>
      </c>
      <c r="BK193" s="163" t="b">
        <v>0</v>
      </c>
      <c r="BL193" s="163" t="b">
        <v>0</v>
      </c>
      <c r="BM193" s="163"/>
      <c r="BN193" s="163" t="b">
        <v>0</v>
      </c>
      <c r="BO193" s="163" t="b">
        <v>0</v>
      </c>
      <c r="BP193" s="163"/>
      <c r="BQ193" s="163" t="b">
        <v>0</v>
      </c>
      <c r="BR193" s="163" t="b">
        <v>0</v>
      </c>
      <c r="BS193" s="163"/>
      <c r="BT193" s="163" t="b">
        <v>0</v>
      </c>
      <c r="BU193" s="163" t="b">
        <v>0</v>
      </c>
      <c r="BV193" s="163"/>
      <c r="BW193" s="163" t="b">
        <v>0</v>
      </c>
      <c r="BX193" s="163" t="b">
        <v>0</v>
      </c>
      <c r="BY193" s="163"/>
      <c r="BZ193" s="163" t="b">
        <v>0</v>
      </c>
      <c r="CA193" s="163" t="b">
        <v>0</v>
      </c>
      <c r="CB193" s="163"/>
      <c r="CC193" s="163" t="b">
        <v>0</v>
      </c>
      <c r="CD193" s="163" t="b">
        <v>0</v>
      </c>
      <c r="CE193" s="163"/>
      <c r="CF193" s="163" t="b">
        <v>0</v>
      </c>
      <c r="CG193" s="163" t="b">
        <v>0</v>
      </c>
      <c r="CH193" s="163"/>
      <c r="CI193" s="163" t="b">
        <v>0</v>
      </c>
      <c r="CJ193" s="163" t="b">
        <v>0</v>
      </c>
      <c r="CK193" s="163"/>
      <c r="CL193" s="163" t="b">
        <v>0</v>
      </c>
      <c r="CM193" s="163" t="b">
        <v>0</v>
      </c>
      <c r="CN193" s="163"/>
      <c r="CO193" s="163" t="b">
        <v>0</v>
      </c>
      <c r="CP193" s="163" t="b">
        <v>0</v>
      </c>
      <c r="CQ193" s="163"/>
      <c r="CR193" s="163" t="b">
        <v>0</v>
      </c>
      <c r="CS193" s="163" t="b">
        <v>0</v>
      </c>
      <c r="CT193" s="163" t="b">
        <v>0</v>
      </c>
      <c r="CU193" s="163" t="b">
        <v>0</v>
      </c>
      <c r="CV193" s="163"/>
      <c r="CW193" s="163" t="b">
        <v>0</v>
      </c>
      <c r="CX193" s="163" t="b">
        <v>0</v>
      </c>
      <c r="CY193" s="163" t="b">
        <v>0</v>
      </c>
      <c r="CZ193" s="163" t="b">
        <v>0</v>
      </c>
      <c r="DA193" s="163"/>
      <c r="DB193" s="163"/>
      <c r="DC193" s="163"/>
      <c r="DD193" s="163"/>
      <c r="DE193" s="163"/>
      <c r="DF193" s="163"/>
      <c r="DG193" s="208" t="s">
        <v>776</v>
      </c>
      <c r="DH193" s="163"/>
      <c r="DI193" s="163"/>
      <c r="DJ193" s="163"/>
      <c r="DK193" s="163"/>
      <c r="DL193" s="163"/>
      <c r="DM193" s="163" t="b">
        <v>0</v>
      </c>
      <c r="DN193" s="163" t="b">
        <v>0</v>
      </c>
      <c r="DO193" s="163" t="b">
        <v>0</v>
      </c>
      <c r="DP193" s="163" t="b">
        <v>0</v>
      </c>
      <c r="DQ193" s="163" t="b">
        <v>0</v>
      </c>
      <c r="DR193" s="163" t="b">
        <v>0</v>
      </c>
      <c r="DS193" s="163" t="b">
        <v>0</v>
      </c>
      <c r="DT193" s="163" t="b">
        <v>0</v>
      </c>
      <c r="DU193" s="163" t="b">
        <v>0</v>
      </c>
      <c r="DV193" s="163" t="b">
        <v>0</v>
      </c>
      <c r="DW193" s="163" t="b">
        <v>0</v>
      </c>
      <c r="DX193" s="163" t="b">
        <v>0</v>
      </c>
      <c r="DY193" s="163" t="b">
        <v>0</v>
      </c>
      <c r="DZ193" s="163" t="b">
        <v>0</v>
      </c>
      <c r="EA193" s="163" t="b">
        <v>0</v>
      </c>
      <c r="EB193" s="163" t="b">
        <v>0</v>
      </c>
      <c r="EC193" s="163" t="b">
        <v>0</v>
      </c>
      <c r="ED193" s="163" t="b">
        <v>0</v>
      </c>
      <c r="EE193" s="163" t="b">
        <v>0</v>
      </c>
      <c r="EF193" s="163" t="b">
        <v>0</v>
      </c>
      <c r="EG193" s="163"/>
      <c r="EH193" s="160">
        <f>IF([Chambre]*1='CHAMBRES FILLES 2e ETAGE'!$A$5,1,0)</f>
        <v>0</v>
      </c>
      <c r="EI193" s="161">
        <f>IF([Occurrence2]=0,0,SUM($EH$2:EH193))</f>
        <v>0</v>
      </c>
      <c r="EJ193" s="160">
        <f>IF([Chambre]*1='CHAMBRES FILLES 2e ETAGE'!$A$11,1,0)</f>
        <v>0</v>
      </c>
      <c r="EK193" s="160">
        <f>IF([Occurrence3]=0,0,SUM($EJ$2:EJ193))</f>
        <v>0</v>
      </c>
      <c r="EL193" s="160">
        <f>IF([Chambre]*1='CHAMBRES FILLES 2e ETAGE'!$A$17,1,0)</f>
        <v>0</v>
      </c>
      <c r="EM193" s="160">
        <f>IF([Occurrence4]=0,0,SUM($EL$2:EL193))</f>
        <v>0</v>
      </c>
      <c r="EN193" s="160">
        <f>IF([Chambre]*1='CHAMBRES FILLES 2e ETAGE'!$A$23,1,0)</f>
        <v>0</v>
      </c>
      <c r="EO193" s="160">
        <f>IF([Occurrence5]=0,0,SUM($EN$2:EN193))</f>
        <v>0</v>
      </c>
      <c r="EP193" s="160">
        <f>IF([Chambre]*1='CHAMBRES FILLES 2e ETAGE'!$A$29,1,0)</f>
        <v>0</v>
      </c>
      <c r="EQ193" s="160">
        <f>IF([Occurrence6]=0,0,SUM($EP$2:EP193))</f>
        <v>0</v>
      </c>
      <c r="ER193" s="160">
        <f>IF([Chambre]*1='CHAMBRES FILLES 2e ETAGE'!$A$35,1,0)</f>
        <v>0</v>
      </c>
      <c r="ES193" s="160">
        <f>IF([Occurrence7]=0,0,SUM($ER$2:ER193))</f>
        <v>0</v>
      </c>
      <c r="ET193" s="160">
        <f>IF([Chambre]*1='CHAMBRES FILLES 2e ETAGE'!$A$41,1,0)</f>
        <v>0</v>
      </c>
      <c r="EU193" s="160">
        <f>IF([Occurrence8]=0,0,SUM($ET$2:ET193))</f>
        <v>0</v>
      </c>
      <c r="EV193" s="160">
        <f>IF([Chambre]*1='CHAMBRES FILLES 2e ETAGE'!$A$47,1,0)</f>
        <v>0</v>
      </c>
      <c r="EW193" s="160">
        <f>IF([Occurrence9]=0,0,SUM($EV$2:EV193))</f>
        <v>0</v>
      </c>
      <c r="EX193" s="160">
        <f>IF([Chambre]*1='CHAMBRES FILLES 2e ETAGE'!$A$53,1,0)</f>
        <v>0</v>
      </c>
      <c r="EY193" s="160">
        <f>IF([Occurrence10]=0,0,SUM($EX$2:EX193))</f>
        <v>0</v>
      </c>
      <c r="EZ193" s="160">
        <f>IF([Chambre]*1='CHAMBRES FILLES 2e ETAGE'!$A$59,1,0)</f>
        <v>0</v>
      </c>
      <c r="FA193" s="160">
        <f>IF([Occurrence11]=0,0,SUM($EZ$2:EZ193))</f>
        <v>0</v>
      </c>
      <c r="FB193" s="160">
        <f>IF([Chambre]*1='CHAMBRES FILLES 2e ETAGE'!$A$65,1,0)</f>
        <v>0</v>
      </c>
      <c r="FC193" s="160">
        <f>IF([Occurrence12]=0,0,SUM($FB$2:FB193))</f>
        <v>0</v>
      </c>
      <c r="FD193" s="160">
        <f>IF([Chambre]*1='CHAMBRES FILLES 2e ETAGE'!$A$71,1,0)</f>
        <v>0</v>
      </c>
      <c r="FE193" s="160">
        <f>IF([Occurrence13]=0,0,SUM($FD$2:FD193))</f>
        <v>0</v>
      </c>
      <c r="FF193" s="160">
        <f>IF([Chambre]*1='CHAMBRES FILLES 2e ETAGE'!$A$77,1,0)</f>
        <v>0</v>
      </c>
      <c r="FG193" s="160">
        <f>IF([Occurrence14]=0,0,SUM($FF$2:FF193))</f>
        <v>0</v>
      </c>
      <c r="FH193" s="160">
        <f>IF([Chambre]*1='CHAMBRES FILLES 2e ETAGE'!$A$83,1,0)</f>
        <v>0</v>
      </c>
      <c r="FI193" s="160">
        <f>IF([Occurrence15]=0,0,SUM($FH$2:FH193))</f>
        <v>0</v>
      </c>
      <c r="FJ193" s="160">
        <f>IF([Chambre]*1='CHAMBRES FILLES 2e ETAGE'!$A$89,1,0)</f>
        <v>0</v>
      </c>
      <c r="FK193" s="160">
        <f>IF([Occurrence16]=0,0,SUM($FJ$2:FJ193))</f>
        <v>0</v>
      </c>
      <c r="FL193" s="160">
        <f>IF([Chambre]*1='CHAMBRES FILLES 2e ETAGE'!$A$95,1,0)</f>
        <v>0</v>
      </c>
      <c r="FM193" s="160">
        <f>IF([Occurrence17]=0,0,SUM($FL$2:FL193))</f>
        <v>0</v>
      </c>
      <c r="FN193" s="160">
        <f>IF([Chambre2]*1='CHAMBRES FILLES 1e ETAGE'!$A$5,1,0)</f>
        <v>0</v>
      </c>
      <c r="FO193" s="160">
        <f>IF([Occurrence18]=0,0,SUM($FN$2:FN193))</f>
        <v>0</v>
      </c>
      <c r="FP193" s="160">
        <f>IF([Chambre2]*1='CHAMBRES FILLES 1e ETAGE'!$A$11,1,0)</f>
        <v>0</v>
      </c>
      <c r="FQ193" s="160">
        <f>IF([Occurrence19]=0,0,SUM($FP$2:FP193))</f>
        <v>0</v>
      </c>
      <c r="FR193" s="160">
        <f>IF([Chambre2]*1='CHAMBRES FILLES 1e ETAGE'!$A$17,1,0)</f>
        <v>0</v>
      </c>
      <c r="FS193" s="160">
        <f>IF([Occurrence20]=0,0,SUM($FR$2:FR193))</f>
        <v>0</v>
      </c>
      <c r="FT193" s="160">
        <f>IF([Chambre2]*1='CHAMBRES FILLES 1e ETAGE'!$A$23,1,0)</f>
        <v>0</v>
      </c>
      <c r="FU193" s="160">
        <f>IF([Occurrence21]=0,0,SUM($FT$2:FT193))</f>
        <v>0</v>
      </c>
      <c r="FV193" s="160">
        <f>IF([Chambre2]*1='CHAMBRES FILLES 1e ETAGE'!$A$29,1,0)</f>
        <v>0</v>
      </c>
      <c r="FW193" s="160">
        <f>IF([Occurrence22]=0,0,SUM($FV$2:FV193))</f>
        <v>0</v>
      </c>
      <c r="FX193" s="160">
        <f>IF([Chambre2]*1='CHAMBRES FILLES 1e ETAGE'!$A$35,1,0)</f>
        <v>0</v>
      </c>
      <c r="FY193" s="160">
        <f>IF([Occurrence23]=0,0,SUM($FX$2:FX193))</f>
        <v>0</v>
      </c>
      <c r="FZ193" s="160">
        <f>IF([Chambre2]*1='CHAMBRES FILLES 1e ETAGE'!$A$41,1,0)</f>
        <v>0</v>
      </c>
      <c r="GA193" s="160">
        <f>IF([Occurrence24]=0,0,SUM($FZ$2:FZ193))</f>
        <v>0</v>
      </c>
      <c r="GB193" s="160">
        <f>IF([Chambre2]*1='CHAMBRES FILLES 1e ETAGE'!$A$47,1,0)</f>
        <v>0</v>
      </c>
      <c r="GC193" s="160">
        <f>IF([Occurrence25]=0,0,SUM($GB$2:GB193))</f>
        <v>0</v>
      </c>
      <c r="GD193" s="160">
        <f>IF([Chambre2]*1='CHAMBRES FILLES 1e ETAGE'!$A$53,1,0)</f>
        <v>0</v>
      </c>
      <c r="GE193" s="160">
        <f>IF([Occurrence26]=0,0,SUM($GD$2:GD193))</f>
        <v>0</v>
      </c>
      <c r="GF193" s="160">
        <f>IF([chambre4]*1='CHAMBRES GARCONS 1e ETAGE'!$A$5,1,0)</f>
        <v>1</v>
      </c>
      <c r="GG193" s="160">
        <f>IF([Occurrence27]=0,0,SUM($GF$2:GF193))</f>
        <v>2</v>
      </c>
      <c r="GH193" s="160">
        <f>IF([chambre4]*1='CHAMBRES GARCONS 1e ETAGE'!$A$11,1,0)</f>
        <v>0</v>
      </c>
      <c r="GI193" s="160">
        <f>IF([Occurrence28]=0,0,SUM($GH$2:GH193))</f>
        <v>0</v>
      </c>
      <c r="GJ193" s="160">
        <f>IF([chambre4]*1='CHAMBRES GARCONS 1e ETAGE'!$A$17,1,0)</f>
        <v>0</v>
      </c>
      <c r="GK193" s="160">
        <f>IF([Occurrence29]=0,0,SUM($GJ$2:GJ193))</f>
        <v>0</v>
      </c>
      <c r="GL193" s="160">
        <f>IF([chambre4]*1='CHAMBRES GARCONS 1e ETAGE'!$A$23,1,0)</f>
        <v>0</v>
      </c>
      <c r="GM193" s="160">
        <f>IF([Occurrence30]=0,0,SUM($GL$2:GL193))</f>
        <v>0</v>
      </c>
      <c r="GN193" s="160">
        <f>IF([chambre4]*1='CHAMBRES GARCONS 1e ETAGE'!$A$29,1,0)</f>
        <v>0</v>
      </c>
      <c r="GO193" s="160">
        <f>IF([Occurrence31]=0,0,SUM($GN$2:GN193))</f>
        <v>0</v>
      </c>
      <c r="GP193" s="160">
        <f>IF([chambre4]*1='CHAMBRES GARCONS 1e ETAGE'!$A$35,1,0)</f>
        <v>0</v>
      </c>
      <c r="GQ193" s="160">
        <f>IF([Occurrence32]=0,0,SUM($GP$2:GP193))</f>
        <v>0</v>
      </c>
      <c r="GR193" s="160">
        <f>IF([chambre3]*1='CHAMBRES GARCONS RDC'!$A$5,1,0)</f>
        <v>0</v>
      </c>
      <c r="GS193" s="160">
        <f>IF([Occurrence33]=0,0,SUM($GR$2:GR193))</f>
        <v>0</v>
      </c>
      <c r="GT193" s="160">
        <f>IF([chambre3]*1='CHAMBRES GARCONS RDC'!$A$11,1,0)</f>
        <v>0</v>
      </c>
      <c r="GU193" s="160">
        <f>IF([Occurrence34]=0,0,SUM($GT$2:GT193))</f>
        <v>0</v>
      </c>
      <c r="GV193" s="160">
        <f>IF([chambre3]*1='CHAMBRES GARCONS RDC'!$A$17,1,0)</f>
        <v>0</v>
      </c>
      <c r="GW193" s="160">
        <f>IF([Occurrence35]=0,0,SUM($GV$2:GV193))</f>
        <v>0</v>
      </c>
      <c r="GX193" s="160">
        <f>IF([chambre3]*1='CHAMBRES GARCONS RDC'!$A$23,1,0)</f>
        <v>0</v>
      </c>
      <c r="GY193" s="160">
        <f>IF([Occurrence36]=0,0,SUM($GX$2:GX193))</f>
        <v>0</v>
      </c>
      <c r="GZ193" s="160">
        <f>IF([chambre3]*1='CHAMBRES GARCONS RDC'!$A$29,1,0)</f>
        <v>0</v>
      </c>
      <c r="HA193" s="160">
        <f>IF([Occurrence37]=0,0,SUM($GZ$2:GZ193))</f>
        <v>0</v>
      </c>
      <c r="HB193" s="160">
        <f>IF([chambre3]*1='CHAMBRES GARCONS RDC'!$A$35,1,0)</f>
        <v>0</v>
      </c>
      <c r="HC193" s="160">
        <f>IF([Occurrence38]=0,0,SUM($HB$2:HB193))</f>
        <v>0</v>
      </c>
      <c r="HD193" s="160">
        <f>IF([chambre3]*1='CHAMBRES GARCONS RDC'!$A$41,1,0)</f>
        <v>0</v>
      </c>
      <c r="HE193" s="160">
        <f>IF([Occurrence39]=0,0,SUM($HD$2:HD193))</f>
        <v>0</v>
      </c>
      <c r="HF193" s="160">
        <f>IF([chambre3]*1='CHAMBRES GARCONS RDC'!$A$47,1,0)</f>
        <v>0</v>
      </c>
      <c r="HG193" s="160">
        <f>IF([Occurrence40]=0,0,SUM($HF$2:HF193))</f>
        <v>0</v>
      </c>
      <c r="HH193" s="160">
        <f>IF([chambre3]*1='CHAMBRES GARCONS RDC'!$A$53,1,0)</f>
        <v>0</v>
      </c>
      <c r="HI193" s="160">
        <f>IF([Occurrence41]=0,0,SUM($HH$2:HH193))</f>
        <v>0</v>
      </c>
      <c r="HJ193" s="160">
        <f>IF([chambre3]*1='CHAMBRES GARCONS RDC'!$A$59,1,0)</f>
        <v>0</v>
      </c>
      <c r="HK193" s="160">
        <f>IF([Occurrence42]=0,0,SUM($HJ$2:HJ193))</f>
        <v>0</v>
      </c>
      <c r="HL193" s="160">
        <f>IF([chambre3]*1='CHAMBRES GARCONS RDC'!$A$65,1,0)</f>
        <v>0</v>
      </c>
      <c r="HM193" s="160">
        <f>IF([Occurrence43]=0,0,SUM($HL$2:HL193))</f>
        <v>0</v>
      </c>
      <c r="HN193" s="160">
        <f>IF([chambre3]*1='CHAMBRES GARCONS RDC'!$A$71,1,0)</f>
        <v>0</v>
      </c>
      <c r="HO193" s="160">
        <f>IF([Occurrence44]=0,0,SUM($HN$2:HN193))</f>
        <v>0</v>
      </c>
      <c r="HP193" s="160">
        <f>IF([chambre3]*1='CHAMBRES GARCONS RDC'!$A$77,1,0)</f>
        <v>0</v>
      </c>
      <c r="HQ193" s="160">
        <f>IF([Occurrence45]=0,0,SUM($HP$2:HP193))</f>
        <v>0</v>
      </c>
      <c r="HR193" s="160">
        <f>IF([chambre3]*1='CHAMBRES GARCONS RDC'!$A$83,1,0)</f>
        <v>0</v>
      </c>
      <c r="HS193" s="160">
        <f>IF([Occurrence46]=0,0,SUM($HR$2:HR193))</f>
        <v>0</v>
      </c>
      <c r="HT193" s="160">
        <f>IF([chambre3]*1='CHAMBRES GARCONS RDC'!$A$89,1,0)</f>
        <v>0</v>
      </c>
      <c r="HU193" s="160">
        <f>IF([Occurrence47]=0,0,SUM($HT$2:HT193))</f>
        <v>0</v>
      </c>
      <c r="HV193" s="160">
        <f>IF([chambre3]*1='CHAMBRES GARCONS RDC'!$A$95,1,0)</f>
        <v>0</v>
      </c>
      <c r="HW193" s="160">
        <f>IF([Occurrence48]=0,0,SUM($HV$2:HV193))</f>
        <v>0</v>
      </c>
      <c r="HX193" s="160"/>
      <c r="HY193" s="160"/>
      <c r="HZ193" s="160">
        <f>IF([Classe]='Liste élève par classes'!$B$5,1,0)</f>
        <v>0</v>
      </c>
      <c r="IA193" s="160">
        <f>IF([Occurrence]=0,0,SUM($HZ$2:HZ193))</f>
        <v>0</v>
      </c>
      <c r="IB19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145</v>
      </c>
      <c r="IC193" s="208"/>
    </row>
    <row r="194" spans="1:237">
      <c r="A194" t="s">
        <v>570</v>
      </c>
      <c r="B194" t="s">
        <v>413</v>
      </c>
      <c r="C194" s="158">
        <v>37259</v>
      </c>
      <c r="D194" s="62">
        <f t="shared" ca="1" si="2"/>
        <v>15</v>
      </c>
      <c r="E194" t="s">
        <v>5</v>
      </c>
      <c r="F194" s="159" t="s">
        <v>50</v>
      </c>
      <c r="G194" t="s">
        <v>45</v>
      </c>
      <c r="H194" s="160"/>
      <c r="I194" s="62"/>
      <c r="J194" s="62" t="s">
        <v>244</v>
      </c>
      <c r="K194" s="62"/>
      <c r="L194" s="61">
        <v>166</v>
      </c>
      <c r="M194">
        <v>261</v>
      </c>
      <c r="N194" s="62"/>
      <c r="O194" s="62"/>
      <c r="P194" s="62"/>
      <c r="Q194" s="62"/>
      <c r="R194" s="62"/>
      <c r="S194" s="191"/>
      <c r="T194" s="62"/>
      <c r="U194" s="61"/>
      <c r="V194" s="62"/>
      <c r="W194" s="62"/>
      <c r="X194" s="62"/>
      <c r="Y194" s="62"/>
      <c r="Z194" s="62"/>
      <c r="AA194" s="62"/>
      <c r="AB194" s="62"/>
      <c r="AC194" s="62"/>
      <c r="AD194" s="62" t="s">
        <v>244</v>
      </c>
      <c r="AE194" s="62"/>
      <c r="AF194" s="166" t="s">
        <v>244</v>
      </c>
      <c r="AG194" s="166" t="s">
        <v>244</v>
      </c>
      <c r="AH194" s="166" t="s">
        <v>244</v>
      </c>
      <c r="AI194" s="166"/>
      <c r="AJ194" s="166"/>
      <c r="AK194" s="166"/>
      <c r="AL194" s="166"/>
      <c r="AM194" s="166"/>
      <c r="AN194" s="166"/>
      <c r="AO194" s="166"/>
      <c r="AP194" s="166"/>
      <c r="AQ194" s="166"/>
      <c r="AR194" s="166"/>
      <c r="AS194" s="166"/>
      <c r="AT194" s="166"/>
      <c r="AU194" s="166"/>
      <c r="AV194" s="166"/>
      <c r="AW194" s="166"/>
      <c r="AX194" s="166"/>
      <c r="AY194" s="166"/>
      <c r="AZ194" s="166"/>
      <c r="BA194" s="166"/>
      <c r="BB194" s="166"/>
      <c r="BC194" s="163" t="b">
        <v>0</v>
      </c>
      <c r="BD194" s="163" t="b">
        <v>1</v>
      </c>
      <c r="BE194" s="163" t="b">
        <v>1</v>
      </c>
      <c r="BF194" s="163" t="b">
        <v>0</v>
      </c>
      <c r="BG194" s="164" t="b">
        <v>0</v>
      </c>
      <c r="BH194" s="163" t="b">
        <v>1</v>
      </c>
      <c r="BI194" s="166"/>
      <c r="BJ194" s="166"/>
      <c r="BK194" s="166"/>
      <c r="BL194" s="166"/>
      <c r="BM194" s="166"/>
      <c r="BN194" s="166"/>
      <c r="BO194" s="166"/>
      <c r="BP194" s="166"/>
      <c r="BQ194" s="166" t="b">
        <v>1</v>
      </c>
      <c r="BR194" s="166"/>
      <c r="BS194" s="166"/>
      <c r="BT194" s="166"/>
      <c r="BU194" s="166"/>
      <c r="BV194" s="166"/>
      <c r="BW194" s="166"/>
      <c r="BX194" s="166"/>
      <c r="BY194" s="166"/>
      <c r="BZ194" s="166"/>
      <c r="CA194" s="166"/>
      <c r="CB194" s="166"/>
      <c r="CC194" s="166"/>
      <c r="CD194" s="166"/>
      <c r="CE194" s="166"/>
      <c r="CF194" s="166"/>
      <c r="CG194" s="166"/>
      <c r="CH194" s="166"/>
      <c r="CI194" s="166"/>
      <c r="CJ194" s="166"/>
      <c r="CK194" s="166"/>
      <c r="CL194" s="166"/>
      <c r="CM194" s="166"/>
      <c r="CN194" s="166"/>
      <c r="CO194" s="166"/>
      <c r="CP194" s="166"/>
      <c r="CQ194" s="166"/>
      <c r="CR194" s="166"/>
      <c r="CS194" s="166"/>
      <c r="CT194" s="166"/>
      <c r="CU194" s="166"/>
      <c r="CV194" s="166"/>
      <c r="CW194" s="166"/>
      <c r="CX194" s="166"/>
      <c r="CY194" s="166"/>
      <c r="CZ194" s="166"/>
      <c r="DA194" s="166"/>
      <c r="DB194" s="166"/>
      <c r="DC194" s="166"/>
      <c r="DD194" s="166"/>
      <c r="DE194" s="166"/>
      <c r="DF194" s="166"/>
      <c r="DG194" s="212"/>
      <c r="DH194" s="166"/>
      <c r="DI194" s="166"/>
      <c r="DJ194" s="166"/>
      <c r="DK194" s="166"/>
      <c r="DL194" s="166"/>
      <c r="DM194" s="166"/>
      <c r="DN194" s="166"/>
      <c r="DO194" s="166"/>
      <c r="DP194" s="166"/>
      <c r="DQ194" s="166"/>
      <c r="DR194" s="166"/>
      <c r="DS194" s="166"/>
      <c r="DT194" s="166"/>
      <c r="DU194" s="166"/>
      <c r="DV194" s="166"/>
      <c r="DW194" s="166"/>
      <c r="DX194" s="166"/>
      <c r="DY194" s="166"/>
      <c r="DZ194" s="166"/>
      <c r="EA194" s="166"/>
      <c r="EB194" s="166"/>
      <c r="EC194" s="166"/>
      <c r="ED194" s="166"/>
      <c r="EE194" s="166"/>
      <c r="EF194" s="166"/>
      <c r="EG194" s="166"/>
      <c r="EH194" s="160">
        <f>IF([Chambre]*1='CHAMBRES FILLES 2e ETAGE'!$A$5,1,0)</f>
        <v>0</v>
      </c>
      <c r="EI194" s="161">
        <f>IF([Occurrence2]=0,0,SUM($EH$2:EH194))</f>
        <v>0</v>
      </c>
      <c r="EJ194" s="160">
        <f>IF([Chambre]*1='CHAMBRES FILLES 2e ETAGE'!$A$11,1,0)</f>
        <v>0</v>
      </c>
      <c r="EK194" s="160">
        <f>IF([Occurrence3]=0,0,SUM($EJ$2:EJ194))</f>
        <v>0</v>
      </c>
      <c r="EL194" s="160">
        <f>IF([Chambre]*1='CHAMBRES FILLES 2e ETAGE'!$A$17,1,0)</f>
        <v>0</v>
      </c>
      <c r="EM194" s="160">
        <f>IF([Occurrence4]=0,0,SUM($EL$2:EL194))</f>
        <v>0</v>
      </c>
      <c r="EN194" s="160">
        <f>IF([Chambre]*1='CHAMBRES FILLES 2e ETAGE'!$A$23,1,0)</f>
        <v>0</v>
      </c>
      <c r="EO194" s="160">
        <f>IF([Occurrence5]=0,0,SUM($EN$2:EN194))</f>
        <v>0</v>
      </c>
      <c r="EP194" s="160">
        <f>IF([Chambre]*1='CHAMBRES FILLES 2e ETAGE'!$A$29,1,0)</f>
        <v>0</v>
      </c>
      <c r="EQ194" s="160">
        <f>IF([Occurrence6]=0,0,SUM($EP$2:EP194))</f>
        <v>0</v>
      </c>
      <c r="ER194" s="160">
        <f>IF([Chambre]*1='CHAMBRES FILLES 2e ETAGE'!$A$35,1,0)</f>
        <v>1</v>
      </c>
      <c r="ES194" s="160">
        <f>IF([Occurrence7]=0,0,SUM($ER$2:ER194))</f>
        <v>3</v>
      </c>
      <c r="ET194" s="160">
        <f>IF([Chambre]*1='CHAMBRES FILLES 2e ETAGE'!$A$41,1,0)</f>
        <v>0</v>
      </c>
      <c r="EU194" s="160">
        <f>IF([Occurrence8]=0,0,SUM($ET$2:ET194))</f>
        <v>0</v>
      </c>
      <c r="EV194" s="160">
        <f>IF([Chambre]*1='CHAMBRES FILLES 2e ETAGE'!$A$47,1,0)</f>
        <v>0</v>
      </c>
      <c r="EW194" s="160">
        <f>IF([Occurrence9]=0,0,SUM($EV$2:EV194))</f>
        <v>0</v>
      </c>
      <c r="EX194" s="160">
        <f>IF([Chambre]*1='CHAMBRES FILLES 2e ETAGE'!$A$53,1,0)</f>
        <v>0</v>
      </c>
      <c r="EY194" s="160">
        <f>IF([Occurrence10]=0,0,SUM($EX$2:EX194))</f>
        <v>0</v>
      </c>
      <c r="EZ194" s="160">
        <f>IF([Chambre]*1='CHAMBRES FILLES 2e ETAGE'!$A$59,1,0)</f>
        <v>0</v>
      </c>
      <c r="FA194" s="160">
        <f>IF([Occurrence11]=0,0,SUM($EZ$2:EZ194))</f>
        <v>0</v>
      </c>
      <c r="FB194" s="160">
        <f>IF([Chambre]*1='CHAMBRES FILLES 2e ETAGE'!$A$65,1,0)</f>
        <v>0</v>
      </c>
      <c r="FC194" s="160">
        <f>IF([Occurrence12]=0,0,SUM($FB$2:FB194))</f>
        <v>0</v>
      </c>
      <c r="FD194" s="160">
        <f>IF([Chambre]*1='CHAMBRES FILLES 2e ETAGE'!$A$71,1,0)</f>
        <v>0</v>
      </c>
      <c r="FE194" s="160">
        <f>IF([Occurrence13]=0,0,SUM($FD$2:FD194))</f>
        <v>0</v>
      </c>
      <c r="FF194" s="160">
        <f>IF([Chambre]*1='CHAMBRES FILLES 2e ETAGE'!$A$77,1,0)</f>
        <v>0</v>
      </c>
      <c r="FG194" s="160">
        <f>IF([Occurrence14]=0,0,SUM($FF$2:FF194))</f>
        <v>0</v>
      </c>
      <c r="FH194" s="160">
        <f>IF([Chambre]*1='CHAMBRES FILLES 2e ETAGE'!$A$83,1,0)</f>
        <v>0</v>
      </c>
      <c r="FI194" s="160">
        <f>IF([Occurrence15]=0,0,SUM($FH$2:FH194))</f>
        <v>0</v>
      </c>
      <c r="FJ194" s="160">
        <f>IF([Chambre]*1='CHAMBRES FILLES 2e ETAGE'!$A$89,1,0)</f>
        <v>0</v>
      </c>
      <c r="FK194" s="160">
        <f>IF([Occurrence16]=0,0,SUM($FJ$2:FJ194))</f>
        <v>0</v>
      </c>
      <c r="FL194" s="160">
        <f>IF([Chambre]*1='CHAMBRES FILLES 2e ETAGE'!$A$95,1,0)</f>
        <v>0</v>
      </c>
      <c r="FM194" s="160">
        <f>IF([Occurrence17]=0,0,SUM($FL$2:FL194))</f>
        <v>0</v>
      </c>
      <c r="FN194" s="160">
        <f>IF([Chambre2]*1='CHAMBRES FILLES 1e ETAGE'!$A$5,1,0)</f>
        <v>0</v>
      </c>
      <c r="FO194" s="160">
        <f>IF([Occurrence18]=0,0,SUM($FN$2:FN194))</f>
        <v>0</v>
      </c>
      <c r="FP194" s="160">
        <f>IF([Chambre2]*1='CHAMBRES FILLES 1e ETAGE'!$A$11,1,0)</f>
        <v>0</v>
      </c>
      <c r="FQ194" s="160">
        <f>IF([Occurrence19]=0,0,SUM($FP$2:FP194))</f>
        <v>0</v>
      </c>
      <c r="FR194" s="160">
        <f>IF([Chambre2]*1='CHAMBRES FILLES 1e ETAGE'!$A$17,1,0)</f>
        <v>0</v>
      </c>
      <c r="FS194" s="160">
        <f>IF([Occurrence20]=0,0,SUM($FR$2:FR194))</f>
        <v>0</v>
      </c>
      <c r="FT194" s="160">
        <f>IF([Chambre2]*1='CHAMBRES FILLES 1e ETAGE'!$A$23,1,0)</f>
        <v>0</v>
      </c>
      <c r="FU194" s="160">
        <f>IF([Occurrence21]=0,0,SUM($FT$2:FT194))</f>
        <v>0</v>
      </c>
      <c r="FV194" s="160">
        <f>IF([Chambre2]*1='CHAMBRES FILLES 1e ETAGE'!$A$29,1,0)</f>
        <v>0</v>
      </c>
      <c r="FW194" s="160">
        <f>IF([Occurrence22]=0,0,SUM($FV$2:FV194))</f>
        <v>0</v>
      </c>
      <c r="FX194" s="160">
        <f>IF([Chambre2]*1='CHAMBRES FILLES 1e ETAGE'!$A$35,1,0)</f>
        <v>0</v>
      </c>
      <c r="FY194" s="160">
        <f>IF([Occurrence23]=0,0,SUM($FX$2:FX194))</f>
        <v>0</v>
      </c>
      <c r="FZ194" s="160">
        <f>IF([Chambre2]*1='CHAMBRES FILLES 1e ETAGE'!$A$41,1,0)</f>
        <v>0</v>
      </c>
      <c r="GA194" s="160">
        <f>IF([Occurrence24]=0,0,SUM($FZ$2:FZ194))</f>
        <v>0</v>
      </c>
      <c r="GB194" s="160">
        <f>IF([Chambre2]*1='CHAMBRES FILLES 1e ETAGE'!$A$47,1,0)</f>
        <v>0</v>
      </c>
      <c r="GC194" s="160">
        <f>IF([Occurrence25]=0,0,SUM($GB$2:GB194))</f>
        <v>0</v>
      </c>
      <c r="GD194" s="160">
        <f>IF([Chambre2]*1='CHAMBRES FILLES 1e ETAGE'!$A$53,1,0)</f>
        <v>0</v>
      </c>
      <c r="GE194" s="160">
        <f>IF([Occurrence26]=0,0,SUM($GD$2:GD194))</f>
        <v>0</v>
      </c>
      <c r="GF194" s="160">
        <f>IF([chambre4]*1='CHAMBRES GARCONS 1e ETAGE'!$A$5,1,0)</f>
        <v>0</v>
      </c>
      <c r="GG194" s="160">
        <f>IF([Occurrence27]=0,0,SUM($GF$2:GF194))</f>
        <v>0</v>
      </c>
      <c r="GH194" s="160">
        <f>IF([chambre4]*1='CHAMBRES GARCONS 1e ETAGE'!$A$11,1,0)</f>
        <v>0</v>
      </c>
      <c r="GI194" s="160">
        <f>IF([Occurrence28]=0,0,SUM($GH$2:GH194))</f>
        <v>0</v>
      </c>
      <c r="GJ194" s="160">
        <f>IF([chambre4]*1='CHAMBRES GARCONS 1e ETAGE'!$A$17,1,0)</f>
        <v>0</v>
      </c>
      <c r="GK194" s="160">
        <f>IF([Occurrence29]=0,0,SUM($GJ$2:GJ194))</f>
        <v>0</v>
      </c>
      <c r="GL194" s="160">
        <f>IF([chambre4]*1='CHAMBRES GARCONS 1e ETAGE'!$A$23,1,0)</f>
        <v>0</v>
      </c>
      <c r="GM194" s="160">
        <f>IF([Occurrence30]=0,0,SUM($GL$2:GL194))</f>
        <v>0</v>
      </c>
      <c r="GN194" s="160">
        <f>IF([chambre4]*1='CHAMBRES GARCONS 1e ETAGE'!$A$29,1,0)</f>
        <v>0</v>
      </c>
      <c r="GO194" s="160">
        <f>IF([Occurrence31]=0,0,SUM($GN$2:GN194))</f>
        <v>0</v>
      </c>
      <c r="GP194" s="160">
        <f>IF([chambre4]*1='CHAMBRES GARCONS 1e ETAGE'!$A$35,1,0)</f>
        <v>0</v>
      </c>
      <c r="GQ194" s="160">
        <f>IF([Occurrence32]=0,0,SUM($GP$2:GP194))</f>
        <v>0</v>
      </c>
      <c r="GR194" s="160">
        <f>IF([chambre3]*1='CHAMBRES GARCONS RDC'!$A$5,1,0)</f>
        <v>0</v>
      </c>
      <c r="GS194" s="160">
        <f>IF([Occurrence33]=0,0,SUM($GR$2:GR194))</f>
        <v>0</v>
      </c>
      <c r="GT194" s="160">
        <f>IF([chambre3]*1='CHAMBRES GARCONS RDC'!$A$11,1,0)</f>
        <v>0</v>
      </c>
      <c r="GU194" s="160">
        <f>IF([Occurrence34]=0,0,SUM($GT$2:GT194))</f>
        <v>0</v>
      </c>
      <c r="GV194" s="160">
        <f>IF([chambre3]*1='CHAMBRES GARCONS RDC'!$A$17,1,0)</f>
        <v>0</v>
      </c>
      <c r="GW194" s="160">
        <f>IF([Occurrence35]=0,0,SUM($GV$2:GV194))</f>
        <v>0</v>
      </c>
      <c r="GX194" s="160">
        <f>IF([chambre3]*1='CHAMBRES GARCONS RDC'!$A$23,1,0)</f>
        <v>0</v>
      </c>
      <c r="GY194" s="160">
        <f>IF([Occurrence36]=0,0,SUM($GX$2:GX194))</f>
        <v>0</v>
      </c>
      <c r="GZ194" s="160">
        <f>IF([chambre3]*1='CHAMBRES GARCONS RDC'!$A$29,1,0)</f>
        <v>0</v>
      </c>
      <c r="HA194" s="160">
        <f>IF([Occurrence37]=0,0,SUM($GZ$2:GZ194))</f>
        <v>0</v>
      </c>
      <c r="HB194" s="160">
        <f>IF([chambre3]*1='CHAMBRES GARCONS RDC'!$A$35,1,0)</f>
        <v>0</v>
      </c>
      <c r="HC194" s="160">
        <f>IF([Occurrence38]=0,0,SUM($HB$2:HB194))</f>
        <v>0</v>
      </c>
      <c r="HD194" s="160">
        <f>IF([chambre3]*1='CHAMBRES GARCONS RDC'!$A$41,1,0)</f>
        <v>0</v>
      </c>
      <c r="HE194" s="160">
        <f>IF([Occurrence39]=0,0,SUM($HD$2:HD194))</f>
        <v>0</v>
      </c>
      <c r="HF194" s="160">
        <f>IF([chambre3]*1='CHAMBRES GARCONS RDC'!$A$47,1,0)</f>
        <v>0</v>
      </c>
      <c r="HG194" s="160">
        <f>IF([Occurrence40]=0,0,SUM($HF$2:HF194))</f>
        <v>0</v>
      </c>
      <c r="HH194" s="160">
        <f>IF([chambre3]*1='CHAMBRES GARCONS RDC'!$A$53,1,0)</f>
        <v>0</v>
      </c>
      <c r="HI194" s="160">
        <f>IF([Occurrence41]=0,0,SUM($HH$2:HH194))</f>
        <v>0</v>
      </c>
      <c r="HJ194" s="160">
        <f>IF([chambre3]*1='CHAMBRES GARCONS RDC'!$A$59,1,0)</f>
        <v>0</v>
      </c>
      <c r="HK194" s="160">
        <f>IF([Occurrence42]=0,0,SUM($HJ$2:HJ194))</f>
        <v>0</v>
      </c>
      <c r="HL194" s="160">
        <f>IF([chambre3]*1='CHAMBRES GARCONS RDC'!$A$65,1,0)</f>
        <v>0</v>
      </c>
      <c r="HM194" s="160">
        <f>IF([Occurrence43]=0,0,SUM($HL$2:HL194))</f>
        <v>0</v>
      </c>
      <c r="HN194" s="160">
        <f>IF([chambre3]*1='CHAMBRES GARCONS RDC'!$A$71,1,0)</f>
        <v>0</v>
      </c>
      <c r="HO194" s="160">
        <f>IF([Occurrence44]=0,0,SUM($HN$2:HN194))</f>
        <v>0</v>
      </c>
      <c r="HP194" s="160">
        <f>IF([chambre3]*1='CHAMBRES GARCONS RDC'!$A$77,1,0)</f>
        <v>0</v>
      </c>
      <c r="HQ194" s="160">
        <f>IF([Occurrence45]=0,0,SUM($HP$2:HP194))</f>
        <v>0</v>
      </c>
      <c r="HR194" s="160">
        <f>IF([chambre3]*1='CHAMBRES GARCONS RDC'!$A$83,1,0)</f>
        <v>0</v>
      </c>
      <c r="HS194" s="160">
        <f>IF([Occurrence46]=0,0,SUM($HR$2:HR194))</f>
        <v>0</v>
      </c>
      <c r="HT194" s="160">
        <f>IF([chambre3]*1='CHAMBRES GARCONS RDC'!$A$89,1,0)</f>
        <v>0</v>
      </c>
      <c r="HU194" s="160">
        <f>IF([Occurrence47]=0,0,SUM($HT$2:HT194))</f>
        <v>0</v>
      </c>
      <c r="HV194" s="160">
        <f>IF([chambre3]*1='CHAMBRES GARCONS RDC'!$A$95,1,0)</f>
        <v>0</v>
      </c>
      <c r="HW194" s="160">
        <f>IF([Occurrence48]=0,0,SUM($HV$2:HV194))</f>
        <v>0</v>
      </c>
      <c r="HX194" s="160"/>
      <c r="HY194" s="160"/>
      <c r="HZ194" s="160">
        <f>IF([Classe]='Liste élève par classes'!$B$5,1,0)</f>
        <v>0</v>
      </c>
      <c r="IA194" s="160">
        <f>IF([Occurrence]=0,0,SUM($HZ$2:HZ194))</f>
        <v>0</v>
      </c>
      <c r="IB19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166</v>
      </c>
      <c r="IC194" s="208"/>
    </row>
    <row r="195" spans="1:237">
      <c r="A195" t="s">
        <v>570</v>
      </c>
      <c r="B195" t="s">
        <v>265</v>
      </c>
      <c r="C195" s="158">
        <v>36465</v>
      </c>
      <c r="D195" s="62">
        <f t="shared" ca="1" si="2"/>
        <v>18</v>
      </c>
      <c r="E195" t="s">
        <v>13</v>
      </c>
      <c r="F195" s="159" t="s">
        <v>50</v>
      </c>
      <c r="G195" t="s">
        <v>40</v>
      </c>
      <c r="H195" s="160"/>
      <c r="I195" s="161"/>
      <c r="J195" s="161"/>
      <c r="K195" s="161"/>
      <c r="L195" s="160"/>
      <c r="M195">
        <v>126</v>
      </c>
      <c r="N195" s="161"/>
      <c r="O195" s="161"/>
      <c r="P195" s="161"/>
      <c r="Q195" s="161"/>
      <c r="R195" s="161"/>
      <c r="S195" s="190"/>
      <c r="T195" s="161"/>
      <c r="U195" s="160"/>
      <c r="V195" s="161"/>
      <c r="W195" s="161"/>
      <c r="X195" s="161"/>
      <c r="Y195" s="161"/>
      <c r="Z195" s="161"/>
      <c r="AA195" s="161"/>
      <c r="AB195" s="161"/>
      <c r="AC195" s="161"/>
      <c r="AD195" s="161"/>
      <c r="AE195" s="161"/>
      <c r="AF195" s="163"/>
      <c r="AG195" s="163"/>
      <c r="AH195" s="163"/>
      <c r="AI195" s="163"/>
      <c r="AJ195" s="163"/>
      <c r="AK195" s="163"/>
      <c r="AL195" s="163"/>
      <c r="AM195" s="163"/>
      <c r="AN195" s="163"/>
      <c r="AO195" s="163"/>
      <c r="AP195" s="163"/>
      <c r="AQ195" s="163"/>
      <c r="AR195" s="163"/>
      <c r="AS195" s="163"/>
      <c r="AT195" s="163"/>
      <c r="AU195" s="163"/>
      <c r="AV195" s="163"/>
      <c r="AW195" s="163"/>
      <c r="AX195" s="163"/>
      <c r="AY195" s="163"/>
      <c r="AZ195" s="163"/>
      <c r="BA195" s="163"/>
      <c r="BB195" s="163"/>
      <c r="BC195" s="163" t="b">
        <v>0</v>
      </c>
      <c r="BD195" s="163" t="b">
        <v>1</v>
      </c>
      <c r="BE195" s="163" t="b">
        <v>1</v>
      </c>
      <c r="BF195" s="163" t="b">
        <v>0</v>
      </c>
      <c r="BG195" s="163" t="b">
        <v>1</v>
      </c>
      <c r="BH195" s="163" t="b">
        <v>0</v>
      </c>
      <c r="BI195" s="163"/>
      <c r="BJ195" s="163"/>
      <c r="BK195" s="163"/>
      <c r="BL195" s="163"/>
      <c r="BM195" s="163"/>
      <c r="BN195" s="163"/>
      <c r="BO195" s="163"/>
      <c r="BP195" s="163"/>
      <c r="BQ195" s="163" t="b">
        <v>0</v>
      </c>
      <c r="BR195" s="163"/>
      <c r="BS195" s="163"/>
      <c r="BT195" s="163"/>
      <c r="BU195" s="163"/>
      <c r="BV195" s="163"/>
      <c r="BW195" s="163"/>
      <c r="BX195" s="163"/>
      <c r="BY195" s="163"/>
      <c r="BZ195" s="163"/>
      <c r="CA195" s="163"/>
      <c r="CB195" s="163"/>
      <c r="CC195" s="163"/>
      <c r="CD195" s="163"/>
      <c r="CE195" s="163"/>
      <c r="CF195" s="163"/>
      <c r="CG195" s="163"/>
      <c r="CH195" s="163"/>
      <c r="CI195" s="163"/>
      <c r="CJ195" s="163"/>
      <c r="CK195" s="163"/>
      <c r="CL195" s="163"/>
      <c r="CM195" s="163"/>
      <c r="CN195" s="163"/>
      <c r="CO195" s="163"/>
      <c r="CP195" s="163"/>
      <c r="CQ195" s="163"/>
      <c r="CR195" s="163"/>
      <c r="CS195" s="163"/>
      <c r="CT195" s="163"/>
      <c r="CU195" s="163"/>
      <c r="CV195" s="163"/>
      <c r="CW195" s="163"/>
      <c r="CX195" s="163"/>
      <c r="CY195" s="163"/>
      <c r="CZ195" s="163"/>
      <c r="DA195" s="163">
        <v>113</v>
      </c>
      <c r="DB195" s="163"/>
      <c r="DC195" s="163"/>
      <c r="DD195" s="163"/>
      <c r="DE195" s="163"/>
      <c r="DF195" s="163"/>
      <c r="DG195" s="208"/>
      <c r="DH195" s="163"/>
      <c r="DI195" s="163"/>
      <c r="DJ195" s="163"/>
      <c r="DK195" s="163"/>
      <c r="DL195" s="163"/>
      <c r="DM195" s="163"/>
      <c r="DN195" s="163"/>
      <c r="DO195" s="163"/>
      <c r="DP195" s="163"/>
      <c r="DQ195" s="163"/>
      <c r="DR195" s="163"/>
      <c r="DS195" s="163"/>
      <c r="DT195" s="163"/>
      <c r="DU195" s="163"/>
      <c r="DV195" s="163"/>
      <c r="DW195" s="163"/>
      <c r="DX195" s="163"/>
      <c r="DY195" s="163"/>
      <c r="DZ195" s="163"/>
      <c r="EA195" s="163"/>
      <c r="EB195" s="163"/>
      <c r="EC195" s="163"/>
      <c r="ED195" s="163"/>
      <c r="EE195" s="163"/>
      <c r="EF195" s="163"/>
      <c r="EG195" s="163"/>
      <c r="EH195" s="160">
        <f>IF([Chambre]*1='CHAMBRES FILLES 2e ETAGE'!$A$5,1,0)</f>
        <v>0</v>
      </c>
      <c r="EI195" s="161">
        <f>IF([Occurrence2]=0,0,SUM($EH$2:EH195))</f>
        <v>0</v>
      </c>
      <c r="EJ195" s="160">
        <f>IF([Chambre]*1='CHAMBRES FILLES 2e ETAGE'!$A$11,1,0)</f>
        <v>0</v>
      </c>
      <c r="EK195" s="160">
        <f>IF([Occurrence3]=0,0,SUM($EJ$2:EJ195))</f>
        <v>0</v>
      </c>
      <c r="EL195" s="160">
        <f>IF([Chambre]*1='CHAMBRES FILLES 2e ETAGE'!$A$17,1,0)</f>
        <v>0</v>
      </c>
      <c r="EM195" s="160">
        <f>IF([Occurrence4]=0,0,SUM($EL$2:EL195))</f>
        <v>0</v>
      </c>
      <c r="EN195" s="160">
        <f>IF([Chambre]*1='CHAMBRES FILLES 2e ETAGE'!$A$23,1,0)</f>
        <v>0</v>
      </c>
      <c r="EO195" s="160">
        <f>IF([Occurrence5]=0,0,SUM($EN$2:EN195))</f>
        <v>0</v>
      </c>
      <c r="EP195" s="160">
        <f>IF([Chambre]*1='CHAMBRES FILLES 2e ETAGE'!$A$29,1,0)</f>
        <v>0</v>
      </c>
      <c r="EQ195" s="160">
        <f>IF([Occurrence6]=0,0,SUM($EP$2:EP195))</f>
        <v>0</v>
      </c>
      <c r="ER195" s="160">
        <f>IF([Chambre]*1='CHAMBRES FILLES 2e ETAGE'!$A$35,1,0)</f>
        <v>0</v>
      </c>
      <c r="ES195" s="160">
        <f>IF([Occurrence7]=0,0,SUM($ER$2:ER195))</f>
        <v>0</v>
      </c>
      <c r="ET195" s="160">
        <f>IF([Chambre]*1='CHAMBRES FILLES 2e ETAGE'!$A$41,1,0)</f>
        <v>0</v>
      </c>
      <c r="EU195" s="160">
        <f>IF([Occurrence8]=0,0,SUM($ET$2:ET195))</f>
        <v>0</v>
      </c>
      <c r="EV195" s="160">
        <f>IF([Chambre]*1='CHAMBRES FILLES 2e ETAGE'!$A$47,1,0)</f>
        <v>0</v>
      </c>
      <c r="EW195" s="160">
        <f>IF([Occurrence9]=0,0,SUM($EV$2:EV195))</f>
        <v>0</v>
      </c>
      <c r="EX195" s="160">
        <f>IF([Chambre]*1='CHAMBRES FILLES 2e ETAGE'!$A$53,1,0)</f>
        <v>0</v>
      </c>
      <c r="EY195" s="160">
        <f>IF([Occurrence10]=0,0,SUM($EX$2:EX195))</f>
        <v>0</v>
      </c>
      <c r="EZ195" s="160">
        <f>IF([Chambre]*1='CHAMBRES FILLES 2e ETAGE'!$A$59,1,0)</f>
        <v>0</v>
      </c>
      <c r="FA195" s="160">
        <f>IF([Occurrence11]=0,0,SUM($EZ$2:EZ195))</f>
        <v>0</v>
      </c>
      <c r="FB195" s="160">
        <f>IF([Chambre]*1='CHAMBRES FILLES 2e ETAGE'!$A$65,1,0)</f>
        <v>0</v>
      </c>
      <c r="FC195" s="160">
        <f>IF([Occurrence12]=0,0,SUM($FB$2:FB195))</f>
        <v>0</v>
      </c>
      <c r="FD195" s="160">
        <f>IF([Chambre]*1='CHAMBRES FILLES 2e ETAGE'!$A$71,1,0)</f>
        <v>0</v>
      </c>
      <c r="FE195" s="160">
        <f>IF([Occurrence13]=0,0,SUM($FD$2:FD195))</f>
        <v>0</v>
      </c>
      <c r="FF195" s="160">
        <f>IF([Chambre]*1='CHAMBRES FILLES 2e ETAGE'!$A$77,1,0)</f>
        <v>0</v>
      </c>
      <c r="FG195" s="160">
        <f>IF([Occurrence14]=0,0,SUM($FF$2:FF195))</f>
        <v>0</v>
      </c>
      <c r="FH195" s="160">
        <f>IF([Chambre]*1='CHAMBRES FILLES 2e ETAGE'!$A$83,1,0)</f>
        <v>0</v>
      </c>
      <c r="FI195" s="160">
        <f>IF([Occurrence15]=0,0,SUM($FH$2:FH195))</f>
        <v>0</v>
      </c>
      <c r="FJ195" s="160">
        <f>IF([Chambre]*1='CHAMBRES FILLES 2e ETAGE'!$A$89,1,0)</f>
        <v>0</v>
      </c>
      <c r="FK195" s="160">
        <f>IF([Occurrence16]=0,0,SUM($FJ$2:FJ195))</f>
        <v>0</v>
      </c>
      <c r="FL195" s="160">
        <f>IF([Chambre]*1='CHAMBRES FILLES 2e ETAGE'!$A$95,1,0)</f>
        <v>0</v>
      </c>
      <c r="FM195" s="160">
        <f>IF([Occurrence17]=0,0,SUM($FL$2:FL195))</f>
        <v>0</v>
      </c>
      <c r="FN195" s="160">
        <f>IF([Chambre2]*1='CHAMBRES FILLES 1e ETAGE'!$A$5,1,0)</f>
        <v>0</v>
      </c>
      <c r="FO195" s="160">
        <f>IF([Occurrence18]=0,0,SUM($FN$2:FN195))</f>
        <v>0</v>
      </c>
      <c r="FP195" s="160">
        <f>IF([Chambre2]*1='CHAMBRES FILLES 1e ETAGE'!$A$11,1,0)</f>
        <v>0</v>
      </c>
      <c r="FQ195" s="160">
        <f>IF([Occurrence19]=0,0,SUM($FP$2:FP195))</f>
        <v>0</v>
      </c>
      <c r="FR195" s="160">
        <f>IF([Chambre2]*1='CHAMBRES FILLES 1e ETAGE'!$A$17,1,0)</f>
        <v>0</v>
      </c>
      <c r="FS195" s="160">
        <f>IF([Occurrence20]=0,0,SUM($FR$2:FR195))</f>
        <v>0</v>
      </c>
      <c r="FT195" s="160">
        <f>IF([Chambre2]*1='CHAMBRES FILLES 1e ETAGE'!$A$23,1,0)</f>
        <v>0</v>
      </c>
      <c r="FU195" s="160">
        <f>IF([Occurrence21]=0,0,SUM($FT$2:FT195))</f>
        <v>0</v>
      </c>
      <c r="FV195" s="160">
        <f>IF([Chambre2]*1='CHAMBRES FILLES 1e ETAGE'!$A$29,1,0)</f>
        <v>0</v>
      </c>
      <c r="FW195" s="160">
        <f>IF([Occurrence22]=0,0,SUM($FV$2:FV195))</f>
        <v>0</v>
      </c>
      <c r="FX195" s="160">
        <f>IF([Chambre2]*1='CHAMBRES FILLES 1e ETAGE'!$A$35,1,0)</f>
        <v>0</v>
      </c>
      <c r="FY195" s="160">
        <f>IF([Occurrence23]=0,0,SUM($FX$2:FX195))</f>
        <v>0</v>
      </c>
      <c r="FZ195" s="160">
        <f>IF([Chambre2]*1='CHAMBRES FILLES 1e ETAGE'!$A$41,1,0)</f>
        <v>0</v>
      </c>
      <c r="GA195" s="160">
        <f>IF([Occurrence24]=0,0,SUM($FZ$2:FZ195))</f>
        <v>0</v>
      </c>
      <c r="GB195" s="160">
        <f>IF([Chambre2]*1='CHAMBRES FILLES 1e ETAGE'!$A$47,1,0)</f>
        <v>0</v>
      </c>
      <c r="GC195" s="160">
        <f>IF([Occurrence25]=0,0,SUM($GB$2:GB195))</f>
        <v>0</v>
      </c>
      <c r="GD195" s="160">
        <f>IF([Chambre2]*1='CHAMBRES FILLES 1e ETAGE'!$A$53,1,0)</f>
        <v>0</v>
      </c>
      <c r="GE195" s="160">
        <f>IF([Occurrence26]=0,0,SUM($GD$2:GD195))</f>
        <v>0</v>
      </c>
      <c r="GF195" s="160">
        <f>IF([chambre4]*1='CHAMBRES GARCONS 1e ETAGE'!$A$5,1,0)</f>
        <v>0</v>
      </c>
      <c r="GG195" s="160">
        <f>IF([Occurrence27]=0,0,SUM($GF$2:GF195))</f>
        <v>0</v>
      </c>
      <c r="GH195" s="160">
        <f>IF([chambre4]*1='CHAMBRES GARCONS 1e ETAGE'!$A$11,1,0)</f>
        <v>0</v>
      </c>
      <c r="GI195" s="160">
        <f>IF([Occurrence28]=0,0,SUM($GH$2:GH195))</f>
        <v>0</v>
      </c>
      <c r="GJ195" s="160">
        <f>IF([chambre4]*1='CHAMBRES GARCONS 1e ETAGE'!$A$17,1,0)</f>
        <v>0</v>
      </c>
      <c r="GK195" s="160">
        <f>IF([Occurrence29]=0,0,SUM($GJ$2:GJ195))</f>
        <v>0</v>
      </c>
      <c r="GL195" s="160">
        <f>IF([chambre4]*1='CHAMBRES GARCONS 1e ETAGE'!$A$23,1,0)</f>
        <v>0</v>
      </c>
      <c r="GM195" s="160">
        <f>IF([Occurrence30]=0,0,SUM($GL$2:GL195))</f>
        <v>0</v>
      </c>
      <c r="GN195" s="160">
        <f>IF([chambre4]*1='CHAMBRES GARCONS 1e ETAGE'!$A$29,1,0)</f>
        <v>0</v>
      </c>
      <c r="GO195" s="160">
        <f>IF([Occurrence31]=0,0,SUM($GN$2:GN195))</f>
        <v>0</v>
      </c>
      <c r="GP195" s="160">
        <f>IF([chambre4]*1='CHAMBRES GARCONS 1e ETAGE'!$A$35,1,0)</f>
        <v>0</v>
      </c>
      <c r="GQ195" s="160">
        <f>IF([Occurrence32]=0,0,SUM($GP$2:GP195))</f>
        <v>0</v>
      </c>
      <c r="GR195" s="160">
        <f>IF([chambre3]*1='CHAMBRES GARCONS RDC'!$A$5,1,0)</f>
        <v>0</v>
      </c>
      <c r="GS195" s="160">
        <f>IF([Occurrence33]=0,0,SUM($GR$2:GR195))</f>
        <v>0</v>
      </c>
      <c r="GT195" s="160">
        <f>IF([chambre3]*1='CHAMBRES GARCONS RDC'!$A$11,1,0)</f>
        <v>0</v>
      </c>
      <c r="GU195" s="160">
        <f>IF([Occurrence34]=0,0,SUM($GT$2:GT195))</f>
        <v>0</v>
      </c>
      <c r="GV195" s="160">
        <f>IF([chambre3]*1='CHAMBRES GARCONS RDC'!$A$17,1,0)</f>
        <v>0</v>
      </c>
      <c r="GW195" s="160">
        <f>IF([Occurrence35]=0,0,SUM($GV$2:GV195))</f>
        <v>0</v>
      </c>
      <c r="GX195" s="160">
        <f>IF([chambre3]*1='CHAMBRES GARCONS RDC'!$A$23,1,0)</f>
        <v>0</v>
      </c>
      <c r="GY195" s="160">
        <f>IF([Occurrence36]=0,0,SUM($GX$2:GX195))</f>
        <v>0</v>
      </c>
      <c r="GZ195" s="160">
        <f>IF([chambre3]*1='CHAMBRES GARCONS RDC'!$A$29,1,0)</f>
        <v>1</v>
      </c>
      <c r="HA195" s="160">
        <f>IF([Occurrence37]=0,0,SUM($GZ$2:GZ195))</f>
        <v>3</v>
      </c>
      <c r="HB195" s="160">
        <f>IF([chambre3]*1='CHAMBRES GARCONS RDC'!$A$35,1,0)</f>
        <v>0</v>
      </c>
      <c r="HC195" s="160">
        <f>IF([Occurrence38]=0,0,SUM($HB$2:HB195))</f>
        <v>0</v>
      </c>
      <c r="HD195" s="160">
        <f>IF([chambre3]*1='CHAMBRES GARCONS RDC'!$A$41,1,0)</f>
        <v>0</v>
      </c>
      <c r="HE195" s="160">
        <f>IF([Occurrence39]=0,0,SUM($HD$2:HD195))</f>
        <v>0</v>
      </c>
      <c r="HF195" s="160">
        <f>IF([chambre3]*1='CHAMBRES GARCONS RDC'!$A$47,1,0)</f>
        <v>0</v>
      </c>
      <c r="HG195" s="160">
        <f>IF([Occurrence40]=0,0,SUM($HF$2:HF195))</f>
        <v>0</v>
      </c>
      <c r="HH195" s="160">
        <f>IF([chambre3]*1='CHAMBRES GARCONS RDC'!$A$53,1,0)</f>
        <v>0</v>
      </c>
      <c r="HI195" s="160">
        <f>IF([Occurrence41]=0,0,SUM($HH$2:HH195))</f>
        <v>0</v>
      </c>
      <c r="HJ195" s="160">
        <f>IF([chambre3]*1='CHAMBRES GARCONS RDC'!$A$59,1,0)</f>
        <v>0</v>
      </c>
      <c r="HK195" s="160">
        <f>IF([Occurrence42]=0,0,SUM($HJ$2:HJ195))</f>
        <v>0</v>
      </c>
      <c r="HL195" s="160">
        <f>IF([chambre3]*1='CHAMBRES GARCONS RDC'!$A$65,1,0)</f>
        <v>0</v>
      </c>
      <c r="HM195" s="160">
        <f>IF([Occurrence43]=0,0,SUM($HL$2:HL195))</f>
        <v>0</v>
      </c>
      <c r="HN195" s="160">
        <f>IF([chambre3]*1='CHAMBRES GARCONS RDC'!$A$71,1,0)</f>
        <v>0</v>
      </c>
      <c r="HO195" s="160">
        <f>IF([Occurrence44]=0,0,SUM($HN$2:HN195))</f>
        <v>0</v>
      </c>
      <c r="HP195" s="160">
        <f>IF([chambre3]*1='CHAMBRES GARCONS RDC'!$A$77,1,0)</f>
        <v>0</v>
      </c>
      <c r="HQ195" s="160">
        <f>IF([Occurrence45]=0,0,SUM($HP$2:HP195))</f>
        <v>0</v>
      </c>
      <c r="HR195" s="160">
        <f>IF([chambre3]*1='CHAMBRES GARCONS RDC'!$A$83,1,0)</f>
        <v>0</v>
      </c>
      <c r="HS195" s="160">
        <f>IF([Occurrence46]=0,0,SUM($HR$2:HR195))</f>
        <v>0</v>
      </c>
      <c r="HT195" s="160">
        <f>IF([chambre3]*1='CHAMBRES GARCONS RDC'!$A$89,1,0)</f>
        <v>0</v>
      </c>
      <c r="HU195" s="160">
        <f>IF([Occurrence47]=0,0,SUM($HT$2:HT195))</f>
        <v>0</v>
      </c>
      <c r="HV195" s="160">
        <f>IF([chambre3]*1='CHAMBRES GARCONS RDC'!$A$95,1,0)</f>
        <v>0</v>
      </c>
      <c r="HW195" s="160">
        <f>IF([Occurrence48]=0,0,SUM($HV$2:HV195))</f>
        <v>0</v>
      </c>
      <c r="HX195" s="160"/>
      <c r="HY195" s="160"/>
      <c r="HZ195" s="160">
        <f>IF([Classe]='Liste élève par classes'!$B$5,1,0)</f>
        <v>0</v>
      </c>
      <c r="IA195" s="160">
        <f>IF([Occurrence]=0,0,SUM($HZ$2:HZ195))</f>
        <v>0</v>
      </c>
      <c r="IB19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113</v>
      </c>
      <c r="IC195" s="208"/>
    </row>
    <row r="196" spans="1:237">
      <c r="A196" t="s">
        <v>571</v>
      </c>
      <c r="B196" t="s">
        <v>572</v>
      </c>
      <c r="C196" s="158">
        <v>36823</v>
      </c>
      <c r="D196" s="62">
        <f t="shared" ref="D196:D259" ca="1" si="3">IF(MONTH(TODAY())&gt;MONTH(C196),YEAR(TODAY())-YEAR(C196),IF(MONTH(TODAY())&lt;MONTH(C196),YEAR(TODAY())-YEAR(C196)-1,IF(DAY(TODAY())&lt;DAY(C196),YEAR(TODAY())-YEAR(C196)-1,YEAR(TODAY())-YEAR(C196))))</f>
        <v>17</v>
      </c>
      <c r="E196" t="s">
        <v>8</v>
      </c>
      <c r="F196" s="159" t="s">
        <v>50</v>
      </c>
      <c r="G196" t="s">
        <v>45</v>
      </c>
      <c r="H196" s="160"/>
      <c r="I196" s="62"/>
      <c r="J196" s="62" t="s">
        <v>244</v>
      </c>
      <c r="K196" s="62"/>
      <c r="L196" s="61"/>
      <c r="M196">
        <v>107</v>
      </c>
      <c r="N196" s="62" t="s">
        <v>244</v>
      </c>
      <c r="O196" s="62" t="s">
        <v>244</v>
      </c>
      <c r="P196" s="62" t="s">
        <v>244</v>
      </c>
      <c r="Q196" s="62" t="s">
        <v>244</v>
      </c>
      <c r="R196" s="62" t="s">
        <v>244</v>
      </c>
      <c r="S196" s="191"/>
      <c r="T196" s="62" t="s">
        <v>244</v>
      </c>
      <c r="U196" s="61">
        <v>148</v>
      </c>
      <c r="V196" s="62" t="s">
        <v>244</v>
      </c>
      <c r="W196" s="62" t="s">
        <v>244</v>
      </c>
      <c r="X196" s="62" t="s">
        <v>244</v>
      </c>
      <c r="Y196" s="62" t="s">
        <v>244</v>
      </c>
      <c r="Z196" s="62" t="s">
        <v>244</v>
      </c>
      <c r="AA196" s="62" t="s">
        <v>244</v>
      </c>
      <c r="AB196" s="62" t="s">
        <v>244</v>
      </c>
      <c r="AC196" s="62" t="s">
        <v>244</v>
      </c>
      <c r="AD196" s="62" t="s">
        <v>244</v>
      </c>
      <c r="AE196" s="62" t="s">
        <v>244</v>
      </c>
      <c r="AF196" s="163" t="s">
        <v>244</v>
      </c>
      <c r="AG196" s="163" t="s">
        <v>244</v>
      </c>
      <c r="AH196" s="163" t="s">
        <v>244</v>
      </c>
      <c r="AI196" s="163"/>
      <c r="AJ196" s="163"/>
      <c r="AK196" s="163"/>
      <c r="AL196" s="163"/>
      <c r="AM196" s="163"/>
      <c r="AN196" s="163"/>
      <c r="AO196" s="163"/>
      <c r="AP196" s="163"/>
      <c r="AQ196" s="163"/>
      <c r="AR196" s="163"/>
      <c r="AS196" s="163"/>
      <c r="AT196" s="163"/>
      <c r="AU196" s="163"/>
      <c r="AV196" s="163"/>
      <c r="AW196" s="163"/>
      <c r="AX196" s="163"/>
      <c r="AY196" s="163"/>
      <c r="AZ196" s="163"/>
      <c r="BA196" s="163"/>
      <c r="BB196" s="163"/>
      <c r="BC196" s="163" t="b">
        <v>0</v>
      </c>
      <c r="BD196" s="163" t="b">
        <v>1</v>
      </c>
      <c r="BE196" s="163" t="b">
        <v>1</v>
      </c>
      <c r="BF196" s="163" t="b">
        <v>0</v>
      </c>
      <c r="BG196" s="164" t="b">
        <v>0</v>
      </c>
      <c r="BH196" s="163" t="b">
        <v>1</v>
      </c>
      <c r="BI196" s="163"/>
      <c r="BJ196" s="163"/>
      <c r="BK196" s="163"/>
      <c r="BL196" s="163"/>
      <c r="BM196" s="163"/>
      <c r="BN196" s="163"/>
      <c r="BO196" s="163"/>
      <c r="BP196" s="163"/>
      <c r="BQ196" s="163" t="b">
        <v>0</v>
      </c>
      <c r="BR196" s="163"/>
      <c r="BS196" s="163"/>
      <c r="BT196" s="163"/>
      <c r="BU196" s="163"/>
      <c r="BV196" s="163"/>
      <c r="BW196" s="163"/>
      <c r="BX196" s="163"/>
      <c r="BY196" s="163"/>
      <c r="BZ196" s="163"/>
      <c r="CA196" s="163"/>
      <c r="CB196" s="163"/>
      <c r="CC196" s="163"/>
      <c r="CD196" s="163"/>
      <c r="CE196" s="163"/>
      <c r="CF196" s="163"/>
      <c r="CG196" s="163"/>
      <c r="CH196" s="163"/>
      <c r="CI196" s="163"/>
      <c r="CJ196" s="163"/>
      <c r="CK196" s="163"/>
      <c r="CL196" s="163"/>
      <c r="CM196" s="163"/>
      <c r="CN196" s="163"/>
      <c r="CO196" s="163"/>
      <c r="CP196" s="163"/>
      <c r="CQ196" s="163"/>
      <c r="CR196" s="163"/>
      <c r="CS196" s="163"/>
      <c r="CT196" s="163"/>
      <c r="CU196" s="163"/>
      <c r="CV196" s="163"/>
      <c r="CW196" s="163"/>
      <c r="CX196" s="163"/>
      <c r="CY196" s="163"/>
      <c r="CZ196" s="163"/>
      <c r="DA196" s="163"/>
      <c r="DB196" s="163"/>
      <c r="DC196" s="163"/>
      <c r="DD196" s="163"/>
      <c r="DE196" s="163"/>
      <c r="DF196" s="163"/>
      <c r="DG196" s="208"/>
      <c r="DH196" s="163"/>
      <c r="DI196" s="163"/>
      <c r="DJ196" s="163"/>
      <c r="DK196" s="163"/>
      <c r="DL196" s="163"/>
      <c r="DM196" s="163"/>
      <c r="DN196" s="163"/>
      <c r="DO196" s="163"/>
      <c r="DP196" s="163"/>
      <c r="DQ196" s="163"/>
      <c r="DR196" s="163"/>
      <c r="DS196" s="163"/>
      <c r="DT196" s="163"/>
      <c r="DU196" s="163"/>
      <c r="DV196" s="163"/>
      <c r="DW196" s="163"/>
      <c r="DX196" s="163"/>
      <c r="DY196" s="163"/>
      <c r="DZ196" s="163"/>
      <c r="EA196" s="163"/>
      <c r="EB196" s="163"/>
      <c r="EC196" s="163"/>
      <c r="ED196" s="163"/>
      <c r="EE196" s="163"/>
      <c r="EF196" s="163"/>
      <c r="EG196" s="163"/>
      <c r="EH196" s="160">
        <f>IF([Chambre]*1='CHAMBRES FILLES 2e ETAGE'!$A$5,1,0)</f>
        <v>0</v>
      </c>
      <c r="EI196" s="161">
        <f>IF([Occurrence2]=0,0,SUM($EH$2:EH196))</f>
        <v>0</v>
      </c>
      <c r="EJ196" s="160">
        <f>IF([Chambre]*1='CHAMBRES FILLES 2e ETAGE'!$A$11,1,0)</f>
        <v>0</v>
      </c>
      <c r="EK196" s="160">
        <f>IF([Occurrence3]=0,0,SUM($EJ$2:EJ196))</f>
        <v>0</v>
      </c>
      <c r="EL196" s="160">
        <f>IF([Chambre]*1='CHAMBRES FILLES 2e ETAGE'!$A$17,1,0)</f>
        <v>0</v>
      </c>
      <c r="EM196" s="160">
        <f>IF([Occurrence4]=0,0,SUM($EL$2:EL196))</f>
        <v>0</v>
      </c>
      <c r="EN196" s="160">
        <f>IF([Chambre]*1='CHAMBRES FILLES 2e ETAGE'!$A$23,1,0)</f>
        <v>0</v>
      </c>
      <c r="EO196" s="160">
        <f>IF([Occurrence5]=0,0,SUM($EN$2:EN196))</f>
        <v>0</v>
      </c>
      <c r="EP196" s="160">
        <f>IF([Chambre]*1='CHAMBRES FILLES 2e ETAGE'!$A$29,1,0)</f>
        <v>0</v>
      </c>
      <c r="EQ196" s="160">
        <f>IF([Occurrence6]=0,0,SUM($EP$2:EP196))</f>
        <v>0</v>
      </c>
      <c r="ER196" s="160">
        <f>IF([Chambre]*1='CHAMBRES FILLES 2e ETAGE'!$A$35,1,0)</f>
        <v>0</v>
      </c>
      <c r="ES196" s="160">
        <f>IF([Occurrence7]=0,0,SUM($ER$2:ER196))</f>
        <v>0</v>
      </c>
      <c r="ET196" s="160">
        <f>IF([Chambre]*1='CHAMBRES FILLES 2e ETAGE'!$A$41,1,0)</f>
        <v>0</v>
      </c>
      <c r="EU196" s="160">
        <f>IF([Occurrence8]=0,0,SUM($ET$2:ET196))</f>
        <v>0</v>
      </c>
      <c r="EV196" s="160">
        <f>IF([Chambre]*1='CHAMBRES FILLES 2e ETAGE'!$A$47,1,0)</f>
        <v>0</v>
      </c>
      <c r="EW196" s="160">
        <f>IF([Occurrence9]=0,0,SUM($EV$2:EV196))</f>
        <v>0</v>
      </c>
      <c r="EX196" s="160">
        <f>IF([Chambre]*1='CHAMBRES FILLES 2e ETAGE'!$A$53,1,0)</f>
        <v>0</v>
      </c>
      <c r="EY196" s="160">
        <f>IF([Occurrence10]=0,0,SUM($EX$2:EX196))</f>
        <v>0</v>
      </c>
      <c r="EZ196" s="160">
        <f>IF([Chambre]*1='CHAMBRES FILLES 2e ETAGE'!$A$59,1,0)</f>
        <v>0</v>
      </c>
      <c r="FA196" s="160">
        <f>IF([Occurrence11]=0,0,SUM($EZ$2:EZ196))</f>
        <v>0</v>
      </c>
      <c r="FB196" s="160">
        <f>IF([Chambre]*1='CHAMBRES FILLES 2e ETAGE'!$A$65,1,0)</f>
        <v>0</v>
      </c>
      <c r="FC196" s="160">
        <f>IF([Occurrence12]=0,0,SUM($FB$2:FB196))</f>
        <v>0</v>
      </c>
      <c r="FD196" s="160">
        <f>IF([Chambre]*1='CHAMBRES FILLES 2e ETAGE'!$A$71,1,0)</f>
        <v>0</v>
      </c>
      <c r="FE196" s="160">
        <f>IF([Occurrence13]=0,0,SUM($FD$2:FD196))</f>
        <v>0</v>
      </c>
      <c r="FF196" s="160">
        <f>IF([Chambre]*1='CHAMBRES FILLES 2e ETAGE'!$A$77,1,0)</f>
        <v>0</v>
      </c>
      <c r="FG196" s="160">
        <f>IF([Occurrence14]=0,0,SUM($FF$2:FF196))</f>
        <v>0</v>
      </c>
      <c r="FH196" s="160">
        <f>IF([Chambre]*1='CHAMBRES FILLES 2e ETAGE'!$A$83,1,0)</f>
        <v>0</v>
      </c>
      <c r="FI196" s="160">
        <f>IF([Occurrence15]=0,0,SUM($FH$2:FH196))</f>
        <v>0</v>
      </c>
      <c r="FJ196" s="160">
        <f>IF([Chambre]*1='CHAMBRES FILLES 2e ETAGE'!$A$89,1,0)</f>
        <v>0</v>
      </c>
      <c r="FK196" s="160">
        <f>IF([Occurrence16]=0,0,SUM($FJ$2:FJ196))</f>
        <v>0</v>
      </c>
      <c r="FL196" s="160">
        <f>IF([Chambre]*1='CHAMBRES FILLES 2e ETAGE'!$A$95,1,0)</f>
        <v>0</v>
      </c>
      <c r="FM196" s="160">
        <f>IF([Occurrence17]=0,0,SUM($FL$2:FL196))</f>
        <v>0</v>
      </c>
      <c r="FN196" s="160">
        <f>IF([Chambre2]*1='CHAMBRES FILLES 1e ETAGE'!$A$5,1,0)</f>
        <v>0</v>
      </c>
      <c r="FO196" s="160">
        <f>IF([Occurrence18]=0,0,SUM($FN$2:FN196))</f>
        <v>0</v>
      </c>
      <c r="FP196" s="160">
        <f>IF([Chambre2]*1='CHAMBRES FILLES 1e ETAGE'!$A$11,1,0)</f>
        <v>0</v>
      </c>
      <c r="FQ196" s="160">
        <f>IF([Occurrence19]=0,0,SUM($FP$2:FP196))</f>
        <v>0</v>
      </c>
      <c r="FR196" s="160">
        <f>IF([Chambre2]*1='CHAMBRES FILLES 1e ETAGE'!$A$17,1,0)</f>
        <v>0</v>
      </c>
      <c r="FS196" s="160">
        <f>IF([Occurrence20]=0,0,SUM($FR$2:FR196))</f>
        <v>0</v>
      </c>
      <c r="FT196" s="160">
        <f>IF([Chambre2]*1='CHAMBRES FILLES 1e ETAGE'!$A$23,1,0)</f>
        <v>0</v>
      </c>
      <c r="FU196" s="160">
        <f>IF([Occurrence21]=0,0,SUM($FT$2:FT196))</f>
        <v>0</v>
      </c>
      <c r="FV196" s="160">
        <f>IF([Chambre2]*1='CHAMBRES FILLES 1e ETAGE'!$A$29,1,0)</f>
        <v>0</v>
      </c>
      <c r="FW196" s="160">
        <f>IF([Occurrence22]=0,0,SUM($FV$2:FV196))</f>
        <v>0</v>
      </c>
      <c r="FX196" s="160">
        <f>IF([Chambre2]*1='CHAMBRES FILLES 1e ETAGE'!$A$35,1,0)</f>
        <v>0</v>
      </c>
      <c r="FY196" s="160">
        <f>IF([Occurrence23]=0,0,SUM($FX$2:FX196))</f>
        <v>0</v>
      </c>
      <c r="FZ196" s="160">
        <f>IF([Chambre2]*1='CHAMBRES FILLES 1e ETAGE'!$A$41,1,0)</f>
        <v>0</v>
      </c>
      <c r="GA196" s="160">
        <f>IF([Occurrence24]=0,0,SUM($FZ$2:FZ196))</f>
        <v>0</v>
      </c>
      <c r="GB196" s="160">
        <f>IF([Chambre2]*1='CHAMBRES FILLES 1e ETAGE'!$A$47,1,0)</f>
        <v>0</v>
      </c>
      <c r="GC196" s="160">
        <f>IF([Occurrence25]=0,0,SUM($GB$2:GB196))</f>
        <v>0</v>
      </c>
      <c r="GD196" s="160">
        <f>IF([Chambre2]*1='CHAMBRES FILLES 1e ETAGE'!$A$53,1,0)</f>
        <v>1</v>
      </c>
      <c r="GE196" s="160">
        <f>IF([Occurrence26]=0,0,SUM($GD$2:GD196))</f>
        <v>2</v>
      </c>
      <c r="GF196" s="160">
        <f>IF([chambre4]*1='CHAMBRES GARCONS 1e ETAGE'!$A$5,1,0)</f>
        <v>0</v>
      </c>
      <c r="GG196" s="160">
        <f>IF([Occurrence27]=0,0,SUM($GF$2:GF196))</f>
        <v>0</v>
      </c>
      <c r="GH196" s="160">
        <f>IF([chambre4]*1='CHAMBRES GARCONS 1e ETAGE'!$A$11,1,0)</f>
        <v>0</v>
      </c>
      <c r="GI196" s="160">
        <f>IF([Occurrence28]=0,0,SUM($GH$2:GH196))</f>
        <v>0</v>
      </c>
      <c r="GJ196" s="160">
        <f>IF([chambre4]*1='CHAMBRES GARCONS 1e ETAGE'!$A$17,1,0)</f>
        <v>0</v>
      </c>
      <c r="GK196" s="160">
        <f>IF([Occurrence29]=0,0,SUM($GJ$2:GJ196))</f>
        <v>0</v>
      </c>
      <c r="GL196" s="160">
        <f>IF([chambre4]*1='CHAMBRES GARCONS 1e ETAGE'!$A$23,1,0)</f>
        <v>0</v>
      </c>
      <c r="GM196" s="160">
        <f>IF([Occurrence30]=0,0,SUM($GL$2:GL196))</f>
        <v>0</v>
      </c>
      <c r="GN196" s="160">
        <f>IF([chambre4]*1='CHAMBRES GARCONS 1e ETAGE'!$A$29,1,0)</f>
        <v>0</v>
      </c>
      <c r="GO196" s="160">
        <f>IF([Occurrence31]=0,0,SUM($GN$2:GN196))</f>
        <v>0</v>
      </c>
      <c r="GP196" s="160">
        <f>IF([chambre4]*1='CHAMBRES GARCONS 1e ETAGE'!$A$35,1,0)</f>
        <v>0</v>
      </c>
      <c r="GQ196" s="160">
        <f>IF([Occurrence32]=0,0,SUM($GP$2:GP196))</f>
        <v>0</v>
      </c>
      <c r="GR196" s="160">
        <f>IF([chambre3]*1='CHAMBRES GARCONS RDC'!$A$5,1,0)</f>
        <v>0</v>
      </c>
      <c r="GS196" s="160">
        <f>IF([Occurrence33]=0,0,SUM($GR$2:GR196))</f>
        <v>0</v>
      </c>
      <c r="GT196" s="160">
        <f>IF([chambre3]*1='CHAMBRES GARCONS RDC'!$A$11,1,0)</f>
        <v>0</v>
      </c>
      <c r="GU196" s="160">
        <f>IF([Occurrence34]=0,0,SUM($GT$2:GT196))</f>
        <v>0</v>
      </c>
      <c r="GV196" s="160">
        <f>IF([chambre3]*1='CHAMBRES GARCONS RDC'!$A$17,1,0)</f>
        <v>0</v>
      </c>
      <c r="GW196" s="160">
        <f>IF([Occurrence35]=0,0,SUM($GV$2:GV196))</f>
        <v>0</v>
      </c>
      <c r="GX196" s="160">
        <f>IF([chambre3]*1='CHAMBRES GARCONS RDC'!$A$23,1,0)</f>
        <v>0</v>
      </c>
      <c r="GY196" s="160">
        <f>IF([Occurrence36]=0,0,SUM($GX$2:GX196))</f>
        <v>0</v>
      </c>
      <c r="GZ196" s="160">
        <f>IF([chambre3]*1='CHAMBRES GARCONS RDC'!$A$29,1,0)</f>
        <v>0</v>
      </c>
      <c r="HA196" s="160">
        <f>IF([Occurrence37]=0,0,SUM($GZ$2:GZ196))</f>
        <v>0</v>
      </c>
      <c r="HB196" s="160">
        <f>IF([chambre3]*1='CHAMBRES GARCONS RDC'!$A$35,1,0)</f>
        <v>0</v>
      </c>
      <c r="HC196" s="160">
        <f>IF([Occurrence38]=0,0,SUM($HB$2:HB196))</f>
        <v>0</v>
      </c>
      <c r="HD196" s="160">
        <f>IF([chambre3]*1='CHAMBRES GARCONS RDC'!$A$41,1,0)</f>
        <v>0</v>
      </c>
      <c r="HE196" s="160">
        <f>IF([Occurrence39]=0,0,SUM($HD$2:HD196))</f>
        <v>0</v>
      </c>
      <c r="HF196" s="160">
        <f>IF([chambre3]*1='CHAMBRES GARCONS RDC'!$A$47,1,0)</f>
        <v>0</v>
      </c>
      <c r="HG196" s="160">
        <f>IF([Occurrence40]=0,0,SUM($HF$2:HF196))</f>
        <v>0</v>
      </c>
      <c r="HH196" s="160">
        <f>IF([chambre3]*1='CHAMBRES GARCONS RDC'!$A$53,1,0)</f>
        <v>0</v>
      </c>
      <c r="HI196" s="160">
        <f>IF([Occurrence41]=0,0,SUM($HH$2:HH196))</f>
        <v>0</v>
      </c>
      <c r="HJ196" s="160">
        <f>IF([chambre3]*1='CHAMBRES GARCONS RDC'!$A$59,1,0)</f>
        <v>0</v>
      </c>
      <c r="HK196" s="160">
        <f>IF([Occurrence42]=0,0,SUM($HJ$2:HJ196))</f>
        <v>0</v>
      </c>
      <c r="HL196" s="160">
        <f>IF([chambre3]*1='CHAMBRES GARCONS RDC'!$A$65,1,0)</f>
        <v>0</v>
      </c>
      <c r="HM196" s="160">
        <f>IF([Occurrence43]=0,0,SUM($HL$2:HL196))</f>
        <v>0</v>
      </c>
      <c r="HN196" s="160">
        <f>IF([chambre3]*1='CHAMBRES GARCONS RDC'!$A$71,1,0)</f>
        <v>0</v>
      </c>
      <c r="HO196" s="160">
        <f>IF([Occurrence44]=0,0,SUM($HN$2:HN196))</f>
        <v>0</v>
      </c>
      <c r="HP196" s="160">
        <f>IF([chambre3]*1='CHAMBRES GARCONS RDC'!$A$77,1,0)</f>
        <v>0</v>
      </c>
      <c r="HQ196" s="160">
        <f>IF([Occurrence45]=0,0,SUM($HP$2:HP196))</f>
        <v>0</v>
      </c>
      <c r="HR196" s="160">
        <f>IF([chambre3]*1='CHAMBRES GARCONS RDC'!$A$83,1,0)</f>
        <v>0</v>
      </c>
      <c r="HS196" s="160">
        <f>IF([Occurrence46]=0,0,SUM($HR$2:HR196))</f>
        <v>0</v>
      </c>
      <c r="HT196" s="160">
        <f>IF([chambre3]*1='CHAMBRES GARCONS RDC'!$A$89,1,0)</f>
        <v>0</v>
      </c>
      <c r="HU196" s="160">
        <f>IF([Occurrence47]=0,0,SUM($HT$2:HT196))</f>
        <v>0</v>
      </c>
      <c r="HV196" s="160">
        <f>IF([chambre3]*1='CHAMBRES GARCONS RDC'!$A$95,1,0)</f>
        <v>0</v>
      </c>
      <c r="HW196" s="160">
        <f>IF([Occurrence48]=0,0,SUM($HV$2:HV196))</f>
        <v>0</v>
      </c>
      <c r="HX196" s="160"/>
      <c r="HY196" s="160"/>
      <c r="HZ196" s="160">
        <f>IF([Classe]='Liste élève par classes'!$B$5,1,0)</f>
        <v>1</v>
      </c>
      <c r="IA196" s="160">
        <f>IF([Occurrence]=0,0,SUM($HZ$2:HZ196))</f>
        <v>13</v>
      </c>
      <c r="IB19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148</v>
      </c>
      <c r="IC196" s="208"/>
    </row>
    <row r="197" spans="1:237">
      <c r="A197" t="s">
        <v>573</v>
      </c>
      <c r="B197" t="s">
        <v>381</v>
      </c>
      <c r="C197" s="158">
        <v>37022</v>
      </c>
      <c r="D197" s="62">
        <f t="shared" ca="1" si="3"/>
        <v>16</v>
      </c>
      <c r="E197" t="s">
        <v>11</v>
      </c>
      <c r="F197" s="159" t="s">
        <v>50</v>
      </c>
      <c r="G197" t="s">
        <v>45</v>
      </c>
      <c r="H197" s="160"/>
      <c r="I197" s="62"/>
      <c r="J197" s="62"/>
      <c r="K197" s="62"/>
      <c r="L197" s="61">
        <v>158</v>
      </c>
      <c r="M197">
        <v>168</v>
      </c>
      <c r="N197" s="62"/>
      <c r="O197" s="62"/>
      <c r="P197" s="62"/>
      <c r="Q197" s="62"/>
      <c r="R197" s="62"/>
      <c r="S197" s="191"/>
      <c r="T197" s="62"/>
      <c r="U197" s="61"/>
      <c r="V197" s="62"/>
      <c r="W197" s="62"/>
      <c r="X197" s="62"/>
      <c r="Y197" s="62"/>
      <c r="Z197" s="62"/>
      <c r="AA197" s="62"/>
      <c r="AB197" s="62"/>
      <c r="AC197" s="62"/>
      <c r="AD197" s="62"/>
      <c r="AE197" s="62"/>
      <c r="AF197" s="163"/>
      <c r="AG197" s="163"/>
      <c r="AH197" s="163"/>
      <c r="AI197" s="163"/>
      <c r="AJ197" s="163"/>
      <c r="AK197" s="163"/>
      <c r="AL197" s="163"/>
      <c r="AM197" s="163"/>
      <c r="AN197" s="163"/>
      <c r="AO197" s="163"/>
      <c r="AP197" s="163"/>
      <c r="AQ197" s="163"/>
      <c r="AR197" s="163"/>
      <c r="AS197" s="163"/>
      <c r="AT197" s="163"/>
      <c r="AU197" s="163"/>
      <c r="AV197" s="163"/>
      <c r="AW197" s="163"/>
      <c r="AX197" s="163"/>
      <c r="AY197" s="163"/>
      <c r="AZ197" s="163"/>
      <c r="BA197" s="163"/>
      <c r="BB197" s="163"/>
      <c r="BC197" s="163" t="b">
        <v>0</v>
      </c>
      <c r="BD197" s="163" t="b">
        <v>1</v>
      </c>
      <c r="BE197" s="163" t="b">
        <v>1</v>
      </c>
      <c r="BF197" s="163" t="b">
        <v>0</v>
      </c>
      <c r="BG197" s="164" t="b">
        <v>0</v>
      </c>
      <c r="BH197" s="163" t="b">
        <v>1</v>
      </c>
      <c r="BI197" s="163"/>
      <c r="BJ197" s="163"/>
      <c r="BK197" s="163"/>
      <c r="BL197" s="163"/>
      <c r="BM197" s="163"/>
      <c r="BN197" s="163"/>
      <c r="BO197" s="163"/>
      <c r="BP197" s="163"/>
      <c r="BQ197" s="163" t="b">
        <v>1</v>
      </c>
      <c r="BR197" s="163"/>
      <c r="BS197" s="163"/>
      <c r="BT197" s="163"/>
      <c r="BU197" s="163"/>
      <c r="BV197" s="163"/>
      <c r="BW197" s="163"/>
      <c r="BX197" s="163"/>
      <c r="BY197" s="163"/>
      <c r="BZ197" s="163"/>
      <c r="CA197" s="163"/>
      <c r="CB197" s="163"/>
      <c r="CC197" s="163"/>
      <c r="CD197" s="163"/>
      <c r="CE197" s="163"/>
      <c r="CF197" s="163"/>
      <c r="CG197" s="163"/>
      <c r="CH197" s="163"/>
      <c r="CI197" s="163"/>
      <c r="CJ197" s="163"/>
      <c r="CK197" s="163"/>
      <c r="CL197" s="163"/>
      <c r="CM197" s="163"/>
      <c r="CN197" s="163"/>
      <c r="CO197" s="163"/>
      <c r="CP197" s="163"/>
      <c r="CQ197" s="163"/>
      <c r="CR197" s="163"/>
      <c r="CS197" s="163"/>
      <c r="CT197" s="163"/>
      <c r="CU197" s="163"/>
      <c r="CV197" s="163"/>
      <c r="CW197" s="163"/>
      <c r="CX197" s="163"/>
      <c r="CY197" s="163"/>
      <c r="CZ197" s="163"/>
      <c r="DA197" s="163"/>
      <c r="DB197" s="163"/>
      <c r="DC197" s="163"/>
      <c r="DD197" s="163"/>
      <c r="DE197" s="163"/>
      <c r="DF197" s="163"/>
      <c r="DG197" s="208"/>
      <c r="DH197" s="163"/>
      <c r="DI197" s="163"/>
      <c r="DJ197" s="163"/>
      <c r="DK197" s="163"/>
      <c r="DL197" s="163"/>
      <c r="DM197" s="163"/>
      <c r="DN197" s="163"/>
      <c r="DO197" s="163"/>
      <c r="DP197" s="163"/>
      <c r="DQ197" s="163"/>
      <c r="DR197" s="163"/>
      <c r="DS197" s="163"/>
      <c r="DT197" s="163"/>
      <c r="DU197" s="163"/>
      <c r="DV197" s="163"/>
      <c r="DW197" s="163"/>
      <c r="DX197" s="163"/>
      <c r="DY197" s="163"/>
      <c r="DZ197" s="163"/>
      <c r="EA197" s="163"/>
      <c r="EB197" s="163"/>
      <c r="EC197" s="163"/>
      <c r="ED197" s="163"/>
      <c r="EE197" s="163"/>
      <c r="EF197" s="163"/>
      <c r="EG197" s="163"/>
      <c r="EH197" s="160">
        <f>IF([Chambre]*1='CHAMBRES FILLES 2e ETAGE'!$A$5,1,0)</f>
        <v>1</v>
      </c>
      <c r="EI197" s="161">
        <f>IF([Occurrence2]=0,0,SUM($EH$2:EH197))</f>
        <v>5</v>
      </c>
      <c r="EJ197" s="160">
        <f>IF([Chambre]*1='CHAMBRES FILLES 2e ETAGE'!$A$11,1,0)</f>
        <v>0</v>
      </c>
      <c r="EK197" s="160">
        <f>IF([Occurrence3]=0,0,SUM($EJ$2:EJ197))</f>
        <v>0</v>
      </c>
      <c r="EL197" s="160">
        <f>IF([Chambre]*1='CHAMBRES FILLES 2e ETAGE'!$A$17,1,0)</f>
        <v>0</v>
      </c>
      <c r="EM197" s="160">
        <f>IF([Occurrence4]=0,0,SUM($EL$2:EL197))</f>
        <v>0</v>
      </c>
      <c r="EN197" s="160">
        <f>IF([Chambre]*1='CHAMBRES FILLES 2e ETAGE'!$A$23,1,0)</f>
        <v>0</v>
      </c>
      <c r="EO197" s="160">
        <f>IF([Occurrence5]=0,0,SUM($EN$2:EN197))</f>
        <v>0</v>
      </c>
      <c r="EP197" s="160">
        <f>IF([Chambre]*1='CHAMBRES FILLES 2e ETAGE'!$A$29,1,0)</f>
        <v>0</v>
      </c>
      <c r="EQ197" s="160">
        <f>IF([Occurrence6]=0,0,SUM($EP$2:EP197))</f>
        <v>0</v>
      </c>
      <c r="ER197" s="160">
        <f>IF([Chambre]*1='CHAMBRES FILLES 2e ETAGE'!$A$35,1,0)</f>
        <v>0</v>
      </c>
      <c r="ES197" s="160">
        <f>IF([Occurrence7]=0,0,SUM($ER$2:ER197))</f>
        <v>0</v>
      </c>
      <c r="ET197" s="160">
        <f>IF([Chambre]*1='CHAMBRES FILLES 2e ETAGE'!$A$41,1,0)</f>
        <v>0</v>
      </c>
      <c r="EU197" s="160">
        <f>IF([Occurrence8]=0,0,SUM($ET$2:ET197))</f>
        <v>0</v>
      </c>
      <c r="EV197" s="160">
        <f>IF([Chambre]*1='CHAMBRES FILLES 2e ETAGE'!$A$47,1,0)</f>
        <v>0</v>
      </c>
      <c r="EW197" s="160">
        <f>IF([Occurrence9]=0,0,SUM($EV$2:EV197))</f>
        <v>0</v>
      </c>
      <c r="EX197" s="160">
        <f>IF([Chambre]*1='CHAMBRES FILLES 2e ETAGE'!$A$53,1,0)</f>
        <v>0</v>
      </c>
      <c r="EY197" s="160">
        <f>IF([Occurrence10]=0,0,SUM($EX$2:EX197))</f>
        <v>0</v>
      </c>
      <c r="EZ197" s="160">
        <f>IF([Chambre]*1='CHAMBRES FILLES 2e ETAGE'!$A$59,1,0)</f>
        <v>0</v>
      </c>
      <c r="FA197" s="160">
        <f>IF([Occurrence11]=0,0,SUM($EZ$2:EZ197))</f>
        <v>0</v>
      </c>
      <c r="FB197" s="160">
        <f>IF([Chambre]*1='CHAMBRES FILLES 2e ETAGE'!$A$65,1,0)</f>
        <v>0</v>
      </c>
      <c r="FC197" s="160">
        <f>IF([Occurrence12]=0,0,SUM($FB$2:FB197))</f>
        <v>0</v>
      </c>
      <c r="FD197" s="160">
        <f>IF([Chambre]*1='CHAMBRES FILLES 2e ETAGE'!$A$71,1,0)</f>
        <v>0</v>
      </c>
      <c r="FE197" s="160">
        <f>IF([Occurrence13]=0,0,SUM($FD$2:FD197))</f>
        <v>0</v>
      </c>
      <c r="FF197" s="160">
        <f>IF([Chambre]*1='CHAMBRES FILLES 2e ETAGE'!$A$77,1,0)</f>
        <v>0</v>
      </c>
      <c r="FG197" s="160">
        <f>IF([Occurrence14]=0,0,SUM($FF$2:FF197))</f>
        <v>0</v>
      </c>
      <c r="FH197" s="160">
        <f>IF([Chambre]*1='CHAMBRES FILLES 2e ETAGE'!$A$83,1,0)</f>
        <v>0</v>
      </c>
      <c r="FI197" s="160">
        <f>IF([Occurrence15]=0,0,SUM($FH$2:FH197))</f>
        <v>0</v>
      </c>
      <c r="FJ197" s="160">
        <f>IF([Chambre]*1='CHAMBRES FILLES 2e ETAGE'!$A$89,1,0)</f>
        <v>0</v>
      </c>
      <c r="FK197" s="160">
        <f>IF([Occurrence16]=0,0,SUM($FJ$2:FJ197))</f>
        <v>0</v>
      </c>
      <c r="FL197" s="160">
        <f>IF([Chambre]*1='CHAMBRES FILLES 2e ETAGE'!$A$95,1,0)</f>
        <v>0</v>
      </c>
      <c r="FM197" s="160">
        <f>IF([Occurrence17]=0,0,SUM($FL$2:FL197))</f>
        <v>0</v>
      </c>
      <c r="FN197" s="160">
        <f>IF([Chambre2]*1='CHAMBRES FILLES 1e ETAGE'!$A$5,1,0)</f>
        <v>0</v>
      </c>
      <c r="FO197" s="160">
        <f>IF([Occurrence18]=0,0,SUM($FN$2:FN197))</f>
        <v>0</v>
      </c>
      <c r="FP197" s="160">
        <f>IF([Chambre2]*1='CHAMBRES FILLES 1e ETAGE'!$A$11,1,0)</f>
        <v>0</v>
      </c>
      <c r="FQ197" s="160">
        <f>IF([Occurrence19]=0,0,SUM($FP$2:FP197))</f>
        <v>0</v>
      </c>
      <c r="FR197" s="160">
        <f>IF([Chambre2]*1='CHAMBRES FILLES 1e ETAGE'!$A$17,1,0)</f>
        <v>0</v>
      </c>
      <c r="FS197" s="160">
        <f>IF([Occurrence20]=0,0,SUM($FR$2:FR197))</f>
        <v>0</v>
      </c>
      <c r="FT197" s="160">
        <f>IF([Chambre2]*1='CHAMBRES FILLES 1e ETAGE'!$A$23,1,0)</f>
        <v>0</v>
      </c>
      <c r="FU197" s="160">
        <f>IF([Occurrence21]=0,0,SUM($FT$2:FT197))</f>
        <v>0</v>
      </c>
      <c r="FV197" s="160">
        <f>IF([Chambre2]*1='CHAMBRES FILLES 1e ETAGE'!$A$29,1,0)</f>
        <v>0</v>
      </c>
      <c r="FW197" s="160">
        <f>IF([Occurrence22]=0,0,SUM($FV$2:FV197))</f>
        <v>0</v>
      </c>
      <c r="FX197" s="160">
        <f>IF([Chambre2]*1='CHAMBRES FILLES 1e ETAGE'!$A$35,1,0)</f>
        <v>0</v>
      </c>
      <c r="FY197" s="160">
        <f>IF([Occurrence23]=0,0,SUM($FX$2:FX197))</f>
        <v>0</v>
      </c>
      <c r="FZ197" s="160">
        <f>IF([Chambre2]*1='CHAMBRES FILLES 1e ETAGE'!$A$41,1,0)</f>
        <v>0</v>
      </c>
      <c r="GA197" s="160">
        <f>IF([Occurrence24]=0,0,SUM($FZ$2:FZ197))</f>
        <v>0</v>
      </c>
      <c r="GB197" s="160">
        <f>IF([Chambre2]*1='CHAMBRES FILLES 1e ETAGE'!$A$47,1,0)</f>
        <v>0</v>
      </c>
      <c r="GC197" s="160">
        <f>IF([Occurrence25]=0,0,SUM($GB$2:GB197))</f>
        <v>0</v>
      </c>
      <c r="GD197" s="160">
        <f>IF([Chambre2]*1='CHAMBRES FILLES 1e ETAGE'!$A$53,1,0)</f>
        <v>0</v>
      </c>
      <c r="GE197" s="160">
        <f>IF([Occurrence26]=0,0,SUM($GD$2:GD197))</f>
        <v>0</v>
      </c>
      <c r="GF197" s="160">
        <f>IF([chambre4]*1='CHAMBRES GARCONS 1e ETAGE'!$A$5,1,0)</f>
        <v>0</v>
      </c>
      <c r="GG197" s="160">
        <f>IF([Occurrence27]=0,0,SUM($GF$2:GF197))</f>
        <v>0</v>
      </c>
      <c r="GH197" s="160">
        <f>IF([chambre4]*1='CHAMBRES GARCONS 1e ETAGE'!$A$11,1,0)</f>
        <v>0</v>
      </c>
      <c r="GI197" s="160">
        <f>IF([Occurrence28]=0,0,SUM($GH$2:GH197))</f>
        <v>0</v>
      </c>
      <c r="GJ197" s="160">
        <f>IF([chambre4]*1='CHAMBRES GARCONS 1e ETAGE'!$A$17,1,0)</f>
        <v>0</v>
      </c>
      <c r="GK197" s="160">
        <f>IF([Occurrence29]=0,0,SUM($GJ$2:GJ197))</f>
        <v>0</v>
      </c>
      <c r="GL197" s="160">
        <f>IF([chambre4]*1='CHAMBRES GARCONS 1e ETAGE'!$A$23,1,0)</f>
        <v>0</v>
      </c>
      <c r="GM197" s="160">
        <f>IF([Occurrence30]=0,0,SUM($GL$2:GL197))</f>
        <v>0</v>
      </c>
      <c r="GN197" s="160">
        <f>IF([chambre4]*1='CHAMBRES GARCONS 1e ETAGE'!$A$29,1,0)</f>
        <v>0</v>
      </c>
      <c r="GO197" s="160">
        <f>IF([Occurrence31]=0,0,SUM($GN$2:GN197))</f>
        <v>0</v>
      </c>
      <c r="GP197" s="160">
        <f>IF([chambre4]*1='CHAMBRES GARCONS 1e ETAGE'!$A$35,1,0)</f>
        <v>0</v>
      </c>
      <c r="GQ197" s="160">
        <f>IF([Occurrence32]=0,0,SUM($GP$2:GP197))</f>
        <v>0</v>
      </c>
      <c r="GR197" s="160">
        <f>IF([chambre3]*1='CHAMBRES GARCONS RDC'!$A$5,1,0)</f>
        <v>0</v>
      </c>
      <c r="GS197" s="160">
        <f>IF([Occurrence33]=0,0,SUM($GR$2:GR197))</f>
        <v>0</v>
      </c>
      <c r="GT197" s="160">
        <f>IF([chambre3]*1='CHAMBRES GARCONS RDC'!$A$11,1,0)</f>
        <v>0</v>
      </c>
      <c r="GU197" s="160">
        <f>IF([Occurrence34]=0,0,SUM($GT$2:GT197))</f>
        <v>0</v>
      </c>
      <c r="GV197" s="160">
        <f>IF([chambre3]*1='CHAMBRES GARCONS RDC'!$A$17,1,0)</f>
        <v>0</v>
      </c>
      <c r="GW197" s="160">
        <f>IF([Occurrence35]=0,0,SUM($GV$2:GV197))</f>
        <v>0</v>
      </c>
      <c r="GX197" s="160">
        <f>IF([chambre3]*1='CHAMBRES GARCONS RDC'!$A$23,1,0)</f>
        <v>0</v>
      </c>
      <c r="GY197" s="160">
        <f>IF([Occurrence36]=0,0,SUM($GX$2:GX197))</f>
        <v>0</v>
      </c>
      <c r="GZ197" s="160">
        <f>IF([chambre3]*1='CHAMBRES GARCONS RDC'!$A$29,1,0)</f>
        <v>0</v>
      </c>
      <c r="HA197" s="160">
        <f>IF([Occurrence37]=0,0,SUM($GZ$2:GZ197))</f>
        <v>0</v>
      </c>
      <c r="HB197" s="160">
        <f>IF([chambre3]*1='CHAMBRES GARCONS RDC'!$A$35,1,0)</f>
        <v>0</v>
      </c>
      <c r="HC197" s="160">
        <f>IF([Occurrence38]=0,0,SUM($HB$2:HB197))</f>
        <v>0</v>
      </c>
      <c r="HD197" s="160">
        <f>IF([chambre3]*1='CHAMBRES GARCONS RDC'!$A$41,1,0)</f>
        <v>0</v>
      </c>
      <c r="HE197" s="160">
        <f>IF([Occurrence39]=0,0,SUM($HD$2:HD197))</f>
        <v>0</v>
      </c>
      <c r="HF197" s="160">
        <f>IF([chambre3]*1='CHAMBRES GARCONS RDC'!$A$47,1,0)</f>
        <v>0</v>
      </c>
      <c r="HG197" s="160">
        <f>IF([Occurrence40]=0,0,SUM($HF$2:HF197))</f>
        <v>0</v>
      </c>
      <c r="HH197" s="160">
        <f>IF([chambre3]*1='CHAMBRES GARCONS RDC'!$A$53,1,0)</f>
        <v>0</v>
      </c>
      <c r="HI197" s="160">
        <f>IF([Occurrence41]=0,0,SUM($HH$2:HH197))</f>
        <v>0</v>
      </c>
      <c r="HJ197" s="160">
        <f>IF([chambre3]*1='CHAMBRES GARCONS RDC'!$A$59,1,0)</f>
        <v>0</v>
      </c>
      <c r="HK197" s="160">
        <f>IF([Occurrence42]=0,0,SUM($HJ$2:HJ197))</f>
        <v>0</v>
      </c>
      <c r="HL197" s="160">
        <f>IF([chambre3]*1='CHAMBRES GARCONS RDC'!$A$65,1,0)</f>
        <v>0</v>
      </c>
      <c r="HM197" s="160">
        <f>IF([Occurrence43]=0,0,SUM($HL$2:HL197))</f>
        <v>0</v>
      </c>
      <c r="HN197" s="160">
        <f>IF([chambre3]*1='CHAMBRES GARCONS RDC'!$A$71,1,0)</f>
        <v>0</v>
      </c>
      <c r="HO197" s="160">
        <f>IF([Occurrence44]=0,0,SUM($HN$2:HN197))</f>
        <v>0</v>
      </c>
      <c r="HP197" s="160">
        <f>IF([chambre3]*1='CHAMBRES GARCONS RDC'!$A$77,1,0)</f>
        <v>0</v>
      </c>
      <c r="HQ197" s="160">
        <f>IF([Occurrence45]=0,0,SUM($HP$2:HP197))</f>
        <v>0</v>
      </c>
      <c r="HR197" s="160">
        <f>IF([chambre3]*1='CHAMBRES GARCONS RDC'!$A$83,1,0)</f>
        <v>0</v>
      </c>
      <c r="HS197" s="160">
        <f>IF([Occurrence46]=0,0,SUM($HR$2:HR197))</f>
        <v>0</v>
      </c>
      <c r="HT197" s="160">
        <f>IF([chambre3]*1='CHAMBRES GARCONS RDC'!$A$89,1,0)</f>
        <v>0</v>
      </c>
      <c r="HU197" s="160">
        <f>IF([Occurrence47]=0,0,SUM($HT$2:HT197))</f>
        <v>0</v>
      </c>
      <c r="HV197" s="160">
        <f>IF([chambre3]*1='CHAMBRES GARCONS RDC'!$A$95,1,0)</f>
        <v>0</v>
      </c>
      <c r="HW197" s="160">
        <f>IF([Occurrence48]=0,0,SUM($HV$2:HV197))</f>
        <v>0</v>
      </c>
      <c r="HX197" s="160"/>
      <c r="HY197" s="160"/>
      <c r="HZ197" s="160">
        <f>IF([Classe]='Liste élève par classes'!$B$5,1,0)</f>
        <v>0</v>
      </c>
      <c r="IA197" s="160">
        <f>IF([Occurrence]=0,0,SUM($HZ$2:HZ197))</f>
        <v>0</v>
      </c>
      <c r="IB19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158</v>
      </c>
      <c r="IC197" s="208"/>
    </row>
    <row r="198" spans="1:237">
      <c r="A198" t="s">
        <v>574</v>
      </c>
      <c r="B198" t="s">
        <v>575</v>
      </c>
      <c r="C198" s="158">
        <v>37257</v>
      </c>
      <c r="D198" s="62">
        <f t="shared" ca="1" si="3"/>
        <v>15</v>
      </c>
      <c r="E198" t="s">
        <v>2</v>
      </c>
      <c r="F198" s="159" t="s">
        <v>50</v>
      </c>
      <c r="G198" t="s">
        <v>45</v>
      </c>
      <c r="H198" s="160"/>
      <c r="I198" s="62"/>
      <c r="J198" s="161" t="s">
        <v>244</v>
      </c>
      <c r="K198" s="161"/>
      <c r="L198" s="160">
        <v>168</v>
      </c>
      <c r="M198">
        <v>154</v>
      </c>
      <c r="N198" s="161" t="s">
        <v>244</v>
      </c>
      <c r="O198" s="161" t="s">
        <v>244</v>
      </c>
      <c r="P198" s="161" t="s">
        <v>244</v>
      </c>
      <c r="Q198" s="161" t="s">
        <v>244</v>
      </c>
      <c r="R198" s="161" t="s">
        <v>244</v>
      </c>
      <c r="S198" s="190"/>
      <c r="T198" s="161" t="s">
        <v>244</v>
      </c>
      <c r="U198" s="160"/>
      <c r="V198" s="161" t="s">
        <v>244</v>
      </c>
      <c r="W198" s="161" t="s">
        <v>244</v>
      </c>
      <c r="X198" s="161" t="s">
        <v>244</v>
      </c>
      <c r="Y198" s="161" t="s">
        <v>244</v>
      </c>
      <c r="Z198" s="161" t="s">
        <v>244</v>
      </c>
      <c r="AA198" s="161" t="s">
        <v>244</v>
      </c>
      <c r="AB198" s="161" t="s">
        <v>244</v>
      </c>
      <c r="AC198" s="161" t="s">
        <v>244</v>
      </c>
      <c r="AD198" s="161" t="s">
        <v>244</v>
      </c>
      <c r="AE198" s="161" t="s">
        <v>244</v>
      </c>
      <c r="AF198" s="163" t="s">
        <v>244</v>
      </c>
      <c r="AG198" s="163" t="s">
        <v>244</v>
      </c>
      <c r="AH198" s="163" t="s">
        <v>244</v>
      </c>
      <c r="AI198" s="163"/>
      <c r="AJ198" s="163"/>
      <c r="AK198" s="163"/>
      <c r="AL198" s="163"/>
      <c r="AM198" s="163"/>
      <c r="AN198" s="163"/>
      <c r="AO198" s="163"/>
      <c r="AP198" s="163"/>
      <c r="AQ198" s="163"/>
      <c r="AR198" s="163"/>
      <c r="AS198" s="163"/>
      <c r="AT198" s="163"/>
      <c r="AU198" s="163"/>
      <c r="AV198" s="163"/>
      <c r="AW198" s="163"/>
      <c r="AX198" s="163"/>
      <c r="AY198" s="163"/>
      <c r="AZ198" s="163"/>
      <c r="BA198" s="163"/>
      <c r="BB198" s="163"/>
      <c r="BC198" s="163" t="b">
        <v>0</v>
      </c>
      <c r="BD198" s="163" t="b">
        <v>1</v>
      </c>
      <c r="BE198" s="163" t="b">
        <v>1</v>
      </c>
      <c r="BF198" s="163" t="b">
        <v>0</v>
      </c>
      <c r="BG198" s="164" t="b">
        <v>0</v>
      </c>
      <c r="BH198" s="163" t="b">
        <v>1</v>
      </c>
      <c r="BI198" s="163"/>
      <c r="BJ198" s="163"/>
      <c r="BK198" s="163"/>
      <c r="BL198" s="163"/>
      <c r="BM198" s="163"/>
      <c r="BN198" s="163"/>
      <c r="BO198" s="163"/>
      <c r="BP198" s="163"/>
      <c r="BQ198" s="163" t="b">
        <v>1</v>
      </c>
      <c r="BR198" s="163"/>
      <c r="BS198" s="163"/>
      <c r="BT198" s="163"/>
      <c r="BU198" s="163"/>
      <c r="BV198" s="163"/>
      <c r="BW198" s="163"/>
      <c r="BX198" s="163"/>
      <c r="BY198" s="163"/>
      <c r="BZ198" s="163"/>
      <c r="CA198" s="163"/>
      <c r="CB198" s="163"/>
      <c r="CC198" s="163"/>
      <c r="CD198" s="163"/>
      <c r="CE198" s="163"/>
      <c r="CF198" s="163"/>
      <c r="CG198" s="163"/>
      <c r="CH198" s="163"/>
      <c r="CI198" s="163"/>
      <c r="CJ198" s="163"/>
      <c r="CK198" s="163"/>
      <c r="CL198" s="163"/>
      <c r="CM198" s="163"/>
      <c r="CN198" s="163"/>
      <c r="CO198" s="163"/>
      <c r="CP198" s="163"/>
      <c r="CQ198" s="163"/>
      <c r="CR198" s="163"/>
      <c r="CS198" s="163"/>
      <c r="CT198" s="163"/>
      <c r="CU198" s="163"/>
      <c r="CV198" s="163"/>
      <c r="CW198" s="163"/>
      <c r="CX198" s="163"/>
      <c r="CY198" s="163"/>
      <c r="CZ198" s="163"/>
      <c r="DA198" s="163"/>
      <c r="DB198" s="163"/>
      <c r="DC198" s="163"/>
      <c r="DD198" s="163"/>
      <c r="DE198" s="163"/>
      <c r="DF198" s="163"/>
      <c r="DG198" s="208"/>
      <c r="DH198" s="163"/>
      <c r="DI198" s="163"/>
      <c r="DJ198" s="163"/>
      <c r="DK198" s="163"/>
      <c r="DL198" s="163"/>
      <c r="DM198" s="163"/>
      <c r="DN198" s="163"/>
      <c r="DO198" s="163"/>
      <c r="DP198" s="163"/>
      <c r="DQ198" s="163"/>
      <c r="DR198" s="163"/>
      <c r="DS198" s="163"/>
      <c r="DT198" s="163"/>
      <c r="DU198" s="163"/>
      <c r="DV198" s="163"/>
      <c r="DW198" s="163"/>
      <c r="DX198" s="163"/>
      <c r="DY198" s="163"/>
      <c r="DZ198" s="163"/>
      <c r="EA198" s="163"/>
      <c r="EB198" s="163"/>
      <c r="EC198" s="163"/>
      <c r="ED198" s="163"/>
      <c r="EE198" s="163"/>
      <c r="EF198" s="163"/>
      <c r="EG198" s="163"/>
      <c r="EH198" s="160">
        <f>IF([Chambre]*1='CHAMBRES FILLES 2e ETAGE'!$A$5,1,0)</f>
        <v>0</v>
      </c>
      <c r="EI198" s="161">
        <f>IF([Occurrence2]=0,0,SUM($EH$2:EH198))</f>
        <v>0</v>
      </c>
      <c r="EJ198" s="160">
        <f>IF([Chambre]*1='CHAMBRES FILLES 2e ETAGE'!$A$11,1,0)</f>
        <v>0</v>
      </c>
      <c r="EK198" s="160">
        <f>IF([Occurrence3]=0,0,SUM($EJ$2:EJ198))</f>
        <v>0</v>
      </c>
      <c r="EL198" s="160">
        <f>IF([Chambre]*1='CHAMBRES FILLES 2e ETAGE'!$A$17,1,0)</f>
        <v>0</v>
      </c>
      <c r="EM198" s="160">
        <f>IF([Occurrence4]=0,0,SUM($EL$2:EL198))</f>
        <v>0</v>
      </c>
      <c r="EN198" s="160">
        <f>IF([Chambre]*1='CHAMBRES FILLES 2e ETAGE'!$A$23,1,0)</f>
        <v>0</v>
      </c>
      <c r="EO198" s="160">
        <f>IF([Occurrence5]=0,0,SUM($EN$2:EN198))</f>
        <v>0</v>
      </c>
      <c r="EP198" s="160">
        <f>IF([Chambre]*1='CHAMBRES FILLES 2e ETAGE'!$A$29,1,0)</f>
        <v>1</v>
      </c>
      <c r="EQ198" s="160">
        <f>IF([Occurrence6]=0,0,SUM($EP$2:EP198))</f>
        <v>3</v>
      </c>
      <c r="ER198" s="160">
        <f>IF([Chambre]*1='CHAMBRES FILLES 2e ETAGE'!$A$35,1,0)</f>
        <v>0</v>
      </c>
      <c r="ES198" s="160">
        <f>IF([Occurrence7]=0,0,SUM($ER$2:ER198))</f>
        <v>0</v>
      </c>
      <c r="ET198" s="160">
        <f>IF([Chambre]*1='CHAMBRES FILLES 2e ETAGE'!$A$41,1,0)</f>
        <v>0</v>
      </c>
      <c r="EU198" s="160">
        <f>IF([Occurrence8]=0,0,SUM($ET$2:ET198))</f>
        <v>0</v>
      </c>
      <c r="EV198" s="160">
        <f>IF([Chambre]*1='CHAMBRES FILLES 2e ETAGE'!$A$47,1,0)</f>
        <v>0</v>
      </c>
      <c r="EW198" s="160">
        <f>IF([Occurrence9]=0,0,SUM($EV$2:EV198))</f>
        <v>0</v>
      </c>
      <c r="EX198" s="160">
        <f>IF([Chambre]*1='CHAMBRES FILLES 2e ETAGE'!$A$53,1,0)</f>
        <v>0</v>
      </c>
      <c r="EY198" s="160">
        <f>IF([Occurrence10]=0,0,SUM($EX$2:EX198))</f>
        <v>0</v>
      </c>
      <c r="EZ198" s="160">
        <f>IF([Chambre]*1='CHAMBRES FILLES 2e ETAGE'!$A$59,1,0)</f>
        <v>0</v>
      </c>
      <c r="FA198" s="160">
        <f>IF([Occurrence11]=0,0,SUM($EZ$2:EZ198))</f>
        <v>0</v>
      </c>
      <c r="FB198" s="160">
        <f>IF([Chambre]*1='CHAMBRES FILLES 2e ETAGE'!$A$65,1,0)</f>
        <v>0</v>
      </c>
      <c r="FC198" s="160">
        <f>IF([Occurrence12]=0,0,SUM($FB$2:FB198))</f>
        <v>0</v>
      </c>
      <c r="FD198" s="160">
        <f>IF([Chambre]*1='CHAMBRES FILLES 2e ETAGE'!$A$71,1,0)</f>
        <v>0</v>
      </c>
      <c r="FE198" s="160">
        <f>IF([Occurrence13]=0,0,SUM($FD$2:FD198))</f>
        <v>0</v>
      </c>
      <c r="FF198" s="160">
        <f>IF([Chambre]*1='CHAMBRES FILLES 2e ETAGE'!$A$77,1,0)</f>
        <v>0</v>
      </c>
      <c r="FG198" s="160">
        <f>IF([Occurrence14]=0,0,SUM($FF$2:FF198))</f>
        <v>0</v>
      </c>
      <c r="FH198" s="160">
        <f>IF([Chambre]*1='CHAMBRES FILLES 2e ETAGE'!$A$83,1,0)</f>
        <v>0</v>
      </c>
      <c r="FI198" s="160">
        <f>IF([Occurrence15]=0,0,SUM($FH$2:FH198))</f>
        <v>0</v>
      </c>
      <c r="FJ198" s="160">
        <f>IF([Chambre]*1='CHAMBRES FILLES 2e ETAGE'!$A$89,1,0)</f>
        <v>0</v>
      </c>
      <c r="FK198" s="160">
        <f>IF([Occurrence16]=0,0,SUM($FJ$2:FJ198))</f>
        <v>0</v>
      </c>
      <c r="FL198" s="160">
        <f>IF([Chambre]*1='CHAMBRES FILLES 2e ETAGE'!$A$95,1,0)</f>
        <v>0</v>
      </c>
      <c r="FM198" s="160">
        <f>IF([Occurrence17]=0,0,SUM($FL$2:FL198))</f>
        <v>0</v>
      </c>
      <c r="FN198" s="160">
        <f>IF([Chambre2]*1='CHAMBRES FILLES 1e ETAGE'!$A$5,1,0)</f>
        <v>0</v>
      </c>
      <c r="FO198" s="160">
        <f>IF([Occurrence18]=0,0,SUM($FN$2:FN198))</f>
        <v>0</v>
      </c>
      <c r="FP198" s="160">
        <f>IF([Chambre2]*1='CHAMBRES FILLES 1e ETAGE'!$A$11,1,0)</f>
        <v>0</v>
      </c>
      <c r="FQ198" s="160">
        <f>IF([Occurrence19]=0,0,SUM($FP$2:FP198))</f>
        <v>0</v>
      </c>
      <c r="FR198" s="160">
        <f>IF([Chambre2]*1='CHAMBRES FILLES 1e ETAGE'!$A$17,1,0)</f>
        <v>0</v>
      </c>
      <c r="FS198" s="160">
        <f>IF([Occurrence20]=0,0,SUM($FR$2:FR198))</f>
        <v>0</v>
      </c>
      <c r="FT198" s="160">
        <f>IF([Chambre2]*1='CHAMBRES FILLES 1e ETAGE'!$A$23,1,0)</f>
        <v>0</v>
      </c>
      <c r="FU198" s="160">
        <f>IF([Occurrence21]=0,0,SUM($FT$2:FT198))</f>
        <v>0</v>
      </c>
      <c r="FV198" s="160">
        <f>IF([Chambre2]*1='CHAMBRES FILLES 1e ETAGE'!$A$29,1,0)</f>
        <v>0</v>
      </c>
      <c r="FW198" s="160">
        <f>IF([Occurrence22]=0,0,SUM($FV$2:FV198))</f>
        <v>0</v>
      </c>
      <c r="FX198" s="160">
        <f>IF([Chambre2]*1='CHAMBRES FILLES 1e ETAGE'!$A$35,1,0)</f>
        <v>0</v>
      </c>
      <c r="FY198" s="160">
        <f>IF([Occurrence23]=0,0,SUM($FX$2:FX198))</f>
        <v>0</v>
      </c>
      <c r="FZ198" s="160">
        <f>IF([Chambre2]*1='CHAMBRES FILLES 1e ETAGE'!$A$41,1,0)</f>
        <v>0</v>
      </c>
      <c r="GA198" s="160">
        <f>IF([Occurrence24]=0,0,SUM($FZ$2:FZ198))</f>
        <v>0</v>
      </c>
      <c r="GB198" s="160">
        <f>IF([Chambre2]*1='CHAMBRES FILLES 1e ETAGE'!$A$47,1,0)</f>
        <v>0</v>
      </c>
      <c r="GC198" s="160">
        <f>IF([Occurrence25]=0,0,SUM($GB$2:GB198))</f>
        <v>0</v>
      </c>
      <c r="GD198" s="160">
        <f>IF([Chambre2]*1='CHAMBRES FILLES 1e ETAGE'!$A$53,1,0)</f>
        <v>0</v>
      </c>
      <c r="GE198" s="160">
        <f>IF([Occurrence26]=0,0,SUM($GD$2:GD198))</f>
        <v>0</v>
      </c>
      <c r="GF198" s="160">
        <f>IF([chambre4]*1='CHAMBRES GARCONS 1e ETAGE'!$A$5,1,0)</f>
        <v>0</v>
      </c>
      <c r="GG198" s="160">
        <f>IF([Occurrence27]=0,0,SUM($GF$2:GF198))</f>
        <v>0</v>
      </c>
      <c r="GH198" s="160">
        <f>IF([chambre4]*1='CHAMBRES GARCONS 1e ETAGE'!$A$11,1,0)</f>
        <v>0</v>
      </c>
      <c r="GI198" s="160">
        <f>IF([Occurrence28]=0,0,SUM($GH$2:GH198))</f>
        <v>0</v>
      </c>
      <c r="GJ198" s="160">
        <f>IF([chambre4]*1='CHAMBRES GARCONS 1e ETAGE'!$A$17,1,0)</f>
        <v>0</v>
      </c>
      <c r="GK198" s="160">
        <f>IF([Occurrence29]=0,0,SUM($GJ$2:GJ198))</f>
        <v>0</v>
      </c>
      <c r="GL198" s="160">
        <f>IF([chambre4]*1='CHAMBRES GARCONS 1e ETAGE'!$A$23,1,0)</f>
        <v>0</v>
      </c>
      <c r="GM198" s="160">
        <f>IF([Occurrence30]=0,0,SUM($GL$2:GL198))</f>
        <v>0</v>
      </c>
      <c r="GN198" s="160">
        <f>IF([chambre4]*1='CHAMBRES GARCONS 1e ETAGE'!$A$29,1,0)</f>
        <v>0</v>
      </c>
      <c r="GO198" s="160">
        <f>IF([Occurrence31]=0,0,SUM($GN$2:GN198))</f>
        <v>0</v>
      </c>
      <c r="GP198" s="160">
        <f>IF([chambre4]*1='CHAMBRES GARCONS 1e ETAGE'!$A$35,1,0)</f>
        <v>0</v>
      </c>
      <c r="GQ198" s="160">
        <f>IF([Occurrence32]=0,0,SUM($GP$2:GP198))</f>
        <v>0</v>
      </c>
      <c r="GR198" s="160">
        <f>IF([chambre3]*1='CHAMBRES GARCONS RDC'!$A$5,1,0)</f>
        <v>0</v>
      </c>
      <c r="GS198" s="160">
        <f>IF([Occurrence33]=0,0,SUM($GR$2:GR198))</f>
        <v>0</v>
      </c>
      <c r="GT198" s="160">
        <f>IF([chambre3]*1='CHAMBRES GARCONS RDC'!$A$11,1,0)</f>
        <v>0</v>
      </c>
      <c r="GU198" s="160">
        <f>IF([Occurrence34]=0,0,SUM($GT$2:GT198))</f>
        <v>0</v>
      </c>
      <c r="GV198" s="160">
        <f>IF([chambre3]*1='CHAMBRES GARCONS RDC'!$A$17,1,0)</f>
        <v>0</v>
      </c>
      <c r="GW198" s="160">
        <f>IF([Occurrence35]=0,0,SUM($GV$2:GV198))</f>
        <v>0</v>
      </c>
      <c r="GX198" s="160">
        <f>IF([chambre3]*1='CHAMBRES GARCONS RDC'!$A$23,1,0)</f>
        <v>0</v>
      </c>
      <c r="GY198" s="160">
        <f>IF([Occurrence36]=0,0,SUM($GX$2:GX198))</f>
        <v>0</v>
      </c>
      <c r="GZ198" s="160">
        <f>IF([chambre3]*1='CHAMBRES GARCONS RDC'!$A$29,1,0)</f>
        <v>0</v>
      </c>
      <c r="HA198" s="160">
        <f>IF([Occurrence37]=0,0,SUM($GZ$2:GZ198))</f>
        <v>0</v>
      </c>
      <c r="HB198" s="160">
        <f>IF([chambre3]*1='CHAMBRES GARCONS RDC'!$A$35,1,0)</f>
        <v>0</v>
      </c>
      <c r="HC198" s="160">
        <f>IF([Occurrence38]=0,0,SUM($HB$2:HB198))</f>
        <v>0</v>
      </c>
      <c r="HD198" s="160">
        <f>IF([chambre3]*1='CHAMBRES GARCONS RDC'!$A$41,1,0)</f>
        <v>0</v>
      </c>
      <c r="HE198" s="160">
        <f>IF([Occurrence39]=0,0,SUM($HD$2:HD198))</f>
        <v>0</v>
      </c>
      <c r="HF198" s="160">
        <f>IF([chambre3]*1='CHAMBRES GARCONS RDC'!$A$47,1,0)</f>
        <v>0</v>
      </c>
      <c r="HG198" s="160">
        <f>IF([Occurrence40]=0,0,SUM($HF$2:HF198))</f>
        <v>0</v>
      </c>
      <c r="HH198" s="160">
        <f>IF([chambre3]*1='CHAMBRES GARCONS RDC'!$A$53,1,0)</f>
        <v>0</v>
      </c>
      <c r="HI198" s="160">
        <f>IF([Occurrence41]=0,0,SUM($HH$2:HH198))</f>
        <v>0</v>
      </c>
      <c r="HJ198" s="160">
        <f>IF([chambre3]*1='CHAMBRES GARCONS RDC'!$A$59,1,0)</f>
        <v>0</v>
      </c>
      <c r="HK198" s="160">
        <f>IF([Occurrence42]=0,0,SUM($HJ$2:HJ198))</f>
        <v>0</v>
      </c>
      <c r="HL198" s="160">
        <f>IF([chambre3]*1='CHAMBRES GARCONS RDC'!$A$65,1,0)</f>
        <v>0</v>
      </c>
      <c r="HM198" s="160">
        <f>IF([Occurrence43]=0,0,SUM($HL$2:HL198))</f>
        <v>0</v>
      </c>
      <c r="HN198" s="160">
        <f>IF([chambre3]*1='CHAMBRES GARCONS RDC'!$A$71,1,0)</f>
        <v>0</v>
      </c>
      <c r="HO198" s="160">
        <f>IF([Occurrence44]=0,0,SUM($HN$2:HN198))</f>
        <v>0</v>
      </c>
      <c r="HP198" s="160">
        <f>IF([chambre3]*1='CHAMBRES GARCONS RDC'!$A$77,1,0)</f>
        <v>0</v>
      </c>
      <c r="HQ198" s="160">
        <f>IF([Occurrence45]=0,0,SUM($HP$2:HP198))</f>
        <v>0</v>
      </c>
      <c r="HR198" s="160">
        <f>IF([chambre3]*1='CHAMBRES GARCONS RDC'!$A$83,1,0)</f>
        <v>0</v>
      </c>
      <c r="HS198" s="160">
        <f>IF([Occurrence46]=0,0,SUM($HR$2:HR198))</f>
        <v>0</v>
      </c>
      <c r="HT198" s="160">
        <f>IF([chambre3]*1='CHAMBRES GARCONS RDC'!$A$89,1,0)</f>
        <v>0</v>
      </c>
      <c r="HU198" s="160">
        <f>IF([Occurrence47]=0,0,SUM($HT$2:HT198))</f>
        <v>0</v>
      </c>
      <c r="HV198" s="160">
        <f>IF([chambre3]*1='CHAMBRES GARCONS RDC'!$A$95,1,0)</f>
        <v>0</v>
      </c>
      <c r="HW198" s="160">
        <f>IF([Occurrence48]=0,0,SUM($HV$2:HV198))</f>
        <v>0</v>
      </c>
      <c r="HX198" s="160"/>
      <c r="HY198" s="160"/>
      <c r="HZ198" s="160">
        <f>IF([Classe]='Liste élève par classes'!$B$5,1,0)</f>
        <v>0</v>
      </c>
      <c r="IA198" s="160">
        <f>IF([Occurrence]=0,0,SUM($HZ$2:HZ198))</f>
        <v>0</v>
      </c>
      <c r="IB19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168</v>
      </c>
      <c r="IC198" s="208"/>
    </row>
    <row r="199" spans="1:237">
      <c r="A199" t="s">
        <v>574</v>
      </c>
      <c r="B199" t="s">
        <v>576</v>
      </c>
      <c r="C199" s="158">
        <v>36851</v>
      </c>
      <c r="D199" s="62">
        <f t="shared" ca="1" si="3"/>
        <v>16</v>
      </c>
      <c r="E199" t="s">
        <v>7</v>
      </c>
      <c r="F199" s="159" t="s">
        <v>46</v>
      </c>
      <c r="G199" t="s">
        <v>45</v>
      </c>
      <c r="H199" s="160"/>
      <c r="I199" s="62"/>
      <c r="J199" s="62" t="s">
        <v>244</v>
      </c>
      <c r="K199" s="62"/>
      <c r="L199" s="61"/>
      <c r="M199">
        <v>18</v>
      </c>
      <c r="N199" s="62" t="s">
        <v>244</v>
      </c>
      <c r="O199" s="62" t="s">
        <v>244</v>
      </c>
      <c r="P199" s="62" t="s">
        <v>244</v>
      </c>
      <c r="Q199" s="62" t="s">
        <v>244</v>
      </c>
      <c r="R199" s="62" t="s">
        <v>244</v>
      </c>
      <c r="S199" s="62"/>
      <c r="T199" s="62" t="s">
        <v>244</v>
      </c>
      <c r="U199" s="61"/>
      <c r="V199" s="62" t="s">
        <v>244</v>
      </c>
      <c r="W199" s="62" t="s">
        <v>244</v>
      </c>
      <c r="X199" s="62" t="s">
        <v>244</v>
      </c>
      <c r="Y199" s="62" t="s">
        <v>244</v>
      </c>
      <c r="Z199" s="62" t="s">
        <v>244</v>
      </c>
      <c r="AA199" s="62" t="s">
        <v>244</v>
      </c>
      <c r="AB199" s="62" t="s">
        <v>244</v>
      </c>
      <c r="AC199" s="62" t="s">
        <v>244</v>
      </c>
      <c r="AD199" s="62" t="s">
        <v>244</v>
      </c>
      <c r="AE199" s="62" t="s">
        <v>244</v>
      </c>
      <c r="AF199" s="163" t="s">
        <v>244</v>
      </c>
      <c r="AG199" s="163" t="s">
        <v>244</v>
      </c>
      <c r="AH199" s="163" t="s">
        <v>244</v>
      </c>
      <c r="AI199" s="163"/>
      <c r="AJ199" s="163"/>
      <c r="AK199" s="163"/>
      <c r="AL199" s="163"/>
      <c r="AM199" s="163"/>
      <c r="AN199" s="163"/>
      <c r="AO199" s="163"/>
      <c r="AP199" s="163"/>
      <c r="AQ199" s="163"/>
      <c r="AR199" s="163"/>
      <c r="AS199" s="163"/>
      <c r="AT199" s="163"/>
      <c r="AU199" s="163"/>
      <c r="AV199" s="163"/>
      <c r="AW199" s="163"/>
      <c r="AX199" s="163"/>
      <c r="AY199" s="163"/>
      <c r="AZ199" s="163"/>
      <c r="BA199" s="163"/>
      <c r="BB199" s="163"/>
      <c r="BC199" s="163"/>
      <c r="BD199" s="163"/>
      <c r="BE199" s="163"/>
      <c r="BF199" s="163"/>
      <c r="BG199" s="163"/>
      <c r="BH199" s="163"/>
      <c r="BI199" s="163"/>
      <c r="BJ199" s="163"/>
      <c r="BK199" s="163"/>
      <c r="BL199" s="163"/>
      <c r="BM199" s="163"/>
      <c r="BN199" s="163"/>
      <c r="BO199" s="163"/>
      <c r="BP199" s="163"/>
      <c r="BQ199" s="163"/>
      <c r="BR199" s="163"/>
      <c r="BS199" s="163"/>
      <c r="BT199" s="163"/>
      <c r="BU199" s="163"/>
      <c r="BV199" s="163"/>
      <c r="BW199" s="163"/>
      <c r="BX199" s="163"/>
      <c r="BY199" s="163"/>
      <c r="BZ199" s="163"/>
      <c r="CA199" s="163"/>
      <c r="CB199" s="163"/>
      <c r="CC199" s="163"/>
      <c r="CD199" s="163"/>
      <c r="CE199" s="163"/>
      <c r="CF199" s="163"/>
      <c r="CG199" s="163"/>
      <c r="CH199" s="163"/>
      <c r="CI199" s="163"/>
      <c r="CJ199" s="163"/>
      <c r="CK199" s="163"/>
      <c r="CL199" s="163"/>
      <c r="CM199" s="163"/>
      <c r="CN199" s="163"/>
      <c r="CO199" s="163"/>
      <c r="CP199" s="163"/>
      <c r="CQ199" s="163"/>
      <c r="CR199" s="163"/>
      <c r="CS199" s="163"/>
      <c r="CT199" s="163"/>
      <c r="CU199" s="163"/>
      <c r="CV199" s="163"/>
      <c r="CW199" s="163"/>
      <c r="CX199" s="163"/>
      <c r="CY199" s="163"/>
      <c r="CZ199" s="163"/>
      <c r="DA199" s="163"/>
      <c r="DB199" s="163"/>
      <c r="DC199" s="163"/>
      <c r="DD199" s="163"/>
      <c r="DE199" s="163"/>
      <c r="DF199" s="163"/>
      <c r="DG199" s="163"/>
      <c r="DH199" s="163"/>
      <c r="DI199" s="163"/>
      <c r="DJ199" s="163"/>
      <c r="DK199" s="163"/>
      <c r="DL199" s="163"/>
      <c r="DM199" s="163"/>
      <c r="DN199" s="163"/>
      <c r="DO199" s="163"/>
      <c r="DP199" s="163"/>
      <c r="DQ199" s="163"/>
      <c r="DR199" s="163"/>
      <c r="DS199" s="163"/>
      <c r="DT199" s="163"/>
      <c r="DU199" s="163"/>
      <c r="DV199" s="163"/>
      <c r="DW199" s="163"/>
      <c r="DX199" s="163"/>
      <c r="DY199" s="163"/>
      <c r="DZ199" s="163"/>
      <c r="EA199" s="163"/>
      <c r="EB199" s="163"/>
      <c r="EC199" s="163"/>
      <c r="ED199" s="163"/>
      <c r="EE199" s="163"/>
      <c r="EF199" s="163"/>
      <c r="EG199" s="163"/>
      <c r="EH199" s="160">
        <f>IF([Chambre]*1='CHAMBRES FILLES 2e ETAGE'!$A$5,1,0)</f>
        <v>0</v>
      </c>
      <c r="EI199" s="161">
        <f>IF([Occurrence2]=0,0,SUM($EH$2:EH199))</f>
        <v>0</v>
      </c>
      <c r="EJ199" s="160">
        <f>IF([Chambre]*1='CHAMBRES FILLES 2e ETAGE'!$A$11,1,0)</f>
        <v>0</v>
      </c>
      <c r="EK199" s="160">
        <f>IF([Occurrence3]=0,0,SUM($EJ$2:EJ199))</f>
        <v>0</v>
      </c>
      <c r="EL199" s="160">
        <f>IF([Chambre]*1='CHAMBRES FILLES 2e ETAGE'!$A$17,1,0)</f>
        <v>0</v>
      </c>
      <c r="EM199" s="160">
        <f>IF([Occurrence4]=0,0,SUM($EL$2:EL199))</f>
        <v>0</v>
      </c>
      <c r="EN199" s="160">
        <f>IF([Chambre]*1='CHAMBRES FILLES 2e ETAGE'!$A$23,1,0)</f>
        <v>0</v>
      </c>
      <c r="EO199" s="160">
        <f>IF([Occurrence5]=0,0,SUM($EN$2:EN199))</f>
        <v>0</v>
      </c>
      <c r="EP199" s="160">
        <f>IF([Chambre]*1='CHAMBRES FILLES 2e ETAGE'!$A$29,1,0)</f>
        <v>0</v>
      </c>
      <c r="EQ199" s="160">
        <f>IF([Occurrence6]=0,0,SUM($EP$2:EP199))</f>
        <v>0</v>
      </c>
      <c r="ER199" s="160">
        <f>IF([Chambre]*1='CHAMBRES FILLES 2e ETAGE'!$A$35,1,0)</f>
        <v>0</v>
      </c>
      <c r="ES199" s="160">
        <f>IF([Occurrence7]=0,0,SUM($ER$2:ER199))</f>
        <v>0</v>
      </c>
      <c r="ET199" s="160">
        <f>IF([Chambre]*1='CHAMBRES FILLES 2e ETAGE'!$A$41,1,0)</f>
        <v>0</v>
      </c>
      <c r="EU199" s="160">
        <f>IF([Occurrence8]=0,0,SUM($ET$2:ET199))</f>
        <v>0</v>
      </c>
      <c r="EV199" s="160">
        <f>IF([Chambre]*1='CHAMBRES FILLES 2e ETAGE'!$A$47,1,0)</f>
        <v>0</v>
      </c>
      <c r="EW199" s="160">
        <f>IF([Occurrence9]=0,0,SUM($EV$2:EV199))</f>
        <v>0</v>
      </c>
      <c r="EX199" s="160">
        <f>IF([Chambre]*1='CHAMBRES FILLES 2e ETAGE'!$A$53,1,0)</f>
        <v>0</v>
      </c>
      <c r="EY199" s="160">
        <f>IF([Occurrence10]=0,0,SUM($EX$2:EX199))</f>
        <v>0</v>
      </c>
      <c r="EZ199" s="160">
        <f>IF([Chambre]*1='CHAMBRES FILLES 2e ETAGE'!$A$59,1,0)</f>
        <v>0</v>
      </c>
      <c r="FA199" s="160">
        <f>IF([Occurrence11]=0,0,SUM($EZ$2:EZ199))</f>
        <v>0</v>
      </c>
      <c r="FB199" s="160">
        <f>IF([Chambre]*1='CHAMBRES FILLES 2e ETAGE'!$A$65,1,0)</f>
        <v>0</v>
      </c>
      <c r="FC199" s="160">
        <f>IF([Occurrence12]=0,0,SUM($FB$2:FB199))</f>
        <v>0</v>
      </c>
      <c r="FD199" s="160">
        <f>IF([Chambre]*1='CHAMBRES FILLES 2e ETAGE'!$A$71,1,0)</f>
        <v>0</v>
      </c>
      <c r="FE199" s="160">
        <f>IF([Occurrence13]=0,0,SUM($FD$2:FD199))</f>
        <v>0</v>
      </c>
      <c r="FF199" s="160">
        <f>IF([Chambre]*1='CHAMBRES FILLES 2e ETAGE'!$A$77,1,0)</f>
        <v>0</v>
      </c>
      <c r="FG199" s="160">
        <f>IF([Occurrence14]=0,0,SUM($FF$2:FF199))</f>
        <v>0</v>
      </c>
      <c r="FH199" s="160">
        <f>IF([Chambre]*1='CHAMBRES FILLES 2e ETAGE'!$A$83,1,0)</f>
        <v>0</v>
      </c>
      <c r="FI199" s="160">
        <f>IF([Occurrence15]=0,0,SUM($FH$2:FH199))</f>
        <v>0</v>
      </c>
      <c r="FJ199" s="160">
        <f>IF([Chambre]*1='CHAMBRES FILLES 2e ETAGE'!$A$89,1,0)</f>
        <v>0</v>
      </c>
      <c r="FK199" s="160">
        <f>IF([Occurrence16]=0,0,SUM($FJ$2:FJ199))</f>
        <v>0</v>
      </c>
      <c r="FL199" s="160">
        <f>IF([Chambre]*1='CHAMBRES FILLES 2e ETAGE'!$A$95,1,0)</f>
        <v>0</v>
      </c>
      <c r="FM199" s="160">
        <f>IF([Occurrence17]=0,0,SUM($FL$2:FL199))</f>
        <v>0</v>
      </c>
      <c r="FN199" s="160">
        <f>IF([Chambre2]*1='CHAMBRES FILLES 1e ETAGE'!$A$5,1,0)</f>
        <v>0</v>
      </c>
      <c r="FO199" s="160">
        <f>IF([Occurrence18]=0,0,SUM($FN$2:FN199))</f>
        <v>0</v>
      </c>
      <c r="FP199" s="160">
        <f>IF([Chambre2]*1='CHAMBRES FILLES 1e ETAGE'!$A$11,1,0)</f>
        <v>0</v>
      </c>
      <c r="FQ199" s="160">
        <f>IF([Occurrence19]=0,0,SUM($FP$2:FP199))</f>
        <v>0</v>
      </c>
      <c r="FR199" s="160">
        <f>IF([Chambre2]*1='CHAMBRES FILLES 1e ETAGE'!$A$17,1,0)</f>
        <v>0</v>
      </c>
      <c r="FS199" s="160">
        <f>IF([Occurrence20]=0,0,SUM($FR$2:FR199))</f>
        <v>0</v>
      </c>
      <c r="FT199" s="160">
        <f>IF([Chambre2]*1='CHAMBRES FILLES 1e ETAGE'!$A$23,1,0)</f>
        <v>0</v>
      </c>
      <c r="FU199" s="160">
        <f>IF([Occurrence21]=0,0,SUM($FT$2:FT199))</f>
        <v>0</v>
      </c>
      <c r="FV199" s="160">
        <f>IF([Chambre2]*1='CHAMBRES FILLES 1e ETAGE'!$A$29,1,0)</f>
        <v>0</v>
      </c>
      <c r="FW199" s="160">
        <f>IF([Occurrence22]=0,0,SUM($FV$2:FV199))</f>
        <v>0</v>
      </c>
      <c r="FX199" s="160">
        <f>IF([Chambre2]*1='CHAMBRES FILLES 1e ETAGE'!$A$35,1,0)</f>
        <v>0</v>
      </c>
      <c r="FY199" s="160">
        <f>IF([Occurrence23]=0,0,SUM($FX$2:FX199))</f>
        <v>0</v>
      </c>
      <c r="FZ199" s="160">
        <f>IF([Chambre2]*1='CHAMBRES FILLES 1e ETAGE'!$A$41,1,0)</f>
        <v>0</v>
      </c>
      <c r="GA199" s="160">
        <f>IF([Occurrence24]=0,0,SUM($FZ$2:FZ199))</f>
        <v>0</v>
      </c>
      <c r="GB199" s="160">
        <f>IF([Chambre2]*1='CHAMBRES FILLES 1e ETAGE'!$A$47,1,0)</f>
        <v>0</v>
      </c>
      <c r="GC199" s="160">
        <f>IF([Occurrence25]=0,0,SUM($GB$2:GB199))</f>
        <v>0</v>
      </c>
      <c r="GD199" s="160">
        <f>IF([Chambre2]*1='CHAMBRES FILLES 1e ETAGE'!$A$53,1,0)</f>
        <v>0</v>
      </c>
      <c r="GE199" s="160">
        <f>IF([Occurrence26]=0,0,SUM($GD$2:GD199))</f>
        <v>0</v>
      </c>
      <c r="GF199" s="160">
        <f>IF([chambre4]*1='CHAMBRES GARCONS 1e ETAGE'!$A$5,1,0)</f>
        <v>0</v>
      </c>
      <c r="GG199" s="160">
        <f>IF([Occurrence27]=0,0,SUM($GF$2:GF199))</f>
        <v>0</v>
      </c>
      <c r="GH199" s="160">
        <f>IF([chambre4]*1='CHAMBRES GARCONS 1e ETAGE'!$A$11,1,0)</f>
        <v>0</v>
      </c>
      <c r="GI199" s="160">
        <f>IF([Occurrence28]=0,0,SUM($GH$2:GH199))</f>
        <v>0</v>
      </c>
      <c r="GJ199" s="160">
        <f>IF([chambre4]*1='CHAMBRES GARCONS 1e ETAGE'!$A$17,1,0)</f>
        <v>0</v>
      </c>
      <c r="GK199" s="160">
        <f>IF([Occurrence29]=0,0,SUM($GJ$2:GJ199))</f>
        <v>0</v>
      </c>
      <c r="GL199" s="160">
        <f>IF([chambre4]*1='CHAMBRES GARCONS 1e ETAGE'!$A$23,1,0)</f>
        <v>0</v>
      </c>
      <c r="GM199" s="160">
        <f>IF([Occurrence30]=0,0,SUM($GL$2:GL199))</f>
        <v>0</v>
      </c>
      <c r="GN199" s="160">
        <f>IF([chambre4]*1='CHAMBRES GARCONS 1e ETAGE'!$A$29,1,0)</f>
        <v>0</v>
      </c>
      <c r="GO199" s="160">
        <f>IF([Occurrence31]=0,0,SUM($GN$2:GN199))</f>
        <v>0</v>
      </c>
      <c r="GP199" s="160">
        <f>IF([chambre4]*1='CHAMBRES GARCONS 1e ETAGE'!$A$35,1,0)</f>
        <v>0</v>
      </c>
      <c r="GQ199" s="160">
        <f>IF([Occurrence32]=0,0,SUM($GP$2:GP199))</f>
        <v>0</v>
      </c>
      <c r="GR199" s="160">
        <f>IF([chambre3]*1='CHAMBRES GARCONS RDC'!$A$5,1,0)</f>
        <v>0</v>
      </c>
      <c r="GS199" s="160">
        <f>IF([Occurrence33]=0,0,SUM($GR$2:GR199))</f>
        <v>0</v>
      </c>
      <c r="GT199" s="160">
        <f>IF([chambre3]*1='CHAMBRES GARCONS RDC'!$A$11,1,0)</f>
        <v>0</v>
      </c>
      <c r="GU199" s="160">
        <f>IF([Occurrence34]=0,0,SUM($GT$2:GT199))</f>
        <v>0</v>
      </c>
      <c r="GV199" s="160">
        <f>IF([chambre3]*1='CHAMBRES GARCONS RDC'!$A$17,1,0)</f>
        <v>0</v>
      </c>
      <c r="GW199" s="160">
        <f>IF([Occurrence35]=0,0,SUM($GV$2:GV199))</f>
        <v>0</v>
      </c>
      <c r="GX199" s="160">
        <f>IF([chambre3]*1='CHAMBRES GARCONS RDC'!$A$23,1,0)</f>
        <v>0</v>
      </c>
      <c r="GY199" s="160">
        <f>IF([Occurrence36]=0,0,SUM($GX$2:GX199))</f>
        <v>0</v>
      </c>
      <c r="GZ199" s="160">
        <f>IF([chambre3]*1='CHAMBRES GARCONS RDC'!$A$29,1,0)</f>
        <v>0</v>
      </c>
      <c r="HA199" s="160">
        <f>IF([Occurrence37]=0,0,SUM($GZ$2:GZ199))</f>
        <v>0</v>
      </c>
      <c r="HB199" s="160">
        <f>IF([chambre3]*1='CHAMBRES GARCONS RDC'!$A$35,1,0)</f>
        <v>0</v>
      </c>
      <c r="HC199" s="160">
        <f>IF([Occurrence38]=0,0,SUM($HB$2:HB199))</f>
        <v>0</v>
      </c>
      <c r="HD199" s="160">
        <f>IF([chambre3]*1='CHAMBRES GARCONS RDC'!$A$41,1,0)</f>
        <v>0</v>
      </c>
      <c r="HE199" s="160">
        <f>IF([Occurrence39]=0,0,SUM($HD$2:HD199))</f>
        <v>0</v>
      </c>
      <c r="HF199" s="160">
        <f>IF([chambre3]*1='CHAMBRES GARCONS RDC'!$A$47,1,0)</f>
        <v>0</v>
      </c>
      <c r="HG199" s="160">
        <f>IF([Occurrence40]=0,0,SUM($HF$2:HF199))</f>
        <v>0</v>
      </c>
      <c r="HH199" s="160">
        <f>IF([chambre3]*1='CHAMBRES GARCONS RDC'!$A$53,1,0)</f>
        <v>0</v>
      </c>
      <c r="HI199" s="160">
        <f>IF([Occurrence41]=0,0,SUM($HH$2:HH199))</f>
        <v>0</v>
      </c>
      <c r="HJ199" s="160">
        <f>IF([chambre3]*1='CHAMBRES GARCONS RDC'!$A$59,1,0)</f>
        <v>0</v>
      </c>
      <c r="HK199" s="160">
        <f>IF([Occurrence42]=0,0,SUM($HJ$2:HJ199))</f>
        <v>0</v>
      </c>
      <c r="HL199" s="160">
        <f>IF([chambre3]*1='CHAMBRES GARCONS RDC'!$A$65,1,0)</f>
        <v>0</v>
      </c>
      <c r="HM199" s="160">
        <f>IF([Occurrence43]=0,0,SUM($HL$2:HL199))</f>
        <v>0</v>
      </c>
      <c r="HN199" s="160">
        <f>IF([chambre3]*1='CHAMBRES GARCONS RDC'!$A$71,1,0)</f>
        <v>0</v>
      </c>
      <c r="HO199" s="160">
        <f>IF([Occurrence44]=0,0,SUM($HN$2:HN199))</f>
        <v>0</v>
      </c>
      <c r="HP199" s="160">
        <f>IF([chambre3]*1='CHAMBRES GARCONS RDC'!$A$77,1,0)</f>
        <v>0</v>
      </c>
      <c r="HQ199" s="160">
        <f>IF([Occurrence45]=0,0,SUM($HP$2:HP199))</f>
        <v>0</v>
      </c>
      <c r="HR199" s="160">
        <f>IF([chambre3]*1='CHAMBRES GARCONS RDC'!$A$83,1,0)</f>
        <v>0</v>
      </c>
      <c r="HS199" s="160">
        <f>IF([Occurrence46]=0,0,SUM($HR$2:HR199))</f>
        <v>0</v>
      </c>
      <c r="HT199" s="160">
        <f>IF([chambre3]*1='CHAMBRES GARCONS RDC'!$A$89,1,0)</f>
        <v>0</v>
      </c>
      <c r="HU199" s="160">
        <f>IF([Occurrence47]=0,0,SUM($HT$2:HT199))</f>
        <v>0</v>
      </c>
      <c r="HV199" s="160">
        <f>IF([chambre3]*1='CHAMBRES GARCONS RDC'!$A$95,1,0)</f>
        <v>0</v>
      </c>
      <c r="HW199" s="160">
        <f>IF([Occurrence48]=0,0,SUM($HV$2:HV199))</f>
        <v>0</v>
      </c>
      <c r="HX199" s="160"/>
      <c r="HY199" s="160"/>
      <c r="HZ199" s="160">
        <f>IF([Classe]='Liste élève par classes'!$B$5,1,0)</f>
        <v>0</v>
      </c>
      <c r="IA199" s="160">
        <f>IF([Occurrence]=0,0,SUM($HZ$2:HZ199))</f>
        <v>0</v>
      </c>
      <c r="IB19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199" s="208"/>
    </row>
    <row r="200" spans="1:237">
      <c r="A200" t="s">
        <v>574</v>
      </c>
      <c r="B200" t="s">
        <v>253</v>
      </c>
      <c r="C200" s="158">
        <v>36739</v>
      </c>
      <c r="D200" s="62">
        <f t="shared" ca="1" si="3"/>
        <v>17</v>
      </c>
      <c r="E200" t="s">
        <v>9</v>
      </c>
      <c r="F200" s="159" t="s">
        <v>50</v>
      </c>
      <c r="G200" t="s">
        <v>40</v>
      </c>
      <c r="H200" s="160"/>
      <c r="I200" s="161"/>
      <c r="J200" s="161"/>
      <c r="K200" s="161"/>
      <c r="L200" s="160"/>
      <c r="M200">
        <v>39</v>
      </c>
      <c r="N200" s="161"/>
      <c r="O200" s="161"/>
      <c r="P200" s="161"/>
      <c r="Q200" s="161"/>
      <c r="R200" s="161"/>
      <c r="S200" s="190"/>
      <c r="T200" s="161"/>
      <c r="U200" s="160"/>
      <c r="V200" s="161"/>
      <c r="W200" s="161"/>
      <c r="X200" s="161"/>
      <c r="Y200" s="161"/>
      <c r="Z200" s="161"/>
      <c r="AA200" s="161"/>
      <c r="AB200" s="161"/>
      <c r="AC200" s="161"/>
      <c r="AD200" s="161"/>
      <c r="AE200" s="161"/>
      <c r="AF200" s="163"/>
      <c r="AG200" s="163"/>
      <c r="AH200" s="163"/>
      <c r="AI200" s="163"/>
      <c r="AJ200" s="163"/>
      <c r="AK200" s="163"/>
      <c r="AL200" s="163"/>
      <c r="AM200" s="163"/>
      <c r="AN200" s="163"/>
      <c r="AO200" s="163"/>
      <c r="AP200" s="163"/>
      <c r="AQ200" s="163"/>
      <c r="AR200" s="163"/>
      <c r="AS200" s="163"/>
      <c r="AT200" s="163"/>
      <c r="AU200" s="163"/>
      <c r="AV200" s="163"/>
      <c r="AW200" s="163"/>
      <c r="AX200" s="163"/>
      <c r="AY200" s="163"/>
      <c r="AZ200" s="163"/>
      <c r="BA200" s="163"/>
      <c r="BB200" s="163"/>
      <c r="BC200" s="163" t="b">
        <v>0</v>
      </c>
      <c r="BD200" s="163" t="b">
        <v>1</v>
      </c>
      <c r="BE200" s="163" t="b">
        <v>1</v>
      </c>
      <c r="BF200" s="163" t="b">
        <v>0</v>
      </c>
      <c r="BG200" s="163" t="b">
        <v>1</v>
      </c>
      <c r="BH200" s="163" t="b">
        <v>0</v>
      </c>
      <c r="BI200" s="163"/>
      <c r="BJ200" s="163"/>
      <c r="BK200" s="163"/>
      <c r="BL200" s="163"/>
      <c r="BM200" s="163"/>
      <c r="BN200" s="163"/>
      <c r="BO200" s="163"/>
      <c r="BP200" s="163"/>
      <c r="BQ200" s="163" t="b">
        <v>0</v>
      </c>
      <c r="BR200" s="163"/>
      <c r="BS200" s="163"/>
      <c r="BT200" s="163"/>
      <c r="BU200" s="163"/>
      <c r="BV200" s="163"/>
      <c r="BW200" s="163"/>
      <c r="BX200" s="163"/>
      <c r="BY200" s="163"/>
      <c r="BZ200" s="163"/>
      <c r="CA200" s="163"/>
      <c r="CB200" s="163"/>
      <c r="CC200" s="163"/>
      <c r="CD200" s="163"/>
      <c r="CE200" s="163"/>
      <c r="CF200" s="163"/>
      <c r="CG200" s="163"/>
      <c r="CH200" s="163"/>
      <c r="CI200" s="163"/>
      <c r="CJ200" s="163"/>
      <c r="CK200" s="163"/>
      <c r="CL200" s="163"/>
      <c r="CM200" s="163"/>
      <c r="CN200" s="163"/>
      <c r="CO200" s="163"/>
      <c r="CP200" s="163"/>
      <c r="CQ200" s="163"/>
      <c r="CR200" s="163"/>
      <c r="CS200" s="163"/>
      <c r="CT200" s="163"/>
      <c r="CU200" s="163"/>
      <c r="CV200" s="163"/>
      <c r="CW200" s="163"/>
      <c r="CX200" s="163"/>
      <c r="CY200" s="163"/>
      <c r="CZ200" s="163"/>
      <c r="DA200" s="163">
        <v>106</v>
      </c>
      <c r="DB200" s="163"/>
      <c r="DC200" s="163"/>
      <c r="DD200" s="163"/>
      <c r="DE200" s="163"/>
      <c r="DF200" s="163"/>
      <c r="DG200" s="208"/>
      <c r="DH200" s="163"/>
      <c r="DI200" s="163"/>
      <c r="DJ200" s="163"/>
      <c r="DK200" s="163"/>
      <c r="DL200" s="163"/>
      <c r="DM200" s="163"/>
      <c r="DN200" s="163"/>
      <c r="DO200" s="163"/>
      <c r="DP200" s="163"/>
      <c r="DQ200" s="163"/>
      <c r="DR200" s="163"/>
      <c r="DS200" s="163"/>
      <c r="DT200" s="163"/>
      <c r="DU200" s="163"/>
      <c r="DV200" s="163"/>
      <c r="DW200" s="163"/>
      <c r="DX200" s="163"/>
      <c r="DY200" s="163"/>
      <c r="DZ200" s="163"/>
      <c r="EA200" s="163"/>
      <c r="EB200" s="163"/>
      <c r="EC200" s="163"/>
      <c r="ED200" s="163"/>
      <c r="EE200" s="163"/>
      <c r="EF200" s="163"/>
      <c r="EG200" s="163"/>
      <c r="EH200" s="160">
        <f>IF([Chambre]*1='CHAMBRES FILLES 2e ETAGE'!$A$5,1,0)</f>
        <v>0</v>
      </c>
      <c r="EI200" s="161">
        <f>IF([Occurrence2]=0,0,SUM($EH$2:EH200))</f>
        <v>0</v>
      </c>
      <c r="EJ200" s="160">
        <f>IF([Chambre]*1='CHAMBRES FILLES 2e ETAGE'!$A$11,1,0)</f>
        <v>0</v>
      </c>
      <c r="EK200" s="160">
        <f>IF([Occurrence3]=0,0,SUM($EJ$2:EJ200))</f>
        <v>0</v>
      </c>
      <c r="EL200" s="160">
        <f>IF([Chambre]*1='CHAMBRES FILLES 2e ETAGE'!$A$17,1,0)</f>
        <v>0</v>
      </c>
      <c r="EM200" s="160">
        <f>IF([Occurrence4]=0,0,SUM($EL$2:EL200))</f>
        <v>0</v>
      </c>
      <c r="EN200" s="160">
        <f>IF([Chambre]*1='CHAMBRES FILLES 2e ETAGE'!$A$23,1,0)</f>
        <v>0</v>
      </c>
      <c r="EO200" s="160">
        <f>IF([Occurrence5]=0,0,SUM($EN$2:EN200))</f>
        <v>0</v>
      </c>
      <c r="EP200" s="160">
        <f>IF([Chambre]*1='CHAMBRES FILLES 2e ETAGE'!$A$29,1,0)</f>
        <v>0</v>
      </c>
      <c r="EQ200" s="160">
        <f>IF([Occurrence6]=0,0,SUM($EP$2:EP200))</f>
        <v>0</v>
      </c>
      <c r="ER200" s="160">
        <f>IF([Chambre]*1='CHAMBRES FILLES 2e ETAGE'!$A$35,1,0)</f>
        <v>0</v>
      </c>
      <c r="ES200" s="160">
        <f>IF([Occurrence7]=0,0,SUM($ER$2:ER200))</f>
        <v>0</v>
      </c>
      <c r="ET200" s="160">
        <f>IF([Chambre]*1='CHAMBRES FILLES 2e ETAGE'!$A$41,1,0)</f>
        <v>0</v>
      </c>
      <c r="EU200" s="160">
        <f>IF([Occurrence8]=0,0,SUM($ET$2:ET200))</f>
        <v>0</v>
      </c>
      <c r="EV200" s="160">
        <f>IF([Chambre]*1='CHAMBRES FILLES 2e ETAGE'!$A$47,1,0)</f>
        <v>0</v>
      </c>
      <c r="EW200" s="160">
        <f>IF([Occurrence9]=0,0,SUM($EV$2:EV200))</f>
        <v>0</v>
      </c>
      <c r="EX200" s="160">
        <f>IF([Chambre]*1='CHAMBRES FILLES 2e ETAGE'!$A$53,1,0)</f>
        <v>0</v>
      </c>
      <c r="EY200" s="160">
        <f>IF([Occurrence10]=0,0,SUM($EX$2:EX200))</f>
        <v>0</v>
      </c>
      <c r="EZ200" s="160">
        <f>IF([Chambre]*1='CHAMBRES FILLES 2e ETAGE'!$A$59,1,0)</f>
        <v>0</v>
      </c>
      <c r="FA200" s="160">
        <f>IF([Occurrence11]=0,0,SUM($EZ$2:EZ200))</f>
        <v>0</v>
      </c>
      <c r="FB200" s="160">
        <f>IF([Chambre]*1='CHAMBRES FILLES 2e ETAGE'!$A$65,1,0)</f>
        <v>0</v>
      </c>
      <c r="FC200" s="160">
        <f>IF([Occurrence12]=0,0,SUM($FB$2:FB200))</f>
        <v>0</v>
      </c>
      <c r="FD200" s="160">
        <f>IF([Chambre]*1='CHAMBRES FILLES 2e ETAGE'!$A$71,1,0)</f>
        <v>0</v>
      </c>
      <c r="FE200" s="160">
        <f>IF([Occurrence13]=0,0,SUM($FD$2:FD200))</f>
        <v>0</v>
      </c>
      <c r="FF200" s="160">
        <f>IF([Chambre]*1='CHAMBRES FILLES 2e ETAGE'!$A$77,1,0)</f>
        <v>0</v>
      </c>
      <c r="FG200" s="160">
        <f>IF([Occurrence14]=0,0,SUM($FF$2:FF200))</f>
        <v>0</v>
      </c>
      <c r="FH200" s="160">
        <f>IF([Chambre]*1='CHAMBRES FILLES 2e ETAGE'!$A$83,1,0)</f>
        <v>0</v>
      </c>
      <c r="FI200" s="160">
        <f>IF([Occurrence15]=0,0,SUM($FH$2:FH200))</f>
        <v>0</v>
      </c>
      <c r="FJ200" s="160">
        <f>IF([Chambre]*1='CHAMBRES FILLES 2e ETAGE'!$A$89,1,0)</f>
        <v>0</v>
      </c>
      <c r="FK200" s="160">
        <f>IF([Occurrence16]=0,0,SUM($FJ$2:FJ200))</f>
        <v>0</v>
      </c>
      <c r="FL200" s="160">
        <f>IF([Chambre]*1='CHAMBRES FILLES 2e ETAGE'!$A$95,1,0)</f>
        <v>0</v>
      </c>
      <c r="FM200" s="160">
        <f>IF([Occurrence17]=0,0,SUM($FL$2:FL200))</f>
        <v>0</v>
      </c>
      <c r="FN200" s="160">
        <f>IF([Chambre2]*1='CHAMBRES FILLES 1e ETAGE'!$A$5,1,0)</f>
        <v>0</v>
      </c>
      <c r="FO200" s="160">
        <f>IF([Occurrence18]=0,0,SUM($FN$2:FN200))</f>
        <v>0</v>
      </c>
      <c r="FP200" s="160">
        <f>IF([Chambre2]*1='CHAMBRES FILLES 1e ETAGE'!$A$11,1,0)</f>
        <v>0</v>
      </c>
      <c r="FQ200" s="160">
        <f>IF([Occurrence19]=0,0,SUM($FP$2:FP200))</f>
        <v>0</v>
      </c>
      <c r="FR200" s="160">
        <f>IF([Chambre2]*1='CHAMBRES FILLES 1e ETAGE'!$A$17,1,0)</f>
        <v>0</v>
      </c>
      <c r="FS200" s="160">
        <f>IF([Occurrence20]=0,0,SUM($FR$2:FR200))</f>
        <v>0</v>
      </c>
      <c r="FT200" s="160">
        <f>IF([Chambre2]*1='CHAMBRES FILLES 1e ETAGE'!$A$23,1,0)</f>
        <v>0</v>
      </c>
      <c r="FU200" s="160">
        <f>IF([Occurrence21]=0,0,SUM($FT$2:FT200))</f>
        <v>0</v>
      </c>
      <c r="FV200" s="160">
        <f>IF([Chambre2]*1='CHAMBRES FILLES 1e ETAGE'!$A$29,1,0)</f>
        <v>0</v>
      </c>
      <c r="FW200" s="160">
        <f>IF([Occurrence22]=0,0,SUM($FV$2:FV200))</f>
        <v>0</v>
      </c>
      <c r="FX200" s="160">
        <f>IF([Chambre2]*1='CHAMBRES FILLES 1e ETAGE'!$A$35,1,0)</f>
        <v>0</v>
      </c>
      <c r="FY200" s="160">
        <f>IF([Occurrence23]=0,0,SUM($FX$2:FX200))</f>
        <v>0</v>
      </c>
      <c r="FZ200" s="160">
        <f>IF([Chambre2]*1='CHAMBRES FILLES 1e ETAGE'!$A$41,1,0)</f>
        <v>0</v>
      </c>
      <c r="GA200" s="160">
        <f>IF([Occurrence24]=0,0,SUM($FZ$2:FZ200))</f>
        <v>0</v>
      </c>
      <c r="GB200" s="160">
        <f>IF([Chambre2]*1='CHAMBRES FILLES 1e ETAGE'!$A$47,1,0)</f>
        <v>0</v>
      </c>
      <c r="GC200" s="160">
        <f>IF([Occurrence25]=0,0,SUM($GB$2:GB200))</f>
        <v>0</v>
      </c>
      <c r="GD200" s="160">
        <f>IF([Chambre2]*1='CHAMBRES FILLES 1e ETAGE'!$A$53,1,0)</f>
        <v>0</v>
      </c>
      <c r="GE200" s="160">
        <f>IF([Occurrence26]=0,0,SUM($GD$2:GD200))</f>
        <v>0</v>
      </c>
      <c r="GF200" s="160">
        <f>IF([chambre4]*1='CHAMBRES GARCONS 1e ETAGE'!$A$5,1,0)</f>
        <v>0</v>
      </c>
      <c r="GG200" s="160">
        <f>IF([Occurrence27]=0,0,SUM($GF$2:GF200))</f>
        <v>0</v>
      </c>
      <c r="GH200" s="160">
        <f>IF([chambre4]*1='CHAMBRES GARCONS 1e ETAGE'!$A$11,1,0)</f>
        <v>0</v>
      </c>
      <c r="GI200" s="160">
        <f>IF([Occurrence28]=0,0,SUM($GH$2:GH200))</f>
        <v>0</v>
      </c>
      <c r="GJ200" s="160">
        <f>IF([chambre4]*1='CHAMBRES GARCONS 1e ETAGE'!$A$17,1,0)</f>
        <v>0</v>
      </c>
      <c r="GK200" s="160">
        <f>IF([Occurrence29]=0,0,SUM($GJ$2:GJ200))</f>
        <v>0</v>
      </c>
      <c r="GL200" s="160">
        <f>IF([chambre4]*1='CHAMBRES GARCONS 1e ETAGE'!$A$23,1,0)</f>
        <v>0</v>
      </c>
      <c r="GM200" s="160">
        <f>IF([Occurrence30]=0,0,SUM($GL$2:GL200))</f>
        <v>0</v>
      </c>
      <c r="GN200" s="160">
        <f>IF([chambre4]*1='CHAMBRES GARCONS 1e ETAGE'!$A$29,1,0)</f>
        <v>0</v>
      </c>
      <c r="GO200" s="160">
        <f>IF([Occurrence31]=0,0,SUM($GN$2:GN200))</f>
        <v>0</v>
      </c>
      <c r="GP200" s="160">
        <f>IF([chambre4]*1='CHAMBRES GARCONS 1e ETAGE'!$A$35,1,0)</f>
        <v>0</v>
      </c>
      <c r="GQ200" s="160">
        <f>IF([Occurrence32]=0,0,SUM($GP$2:GP200))</f>
        <v>0</v>
      </c>
      <c r="GR200" s="160">
        <f>IF([chambre3]*1='CHAMBRES GARCONS RDC'!$A$5,1,0)</f>
        <v>0</v>
      </c>
      <c r="GS200" s="160">
        <f>IF([Occurrence33]=0,0,SUM($GR$2:GR200))</f>
        <v>0</v>
      </c>
      <c r="GT200" s="160">
        <f>IF([chambre3]*1='CHAMBRES GARCONS RDC'!$A$11,1,0)</f>
        <v>1</v>
      </c>
      <c r="GU200" s="160">
        <f>IF([Occurrence34]=0,0,SUM($GT$2:GT200))</f>
        <v>4</v>
      </c>
      <c r="GV200" s="160">
        <f>IF([chambre3]*1='CHAMBRES GARCONS RDC'!$A$17,1,0)</f>
        <v>0</v>
      </c>
      <c r="GW200" s="160">
        <f>IF([Occurrence35]=0,0,SUM($GV$2:GV200))</f>
        <v>0</v>
      </c>
      <c r="GX200" s="160">
        <f>IF([chambre3]*1='CHAMBRES GARCONS RDC'!$A$23,1,0)</f>
        <v>0</v>
      </c>
      <c r="GY200" s="160">
        <f>IF([Occurrence36]=0,0,SUM($GX$2:GX200))</f>
        <v>0</v>
      </c>
      <c r="GZ200" s="160">
        <f>IF([chambre3]*1='CHAMBRES GARCONS RDC'!$A$29,1,0)</f>
        <v>0</v>
      </c>
      <c r="HA200" s="160">
        <f>IF([Occurrence37]=0,0,SUM($GZ$2:GZ200))</f>
        <v>0</v>
      </c>
      <c r="HB200" s="160">
        <f>IF([chambre3]*1='CHAMBRES GARCONS RDC'!$A$35,1,0)</f>
        <v>0</v>
      </c>
      <c r="HC200" s="160">
        <f>IF([Occurrence38]=0,0,SUM($HB$2:HB200))</f>
        <v>0</v>
      </c>
      <c r="HD200" s="160">
        <f>IF([chambre3]*1='CHAMBRES GARCONS RDC'!$A$41,1,0)</f>
        <v>0</v>
      </c>
      <c r="HE200" s="160">
        <f>IF([Occurrence39]=0,0,SUM($HD$2:HD200))</f>
        <v>0</v>
      </c>
      <c r="HF200" s="160">
        <f>IF([chambre3]*1='CHAMBRES GARCONS RDC'!$A$47,1,0)</f>
        <v>0</v>
      </c>
      <c r="HG200" s="160">
        <f>IF([Occurrence40]=0,0,SUM($HF$2:HF200))</f>
        <v>0</v>
      </c>
      <c r="HH200" s="160">
        <f>IF([chambre3]*1='CHAMBRES GARCONS RDC'!$A$53,1,0)</f>
        <v>0</v>
      </c>
      <c r="HI200" s="160">
        <f>IF([Occurrence41]=0,0,SUM($HH$2:HH200))</f>
        <v>0</v>
      </c>
      <c r="HJ200" s="160">
        <f>IF([chambre3]*1='CHAMBRES GARCONS RDC'!$A$59,1,0)</f>
        <v>0</v>
      </c>
      <c r="HK200" s="160">
        <f>IF([Occurrence42]=0,0,SUM($HJ$2:HJ200))</f>
        <v>0</v>
      </c>
      <c r="HL200" s="160">
        <f>IF([chambre3]*1='CHAMBRES GARCONS RDC'!$A$65,1,0)</f>
        <v>0</v>
      </c>
      <c r="HM200" s="160">
        <f>IF([Occurrence43]=0,0,SUM($HL$2:HL200))</f>
        <v>0</v>
      </c>
      <c r="HN200" s="160">
        <f>IF([chambre3]*1='CHAMBRES GARCONS RDC'!$A$71,1,0)</f>
        <v>0</v>
      </c>
      <c r="HO200" s="160">
        <f>IF([Occurrence44]=0,0,SUM($HN$2:HN200))</f>
        <v>0</v>
      </c>
      <c r="HP200" s="160">
        <f>IF([chambre3]*1='CHAMBRES GARCONS RDC'!$A$77,1,0)</f>
        <v>0</v>
      </c>
      <c r="HQ200" s="160">
        <f>IF([Occurrence45]=0,0,SUM($HP$2:HP200))</f>
        <v>0</v>
      </c>
      <c r="HR200" s="160">
        <f>IF([chambre3]*1='CHAMBRES GARCONS RDC'!$A$83,1,0)</f>
        <v>0</v>
      </c>
      <c r="HS200" s="160">
        <f>IF([Occurrence46]=0,0,SUM($HR$2:HR200))</f>
        <v>0</v>
      </c>
      <c r="HT200" s="160">
        <f>IF([chambre3]*1='CHAMBRES GARCONS RDC'!$A$89,1,0)</f>
        <v>0</v>
      </c>
      <c r="HU200" s="160">
        <f>IF([Occurrence47]=0,0,SUM($HT$2:HT200))</f>
        <v>0</v>
      </c>
      <c r="HV200" s="160">
        <f>IF([chambre3]*1='CHAMBRES GARCONS RDC'!$A$95,1,0)</f>
        <v>0</v>
      </c>
      <c r="HW200" s="160">
        <f>IF([Occurrence48]=0,0,SUM($HV$2:HV200))</f>
        <v>0</v>
      </c>
      <c r="HX200" s="160"/>
      <c r="HY200" s="160"/>
      <c r="HZ200" s="160">
        <f>IF([Classe]='Liste élève par classes'!$B$5,1,0)</f>
        <v>0</v>
      </c>
      <c r="IA200" s="160">
        <f>IF([Occurrence]=0,0,SUM($HZ$2:HZ200))</f>
        <v>0</v>
      </c>
      <c r="IB20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106</v>
      </c>
      <c r="IC200" s="208"/>
    </row>
    <row r="201" spans="1:237">
      <c r="A201" t="s">
        <v>577</v>
      </c>
      <c r="B201" t="s">
        <v>360</v>
      </c>
      <c r="C201" s="158">
        <v>37595</v>
      </c>
      <c r="D201" s="62">
        <f t="shared" ca="1" si="3"/>
        <v>14</v>
      </c>
      <c r="E201" t="s">
        <v>7</v>
      </c>
      <c r="F201" s="159" t="s">
        <v>46</v>
      </c>
      <c r="G201" t="s">
        <v>40</v>
      </c>
      <c r="H201" s="160"/>
      <c r="I201" s="62"/>
      <c r="J201" s="62"/>
      <c r="K201" s="62"/>
      <c r="L201" s="61"/>
      <c r="M201">
        <v>19</v>
      </c>
      <c r="N201" s="62"/>
      <c r="O201" s="62"/>
      <c r="P201" s="62"/>
      <c r="Q201" s="62"/>
      <c r="R201" s="62"/>
      <c r="S201" s="62"/>
      <c r="T201" s="62"/>
      <c r="U201" s="61"/>
      <c r="V201" s="62"/>
      <c r="W201" s="62"/>
      <c r="X201" s="62"/>
      <c r="Y201" s="62"/>
      <c r="Z201" s="62"/>
      <c r="AA201" s="62"/>
      <c r="AB201" s="62"/>
      <c r="AC201" s="62"/>
      <c r="AD201" s="62"/>
      <c r="AE201" s="62"/>
      <c r="AF201" s="163"/>
      <c r="AG201" s="163"/>
      <c r="AH201" s="163"/>
      <c r="AI201" s="163"/>
      <c r="AJ201" s="163"/>
      <c r="AK201" s="163"/>
      <c r="AL201" s="163"/>
      <c r="AM201" s="163"/>
      <c r="AN201" s="163"/>
      <c r="AO201" s="163"/>
      <c r="AP201" s="163"/>
      <c r="AQ201" s="163"/>
      <c r="AR201" s="163"/>
      <c r="AS201" s="163"/>
      <c r="AT201" s="163"/>
      <c r="AU201" s="163"/>
      <c r="AV201" s="163"/>
      <c r="AW201" s="163"/>
      <c r="AX201" s="163"/>
      <c r="AY201" s="163"/>
      <c r="AZ201" s="163"/>
      <c r="BA201" s="163"/>
      <c r="BB201" s="163"/>
      <c r="BC201" s="163"/>
      <c r="BD201" s="163"/>
      <c r="BE201" s="163"/>
      <c r="BF201" s="163"/>
      <c r="BG201" s="163"/>
      <c r="BH201" s="163"/>
      <c r="BI201" s="163"/>
      <c r="BJ201" s="163"/>
      <c r="BK201" s="163"/>
      <c r="BL201" s="163"/>
      <c r="BM201" s="163"/>
      <c r="BN201" s="163"/>
      <c r="BO201" s="163"/>
      <c r="BP201" s="163"/>
      <c r="BQ201" s="163"/>
      <c r="BR201" s="163"/>
      <c r="BS201" s="163"/>
      <c r="BT201" s="163"/>
      <c r="BU201" s="163"/>
      <c r="BV201" s="163"/>
      <c r="BW201" s="163"/>
      <c r="BX201" s="163"/>
      <c r="BY201" s="163"/>
      <c r="BZ201" s="163"/>
      <c r="CA201" s="163"/>
      <c r="CB201" s="163"/>
      <c r="CC201" s="163"/>
      <c r="CD201" s="163"/>
      <c r="CE201" s="163"/>
      <c r="CF201" s="163"/>
      <c r="CG201" s="163"/>
      <c r="CH201" s="163"/>
      <c r="CI201" s="163"/>
      <c r="CJ201" s="163"/>
      <c r="CK201" s="163"/>
      <c r="CL201" s="163"/>
      <c r="CM201" s="163"/>
      <c r="CN201" s="163"/>
      <c r="CO201" s="163"/>
      <c r="CP201" s="163"/>
      <c r="CQ201" s="163"/>
      <c r="CR201" s="163"/>
      <c r="CS201" s="163"/>
      <c r="CT201" s="163"/>
      <c r="CU201" s="163"/>
      <c r="CV201" s="163"/>
      <c r="CW201" s="163"/>
      <c r="CX201" s="163"/>
      <c r="CY201" s="163"/>
      <c r="CZ201" s="163"/>
      <c r="DA201" s="163"/>
      <c r="DB201" s="163"/>
      <c r="DC201" s="163"/>
      <c r="DD201" s="163"/>
      <c r="DE201" s="163"/>
      <c r="DF201" s="163"/>
      <c r="DG201" s="163"/>
      <c r="DH201" s="163"/>
      <c r="DI201" s="163"/>
      <c r="DJ201" s="163"/>
      <c r="DK201" s="163"/>
      <c r="DL201" s="163"/>
      <c r="DM201" s="163"/>
      <c r="DN201" s="163"/>
      <c r="DO201" s="163"/>
      <c r="DP201" s="163"/>
      <c r="DQ201" s="163"/>
      <c r="DR201" s="163"/>
      <c r="DS201" s="163"/>
      <c r="DT201" s="163"/>
      <c r="DU201" s="163"/>
      <c r="DV201" s="163"/>
      <c r="DW201" s="163"/>
      <c r="DX201" s="163"/>
      <c r="DY201" s="163"/>
      <c r="DZ201" s="163"/>
      <c r="EA201" s="163"/>
      <c r="EB201" s="163"/>
      <c r="EC201" s="163"/>
      <c r="ED201" s="163"/>
      <c r="EE201" s="163"/>
      <c r="EF201" s="163"/>
      <c r="EG201" s="163"/>
      <c r="EH201" s="160">
        <f>IF([Chambre]*1='CHAMBRES FILLES 2e ETAGE'!$A$5,1,0)</f>
        <v>0</v>
      </c>
      <c r="EI201" s="161">
        <f>IF([Occurrence2]=0,0,SUM($EH$2:EH201))</f>
        <v>0</v>
      </c>
      <c r="EJ201" s="160">
        <f>IF([Chambre]*1='CHAMBRES FILLES 2e ETAGE'!$A$11,1,0)</f>
        <v>0</v>
      </c>
      <c r="EK201" s="160">
        <f>IF([Occurrence3]=0,0,SUM($EJ$2:EJ201))</f>
        <v>0</v>
      </c>
      <c r="EL201" s="160">
        <f>IF([Chambre]*1='CHAMBRES FILLES 2e ETAGE'!$A$17,1,0)</f>
        <v>0</v>
      </c>
      <c r="EM201" s="160">
        <f>IF([Occurrence4]=0,0,SUM($EL$2:EL201))</f>
        <v>0</v>
      </c>
      <c r="EN201" s="160">
        <f>IF([Chambre]*1='CHAMBRES FILLES 2e ETAGE'!$A$23,1,0)</f>
        <v>0</v>
      </c>
      <c r="EO201" s="160">
        <f>IF([Occurrence5]=0,0,SUM($EN$2:EN201))</f>
        <v>0</v>
      </c>
      <c r="EP201" s="160">
        <f>IF([Chambre]*1='CHAMBRES FILLES 2e ETAGE'!$A$29,1,0)</f>
        <v>0</v>
      </c>
      <c r="EQ201" s="160">
        <f>IF([Occurrence6]=0,0,SUM($EP$2:EP201))</f>
        <v>0</v>
      </c>
      <c r="ER201" s="160">
        <f>IF([Chambre]*1='CHAMBRES FILLES 2e ETAGE'!$A$35,1,0)</f>
        <v>0</v>
      </c>
      <c r="ES201" s="160">
        <f>IF([Occurrence7]=0,0,SUM($ER$2:ER201))</f>
        <v>0</v>
      </c>
      <c r="ET201" s="160">
        <f>IF([Chambre]*1='CHAMBRES FILLES 2e ETAGE'!$A$41,1,0)</f>
        <v>0</v>
      </c>
      <c r="EU201" s="160">
        <f>IF([Occurrence8]=0,0,SUM($ET$2:ET201))</f>
        <v>0</v>
      </c>
      <c r="EV201" s="160">
        <f>IF([Chambre]*1='CHAMBRES FILLES 2e ETAGE'!$A$47,1,0)</f>
        <v>0</v>
      </c>
      <c r="EW201" s="160">
        <f>IF([Occurrence9]=0,0,SUM($EV$2:EV201))</f>
        <v>0</v>
      </c>
      <c r="EX201" s="160">
        <f>IF([Chambre]*1='CHAMBRES FILLES 2e ETAGE'!$A$53,1,0)</f>
        <v>0</v>
      </c>
      <c r="EY201" s="160">
        <f>IF([Occurrence10]=0,0,SUM($EX$2:EX201))</f>
        <v>0</v>
      </c>
      <c r="EZ201" s="160">
        <f>IF([Chambre]*1='CHAMBRES FILLES 2e ETAGE'!$A$59,1,0)</f>
        <v>0</v>
      </c>
      <c r="FA201" s="160">
        <f>IF([Occurrence11]=0,0,SUM($EZ$2:EZ201))</f>
        <v>0</v>
      </c>
      <c r="FB201" s="160">
        <f>IF([Chambre]*1='CHAMBRES FILLES 2e ETAGE'!$A$65,1,0)</f>
        <v>0</v>
      </c>
      <c r="FC201" s="160">
        <f>IF([Occurrence12]=0,0,SUM($FB$2:FB201))</f>
        <v>0</v>
      </c>
      <c r="FD201" s="160">
        <f>IF([Chambre]*1='CHAMBRES FILLES 2e ETAGE'!$A$71,1,0)</f>
        <v>0</v>
      </c>
      <c r="FE201" s="160">
        <f>IF([Occurrence13]=0,0,SUM($FD$2:FD201))</f>
        <v>0</v>
      </c>
      <c r="FF201" s="160">
        <f>IF([Chambre]*1='CHAMBRES FILLES 2e ETAGE'!$A$77,1,0)</f>
        <v>0</v>
      </c>
      <c r="FG201" s="160">
        <f>IF([Occurrence14]=0,0,SUM($FF$2:FF201))</f>
        <v>0</v>
      </c>
      <c r="FH201" s="160">
        <f>IF([Chambre]*1='CHAMBRES FILLES 2e ETAGE'!$A$83,1,0)</f>
        <v>0</v>
      </c>
      <c r="FI201" s="160">
        <f>IF([Occurrence15]=0,0,SUM($FH$2:FH201))</f>
        <v>0</v>
      </c>
      <c r="FJ201" s="160">
        <f>IF([Chambre]*1='CHAMBRES FILLES 2e ETAGE'!$A$89,1,0)</f>
        <v>0</v>
      </c>
      <c r="FK201" s="160">
        <f>IF([Occurrence16]=0,0,SUM($FJ$2:FJ201))</f>
        <v>0</v>
      </c>
      <c r="FL201" s="160">
        <f>IF([Chambre]*1='CHAMBRES FILLES 2e ETAGE'!$A$95,1,0)</f>
        <v>0</v>
      </c>
      <c r="FM201" s="160">
        <f>IF([Occurrence17]=0,0,SUM($FL$2:FL201))</f>
        <v>0</v>
      </c>
      <c r="FN201" s="160">
        <f>IF([Chambre2]*1='CHAMBRES FILLES 1e ETAGE'!$A$5,1,0)</f>
        <v>0</v>
      </c>
      <c r="FO201" s="160">
        <f>IF([Occurrence18]=0,0,SUM($FN$2:FN201))</f>
        <v>0</v>
      </c>
      <c r="FP201" s="160">
        <f>IF([Chambre2]*1='CHAMBRES FILLES 1e ETAGE'!$A$11,1,0)</f>
        <v>0</v>
      </c>
      <c r="FQ201" s="160">
        <f>IF([Occurrence19]=0,0,SUM($FP$2:FP201))</f>
        <v>0</v>
      </c>
      <c r="FR201" s="160">
        <f>IF([Chambre2]*1='CHAMBRES FILLES 1e ETAGE'!$A$17,1,0)</f>
        <v>0</v>
      </c>
      <c r="FS201" s="160">
        <f>IF([Occurrence20]=0,0,SUM($FR$2:FR201))</f>
        <v>0</v>
      </c>
      <c r="FT201" s="160">
        <f>IF([Chambre2]*1='CHAMBRES FILLES 1e ETAGE'!$A$23,1,0)</f>
        <v>0</v>
      </c>
      <c r="FU201" s="160">
        <f>IF([Occurrence21]=0,0,SUM($FT$2:FT201))</f>
        <v>0</v>
      </c>
      <c r="FV201" s="160">
        <f>IF([Chambre2]*1='CHAMBRES FILLES 1e ETAGE'!$A$29,1,0)</f>
        <v>0</v>
      </c>
      <c r="FW201" s="160">
        <f>IF([Occurrence22]=0,0,SUM($FV$2:FV201))</f>
        <v>0</v>
      </c>
      <c r="FX201" s="160">
        <f>IF([Chambre2]*1='CHAMBRES FILLES 1e ETAGE'!$A$35,1,0)</f>
        <v>0</v>
      </c>
      <c r="FY201" s="160">
        <f>IF([Occurrence23]=0,0,SUM($FX$2:FX201))</f>
        <v>0</v>
      </c>
      <c r="FZ201" s="160">
        <f>IF([Chambre2]*1='CHAMBRES FILLES 1e ETAGE'!$A$41,1,0)</f>
        <v>0</v>
      </c>
      <c r="GA201" s="160">
        <f>IF([Occurrence24]=0,0,SUM($FZ$2:FZ201))</f>
        <v>0</v>
      </c>
      <c r="GB201" s="160">
        <f>IF([Chambre2]*1='CHAMBRES FILLES 1e ETAGE'!$A$47,1,0)</f>
        <v>0</v>
      </c>
      <c r="GC201" s="160">
        <f>IF([Occurrence25]=0,0,SUM($GB$2:GB201))</f>
        <v>0</v>
      </c>
      <c r="GD201" s="160">
        <f>IF([Chambre2]*1='CHAMBRES FILLES 1e ETAGE'!$A$53,1,0)</f>
        <v>0</v>
      </c>
      <c r="GE201" s="160">
        <f>IF([Occurrence26]=0,0,SUM($GD$2:GD201))</f>
        <v>0</v>
      </c>
      <c r="GF201" s="160">
        <f>IF([chambre4]*1='CHAMBRES GARCONS 1e ETAGE'!$A$5,1,0)</f>
        <v>0</v>
      </c>
      <c r="GG201" s="160">
        <f>IF([Occurrence27]=0,0,SUM($GF$2:GF201))</f>
        <v>0</v>
      </c>
      <c r="GH201" s="160">
        <f>IF([chambre4]*1='CHAMBRES GARCONS 1e ETAGE'!$A$11,1,0)</f>
        <v>0</v>
      </c>
      <c r="GI201" s="160">
        <f>IF([Occurrence28]=0,0,SUM($GH$2:GH201))</f>
        <v>0</v>
      </c>
      <c r="GJ201" s="160">
        <f>IF([chambre4]*1='CHAMBRES GARCONS 1e ETAGE'!$A$17,1,0)</f>
        <v>0</v>
      </c>
      <c r="GK201" s="160">
        <f>IF([Occurrence29]=0,0,SUM($GJ$2:GJ201))</f>
        <v>0</v>
      </c>
      <c r="GL201" s="160">
        <f>IF([chambre4]*1='CHAMBRES GARCONS 1e ETAGE'!$A$23,1,0)</f>
        <v>0</v>
      </c>
      <c r="GM201" s="160">
        <f>IF([Occurrence30]=0,0,SUM($GL$2:GL201))</f>
        <v>0</v>
      </c>
      <c r="GN201" s="160">
        <f>IF([chambre4]*1='CHAMBRES GARCONS 1e ETAGE'!$A$29,1,0)</f>
        <v>0</v>
      </c>
      <c r="GO201" s="160">
        <f>IF([Occurrence31]=0,0,SUM($GN$2:GN201))</f>
        <v>0</v>
      </c>
      <c r="GP201" s="160">
        <f>IF([chambre4]*1='CHAMBRES GARCONS 1e ETAGE'!$A$35,1,0)</f>
        <v>0</v>
      </c>
      <c r="GQ201" s="160">
        <f>IF([Occurrence32]=0,0,SUM($GP$2:GP201))</f>
        <v>0</v>
      </c>
      <c r="GR201" s="160">
        <f>IF([chambre3]*1='CHAMBRES GARCONS RDC'!$A$5,1,0)</f>
        <v>0</v>
      </c>
      <c r="GS201" s="160">
        <f>IF([Occurrence33]=0,0,SUM($GR$2:GR201))</f>
        <v>0</v>
      </c>
      <c r="GT201" s="160">
        <f>IF([chambre3]*1='CHAMBRES GARCONS RDC'!$A$11,1,0)</f>
        <v>0</v>
      </c>
      <c r="GU201" s="160">
        <f>IF([Occurrence34]=0,0,SUM($GT$2:GT201))</f>
        <v>0</v>
      </c>
      <c r="GV201" s="160">
        <f>IF([chambre3]*1='CHAMBRES GARCONS RDC'!$A$17,1,0)</f>
        <v>0</v>
      </c>
      <c r="GW201" s="160">
        <f>IF([Occurrence35]=0,0,SUM($GV$2:GV201))</f>
        <v>0</v>
      </c>
      <c r="GX201" s="160">
        <f>IF([chambre3]*1='CHAMBRES GARCONS RDC'!$A$23,1,0)</f>
        <v>0</v>
      </c>
      <c r="GY201" s="160">
        <f>IF([Occurrence36]=0,0,SUM($GX$2:GX201))</f>
        <v>0</v>
      </c>
      <c r="GZ201" s="160">
        <f>IF([chambre3]*1='CHAMBRES GARCONS RDC'!$A$29,1,0)</f>
        <v>0</v>
      </c>
      <c r="HA201" s="160">
        <f>IF([Occurrence37]=0,0,SUM($GZ$2:GZ201))</f>
        <v>0</v>
      </c>
      <c r="HB201" s="160">
        <f>IF([chambre3]*1='CHAMBRES GARCONS RDC'!$A$35,1,0)</f>
        <v>0</v>
      </c>
      <c r="HC201" s="160">
        <f>IF([Occurrence38]=0,0,SUM($HB$2:HB201))</f>
        <v>0</v>
      </c>
      <c r="HD201" s="160">
        <f>IF([chambre3]*1='CHAMBRES GARCONS RDC'!$A$41,1,0)</f>
        <v>0</v>
      </c>
      <c r="HE201" s="160">
        <f>IF([Occurrence39]=0,0,SUM($HD$2:HD201))</f>
        <v>0</v>
      </c>
      <c r="HF201" s="160">
        <f>IF([chambre3]*1='CHAMBRES GARCONS RDC'!$A$47,1,0)</f>
        <v>0</v>
      </c>
      <c r="HG201" s="160">
        <f>IF([Occurrence40]=0,0,SUM($HF$2:HF201))</f>
        <v>0</v>
      </c>
      <c r="HH201" s="160">
        <f>IF([chambre3]*1='CHAMBRES GARCONS RDC'!$A$53,1,0)</f>
        <v>0</v>
      </c>
      <c r="HI201" s="160">
        <f>IF([Occurrence41]=0,0,SUM($HH$2:HH201))</f>
        <v>0</v>
      </c>
      <c r="HJ201" s="160">
        <f>IF([chambre3]*1='CHAMBRES GARCONS RDC'!$A$59,1,0)</f>
        <v>0</v>
      </c>
      <c r="HK201" s="160">
        <f>IF([Occurrence42]=0,0,SUM($HJ$2:HJ201))</f>
        <v>0</v>
      </c>
      <c r="HL201" s="160">
        <f>IF([chambre3]*1='CHAMBRES GARCONS RDC'!$A$65,1,0)</f>
        <v>0</v>
      </c>
      <c r="HM201" s="160">
        <f>IF([Occurrence43]=0,0,SUM($HL$2:HL201))</f>
        <v>0</v>
      </c>
      <c r="HN201" s="160">
        <f>IF([chambre3]*1='CHAMBRES GARCONS RDC'!$A$71,1,0)</f>
        <v>0</v>
      </c>
      <c r="HO201" s="160">
        <f>IF([Occurrence44]=0,0,SUM($HN$2:HN201))</f>
        <v>0</v>
      </c>
      <c r="HP201" s="160">
        <f>IF([chambre3]*1='CHAMBRES GARCONS RDC'!$A$77,1,0)</f>
        <v>0</v>
      </c>
      <c r="HQ201" s="160">
        <f>IF([Occurrence45]=0,0,SUM($HP$2:HP201))</f>
        <v>0</v>
      </c>
      <c r="HR201" s="160">
        <f>IF([chambre3]*1='CHAMBRES GARCONS RDC'!$A$83,1,0)</f>
        <v>0</v>
      </c>
      <c r="HS201" s="160">
        <f>IF([Occurrence46]=0,0,SUM($HR$2:HR201))</f>
        <v>0</v>
      </c>
      <c r="HT201" s="160">
        <f>IF([chambre3]*1='CHAMBRES GARCONS RDC'!$A$89,1,0)</f>
        <v>0</v>
      </c>
      <c r="HU201" s="160">
        <f>IF([Occurrence47]=0,0,SUM($HT$2:HT201))</f>
        <v>0</v>
      </c>
      <c r="HV201" s="160">
        <f>IF([chambre3]*1='CHAMBRES GARCONS RDC'!$A$95,1,0)</f>
        <v>0</v>
      </c>
      <c r="HW201" s="160">
        <f>IF([Occurrence48]=0,0,SUM($HV$2:HV201))</f>
        <v>0</v>
      </c>
      <c r="HX201" s="160"/>
      <c r="HY201" s="160"/>
      <c r="HZ201" s="160">
        <f>IF([Classe]='Liste élève par classes'!$B$5,1,0)</f>
        <v>0</v>
      </c>
      <c r="IA201" s="160">
        <f>IF([Occurrence]=0,0,SUM($HZ$2:HZ201))</f>
        <v>0</v>
      </c>
      <c r="IB20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01" s="208"/>
    </row>
    <row r="202" spans="1:237" ht="15.75">
      <c r="A202" t="s">
        <v>578</v>
      </c>
      <c r="B202" t="s">
        <v>505</v>
      </c>
      <c r="C202" s="158">
        <v>35662</v>
      </c>
      <c r="D202" s="62">
        <f t="shared" ca="1" si="3"/>
        <v>20</v>
      </c>
      <c r="E202" t="s">
        <v>14</v>
      </c>
      <c r="F202" s="159" t="s">
        <v>46</v>
      </c>
      <c r="G202" t="s">
        <v>45</v>
      </c>
      <c r="H202" s="160"/>
      <c r="I202" s="62"/>
      <c r="J202" s="167"/>
      <c r="K202" s="168"/>
      <c r="L202" s="61"/>
      <c r="M202"/>
      <c r="N202" s="62"/>
      <c r="O202" s="62"/>
      <c r="P202" s="62"/>
      <c r="Q202" s="62"/>
      <c r="R202" s="62"/>
      <c r="S202" s="62"/>
      <c r="T202" s="62"/>
      <c r="U202" s="61"/>
      <c r="V202" s="62"/>
      <c r="W202" s="62"/>
      <c r="X202" s="62"/>
      <c r="Y202" s="62"/>
      <c r="Z202" s="62"/>
      <c r="AA202" s="62"/>
      <c r="AB202" s="62"/>
      <c r="AC202" s="62"/>
      <c r="AD202" s="62"/>
      <c r="AE202" s="62"/>
      <c r="AF202" s="163"/>
      <c r="AG202" s="163"/>
      <c r="AH202" s="163"/>
      <c r="AI202" s="163"/>
      <c r="AJ202" s="163"/>
      <c r="AK202" s="163"/>
      <c r="AL202" s="163"/>
      <c r="AM202" s="163"/>
      <c r="AN202" s="163"/>
      <c r="AO202" s="163"/>
      <c r="AP202" s="163"/>
      <c r="AQ202" s="163"/>
      <c r="AR202" s="163"/>
      <c r="AS202" s="163"/>
      <c r="AT202" s="163"/>
      <c r="AU202" s="163"/>
      <c r="AV202" s="163"/>
      <c r="AW202" s="163"/>
      <c r="AX202" s="163"/>
      <c r="AY202" s="163"/>
      <c r="AZ202" s="163"/>
      <c r="BA202" s="163"/>
      <c r="BB202" s="163"/>
      <c r="BC202" s="163"/>
      <c r="BD202" s="163"/>
      <c r="BE202" s="163"/>
      <c r="BF202" s="163"/>
      <c r="BG202" s="163"/>
      <c r="BH202" s="163"/>
      <c r="BI202" s="163"/>
      <c r="BJ202" s="163"/>
      <c r="BK202" s="163"/>
      <c r="BL202" s="163"/>
      <c r="BM202" s="163"/>
      <c r="BN202" s="163"/>
      <c r="BO202" s="163"/>
      <c r="BP202" s="163"/>
      <c r="BQ202" s="163"/>
      <c r="BR202" s="163"/>
      <c r="BS202" s="163"/>
      <c r="BT202" s="163"/>
      <c r="BU202" s="163"/>
      <c r="BV202" s="163"/>
      <c r="BW202" s="163"/>
      <c r="BX202" s="163"/>
      <c r="BY202" s="163"/>
      <c r="BZ202" s="163"/>
      <c r="CA202" s="163"/>
      <c r="CB202" s="163"/>
      <c r="CC202" s="163"/>
      <c r="CD202" s="163"/>
      <c r="CE202" s="163"/>
      <c r="CF202" s="163"/>
      <c r="CG202" s="163"/>
      <c r="CH202" s="163"/>
      <c r="CI202" s="163"/>
      <c r="CJ202" s="163"/>
      <c r="CK202" s="163"/>
      <c r="CL202" s="163"/>
      <c r="CM202" s="163"/>
      <c r="CN202" s="163"/>
      <c r="CO202" s="163"/>
      <c r="CP202" s="163"/>
      <c r="CQ202" s="163"/>
      <c r="CR202" s="163"/>
      <c r="CS202" s="163"/>
      <c r="CT202" s="163"/>
      <c r="CU202" s="163"/>
      <c r="CV202" s="163"/>
      <c r="CW202" s="163"/>
      <c r="CX202" s="163"/>
      <c r="CY202" s="163"/>
      <c r="CZ202" s="163"/>
      <c r="DA202" s="163"/>
      <c r="DB202" s="163"/>
      <c r="DC202" s="163"/>
      <c r="DD202" s="163"/>
      <c r="DE202" s="163"/>
      <c r="DF202" s="163"/>
      <c r="DG202" s="163"/>
      <c r="DH202" s="163"/>
      <c r="DI202" s="163"/>
      <c r="DJ202" s="163"/>
      <c r="DK202" s="163"/>
      <c r="DL202" s="163"/>
      <c r="DM202" s="163"/>
      <c r="DN202" s="163"/>
      <c r="DO202" s="163"/>
      <c r="DP202" s="163"/>
      <c r="DQ202" s="163"/>
      <c r="DR202" s="163"/>
      <c r="DS202" s="163"/>
      <c r="DT202" s="163"/>
      <c r="DU202" s="163"/>
      <c r="DV202" s="163"/>
      <c r="DW202" s="163"/>
      <c r="DX202" s="163"/>
      <c r="DY202" s="163"/>
      <c r="DZ202" s="163"/>
      <c r="EA202" s="163"/>
      <c r="EB202" s="163"/>
      <c r="EC202" s="163"/>
      <c r="ED202" s="163"/>
      <c r="EE202" s="163"/>
      <c r="EF202" s="163"/>
      <c r="EG202" s="163"/>
      <c r="EH202" s="160">
        <f>IF([Chambre]*1='CHAMBRES FILLES 2e ETAGE'!$A$5,1,0)</f>
        <v>0</v>
      </c>
      <c r="EI202" s="161">
        <f>IF([Occurrence2]=0,0,SUM($EH$2:EH202))</f>
        <v>0</v>
      </c>
      <c r="EJ202" s="160">
        <f>IF([Chambre]*1='CHAMBRES FILLES 2e ETAGE'!$A$11,1,0)</f>
        <v>0</v>
      </c>
      <c r="EK202" s="160">
        <f>IF([Occurrence3]=0,0,SUM($EJ$2:EJ202))</f>
        <v>0</v>
      </c>
      <c r="EL202" s="160">
        <f>IF([Chambre]*1='CHAMBRES FILLES 2e ETAGE'!$A$17,1,0)</f>
        <v>0</v>
      </c>
      <c r="EM202" s="160">
        <f>IF([Occurrence4]=0,0,SUM($EL$2:EL202))</f>
        <v>0</v>
      </c>
      <c r="EN202" s="160">
        <f>IF([Chambre]*1='CHAMBRES FILLES 2e ETAGE'!$A$23,1,0)</f>
        <v>0</v>
      </c>
      <c r="EO202" s="160">
        <f>IF([Occurrence5]=0,0,SUM($EN$2:EN202))</f>
        <v>0</v>
      </c>
      <c r="EP202" s="160">
        <f>IF([Chambre]*1='CHAMBRES FILLES 2e ETAGE'!$A$29,1,0)</f>
        <v>0</v>
      </c>
      <c r="EQ202" s="160">
        <f>IF([Occurrence6]=0,0,SUM($EP$2:EP202))</f>
        <v>0</v>
      </c>
      <c r="ER202" s="160">
        <f>IF([Chambre]*1='CHAMBRES FILLES 2e ETAGE'!$A$35,1,0)</f>
        <v>0</v>
      </c>
      <c r="ES202" s="160">
        <f>IF([Occurrence7]=0,0,SUM($ER$2:ER202))</f>
        <v>0</v>
      </c>
      <c r="ET202" s="160">
        <f>IF([Chambre]*1='CHAMBRES FILLES 2e ETAGE'!$A$41,1,0)</f>
        <v>0</v>
      </c>
      <c r="EU202" s="160">
        <f>IF([Occurrence8]=0,0,SUM($ET$2:ET202))</f>
        <v>0</v>
      </c>
      <c r="EV202" s="160">
        <f>IF([Chambre]*1='CHAMBRES FILLES 2e ETAGE'!$A$47,1,0)</f>
        <v>0</v>
      </c>
      <c r="EW202" s="160">
        <f>IF([Occurrence9]=0,0,SUM($EV$2:EV202))</f>
        <v>0</v>
      </c>
      <c r="EX202" s="160">
        <f>IF([Chambre]*1='CHAMBRES FILLES 2e ETAGE'!$A$53,1,0)</f>
        <v>0</v>
      </c>
      <c r="EY202" s="160">
        <f>IF([Occurrence10]=0,0,SUM($EX$2:EX202))</f>
        <v>0</v>
      </c>
      <c r="EZ202" s="160">
        <f>IF([Chambre]*1='CHAMBRES FILLES 2e ETAGE'!$A$59,1,0)</f>
        <v>0</v>
      </c>
      <c r="FA202" s="160">
        <f>IF([Occurrence11]=0,0,SUM($EZ$2:EZ202))</f>
        <v>0</v>
      </c>
      <c r="FB202" s="160">
        <f>IF([Chambre]*1='CHAMBRES FILLES 2e ETAGE'!$A$65,1,0)</f>
        <v>0</v>
      </c>
      <c r="FC202" s="160">
        <f>IF([Occurrence12]=0,0,SUM($FB$2:FB202))</f>
        <v>0</v>
      </c>
      <c r="FD202" s="160">
        <f>IF([Chambre]*1='CHAMBRES FILLES 2e ETAGE'!$A$71,1,0)</f>
        <v>0</v>
      </c>
      <c r="FE202" s="160">
        <f>IF([Occurrence13]=0,0,SUM($FD$2:FD202))</f>
        <v>0</v>
      </c>
      <c r="FF202" s="160">
        <f>IF([Chambre]*1='CHAMBRES FILLES 2e ETAGE'!$A$77,1,0)</f>
        <v>0</v>
      </c>
      <c r="FG202" s="160">
        <f>IF([Occurrence14]=0,0,SUM($FF$2:FF202))</f>
        <v>0</v>
      </c>
      <c r="FH202" s="160">
        <f>IF([Chambre]*1='CHAMBRES FILLES 2e ETAGE'!$A$83,1,0)</f>
        <v>0</v>
      </c>
      <c r="FI202" s="160">
        <f>IF([Occurrence15]=0,0,SUM($FH$2:FH202))</f>
        <v>0</v>
      </c>
      <c r="FJ202" s="160">
        <f>IF([Chambre]*1='CHAMBRES FILLES 2e ETAGE'!$A$89,1,0)</f>
        <v>0</v>
      </c>
      <c r="FK202" s="160">
        <f>IF([Occurrence16]=0,0,SUM($FJ$2:FJ202))</f>
        <v>0</v>
      </c>
      <c r="FL202" s="160">
        <f>IF([Chambre]*1='CHAMBRES FILLES 2e ETAGE'!$A$95,1,0)</f>
        <v>0</v>
      </c>
      <c r="FM202" s="160">
        <f>IF([Occurrence17]=0,0,SUM($FL$2:FL202))</f>
        <v>0</v>
      </c>
      <c r="FN202" s="160">
        <f>IF([Chambre2]*1='CHAMBRES FILLES 1e ETAGE'!$A$5,1,0)</f>
        <v>0</v>
      </c>
      <c r="FO202" s="160">
        <f>IF([Occurrence18]=0,0,SUM($FN$2:FN202))</f>
        <v>0</v>
      </c>
      <c r="FP202" s="160">
        <f>IF([Chambre2]*1='CHAMBRES FILLES 1e ETAGE'!$A$11,1,0)</f>
        <v>0</v>
      </c>
      <c r="FQ202" s="160">
        <f>IF([Occurrence19]=0,0,SUM($FP$2:FP202))</f>
        <v>0</v>
      </c>
      <c r="FR202" s="160">
        <f>IF([Chambre2]*1='CHAMBRES FILLES 1e ETAGE'!$A$17,1,0)</f>
        <v>0</v>
      </c>
      <c r="FS202" s="160">
        <f>IF([Occurrence20]=0,0,SUM($FR$2:FR202))</f>
        <v>0</v>
      </c>
      <c r="FT202" s="160">
        <f>IF([Chambre2]*1='CHAMBRES FILLES 1e ETAGE'!$A$23,1,0)</f>
        <v>0</v>
      </c>
      <c r="FU202" s="160">
        <f>IF([Occurrence21]=0,0,SUM($FT$2:FT202))</f>
        <v>0</v>
      </c>
      <c r="FV202" s="160">
        <f>IF([Chambre2]*1='CHAMBRES FILLES 1e ETAGE'!$A$29,1,0)</f>
        <v>0</v>
      </c>
      <c r="FW202" s="160">
        <f>IF([Occurrence22]=0,0,SUM($FV$2:FV202))</f>
        <v>0</v>
      </c>
      <c r="FX202" s="160">
        <f>IF([Chambre2]*1='CHAMBRES FILLES 1e ETAGE'!$A$35,1,0)</f>
        <v>0</v>
      </c>
      <c r="FY202" s="160">
        <f>IF([Occurrence23]=0,0,SUM($FX$2:FX202))</f>
        <v>0</v>
      </c>
      <c r="FZ202" s="160">
        <f>IF([Chambre2]*1='CHAMBRES FILLES 1e ETAGE'!$A$41,1,0)</f>
        <v>0</v>
      </c>
      <c r="GA202" s="160">
        <f>IF([Occurrence24]=0,0,SUM($FZ$2:FZ202))</f>
        <v>0</v>
      </c>
      <c r="GB202" s="160">
        <f>IF([Chambre2]*1='CHAMBRES FILLES 1e ETAGE'!$A$47,1,0)</f>
        <v>0</v>
      </c>
      <c r="GC202" s="160">
        <f>IF([Occurrence25]=0,0,SUM($GB$2:GB202))</f>
        <v>0</v>
      </c>
      <c r="GD202" s="160">
        <f>IF([Chambre2]*1='CHAMBRES FILLES 1e ETAGE'!$A$53,1,0)</f>
        <v>0</v>
      </c>
      <c r="GE202" s="160">
        <f>IF([Occurrence26]=0,0,SUM($GD$2:GD202))</f>
        <v>0</v>
      </c>
      <c r="GF202" s="160">
        <f>IF([chambre4]*1='CHAMBRES GARCONS 1e ETAGE'!$A$5,1,0)</f>
        <v>0</v>
      </c>
      <c r="GG202" s="160">
        <f>IF([Occurrence27]=0,0,SUM($GF$2:GF202))</f>
        <v>0</v>
      </c>
      <c r="GH202" s="160">
        <f>IF([chambre4]*1='CHAMBRES GARCONS 1e ETAGE'!$A$11,1,0)</f>
        <v>0</v>
      </c>
      <c r="GI202" s="160">
        <f>IF([Occurrence28]=0,0,SUM($GH$2:GH202))</f>
        <v>0</v>
      </c>
      <c r="GJ202" s="160">
        <f>IF([chambre4]*1='CHAMBRES GARCONS 1e ETAGE'!$A$17,1,0)</f>
        <v>0</v>
      </c>
      <c r="GK202" s="160">
        <f>IF([Occurrence29]=0,0,SUM($GJ$2:GJ202))</f>
        <v>0</v>
      </c>
      <c r="GL202" s="160">
        <f>IF([chambre4]*1='CHAMBRES GARCONS 1e ETAGE'!$A$23,1,0)</f>
        <v>0</v>
      </c>
      <c r="GM202" s="160">
        <f>IF([Occurrence30]=0,0,SUM($GL$2:GL202))</f>
        <v>0</v>
      </c>
      <c r="GN202" s="160">
        <f>IF([chambre4]*1='CHAMBRES GARCONS 1e ETAGE'!$A$29,1,0)</f>
        <v>0</v>
      </c>
      <c r="GO202" s="160">
        <f>IF([Occurrence31]=0,0,SUM($GN$2:GN202))</f>
        <v>0</v>
      </c>
      <c r="GP202" s="160">
        <f>IF([chambre4]*1='CHAMBRES GARCONS 1e ETAGE'!$A$35,1,0)</f>
        <v>0</v>
      </c>
      <c r="GQ202" s="160">
        <f>IF([Occurrence32]=0,0,SUM($GP$2:GP202))</f>
        <v>0</v>
      </c>
      <c r="GR202" s="160">
        <f>IF([chambre3]*1='CHAMBRES GARCONS RDC'!$A$5,1,0)</f>
        <v>0</v>
      </c>
      <c r="GS202" s="160">
        <f>IF([Occurrence33]=0,0,SUM($GR$2:GR202))</f>
        <v>0</v>
      </c>
      <c r="GT202" s="160">
        <f>IF([chambre3]*1='CHAMBRES GARCONS RDC'!$A$11,1,0)</f>
        <v>0</v>
      </c>
      <c r="GU202" s="160">
        <f>IF([Occurrence34]=0,0,SUM($GT$2:GT202))</f>
        <v>0</v>
      </c>
      <c r="GV202" s="160">
        <f>IF([chambre3]*1='CHAMBRES GARCONS RDC'!$A$17,1,0)</f>
        <v>0</v>
      </c>
      <c r="GW202" s="160">
        <f>IF([Occurrence35]=0,0,SUM($GV$2:GV202))</f>
        <v>0</v>
      </c>
      <c r="GX202" s="160">
        <f>IF([chambre3]*1='CHAMBRES GARCONS RDC'!$A$23,1,0)</f>
        <v>0</v>
      </c>
      <c r="GY202" s="160">
        <f>IF([Occurrence36]=0,0,SUM($GX$2:GX202))</f>
        <v>0</v>
      </c>
      <c r="GZ202" s="160">
        <f>IF([chambre3]*1='CHAMBRES GARCONS RDC'!$A$29,1,0)</f>
        <v>0</v>
      </c>
      <c r="HA202" s="160">
        <f>IF([Occurrence37]=0,0,SUM($GZ$2:GZ202))</f>
        <v>0</v>
      </c>
      <c r="HB202" s="160">
        <f>IF([chambre3]*1='CHAMBRES GARCONS RDC'!$A$35,1,0)</f>
        <v>0</v>
      </c>
      <c r="HC202" s="160">
        <f>IF([Occurrence38]=0,0,SUM($HB$2:HB202))</f>
        <v>0</v>
      </c>
      <c r="HD202" s="160">
        <f>IF([chambre3]*1='CHAMBRES GARCONS RDC'!$A$41,1,0)</f>
        <v>0</v>
      </c>
      <c r="HE202" s="160">
        <f>IF([Occurrence39]=0,0,SUM($HD$2:HD202))</f>
        <v>0</v>
      </c>
      <c r="HF202" s="160">
        <f>IF([chambre3]*1='CHAMBRES GARCONS RDC'!$A$47,1,0)</f>
        <v>0</v>
      </c>
      <c r="HG202" s="160">
        <f>IF([Occurrence40]=0,0,SUM($HF$2:HF202))</f>
        <v>0</v>
      </c>
      <c r="HH202" s="160">
        <f>IF([chambre3]*1='CHAMBRES GARCONS RDC'!$A$53,1,0)</f>
        <v>0</v>
      </c>
      <c r="HI202" s="160">
        <f>IF([Occurrence41]=0,0,SUM($HH$2:HH202))</f>
        <v>0</v>
      </c>
      <c r="HJ202" s="160">
        <f>IF([chambre3]*1='CHAMBRES GARCONS RDC'!$A$59,1,0)</f>
        <v>0</v>
      </c>
      <c r="HK202" s="160">
        <f>IF([Occurrence42]=0,0,SUM($HJ$2:HJ202))</f>
        <v>0</v>
      </c>
      <c r="HL202" s="160">
        <f>IF([chambre3]*1='CHAMBRES GARCONS RDC'!$A$65,1,0)</f>
        <v>0</v>
      </c>
      <c r="HM202" s="160">
        <f>IF([Occurrence43]=0,0,SUM($HL$2:HL202))</f>
        <v>0</v>
      </c>
      <c r="HN202" s="160">
        <f>IF([chambre3]*1='CHAMBRES GARCONS RDC'!$A$71,1,0)</f>
        <v>0</v>
      </c>
      <c r="HO202" s="160">
        <f>IF([Occurrence44]=0,0,SUM($HN$2:HN202))</f>
        <v>0</v>
      </c>
      <c r="HP202" s="160">
        <f>IF([chambre3]*1='CHAMBRES GARCONS RDC'!$A$77,1,0)</f>
        <v>0</v>
      </c>
      <c r="HQ202" s="160">
        <f>IF([Occurrence45]=0,0,SUM($HP$2:HP202))</f>
        <v>0</v>
      </c>
      <c r="HR202" s="160">
        <f>IF([chambre3]*1='CHAMBRES GARCONS RDC'!$A$83,1,0)</f>
        <v>0</v>
      </c>
      <c r="HS202" s="160">
        <f>IF([Occurrence46]=0,0,SUM($HR$2:HR202))</f>
        <v>0</v>
      </c>
      <c r="HT202" s="160">
        <f>IF([chambre3]*1='CHAMBRES GARCONS RDC'!$A$89,1,0)</f>
        <v>0</v>
      </c>
      <c r="HU202" s="160">
        <f>IF([Occurrence47]=0,0,SUM($HT$2:HT202))</f>
        <v>0</v>
      </c>
      <c r="HV202" s="160">
        <f>IF([chambre3]*1='CHAMBRES GARCONS RDC'!$A$95,1,0)</f>
        <v>0</v>
      </c>
      <c r="HW202" s="160">
        <f>IF([Occurrence48]=0,0,SUM($HV$2:HV202))</f>
        <v>0</v>
      </c>
      <c r="HX202" s="160"/>
      <c r="HY202" s="160"/>
      <c r="HZ202" s="160">
        <f>IF([Classe]='Liste élève par classes'!$B$5,1,0)</f>
        <v>0</v>
      </c>
      <c r="IA202" s="160">
        <f>IF([Occurrence]=0,0,SUM($HZ$2:HZ202))</f>
        <v>0</v>
      </c>
      <c r="IB20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02" s="208"/>
    </row>
    <row r="203" spans="1:237">
      <c r="A203" t="s">
        <v>579</v>
      </c>
      <c r="B203" t="s">
        <v>580</v>
      </c>
      <c r="C203" s="158">
        <v>37233</v>
      </c>
      <c r="D203" s="62">
        <f t="shared" ca="1" si="3"/>
        <v>15</v>
      </c>
      <c r="E203" t="s">
        <v>6</v>
      </c>
      <c r="F203" s="159" t="s">
        <v>50</v>
      </c>
      <c r="G203" t="s">
        <v>40</v>
      </c>
      <c r="H203" s="160"/>
      <c r="I203" s="62"/>
      <c r="J203" s="62"/>
      <c r="K203" s="62"/>
      <c r="L203" s="61"/>
      <c r="M203">
        <v>67</v>
      </c>
      <c r="N203" s="62"/>
      <c r="O203" s="62"/>
      <c r="P203" s="62"/>
      <c r="Q203" s="62"/>
      <c r="R203" s="62"/>
      <c r="S203" s="191"/>
      <c r="T203" s="62"/>
      <c r="U203" s="61"/>
      <c r="V203" s="62"/>
      <c r="W203" s="62"/>
      <c r="X203" s="62"/>
      <c r="Y203" s="62"/>
      <c r="Z203" s="62"/>
      <c r="AA203" s="62"/>
      <c r="AB203" s="62"/>
      <c r="AC203" s="62"/>
      <c r="AD203" s="62"/>
      <c r="AE203" s="62"/>
      <c r="AF203" s="163"/>
      <c r="AG203" s="163"/>
      <c r="AH203" s="163"/>
      <c r="AI203" s="163"/>
      <c r="AJ203" s="163"/>
      <c r="AK203" s="163"/>
      <c r="AL203" s="163"/>
      <c r="AM203" s="163"/>
      <c r="AN203" s="163"/>
      <c r="AO203" s="163"/>
      <c r="AP203" s="163"/>
      <c r="AQ203" s="163"/>
      <c r="AR203" s="163"/>
      <c r="AS203" s="163"/>
      <c r="AT203" s="163"/>
      <c r="AU203" s="163"/>
      <c r="AV203" s="163"/>
      <c r="AW203" s="163"/>
      <c r="AX203" s="163"/>
      <c r="AY203" s="163"/>
      <c r="AZ203" s="163"/>
      <c r="BA203" s="163"/>
      <c r="BB203" s="163"/>
      <c r="BC203" s="163" t="b">
        <v>0</v>
      </c>
      <c r="BD203" s="163" t="b">
        <v>1</v>
      </c>
      <c r="BE203" s="163" t="b">
        <v>1</v>
      </c>
      <c r="BF203" s="163" t="b">
        <v>0</v>
      </c>
      <c r="BG203" s="164" t="b">
        <v>0</v>
      </c>
      <c r="BH203" s="163" t="b">
        <v>1</v>
      </c>
      <c r="BI203" s="163"/>
      <c r="BJ203" s="163"/>
      <c r="BK203" s="163"/>
      <c r="BL203" s="163"/>
      <c r="BM203" s="163"/>
      <c r="BN203" s="163"/>
      <c r="BO203" s="163"/>
      <c r="BP203" s="163"/>
      <c r="BQ203" s="163" t="b">
        <v>0</v>
      </c>
      <c r="BR203" s="163"/>
      <c r="BS203" s="163"/>
      <c r="BT203" s="163"/>
      <c r="BU203" s="163"/>
      <c r="BV203" s="163"/>
      <c r="BW203" s="163"/>
      <c r="BX203" s="163"/>
      <c r="BY203" s="163"/>
      <c r="BZ203" s="163"/>
      <c r="CA203" s="163"/>
      <c r="CB203" s="163"/>
      <c r="CC203" s="163"/>
      <c r="CD203" s="163"/>
      <c r="CE203" s="163"/>
      <c r="CF203" s="163"/>
      <c r="CG203" s="163"/>
      <c r="CH203" s="163"/>
      <c r="CI203" s="163"/>
      <c r="CJ203" s="163"/>
      <c r="CK203" s="163"/>
      <c r="CL203" s="163"/>
      <c r="CM203" s="163"/>
      <c r="CN203" s="163"/>
      <c r="CO203" s="163"/>
      <c r="CP203" s="163"/>
      <c r="CQ203" s="163"/>
      <c r="CR203" s="163"/>
      <c r="CS203" s="163"/>
      <c r="CT203" s="163"/>
      <c r="CU203" s="163"/>
      <c r="CV203" s="163"/>
      <c r="CW203" s="163"/>
      <c r="CX203" s="163"/>
      <c r="CY203" s="163"/>
      <c r="CZ203" s="163"/>
      <c r="DA203" s="163">
        <v>113</v>
      </c>
      <c r="DB203" s="163"/>
      <c r="DC203" s="163"/>
      <c r="DD203" s="163"/>
      <c r="DE203" s="163"/>
      <c r="DF203" s="163"/>
      <c r="DG203" s="208"/>
      <c r="DH203" s="163"/>
      <c r="DI203" s="163"/>
      <c r="DJ203" s="163"/>
      <c r="DK203" s="163"/>
      <c r="DL203" s="163"/>
      <c r="DM203" s="163"/>
      <c r="DN203" s="163"/>
      <c r="DO203" s="163"/>
      <c r="DP203" s="163"/>
      <c r="DQ203" s="163"/>
      <c r="DR203" s="163"/>
      <c r="DS203" s="163"/>
      <c r="DT203" s="163"/>
      <c r="DU203" s="163"/>
      <c r="DV203" s="163"/>
      <c r="DW203" s="163"/>
      <c r="DX203" s="163"/>
      <c r="DY203" s="163"/>
      <c r="DZ203" s="163"/>
      <c r="EA203" s="163"/>
      <c r="EB203" s="163"/>
      <c r="EC203" s="163"/>
      <c r="ED203" s="163"/>
      <c r="EE203" s="163"/>
      <c r="EF203" s="163"/>
      <c r="EG203" s="163"/>
      <c r="EH203" s="160">
        <f>IF([Chambre]*1='CHAMBRES FILLES 2e ETAGE'!$A$5,1,0)</f>
        <v>0</v>
      </c>
      <c r="EI203" s="161">
        <f>IF([Occurrence2]=0,0,SUM($EH$2:EH203))</f>
        <v>0</v>
      </c>
      <c r="EJ203" s="160">
        <f>IF([Chambre]*1='CHAMBRES FILLES 2e ETAGE'!$A$11,1,0)</f>
        <v>0</v>
      </c>
      <c r="EK203" s="160">
        <f>IF([Occurrence3]=0,0,SUM($EJ$2:EJ203))</f>
        <v>0</v>
      </c>
      <c r="EL203" s="160">
        <f>IF([Chambre]*1='CHAMBRES FILLES 2e ETAGE'!$A$17,1,0)</f>
        <v>0</v>
      </c>
      <c r="EM203" s="160">
        <f>IF([Occurrence4]=0,0,SUM($EL$2:EL203))</f>
        <v>0</v>
      </c>
      <c r="EN203" s="160">
        <f>IF([Chambre]*1='CHAMBRES FILLES 2e ETAGE'!$A$23,1,0)</f>
        <v>0</v>
      </c>
      <c r="EO203" s="160">
        <f>IF([Occurrence5]=0,0,SUM($EN$2:EN203))</f>
        <v>0</v>
      </c>
      <c r="EP203" s="160">
        <f>IF([Chambre]*1='CHAMBRES FILLES 2e ETAGE'!$A$29,1,0)</f>
        <v>0</v>
      </c>
      <c r="EQ203" s="160">
        <f>IF([Occurrence6]=0,0,SUM($EP$2:EP203))</f>
        <v>0</v>
      </c>
      <c r="ER203" s="160">
        <f>IF([Chambre]*1='CHAMBRES FILLES 2e ETAGE'!$A$35,1,0)</f>
        <v>0</v>
      </c>
      <c r="ES203" s="160">
        <f>IF([Occurrence7]=0,0,SUM($ER$2:ER203))</f>
        <v>0</v>
      </c>
      <c r="ET203" s="160">
        <f>IF([Chambre]*1='CHAMBRES FILLES 2e ETAGE'!$A$41,1,0)</f>
        <v>0</v>
      </c>
      <c r="EU203" s="160">
        <f>IF([Occurrence8]=0,0,SUM($ET$2:ET203))</f>
        <v>0</v>
      </c>
      <c r="EV203" s="160">
        <f>IF([Chambre]*1='CHAMBRES FILLES 2e ETAGE'!$A$47,1,0)</f>
        <v>0</v>
      </c>
      <c r="EW203" s="160">
        <f>IF([Occurrence9]=0,0,SUM($EV$2:EV203))</f>
        <v>0</v>
      </c>
      <c r="EX203" s="160">
        <f>IF([Chambre]*1='CHAMBRES FILLES 2e ETAGE'!$A$53,1,0)</f>
        <v>0</v>
      </c>
      <c r="EY203" s="160">
        <f>IF([Occurrence10]=0,0,SUM($EX$2:EX203))</f>
        <v>0</v>
      </c>
      <c r="EZ203" s="160">
        <f>IF([Chambre]*1='CHAMBRES FILLES 2e ETAGE'!$A$59,1,0)</f>
        <v>0</v>
      </c>
      <c r="FA203" s="160">
        <f>IF([Occurrence11]=0,0,SUM($EZ$2:EZ203))</f>
        <v>0</v>
      </c>
      <c r="FB203" s="160">
        <f>IF([Chambre]*1='CHAMBRES FILLES 2e ETAGE'!$A$65,1,0)</f>
        <v>0</v>
      </c>
      <c r="FC203" s="160">
        <f>IF([Occurrence12]=0,0,SUM($FB$2:FB203))</f>
        <v>0</v>
      </c>
      <c r="FD203" s="160">
        <f>IF([Chambre]*1='CHAMBRES FILLES 2e ETAGE'!$A$71,1,0)</f>
        <v>0</v>
      </c>
      <c r="FE203" s="160">
        <f>IF([Occurrence13]=0,0,SUM($FD$2:FD203))</f>
        <v>0</v>
      </c>
      <c r="FF203" s="160">
        <f>IF([Chambre]*1='CHAMBRES FILLES 2e ETAGE'!$A$77,1,0)</f>
        <v>0</v>
      </c>
      <c r="FG203" s="160">
        <f>IF([Occurrence14]=0,0,SUM($FF$2:FF203))</f>
        <v>0</v>
      </c>
      <c r="FH203" s="160">
        <f>IF([Chambre]*1='CHAMBRES FILLES 2e ETAGE'!$A$83,1,0)</f>
        <v>0</v>
      </c>
      <c r="FI203" s="160">
        <f>IF([Occurrence15]=0,0,SUM($FH$2:FH203))</f>
        <v>0</v>
      </c>
      <c r="FJ203" s="160">
        <f>IF([Chambre]*1='CHAMBRES FILLES 2e ETAGE'!$A$89,1,0)</f>
        <v>0</v>
      </c>
      <c r="FK203" s="160">
        <f>IF([Occurrence16]=0,0,SUM($FJ$2:FJ203))</f>
        <v>0</v>
      </c>
      <c r="FL203" s="160">
        <f>IF([Chambre]*1='CHAMBRES FILLES 2e ETAGE'!$A$95,1,0)</f>
        <v>0</v>
      </c>
      <c r="FM203" s="160">
        <f>IF([Occurrence17]=0,0,SUM($FL$2:FL203))</f>
        <v>0</v>
      </c>
      <c r="FN203" s="160">
        <f>IF([Chambre2]*1='CHAMBRES FILLES 1e ETAGE'!$A$5,1,0)</f>
        <v>0</v>
      </c>
      <c r="FO203" s="160">
        <f>IF([Occurrence18]=0,0,SUM($FN$2:FN203))</f>
        <v>0</v>
      </c>
      <c r="FP203" s="160">
        <f>IF([Chambre2]*1='CHAMBRES FILLES 1e ETAGE'!$A$11,1,0)</f>
        <v>0</v>
      </c>
      <c r="FQ203" s="160">
        <f>IF([Occurrence19]=0,0,SUM($FP$2:FP203))</f>
        <v>0</v>
      </c>
      <c r="FR203" s="160">
        <f>IF([Chambre2]*1='CHAMBRES FILLES 1e ETAGE'!$A$17,1,0)</f>
        <v>0</v>
      </c>
      <c r="FS203" s="160">
        <f>IF([Occurrence20]=0,0,SUM($FR$2:FR203))</f>
        <v>0</v>
      </c>
      <c r="FT203" s="160">
        <f>IF([Chambre2]*1='CHAMBRES FILLES 1e ETAGE'!$A$23,1,0)</f>
        <v>0</v>
      </c>
      <c r="FU203" s="160">
        <f>IF([Occurrence21]=0,0,SUM($FT$2:FT203))</f>
        <v>0</v>
      </c>
      <c r="FV203" s="160">
        <f>IF([Chambre2]*1='CHAMBRES FILLES 1e ETAGE'!$A$29,1,0)</f>
        <v>0</v>
      </c>
      <c r="FW203" s="160">
        <f>IF([Occurrence22]=0,0,SUM($FV$2:FV203))</f>
        <v>0</v>
      </c>
      <c r="FX203" s="160">
        <f>IF([Chambre2]*1='CHAMBRES FILLES 1e ETAGE'!$A$35,1,0)</f>
        <v>0</v>
      </c>
      <c r="FY203" s="160">
        <f>IF([Occurrence23]=0,0,SUM($FX$2:FX203))</f>
        <v>0</v>
      </c>
      <c r="FZ203" s="160">
        <f>IF([Chambre2]*1='CHAMBRES FILLES 1e ETAGE'!$A$41,1,0)</f>
        <v>0</v>
      </c>
      <c r="GA203" s="160">
        <f>IF([Occurrence24]=0,0,SUM($FZ$2:FZ203))</f>
        <v>0</v>
      </c>
      <c r="GB203" s="160">
        <f>IF([Chambre2]*1='CHAMBRES FILLES 1e ETAGE'!$A$47,1,0)</f>
        <v>0</v>
      </c>
      <c r="GC203" s="160">
        <f>IF([Occurrence25]=0,0,SUM($GB$2:GB203))</f>
        <v>0</v>
      </c>
      <c r="GD203" s="160">
        <f>IF([Chambre2]*1='CHAMBRES FILLES 1e ETAGE'!$A$53,1,0)</f>
        <v>0</v>
      </c>
      <c r="GE203" s="160">
        <f>IF([Occurrence26]=0,0,SUM($GD$2:GD203))</f>
        <v>0</v>
      </c>
      <c r="GF203" s="160">
        <f>IF([chambre4]*1='CHAMBRES GARCONS 1e ETAGE'!$A$5,1,0)</f>
        <v>0</v>
      </c>
      <c r="GG203" s="160">
        <f>IF([Occurrence27]=0,0,SUM($GF$2:GF203))</f>
        <v>0</v>
      </c>
      <c r="GH203" s="160">
        <f>IF([chambre4]*1='CHAMBRES GARCONS 1e ETAGE'!$A$11,1,0)</f>
        <v>0</v>
      </c>
      <c r="GI203" s="160">
        <f>IF([Occurrence28]=0,0,SUM($GH$2:GH203))</f>
        <v>0</v>
      </c>
      <c r="GJ203" s="160">
        <f>IF([chambre4]*1='CHAMBRES GARCONS 1e ETAGE'!$A$17,1,0)</f>
        <v>0</v>
      </c>
      <c r="GK203" s="160">
        <f>IF([Occurrence29]=0,0,SUM($GJ$2:GJ203))</f>
        <v>0</v>
      </c>
      <c r="GL203" s="160">
        <f>IF([chambre4]*1='CHAMBRES GARCONS 1e ETAGE'!$A$23,1,0)</f>
        <v>0</v>
      </c>
      <c r="GM203" s="160">
        <f>IF([Occurrence30]=0,0,SUM($GL$2:GL203))</f>
        <v>0</v>
      </c>
      <c r="GN203" s="160">
        <f>IF([chambre4]*1='CHAMBRES GARCONS 1e ETAGE'!$A$29,1,0)</f>
        <v>0</v>
      </c>
      <c r="GO203" s="160">
        <f>IF([Occurrence31]=0,0,SUM($GN$2:GN203))</f>
        <v>0</v>
      </c>
      <c r="GP203" s="160">
        <f>IF([chambre4]*1='CHAMBRES GARCONS 1e ETAGE'!$A$35,1,0)</f>
        <v>0</v>
      </c>
      <c r="GQ203" s="160">
        <f>IF([Occurrence32]=0,0,SUM($GP$2:GP203))</f>
        <v>0</v>
      </c>
      <c r="GR203" s="160">
        <f>IF([chambre3]*1='CHAMBRES GARCONS RDC'!$A$5,1,0)</f>
        <v>0</v>
      </c>
      <c r="GS203" s="160">
        <f>IF([Occurrence33]=0,0,SUM($GR$2:GR203))</f>
        <v>0</v>
      </c>
      <c r="GT203" s="160">
        <f>IF([chambre3]*1='CHAMBRES GARCONS RDC'!$A$11,1,0)</f>
        <v>0</v>
      </c>
      <c r="GU203" s="160">
        <f>IF([Occurrence34]=0,0,SUM($GT$2:GT203))</f>
        <v>0</v>
      </c>
      <c r="GV203" s="160">
        <f>IF([chambre3]*1='CHAMBRES GARCONS RDC'!$A$17,1,0)</f>
        <v>0</v>
      </c>
      <c r="GW203" s="160">
        <f>IF([Occurrence35]=0,0,SUM($GV$2:GV203))</f>
        <v>0</v>
      </c>
      <c r="GX203" s="160">
        <f>IF([chambre3]*1='CHAMBRES GARCONS RDC'!$A$23,1,0)</f>
        <v>0</v>
      </c>
      <c r="GY203" s="160">
        <f>IF([Occurrence36]=0,0,SUM($GX$2:GX203))</f>
        <v>0</v>
      </c>
      <c r="GZ203" s="160">
        <f>IF([chambre3]*1='CHAMBRES GARCONS RDC'!$A$29,1,0)</f>
        <v>1</v>
      </c>
      <c r="HA203" s="160">
        <f>IF([Occurrence37]=0,0,SUM($GZ$2:GZ203))</f>
        <v>4</v>
      </c>
      <c r="HB203" s="160">
        <f>IF([chambre3]*1='CHAMBRES GARCONS RDC'!$A$35,1,0)</f>
        <v>0</v>
      </c>
      <c r="HC203" s="160">
        <f>IF([Occurrence38]=0,0,SUM($HB$2:HB203))</f>
        <v>0</v>
      </c>
      <c r="HD203" s="160">
        <f>IF([chambre3]*1='CHAMBRES GARCONS RDC'!$A$41,1,0)</f>
        <v>0</v>
      </c>
      <c r="HE203" s="160">
        <f>IF([Occurrence39]=0,0,SUM($HD$2:HD203))</f>
        <v>0</v>
      </c>
      <c r="HF203" s="160">
        <f>IF([chambre3]*1='CHAMBRES GARCONS RDC'!$A$47,1,0)</f>
        <v>0</v>
      </c>
      <c r="HG203" s="160">
        <f>IF([Occurrence40]=0,0,SUM($HF$2:HF203))</f>
        <v>0</v>
      </c>
      <c r="HH203" s="160">
        <f>IF([chambre3]*1='CHAMBRES GARCONS RDC'!$A$53,1,0)</f>
        <v>0</v>
      </c>
      <c r="HI203" s="160">
        <f>IF([Occurrence41]=0,0,SUM($HH$2:HH203))</f>
        <v>0</v>
      </c>
      <c r="HJ203" s="160">
        <f>IF([chambre3]*1='CHAMBRES GARCONS RDC'!$A$59,1,0)</f>
        <v>0</v>
      </c>
      <c r="HK203" s="160">
        <f>IF([Occurrence42]=0,0,SUM($HJ$2:HJ203))</f>
        <v>0</v>
      </c>
      <c r="HL203" s="160">
        <f>IF([chambre3]*1='CHAMBRES GARCONS RDC'!$A$65,1,0)</f>
        <v>0</v>
      </c>
      <c r="HM203" s="160">
        <f>IF([Occurrence43]=0,0,SUM($HL$2:HL203))</f>
        <v>0</v>
      </c>
      <c r="HN203" s="160">
        <f>IF([chambre3]*1='CHAMBRES GARCONS RDC'!$A$71,1,0)</f>
        <v>0</v>
      </c>
      <c r="HO203" s="160">
        <f>IF([Occurrence44]=0,0,SUM($HN$2:HN203))</f>
        <v>0</v>
      </c>
      <c r="HP203" s="160">
        <f>IF([chambre3]*1='CHAMBRES GARCONS RDC'!$A$77,1,0)</f>
        <v>0</v>
      </c>
      <c r="HQ203" s="160">
        <f>IF([Occurrence45]=0,0,SUM($HP$2:HP203))</f>
        <v>0</v>
      </c>
      <c r="HR203" s="160">
        <f>IF([chambre3]*1='CHAMBRES GARCONS RDC'!$A$83,1,0)</f>
        <v>0</v>
      </c>
      <c r="HS203" s="160">
        <f>IF([Occurrence46]=0,0,SUM($HR$2:HR203))</f>
        <v>0</v>
      </c>
      <c r="HT203" s="160">
        <f>IF([chambre3]*1='CHAMBRES GARCONS RDC'!$A$89,1,0)</f>
        <v>0</v>
      </c>
      <c r="HU203" s="160">
        <f>IF([Occurrence47]=0,0,SUM($HT$2:HT203))</f>
        <v>0</v>
      </c>
      <c r="HV203" s="160">
        <f>IF([chambre3]*1='CHAMBRES GARCONS RDC'!$A$95,1,0)</f>
        <v>0</v>
      </c>
      <c r="HW203" s="160">
        <f>IF([Occurrence48]=0,0,SUM($HV$2:HV203))</f>
        <v>0</v>
      </c>
      <c r="HX203" s="160"/>
      <c r="HY203" s="160"/>
      <c r="HZ203" s="160">
        <f>IF([Classe]='Liste élève par classes'!$B$5,1,0)</f>
        <v>0</v>
      </c>
      <c r="IA203" s="160">
        <f>IF([Occurrence]=0,0,SUM($HZ$2:HZ203))</f>
        <v>0</v>
      </c>
      <c r="IB20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113</v>
      </c>
      <c r="IC203" s="208"/>
    </row>
    <row r="204" spans="1:237">
      <c r="A204" t="s">
        <v>581</v>
      </c>
      <c r="B204" t="s">
        <v>582</v>
      </c>
      <c r="C204" s="158">
        <v>37249</v>
      </c>
      <c r="D204" s="62">
        <f t="shared" ca="1" si="3"/>
        <v>15</v>
      </c>
      <c r="E204" t="s">
        <v>8</v>
      </c>
      <c r="F204" s="159" t="s">
        <v>50</v>
      </c>
      <c r="G204" t="s">
        <v>45</v>
      </c>
      <c r="H204" s="160"/>
      <c r="I204" s="62"/>
      <c r="J204" s="62" t="s">
        <v>244</v>
      </c>
      <c r="K204" s="62"/>
      <c r="L204" s="61">
        <v>170</v>
      </c>
      <c r="M204">
        <v>108</v>
      </c>
      <c r="N204" s="62" t="s">
        <v>244</v>
      </c>
      <c r="O204" s="62" t="s">
        <v>244</v>
      </c>
      <c r="P204" s="62" t="s">
        <v>244</v>
      </c>
      <c r="Q204" s="62" t="s">
        <v>244</v>
      </c>
      <c r="R204" s="62" t="s">
        <v>244</v>
      </c>
      <c r="S204" s="191"/>
      <c r="T204" s="62" t="s">
        <v>244</v>
      </c>
      <c r="U204" s="61"/>
      <c r="V204" s="62" t="s">
        <v>244</v>
      </c>
      <c r="W204" s="62" t="s">
        <v>244</v>
      </c>
      <c r="X204" s="62" t="s">
        <v>244</v>
      </c>
      <c r="Y204" s="62" t="s">
        <v>244</v>
      </c>
      <c r="Z204" s="62" t="s">
        <v>244</v>
      </c>
      <c r="AA204" s="62" t="s">
        <v>244</v>
      </c>
      <c r="AB204" s="62" t="s">
        <v>244</v>
      </c>
      <c r="AC204" s="62" t="s">
        <v>244</v>
      </c>
      <c r="AD204" s="62" t="s">
        <v>244</v>
      </c>
      <c r="AE204" s="62" t="s">
        <v>244</v>
      </c>
      <c r="AF204" s="163" t="s">
        <v>244</v>
      </c>
      <c r="AG204" s="163" t="s">
        <v>244</v>
      </c>
      <c r="AH204" s="163" t="s">
        <v>244</v>
      </c>
      <c r="AI204" s="163"/>
      <c r="AJ204" s="163"/>
      <c r="AK204" s="163"/>
      <c r="AL204" s="163"/>
      <c r="AM204" s="163"/>
      <c r="AN204" s="163"/>
      <c r="AO204" s="163"/>
      <c r="AP204" s="163"/>
      <c r="AQ204" s="163"/>
      <c r="AR204" s="163"/>
      <c r="AS204" s="163"/>
      <c r="AT204" s="163"/>
      <c r="AU204" s="163"/>
      <c r="AV204" s="163"/>
      <c r="AW204" s="163"/>
      <c r="AX204" s="163"/>
      <c r="AY204" s="163"/>
      <c r="AZ204" s="163"/>
      <c r="BA204" s="163"/>
      <c r="BB204" s="163"/>
      <c r="BC204" s="163" t="b">
        <v>0</v>
      </c>
      <c r="BD204" s="163" t="b">
        <v>1</v>
      </c>
      <c r="BE204" s="163" t="b">
        <v>1</v>
      </c>
      <c r="BF204" s="163" t="b">
        <v>0</v>
      </c>
      <c r="BG204" s="164" t="b">
        <v>0</v>
      </c>
      <c r="BH204" s="163" t="b">
        <v>1</v>
      </c>
      <c r="BI204" s="163"/>
      <c r="BJ204" s="163"/>
      <c r="BK204" s="163"/>
      <c r="BL204" s="163"/>
      <c r="BM204" s="163"/>
      <c r="BN204" s="163"/>
      <c r="BO204" s="163"/>
      <c r="BP204" s="163"/>
      <c r="BQ204" s="163" t="b">
        <v>0</v>
      </c>
      <c r="BR204" s="163"/>
      <c r="BS204" s="163"/>
      <c r="BT204" s="163"/>
      <c r="BU204" s="163"/>
      <c r="BV204" s="163"/>
      <c r="BW204" s="163"/>
      <c r="BX204" s="163"/>
      <c r="BY204" s="163"/>
      <c r="BZ204" s="163"/>
      <c r="CA204" s="163"/>
      <c r="CB204" s="163"/>
      <c r="CC204" s="163"/>
      <c r="CD204" s="163"/>
      <c r="CE204" s="163"/>
      <c r="CF204" s="163"/>
      <c r="CG204" s="163"/>
      <c r="CH204" s="163"/>
      <c r="CI204" s="163"/>
      <c r="CJ204" s="163"/>
      <c r="CK204" s="163"/>
      <c r="CL204" s="163"/>
      <c r="CM204" s="163"/>
      <c r="CN204" s="163"/>
      <c r="CO204" s="163"/>
      <c r="CP204" s="163"/>
      <c r="CQ204" s="163"/>
      <c r="CR204" s="163"/>
      <c r="CS204" s="163"/>
      <c r="CT204" s="163"/>
      <c r="CU204" s="163"/>
      <c r="CV204" s="163"/>
      <c r="CW204" s="163"/>
      <c r="CX204" s="163"/>
      <c r="CY204" s="163"/>
      <c r="CZ204" s="163"/>
      <c r="DA204" s="163"/>
      <c r="DB204" s="163"/>
      <c r="DC204" s="163"/>
      <c r="DD204" s="163"/>
      <c r="DE204" s="163"/>
      <c r="DF204" s="163"/>
      <c r="DG204" s="208"/>
      <c r="DH204" s="163"/>
      <c r="DI204" s="163"/>
      <c r="DJ204" s="163"/>
      <c r="DK204" s="163"/>
      <c r="DL204" s="163"/>
      <c r="DM204" s="163"/>
      <c r="DN204" s="163"/>
      <c r="DO204" s="163"/>
      <c r="DP204" s="163"/>
      <c r="DQ204" s="163"/>
      <c r="DR204" s="163"/>
      <c r="DS204" s="163"/>
      <c r="DT204" s="163"/>
      <c r="DU204" s="163"/>
      <c r="DV204" s="163"/>
      <c r="DW204" s="163"/>
      <c r="DX204" s="163"/>
      <c r="DY204" s="163"/>
      <c r="DZ204" s="163"/>
      <c r="EA204" s="163"/>
      <c r="EB204" s="163"/>
      <c r="EC204" s="163"/>
      <c r="ED204" s="163"/>
      <c r="EE204" s="163"/>
      <c r="EF204" s="163"/>
      <c r="EG204" s="163"/>
      <c r="EH204" s="160">
        <f>IF([Chambre]*1='CHAMBRES FILLES 2e ETAGE'!$A$5,1,0)</f>
        <v>0</v>
      </c>
      <c r="EI204" s="161">
        <f>IF([Occurrence2]=0,0,SUM($EH$2:EH204))</f>
        <v>0</v>
      </c>
      <c r="EJ204" s="160">
        <f>IF([Chambre]*1='CHAMBRES FILLES 2e ETAGE'!$A$11,1,0)</f>
        <v>0</v>
      </c>
      <c r="EK204" s="160">
        <f>IF([Occurrence3]=0,0,SUM($EJ$2:EJ204))</f>
        <v>0</v>
      </c>
      <c r="EL204" s="160">
        <f>IF([Chambre]*1='CHAMBRES FILLES 2e ETAGE'!$A$17,1,0)</f>
        <v>0</v>
      </c>
      <c r="EM204" s="160">
        <f>IF([Occurrence4]=0,0,SUM($EL$2:EL204))</f>
        <v>0</v>
      </c>
      <c r="EN204" s="160">
        <f>IF([Chambre]*1='CHAMBRES FILLES 2e ETAGE'!$A$23,1,0)</f>
        <v>0</v>
      </c>
      <c r="EO204" s="160">
        <f>IF([Occurrence5]=0,0,SUM($EN$2:EN204))</f>
        <v>0</v>
      </c>
      <c r="EP204" s="160">
        <f>IF([Chambre]*1='CHAMBRES FILLES 2e ETAGE'!$A$29,1,0)</f>
        <v>0</v>
      </c>
      <c r="EQ204" s="160">
        <f>IF([Occurrence6]=0,0,SUM($EP$2:EP204))</f>
        <v>0</v>
      </c>
      <c r="ER204" s="160">
        <f>IF([Chambre]*1='CHAMBRES FILLES 2e ETAGE'!$A$35,1,0)</f>
        <v>0</v>
      </c>
      <c r="ES204" s="160">
        <f>IF([Occurrence7]=0,0,SUM($ER$2:ER204))</f>
        <v>0</v>
      </c>
      <c r="ET204" s="160">
        <f>IF([Chambre]*1='CHAMBRES FILLES 2e ETAGE'!$A$41,1,0)</f>
        <v>0</v>
      </c>
      <c r="EU204" s="160">
        <f>IF([Occurrence8]=0,0,SUM($ET$2:ET204))</f>
        <v>0</v>
      </c>
      <c r="EV204" s="160">
        <f>IF([Chambre]*1='CHAMBRES FILLES 2e ETAGE'!$A$47,1,0)</f>
        <v>0</v>
      </c>
      <c r="EW204" s="160">
        <f>IF([Occurrence9]=0,0,SUM($EV$2:EV204))</f>
        <v>0</v>
      </c>
      <c r="EX204" s="160">
        <f>IF([Chambre]*1='CHAMBRES FILLES 2e ETAGE'!$A$53,1,0)</f>
        <v>1</v>
      </c>
      <c r="EY204" s="160">
        <f>IF([Occurrence10]=0,0,SUM($EX$2:EX204))</f>
        <v>3</v>
      </c>
      <c r="EZ204" s="160">
        <f>IF([Chambre]*1='CHAMBRES FILLES 2e ETAGE'!$A$59,1,0)</f>
        <v>0</v>
      </c>
      <c r="FA204" s="160">
        <f>IF([Occurrence11]=0,0,SUM($EZ$2:EZ204))</f>
        <v>0</v>
      </c>
      <c r="FB204" s="160">
        <f>IF([Chambre]*1='CHAMBRES FILLES 2e ETAGE'!$A$65,1,0)</f>
        <v>0</v>
      </c>
      <c r="FC204" s="160">
        <f>IF([Occurrence12]=0,0,SUM($FB$2:FB204))</f>
        <v>0</v>
      </c>
      <c r="FD204" s="160">
        <f>IF([Chambre]*1='CHAMBRES FILLES 2e ETAGE'!$A$71,1,0)</f>
        <v>0</v>
      </c>
      <c r="FE204" s="160">
        <f>IF([Occurrence13]=0,0,SUM($FD$2:FD204))</f>
        <v>0</v>
      </c>
      <c r="FF204" s="160">
        <f>IF([Chambre]*1='CHAMBRES FILLES 2e ETAGE'!$A$77,1,0)</f>
        <v>0</v>
      </c>
      <c r="FG204" s="160">
        <f>IF([Occurrence14]=0,0,SUM($FF$2:FF204))</f>
        <v>0</v>
      </c>
      <c r="FH204" s="160">
        <f>IF([Chambre]*1='CHAMBRES FILLES 2e ETAGE'!$A$83,1,0)</f>
        <v>0</v>
      </c>
      <c r="FI204" s="160">
        <f>IF([Occurrence15]=0,0,SUM($FH$2:FH204))</f>
        <v>0</v>
      </c>
      <c r="FJ204" s="160">
        <f>IF([Chambre]*1='CHAMBRES FILLES 2e ETAGE'!$A$89,1,0)</f>
        <v>0</v>
      </c>
      <c r="FK204" s="160">
        <f>IF([Occurrence16]=0,0,SUM($FJ$2:FJ204))</f>
        <v>0</v>
      </c>
      <c r="FL204" s="160">
        <f>IF([Chambre]*1='CHAMBRES FILLES 2e ETAGE'!$A$95,1,0)</f>
        <v>0</v>
      </c>
      <c r="FM204" s="160">
        <f>IF([Occurrence17]=0,0,SUM($FL$2:FL204))</f>
        <v>0</v>
      </c>
      <c r="FN204" s="160">
        <f>IF([Chambre2]*1='CHAMBRES FILLES 1e ETAGE'!$A$5,1,0)</f>
        <v>0</v>
      </c>
      <c r="FO204" s="160">
        <f>IF([Occurrence18]=0,0,SUM($FN$2:FN204))</f>
        <v>0</v>
      </c>
      <c r="FP204" s="160">
        <f>IF([Chambre2]*1='CHAMBRES FILLES 1e ETAGE'!$A$11,1,0)</f>
        <v>0</v>
      </c>
      <c r="FQ204" s="160">
        <f>IF([Occurrence19]=0,0,SUM($FP$2:FP204))</f>
        <v>0</v>
      </c>
      <c r="FR204" s="160">
        <f>IF([Chambre2]*1='CHAMBRES FILLES 1e ETAGE'!$A$17,1,0)</f>
        <v>0</v>
      </c>
      <c r="FS204" s="160">
        <f>IF([Occurrence20]=0,0,SUM($FR$2:FR204))</f>
        <v>0</v>
      </c>
      <c r="FT204" s="160">
        <f>IF([Chambre2]*1='CHAMBRES FILLES 1e ETAGE'!$A$23,1,0)</f>
        <v>0</v>
      </c>
      <c r="FU204" s="160">
        <f>IF([Occurrence21]=0,0,SUM($FT$2:FT204))</f>
        <v>0</v>
      </c>
      <c r="FV204" s="160">
        <f>IF([Chambre2]*1='CHAMBRES FILLES 1e ETAGE'!$A$29,1,0)</f>
        <v>0</v>
      </c>
      <c r="FW204" s="160">
        <f>IF([Occurrence22]=0,0,SUM($FV$2:FV204))</f>
        <v>0</v>
      </c>
      <c r="FX204" s="160">
        <f>IF([Chambre2]*1='CHAMBRES FILLES 1e ETAGE'!$A$35,1,0)</f>
        <v>0</v>
      </c>
      <c r="FY204" s="160">
        <f>IF([Occurrence23]=0,0,SUM($FX$2:FX204))</f>
        <v>0</v>
      </c>
      <c r="FZ204" s="160">
        <f>IF([Chambre2]*1='CHAMBRES FILLES 1e ETAGE'!$A$41,1,0)</f>
        <v>0</v>
      </c>
      <c r="GA204" s="160">
        <f>IF([Occurrence24]=0,0,SUM($FZ$2:FZ204))</f>
        <v>0</v>
      </c>
      <c r="GB204" s="160">
        <f>IF([Chambre2]*1='CHAMBRES FILLES 1e ETAGE'!$A$47,1,0)</f>
        <v>0</v>
      </c>
      <c r="GC204" s="160">
        <f>IF([Occurrence25]=0,0,SUM($GB$2:GB204))</f>
        <v>0</v>
      </c>
      <c r="GD204" s="160">
        <f>IF([Chambre2]*1='CHAMBRES FILLES 1e ETAGE'!$A$53,1,0)</f>
        <v>0</v>
      </c>
      <c r="GE204" s="160">
        <f>IF([Occurrence26]=0,0,SUM($GD$2:GD204))</f>
        <v>0</v>
      </c>
      <c r="GF204" s="160">
        <f>IF([chambre4]*1='CHAMBRES GARCONS 1e ETAGE'!$A$5,1,0)</f>
        <v>0</v>
      </c>
      <c r="GG204" s="160">
        <f>IF([Occurrence27]=0,0,SUM($GF$2:GF204))</f>
        <v>0</v>
      </c>
      <c r="GH204" s="160">
        <f>IF([chambre4]*1='CHAMBRES GARCONS 1e ETAGE'!$A$11,1,0)</f>
        <v>0</v>
      </c>
      <c r="GI204" s="160">
        <f>IF([Occurrence28]=0,0,SUM($GH$2:GH204))</f>
        <v>0</v>
      </c>
      <c r="GJ204" s="160">
        <f>IF([chambre4]*1='CHAMBRES GARCONS 1e ETAGE'!$A$17,1,0)</f>
        <v>0</v>
      </c>
      <c r="GK204" s="160">
        <f>IF([Occurrence29]=0,0,SUM($GJ$2:GJ204))</f>
        <v>0</v>
      </c>
      <c r="GL204" s="160">
        <f>IF([chambre4]*1='CHAMBRES GARCONS 1e ETAGE'!$A$23,1,0)</f>
        <v>0</v>
      </c>
      <c r="GM204" s="160">
        <f>IF([Occurrence30]=0,0,SUM($GL$2:GL204))</f>
        <v>0</v>
      </c>
      <c r="GN204" s="160">
        <f>IF([chambre4]*1='CHAMBRES GARCONS 1e ETAGE'!$A$29,1,0)</f>
        <v>0</v>
      </c>
      <c r="GO204" s="160">
        <f>IF([Occurrence31]=0,0,SUM($GN$2:GN204))</f>
        <v>0</v>
      </c>
      <c r="GP204" s="160">
        <f>IF([chambre4]*1='CHAMBRES GARCONS 1e ETAGE'!$A$35,1,0)</f>
        <v>0</v>
      </c>
      <c r="GQ204" s="160">
        <f>IF([Occurrence32]=0,0,SUM($GP$2:GP204))</f>
        <v>0</v>
      </c>
      <c r="GR204" s="160">
        <f>IF([chambre3]*1='CHAMBRES GARCONS RDC'!$A$5,1,0)</f>
        <v>0</v>
      </c>
      <c r="GS204" s="160">
        <f>IF([Occurrence33]=0,0,SUM($GR$2:GR204))</f>
        <v>0</v>
      </c>
      <c r="GT204" s="160">
        <f>IF([chambre3]*1='CHAMBRES GARCONS RDC'!$A$11,1,0)</f>
        <v>0</v>
      </c>
      <c r="GU204" s="160">
        <f>IF([Occurrence34]=0,0,SUM($GT$2:GT204))</f>
        <v>0</v>
      </c>
      <c r="GV204" s="160">
        <f>IF([chambre3]*1='CHAMBRES GARCONS RDC'!$A$17,1,0)</f>
        <v>0</v>
      </c>
      <c r="GW204" s="160">
        <f>IF([Occurrence35]=0,0,SUM($GV$2:GV204))</f>
        <v>0</v>
      </c>
      <c r="GX204" s="160">
        <f>IF([chambre3]*1='CHAMBRES GARCONS RDC'!$A$23,1,0)</f>
        <v>0</v>
      </c>
      <c r="GY204" s="160">
        <f>IF([Occurrence36]=0,0,SUM($GX$2:GX204))</f>
        <v>0</v>
      </c>
      <c r="GZ204" s="160">
        <f>IF([chambre3]*1='CHAMBRES GARCONS RDC'!$A$29,1,0)</f>
        <v>0</v>
      </c>
      <c r="HA204" s="160">
        <f>IF([Occurrence37]=0,0,SUM($GZ$2:GZ204))</f>
        <v>0</v>
      </c>
      <c r="HB204" s="160">
        <f>IF([chambre3]*1='CHAMBRES GARCONS RDC'!$A$35,1,0)</f>
        <v>0</v>
      </c>
      <c r="HC204" s="160">
        <f>IF([Occurrence38]=0,0,SUM($HB$2:HB204))</f>
        <v>0</v>
      </c>
      <c r="HD204" s="160">
        <f>IF([chambre3]*1='CHAMBRES GARCONS RDC'!$A$41,1,0)</f>
        <v>0</v>
      </c>
      <c r="HE204" s="160">
        <f>IF([Occurrence39]=0,0,SUM($HD$2:HD204))</f>
        <v>0</v>
      </c>
      <c r="HF204" s="160">
        <f>IF([chambre3]*1='CHAMBRES GARCONS RDC'!$A$47,1,0)</f>
        <v>0</v>
      </c>
      <c r="HG204" s="160">
        <f>IF([Occurrence40]=0,0,SUM($HF$2:HF204))</f>
        <v>0</v>
      </c>
      <c r="HH204" s="160">
        <f>IF([chambre3]*1='CHAMBRES GARCONS RDC'!$A$53,1,0)</f>
        <v>0</v>
      </c>
      <c r="HI204" s="160">
        <f>IF([Occurrence41]=0,0,SUM($HH$2:HH204))</f>
        <v>0</v>
      </c>
      <c r="HJ204" s="160">
        <f>IF([chambre3]*1='CHAMBRES GARCONS RDC'!$A$59,1,0)</f>
        <v>0</v>
      </c>
      <c r="HK204" s="160">
        <f>IF([Occurrence42]=0,0,SUM($HJ$2:HJ204))</f>
        <v>0</v>
      </c>
      <c r="HL204" s="160">
        <f>IF([chambre3]*1='CHAMBRES GARCONS RDC'!$A$65,1,0)</f>
        <v>0</v>
      </c>
      <c r="HM204" s="160">
        <f>IF([Occurrence43]=0,0,SUM($HL$2:HL204))</f>
        <v>0</v>
      </c>
      <c r="HN204" s="160">
        <f>IF([chambre3]*1='CHAMBRES GARCONS RDC'!$A$71,1,0)</f>
        <v>0</v>
      </c>
      <c r="HO204" s="160">
        <f>IF([Occurrence44]=0,0,SUM($HN$2:HN204))</f>
        <v>0</v>
      </c>
      <c r="HP204" s="160">
        <f>IF([chambre3]*1='CHAMBRES GARCONS RDC'!$A$77,1,0)</f>
        <v>0</v>
      </c>
      <c r="HQ204" s="160">
        <f>IF([Occurrence45]=0,0,SUM($HP$2:HP204))</f>
        <v>0</v>
      </c>
      <c r="HR204" s="160">
        <f>IF([chambre3]*1='CHAMBRES GARCONS RDC'!$A$83,1,0)</f>
        <v>0</v>
      </c>
      <c r="HS204" s="160">
        <f>IF([Occurrence46]=0,0,SUM($HR$2:HR204))</f>
        <v>0</v>
      </c>
      <c r="HT204" s="160">
        <f>IF([chambre3]*1='CHAMBRES GARCONS RDC'!$A$89,1,0)</f>
        <v>0</v>
      </c>
      <c r="HU204" s="160">
        <f>IF([Occurrence47]=0,0,SUM($HT$2:HT204))</f>
        <v>0</v>
      </c>
      <c r="HV204" s="160">
        <f>IF([chambre3]*1='CHAMBRES GARCONS RDC'!$A$95,1,0)</f>
        <v>0</v>
      </c>
      <c r="HW204" s="160">
        <f>IF([Occurrence48]=0,0,SUM($HV$2:HV204))</f>
        <v>0</v>
      </c>
      <c r="HX204" s="160"/>
      <c r="HY204" s="160"/>
      <c r="HZ204" s="160">
        <f>IF([Classe]='Liste élève par classes'!$B$5,1,0)</f>
        <v>1</v>
      </c>
      <c r="IA204" s="160">
        <f>IF([Occurrence]=0,0,SUM($HZ$2:HZ204))</f>
        <v>14</v>
      </c>
      <c r="IB20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170</v>
      </c>
      <c r="IC204" s="208"/>
    </row>
    <row r="205" spans="1:237">
      <c r="A205" t="s">
        <v>583</v>
      </c>
      <c r="B205" t="s">
        <v>584</v>
      </c>
      <c r="C205" s="158">
        <v>36585</v>
      </c>
      <c r="D205" s="62">
        <f t="shared" ca="1" si="3"/>
        <v>17</v>
      </c>
      <c r="E205" t="s">
        <v>7</v>
      </c>
      <c r="F205" s="159" t="s">
        <v>50</v>
      </c>
      <c r="G205" t="s">
        <v>40</v>
      </c>
      <c r="H205" s="160"/>
      <c r="I205" s="62"/>
      <c r="J205" s="62"/>
      <c r="K205" s="62"/>
      <c r="L205" s="61"/>
      <c r="M205">
        <v>20</v>
      </c>
      <c r="N205" s="62"/>
      <c r="O205" s="62"/>
      <c r="P205" s="62"/>
      <c r="Q205" s="62"/>
      <c r="R205" s="62"/>
      <c r="S205" s="191"/>
      <c r="T205" s="62"/>
      <c r="U205" s="61"/>
      <c r="V205" s="62"/>
      <c r="W205" s="62"/>
      <c r="X205" s="62"/>
      <c r="Y205" s="62"/>
      <c r="Z205" s="62"/>
      <c r="AA205" s="62"/>
      <c r="AB205" s="62"/>
      <c r="AC205" s="62"/>
      <c r="AD205" s="62"/>
      <c r="AE205" s="62"/>
      <c r="AF205" s="163"/>
      <c r="AG205" s="163"/>
      <c r="AH205" s="163"/>
      <c r="AI205" s="163"/>
      <c r="AJ205" s="163"/>
      <c r="AK205" s="163"/>
      <c r="AL205" s="163"/>
      <c r="AM205" s="163"/>
      <c r="AN205" s="163"/>
      <c r="AO205" s="163"/>
      <c r="AP205" s="163"/>
      <c r="AQ205" s="163"/>
      <c r="AR205" s="163"/>
      <c r="AS205" s="163"/>
      <c r="AT205" s="163"/>
      <c r="AU205" s="163"/>
      <c r="AV205" s="163"/>
      <c r="AW205" s="163"/>
      <c r="AX205" s="163"/>
      <c r="AY205" s="163"/>
      <c r="AZ205" s="163"/>
      <c r="BA205" s="163"/>
      <c r="BB205" s="163"/>
      <c r="BC205" s="163" t="b">
        <v>0</v>
      </c>
      <c r="BD205" s="163" t="b">
        <v>1</v>
      </c>
      <c r="BE205" s="163" t="b">
        <v>1</v>
      </c>
      <c r="BF205" s="163" t="b">
        <v>0</v>
      </c>
      <c r="BG205" s="163" t="b">
        <v>1</v>
      </c>
      <c r="BH205" s="163" t="b">
        <v>0</v>
      </c>
      <c r="BI205" s="163"/>
      <c r="BJ205" s="163"/>
      <c r="BK205" s="163"/>
      <c r="BL205" s="163"/>
      <c r="BM205" s="163"/>
      <c r="BN205" s="163"/>
      <c r="BO205" s="163"/>
      <c r="BP205" s="163"/>
      <c r="BQ205" s="163" t="b">
        <v>0</v>
      </c>
      <c r="BR205" s="163"/>
      <c r="BS205" s="163"/>
      <c r="BT205" s="163"/>
      <c r="BU205" s="163"/>
      <c r="BV205" s="163"/>
      <c r="BW205" s="163"/>
      <c r="BX205" s="163"/>
      <c r="BY205" s="163"/>
      <c r="BZ205" s="163"/>
      <c r="CA205" s="163"/>
      <c r="CB205" s="163"/>
      <c r="CC205" s="163"/>
      <c r="CD205" s="163"/>
      <c r="CE205" s="163"/>
      <c r="CF205" s="163"/>
      <c r="CG205" s="163"/>
      <c r="CH205" s="163"/>
      <c r="CI205" s="163"/>
      <c r="CJ205" s="163"/>
      <c r="CK205" s="163"/>
      <c r="CL205" s="163"/>
      <c r="CM205" s="163"/>
      <c r="CN205" s="163"/>
      <c r="CO205" s="163"/>
      <c r="CP205" s="163"/>
      <c r="CQ205" s="163"/>
      <c r="CR205" s="163"/>
      <c r="CS205" s="163"/>
      <c r="CT205" s="163"/>
      <c r="CU205" s="163"/>
      <c r="CV205" s="163"/>
      <c r="CW205" s="163"/>
      <c r="CX205" s="163"/>
      <c r="CY205" s="163"/>
      <c r="CZ205" s="163"/>
      <c r="DA205" s="163">
        <v>119</v>
      </c>
      <c r="DB205" s="163"/>
      <c r="DC205" s="163"/>
      <c r="DD205" s="163"/>
      <c r="DE205" s="163"/>
      <c r="DF205" s="163"/>
      <c r="DG205" s="208"/>
      <c r="DH205" s="163"/>
      <c r="DI205" s="163"/>
      <c r="DJ205" s="163"/>
      <c r="DK205" s="163"/>
      <c r="DL205" s="163"/>
      <c r="DM205" s="163"/>
      <c r="DN205" s="163"/>
      <c r="DO205" s="163"/>
      <c r="DP205" s="163"/>
      <c r="DQ205" s="163"/>
      <c r="DR205" s="163"/>
      <c r="DS205" s="163"/>
      <c r="DT205" s="163"/>
      <c r="DU205" s="163"/>
      <c r="DV205" s="163"/>
      <c r="DW205" s="163"/>
      <c r="DX205" s="163"/>
      <c r="DY205" s="163"/>
      <c r="DZ205" s="163"/>
      <c r="EA205" s="163"/>
      <c r="EB205" s="163"/>
      <c r="EC205" s="163"/>
      <c r="ED205" s="163"/>
      <c r="EE205" s="163"/>
      <c r="EF205" s="163"/>
      <c r="EG205" s="163"/>
      <c r="EH205" s="160">
        <f>IF([Chambre]*1='CHAMBRES FILLES 2e ETAGE'!$A$5,1,0)</f>
        <v>0</v>
      </c>
      <c r="EI205" s="161">
        <f>IF([Occurrence2]=0,0,SUM($EH$2:EH205))</f>
        <v>0</v>
      </c>
      <c r="EJ205" s="160">
        <f>IF([Chambre]*1='CHAMBRES FILLES 2e ETAGE'!$A$11,1,0)</f>
        <v>0</v>
      </c>
      <c r="EK205" s="160">
        <f>IF([Occurrence3]=0,0,SUM($EJ$2:EJ205))</f>
        <v>0</v>
      </c>
      <c r="EL205" s="160">
        <f>IF([Chambre]*1='CHAMBRES FILLES 2e ETAGE'!$A$17,1,0)</f>
        <v>0</v>
      </c>
      <c r="EM205" s="160">
        <f>IF([Occurrence4]=0,0,SUM($EL$2:EL205))</f>
        <v>0</v>
      </c>
      <c r="EN205" s="160">
        <f>IF([Chambre]*1='CHAMBRES FILLES 2e ETAGE'!$A$23,1,0)</f>
        <v>0</v>
      </c>
      <c r="EO205" s="160">
        <f>IF([Occurrence5]=0,0,SUM($EN$2:EN205))</f>
        <v>0</v>
      </c>
      <c r="EP205" s="160">
        <f>IF([Chambre]*1='CHAMBRES FILLES 2e ETAGE'!$A$29,1,0)</f>
        <v>0</v>
      </c>
      <c r="EQ205" s="160">
        <f>IF([Occurrence6]=0,0,SUM($EP$2:EP205))</f>
        <v>0</v>
      </c>
      <c r="ER205" s="160">
        <f>IF([Chambre]*1='CHAMBRES FILLES 2e ETAGE'!$A$35,1,0)</f>
        <v>0</v>
      </c>
      <c r="ES205" s="160">
        <f>IF([Occurrence7]=0,0,SUM($ER$2:ER205))</f>
        <v>0</v>
      </c>
      <c r="ET205" s="160">
        <f>IF([Chambre]*1='CHAMBRES FILLES 2e ETAGE'!$A$41,1,0)</f>
        <v>0</v>
      </c>
      <c r="EU205" s="160">
        <f>IF([Occurrence8]=0,0,SUM($ET$2:ET205))</f>
        <v>0</v>
      </c>
      <c r="EV205" s="160">
        <f>IF([Chambre]*1='CHAMBRES FILLES 2e ETAGE'!$A$47,1,0)</f>
        <v>0</v>
      </c>
      <c r="EW205" s="160">
        <f>IF([Occurrence9]=0,0,SUM($EV$2:EV205))</f>
        <v>0</v>
      </c>
      <c r="EX205" s="160">
        <f>IF([Chambre]*1='CHAMBRES FILLES 2e ETAGE'!$A$53,1,0)</f>
        <v>0</v>
      </c>
      <c r="EY205" s="160">
        <f>IF([Occurrence10]=0,0,SUM($EX$2:EX205))</f>
        <v>0</v>
      </c>
      <c r="EZ205" s="160">
        <f>IF([Chambre]*1='CHAMBRES FILLES 2e ETAGE'!$A$59,1,0)</f>
        <v>0</v>
      </c>
      <c r="FA205" s="160">
        <f>IF([Occurrence11]=0,0,SUM($EZ$2:EZ205))</f>
        <v>0</v>
      </c>
      <c r="FB205" s="160">
        <f>IF([Chambre]*1='CHAMBRES FILLES 2e ETAGE'!$A$65,1,0)</f>
        <v>0</v>
      </c>
      <c r="FC205" s="160">
        <f>IF([Occurrence12]=0,0,SUM($FB$2:FB205))</f>
        <v>0</v>
      </c>
      <c r="FD205" s="160">
        <f>IF([Chambre]*1='CHAMBRES FILLES 2e ETAGE'!$A$71,1,0)</f>
        <v>0</v>
      </c>
      <c r="FE205" s="160">
        <f>IF([Occurrence13]=0,0,SUM($FD$2:FD205))</f>
        <v>0</v>
      </c>
      <c r="FF205" s="160">
        <f>IF([Chambre]*1='CHAMBRES FILLES 2e ETAGE'!$A$77,1,0)</f>
        <v>0</v>
      </c>
      <c r="FG205" s="160">
        <f>IF([Occurrence14]=0,0,SUM($FF$2:FF205))</f>
        <v>0</v>
      </c>
      <c r="FH205" s="160">
        <f>IF([Chambre]*1='CHAMBRES FILLES 2e ETAGE'!$A$83,1,0)</f>
        <v>0</v>
      </c>
      <c r="FI205" s="160">
        <f>IF([Occurrence15]=0,0,SUM($FH$2:FH205))</f>
        <v>0</v>
      </c>
      <c r="FJ205" s="160">
        <f>IF([Chambre]*1='CHAMBRES FILLES 2e ETAGE'!$A$89,1,0)</f>
        <v>0</v>
      </c>
      <c r="FK205" s="160">
        <f>IF([Occurrence16]=0,0,SUM($FJ$2:FJ205))</f>
        <v>0</v>
      </c>
      <c r="FL205" s="160">
        <f>IF([Chambre]*1='CHAMBRES FILLES 2e ETAGE'!$A$95,1,0)</f>
        <v>0</v>
      </c>
      <c r="FM205" s="160">
        <f>IF([Occurrence17]=0,0,SUM($FL$2:FL205))</f>
        <v>0</v>
      </c>
      <c r="FN205" s="160">
        <f>IF([Chambre2]*1='CHAMBRES FILLES 1e ETAGE'!$A$5,1,0)</f>
        <v>0</v>
      </c>
      <c r="FO205" s="160">
        <f>IF([Occurrence18]=0,0,SUM($FN$2:FN205))</f>
        <v>0</v>
      </c>
      <c r="FP205" s="160">
        <f>IF([Chambre2]*1='CHAMBRES FILLES 1e ETAGE'!$A$11,1,0)</f>
        <v>0</v>
      </c>
      <c r="FQ205" s="160">
        <f>IF([Occurrence19]=0,0,SUM($FP$2:FP205))</f>
        <v>0</v>
      </c>
      <c r="FR205" s="160">
        <f>IF([Chambre2]*1='CHAMBRES FILLES 1e ETAGE'!$A$17,1,0)</f>
        <v>0</v>
      </c>
      <c r="FS205" s="160">
        <f>IF([Occurrence20]=0,0,SUM($FR$2:FR205))</f>
        <v>0</v>
      </c>
      <c r="FT205" s="160">
        <f>IF([Chambre2]*1='CHAMBRES FILLES 1e ETAGE'!$A$23,1,0)</f>
        <v>0</v>
      </c>
      <c r="FU205" s="160">
        <f>IF([Occurrence21]=0,0,SUM($FT$2:FT205))</f>
        <v>0</v>
      </c>
      <c r="FV205" s="160">
        <f>IF([Chambre2]*1='CHAMBRES FILLES 1e ETAGE'!$A$29,1,0)</f>
        <v>0</v>
      </c>
      <c r="FW205" s="160">
        <f>IF([Occurrence22]=0,0,SUM($FV$2:FV205))</f>
        <v>0</v>
      </c>
      <c r="FX205" s="160">
        <f>IF([Chambre2]*1='CHAMBRES FILLES 1e ETAGE'!$A$35,1,0)</f>
        <v>0</v>
      </c>
      <c r="FY205" s="160">
        <f>IF([Occurrence23]=0,0,SUM($FX$2:FX205))</f>
        <v>0</v>
      </c>
      <c r="FZ205" s="160">
        <f>IF([Chambre2]*1='CHAMBRES FILLES 1e ETAGE'!$A$41,1,0)</f>
        <v>0</v>
      </c>
      <c r="GA205" s="160">
        <f>IF([Occurrence24]=0,0,SUM($FZ$2:FZ205))</f>
        <v>0</v>
      </c>
      <c r="GB205" s="160">
        <f>IF([Chambre2]*1='CHAMBRES FILLES 1e ETAGE'!$A$47,1,0)</f>
        <v>0</v>
      </c>
      <c r="GC205" s="160">
        <f>IF([Occurrence25]=0,0,SUM($GB$2:GB205))</f>
        <v>0</v>
      </c>
      <c r="GD205" s="160">
        <f>IF([Chambre2]*1='CHAMBRES FILLES 1e ETAGE'!$A$53,1,0)</f>
        <v>0</v>
      </c>
      <c r="GE205" s="160">
        <f>IF([Occurrence26]=0,0,SUM($GD$2:GD205))</f>
        <v>0</v>
      </c>
      <c r="GF205" s="160">
        <f>IF([chambre4]*1='CHAMBRES GARCONS 1e ETAGE'!$A$5,1,0)</f>
        <v>0</v>
      </c>
      <c r="GG205" s="160">
        <f>IF([Occurrence27]=0,0,SUM($GF$2:GF205))</f>
        <v>0</v>
      </c>
      <c r="GH205" s="160">
        <f>IF([chambre4]*1='CHAMBRES GARCONS 1e ETAGE'!$A$11,1,0)</f>
        <v>0</v>
      </c>
      <c r="GI205" s="160">
        <f>IF([Occurrence28]=0,0,SUM($GH$2:GH205))</f>
        <v>0</v>
      </c>
      <c r="GJ205" s="160">
        <f>IF([chambre4]*1='CHAMBRES GARCONS 1e ETAGE'!$A$17,1,0)</f>
        <v>0</v>
      </c>
      <c r="GK205" s="160">
        <f>IF([Occurrence29]=0,0,SUM($GJ$2:GJ205))</f>
        <v>0</v>
      </c>
      <c r="GL205" s="160">
        <f>IF([chambre4]*1='CHAMBRES GARCONS 1e ETAGE'!$A$23,1,0)</f>
        <v>0</v>
      </c>
      <c r="GM205" s="160">
        <f>IF([Occurrence30]=0,0,SUM($GL$2:GL205))</f>
        <v>0</v>
      </c>
      <c r="GN205" s="160">
        <f>IF([chambre4]*1='CHAMBRES GARCONS 1e ETAGE'!$A$29,1,0)</f>
        <v>0</v>
      </c>
      <c r="GO205" s="160">
        <f>IF([Occurrence31]=0,0,SUM($GN$2:GN205))</f>
        <v>0</v>
      </c>
      <c r="GP205" s="160">
        <f>IF([chambre4]*1='CHAMBRES GARCONS 1e ETAGE'!$A$35,1,0)</f>
        <v>0</v>
      </c>
      <c r="GQ205" s="160">
        <f>IF([Occurrence32]=0,0,SUM($GP$2:GP205))</f>
        <v>0</v>
      </c>
      <c r="GR205" s="160">
        <f>IF([chambre3]*1='CHAMBRES GARCONS RDC'!$A$5,1,0)</f>
        <v>0</v>
      </c>
      <c r="GS205" s="160">
        <f>IF([Occurrence33]=0,0,SUM($GR$2:GR205))</f>
        <v>0</v>
      </c>
      <c r="GT205" s="160">
        <f>IF([chambre3]*1='CHAMBRES GARCONS RDC'!$A$11,1,0)</f>
        <v>0</v>
      </c>
      <c r="GU205" s="160">
        <f>IF([Occurrence34]=0,0,SUM($GT$2:GT205))</f>
        <v>0</v>
      </c>
      <c r="GV205" s="160">
        <f>IF([chambre3]*1='CHAMBRES GARCONS RDC'!$A$17,1,0)</f>
        <v>0</v>
      </c>
      <c r="GW205" s="160">
        <f>IF([Occurrence35]=0,0,SUM($GV$2:GV205))</f>
        <v>0</v>
      </c>
      <c r="GX205" s="160">
        <f>IF([chambre3]*1='CHAMBRES GARCONS RDC'!$A$23,1,0)</f>
        <v>0</v>
      </c>
      <c r="GY205" s="160">
        <f>IF([Occurrence36]=0,0,SUM($GX$2:GX205))</f>
        <v>0</v>
      </c>
      <c r="GZ205" s="160">
        <f>IF([chambre3]*1='CHAMBRES GARCONS RDC'!$A$29,1,0)</f>
        <v>0</v>
      </c>
      <c r="HA205" s="160">
        <f>IF([Occurrence37]=0,0,SUM($GZ$2:GZ205))</f>
        <v>0</v>
      </c>
      <c r="HB205" s="160">
        <f>IF([chambre3]*1='CHAMBRES GARCONS RDC'!$A$35,1,0)</f>
        <v>0</v>
      </c>
      <c r="HC205" s="160">
        <f>IF([Occurrence38]=0,0,SUM($HB$2:HB205))</f>
        <v>0</v>
      </c>
      <c r="HD205" s="160">
        <f>IF([chambre3]*1='CHAMBRES GARCONS RDC'!$A$41,1,0)</f>
        <v>1</v>
      </c>
      <c r="HE205" s="160">
        <f>IF([Occurrence39]=0,0,SUM($HD$2:HD205))</f>
        <v>1</v>
      </c>
      <c r="HF205" s="160">
        <f>IF([chambre3]*1='CHAMBRES GARCONS RDC'!$A$47,1,0)</f>
        <v>0</v>
      </c>
      <c r="HG205" s="160">
        <f>IF([Occurrence40]=0,0,SUM($HF$2:HF205))</f>
        <v>0</v>
      </c>
      <c r="HH205" s="160">
        <f>IF([chambre3]*1='CHAMBRES GARCONS RDC'!$A$53,1,0)</f>
        <v>0</v>
      </c>
      <c r="HI205" s="160">
        <f>IF([Occurrence41]=0,0,SUM($HH$2:HH205))</f>
        <v>0</v>
      </c>
      <c r="HJ205" s="160">
        <f>IF([chambre3]*1='CHAMBRES GARCONS RDC'!$A$59,1,0)</f>
        <v>0</v>
      </c>
      <c r="HK205" s="160">
        <f>IF([Occurrence42]=0,0,SUM($HJ$2:HJ205))</f>
        <v>0</v>
      </c>
      <c r="HL205" s="160">
        <f>IF([chambre3]*1='CHAMBRES GARCONS RDC'!$A$65,1,0)</f>
        <v>0</v>
      </c>
      <c r="HM205" s="160">
        <f>IF([Occurrence43]=0,0,SUM($HL$2:HL205))</f>
        <v>0</v>
      </c>
      <c r="HN205" s="160">
        <f>IF([chambre3]*1='CHAMBRES GARCONS RDC'!$A$71,1,0)</f>
        <v>0</v>
      </c>
      <c r="HO205" s="160">
        <f>IF([Occurrence44]=0,0,SUM($HN$2:HN205))</f>
        <v>0</v>
      </c>
      <c r="HP205" s="160">
        <f>IF([chambre3]*1='CHAMBRES GARCONS RDC'!$A$77,1,0)</f>
        <v>0</v>
      </c>
      <c r="HQ205" s="160">
        <f>IF([Occurrence45]=0,0,SUM($HP$2:HP205))</f>
        <v>0</v>
      </c>
      <c r="HR205" s="160">
        <f>IF([chambre3]*1='CHAMBRES GARCONS RDC'!$A$83,1,0)</f>
        <v>0</v>
      </c>
      <c r="HS205" s="160">
        <f>IF([Occurrence46]=0,0,SUM($HR$2:HR205))</f>
        <v>0</v>
      </c>
      <c r="HT205" s="160">
        <f>IF([chambre3]*1='CHAMBRES GARCONS RDC'!$A$89,1,0)</f>
        <v>0</v>
      </c>
      <c r="HU205" s="160">
        <f>IF([Occurrence47]=0,0,SUM($HT$2:HT205))</f>
        <v>0</v>
      </c>
      <c r="HV205" s="160">
        <f>IF([chambre3]*1='CHAMBRES GARCONS RDC'!$A$95,1,0)</f>
        <v>0</v>
      </c>
      <c r="HW205" s="160">
        <f>IF([Occurrence48]=0,0,SUM($HV$2:HV205))</f>
        <v>0</v>
      </c>
      <c r="HX205" s="160"/>
      <c r="HY205" s="160"/>
      <c r="HZ205" s="160">
        <f>IF([Classe]='Liste élève par classes'!$B$5,1,0)</f>
        <v>0</v>
      </c>
      <c r="IA205" s="160">
        <f>IF([Occurrence]=0,0,SUM($HZ$2:HZ205))</f>
        <v>0</v>
      </c>
      <c r="IB20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119</v>
      </c>
      <c r="IC205" s="208"/>
    </row>
    <row r="206" spans="1:237">
      <c r="A206" t="s">
        <v>585</v>
      </c>
      <c r="B206" t="s">
        <v>282</v>
      </c>
      <c r="C206" s="158">
        <v>37254</v>
      </c>
      <c r="D206" s="62">
        <f t="shared" ca="1" si="3"/>
        <v>15</v>
      </c>
      <c r="E206" t="s">
        <v>6</v>
      </c>
      <c r="F206" s="159" t="s">
        <v>50</v>
      </c>
      <c r="G206" t="s">
        <v>45</v>
      </c>
      <c r="H206" s="160"/>
      <c r="I206" s="62"/>
      <c r="J206" s="62"/>
      <c r="K206" s="62"/>
      <c r="L206" s="61"/>
      <c r="M206">
        <v>68</v>
      </c>
      <c r="N206" s="62"/>
      <c r="O206" s="62"/>
      <c r="P206" s="62"/>
      <c r="Q206" s="62"/>
      <c r="R206" s="62"/>
      <c r="S206" s="191"/>
      <c r="T206" s="62"/>
      <c r="U206" s="61">
        <v>134</v>
      </c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163"/>
      <c r="AG206" s="163"/>
      <c r="AH206" s="163"/>
      <c r="AI206" s="163"/>
      <c r="AJ206" s="163"/>
      <c r="AK206" s="163"/>
      <c r="AL206" s="163"/>
      <c r="AM206" s="163"/>
      <c r="AN206" s="163"/>
      <c r="AO206" s="163"/>
      <c r="AP206" s="163"/>
      <c r="AQ206" s="163"/>
      <c r="AR206" s="163"/>
      <c r="AS206" s="163"/>
      <c r="AT206" s="163"/>
      <c r="AU206" s="163"/>
      <c r="AV206" s="163"/>
      <c r="AW206" s="163"/>
      <c r="AX206" s="163"/>
      <c r="AY206" s="163"/>
      <c r="AZ206" s="163"/>
      <c r="BA206" s="163"/>
      <c r="BB206" s="163"/>
      <c r="BC206" s="163" t="b">
        <v>0</v>
      </c>
      <c r="BD206" s="163" t="b">
        <v>1</v>
      </c>
      <c r="BE206" s="163" t="b">
        <v>1</v>
      </c>
      <c r="BF206" s="163" t="b">
        <v>0</v>
      </c>
      <c r="BG206" s="164" t="b">
        <v>0</v>
      </c>
      <c r="BH206" s="163" t="b">
        <v>1</v>
      </c>
      <c r="BI206" s="163"/>
      <c r="BJ206" s="163"/>
      <c r="BK206" s="163"/>
      <c r="BL206" s="163"/>
      <c r="BM206" s="163"/>
      <c r="BN206" s="163"/>
      <c r="BO206" s="163"/>
      <c r="BP206" s="163"/>
      <c r="BQ206" s="163" t="b">
        <v>0</v>
      </c>
      <c r="BR206" s="163"/>
      <c r="BS206" s="163"/>
      <c r="BT206" s="163"/>
      <c r="BU206" s="163"/>
      <c r="BV206" s="163"/>
      <c r="BW206" s="163"/>
      <c r="BX206" s="163"/>
      <c r="BY206" s="163"/>
      <c r="BZ206" s="163"/>
      <c r="CA206" s="163"/>
      <c r="CB206" s="163"/>
      <c r="CC206" s="163"/>
      <c r="CD206" s="163"/>
      <c r="CE206" s="163"/>
      <c r="CF206" s="163"/>
      <c r="CG206" s="163"/>
      <c r="CH206" s="163"/>
      <c r="CI206" s="163"/>
      <c r="CJ206" s="163"/>
      <c r="CK206" s="163"/>
      <c r="CL206" s="163"/>
      <c r="CM206" s="163"/>
      <c r="CN206" s="163"/>
      <c r="CO206" s="163"/>
      <c r="CP206" s="163"/>
      <c r="CQ206" s="163"/>
      <c r="CR206" s="163"/>
      <c r="CS206" s="163"/>
      <c r="CT206" s="163"/>
      <c r="CU206" s="163"/>
      <c r="CV206" s="163"/>
      <c r="CW206" s="163"/>
      <c r="CX206" s="163"/>
      <c r="CY206" s="163"/>
      <c r="CZ206" s="163"/>
      <c r="DA206" s="163"/>
      <c r="DB206" s="163"/>
      <c r="DC206" s="163"/>
      <c r="DD206" s="163"/>
      <c r="DE206" s="163"/>
      <c r="DF206" s="163"/>
      <c r="DG206" s="208"/>
      <c r="DH206" s="163"/>
      <c r="DI206" s="163"/>
      <c r="DJ206" s="163"/>
      <c r="DK206" s="163"/>
      <c r="DL206" s="163"/>
      <c r="DM206" s="163"/>
      <c r="DN206" s="163"/>
      <c r="DO206" s="163"/>
      <c r="DP206" s="163"/>
      <c r="DQ206" s="163"/>
      <c r="DR206" s="163"/>
      <c r="DS206" s="163"/>
      <c r="DT206" s="163"/>
      <c r="DU206" s="163"/>
      <c r="DV206" s="163"/>
      <c r="DW206" s="163"/>
      <c r="DX206" s="163"/>
      <c r="DY206" s="163"/>
      <c r="DZ206" s="163"/>
      <c r="EA206" s="163"/>
      <c r="EB206" s="163"/>
      <c r="EC206" s="163"/>
      <c r="ED206" s="163"/>
      <c r="EE206" s="163"/>
      <c r="EF206" s="163"/>
      <c r="EG206" s="163"/>
      <c r="EH206" s="160">
        <f>IF([Chambre]*1='CHAMBRES FILLES 2e ETAGE'!$A$5,1,0)</f>
        <v>0</v>
      </c>
      <c r="EI206" s="161">
        <f>IF([Occurrence2]=0,0,SUM($EH$2:EH206))</f>
        <v>0</v>
      </c>
      <c r="EJ206" s="160">
        <f>IF([Chambre]*1='CHAMBRES FILLES 2e ETAGE'!$A$11,1,0)</f>
        <v>0</v>
      </c>
      <c r="EK206" s="160">
        <f>IF([Occurrence3]=0,0,SUM($EJ$2:EJ206))</f>
        <v>0</v>
      </c>
      <c r="EL206" s="160">
        <f>IF([Chambre]*1='CHAMBRES FILLES 2e ETAGE'!$A$17,1,0)</f>
        <v>0</v>
      </c>
      <c r="EM206" s="160">
        <f>IF([Occurrence4]=0,0,SUM($EL$2:EL206))</f>
        <v>0</v>
      </c>
      <c r="EN206" s="160">
        <f>IF([Chambre]*1='CHAMBRES FILLES 2e ETAGE'!$A$23,1,0)</f>
        <v>0</v>
      </c>
      <c r="EO206" s="160">
        <f>IF([Occurrence5]=0,0,SUM($EN$2:EN206))</f>
        <v>0</v>
      </c>
      <c r="EP206" s="160">
        <f>IF([Chambre]*1='CHAMBRES FILLES 2e ETAGE'!$A$29,1,0)</f>
        <v>0</v>
      </c>
      <c r="EQ206" s="160">
        <f>IF([Occurrence6]=0,0,SUM($EP$2:EP206))</f>
        <v>0</v>
      </c>
      <c r="ER206" s="160">
        <f>IF([Chambre]*1='CHAMBRES FILLES 2e ETAGE'!$A$35,1,0)</f>
        <v>0</v>
      </c>
      <c r="ES206" s="160">
        <f>IF([Occurrence7]=0,0,SUM($ER$2:ER206))</f>
        <v>0</v>
      </c>
      <c r="ET206" s="160">
        <f>IF([Chambre]*1='CHAMBRES FILLES 2e ETAGE'!$A$41,1,0)</f>
        <v>0</v>
      </c>
      <c r="EU206" s="160">
        <f>IF([Occurrence8]=0,0,SUM($ET$2:ET206))</f>
        <v>0</v>
      </c>
      <c r="EV206" s="160">
        <f>IF([Chambre]*1='CHAMBRES FILLES 2e ETAGE'!$A$47,1,0)</f>
        <v>0</v>
      </c>
      <c r="EW206" s="160">
        <f>IF([Occurrence9]=0,0,SUM($EV$2:EV206))</f>
        <v>0</v>
      </c>
      <c r="EX206" s="160">
        <f>IF([Chambre]*1='CHAMBRES FILLES 2e ETAGE'!$A$53,1,0)</f>
        <v>0</v>
      </c>
      <c r="EY206" s="160">
        <f>IF([Occurrence10]=0,0,SUM($EX$2:EX206))</f>
        <v>0</v>
      </c>
      <c r="EZ206" s="160">
        <f>IF([Chambre]*1='CHAMBRES FILLES 2e ETAGE'!$A$59,1,0)</f>
        <v>0</v>
      </c>
      <c r="FA206" s="160">
        <f>IF([Occurrence11]=0,0,SUM($EZ$2:EZ206))</f>
        <v>0</v>
      </c>
      <c r="FB206" s="160">
        <f>IF([Chambre]*1='CHAMBRES FILLES 2e ETAGE'!$A$65,1,0)</f>
        <v>0</v>
      </c>
      <c r="FC206" s="160">
        <f>IF([Occurrence12]=0,0,SUM($FB$2:FB206))</f>
        <v>0</v>
      </c>
      <c r="FD206" s="160">
        <f>IF([Chambre]*1='CHAMBRES FILLES 2e ETAGE'!$A$71,1,0)</f>
        <v>0</v>
      </c>
      <c r="FE206" s="160">
        <f>IF([Occurrence13]=0,0,SUM($FD$2:FD206))</f>
        <v>0</v>
      </c>
      <c r="FF206" s="160">
        <f>IF([Chambre]*1='CHAMBRES FILLES 2e ETAGE'!$A$77,1,0)</f>
        <v>0</v>
      </c>
      <c r="FG206" s="160">
        <f>IF([Occurrence14]=0,0,SUM($FF$2:FF206))</f>
        <v>0</v>
      </c>
      <c r="FH206" s="160">
        <f>IF([Chambre]*1='CHAMBRES FILLES 2e ETAGE'!$A$83,1,0)</f>
        <v>0</v>
      </c>
      <c r="FI206" s="160">
        <f>IF([Occurrence15]=0,0,SUM($FH$2:FH206))</f>
        <v>0</v>
      </c>
      <c r="FJ206" s="160">
        <f>IF([Chambre]*1='CHAMBRES FILLES 2e ETAGE'!$A$89,1,0)</f>
        <v>0</v>
      </c>
      <c r="FK206" s="160">
        <f>IF([Occurrence16]=0,0,SUM($FJ$2:FJ206))</f>
        <v>0</v>
      </c>
      <c r="FL206" s="160">
        <f>IF([Chambre]*1='CHAMBRES FILLES 2e ETAGE'!$A$95,1,0)</f>
        <v>0</v>
      </c>
      <c r="FM206" s="160">
        <f>IF([Occurrence17]=0,0,SUM($FL$2:FL206))</f>
        <v>0</v>
      </c>
      <c r="FN206" s="160">
        <f>IF([Chambre2]*1='CHAMBRES FILLES 1e ETAGE'!$A$5,1,0)</f>
        <v>0</v>
      </c>
      <c r="FO206" s="160">
        <f>IF([Occurrence18]=0,0,SUM($FN$2:FN206))</f>
        <v>0</v>
      </c>
      <c r="FP206" s="160">
        <f>IF([Chambre2]*1='CHAMBRES FILLES 1e ETAGE'!$A$11,1,0)</f>
        <v>0</v>
      </c>
      <c r="FQ206" s="160">
        <f>IF([Occurrence19]=0,0,SUM($FP$2:FP206))</f>
        <v>0</v>
      </c>
      <c r="FR206" s="160">
        <f>IF([Chambre2]*1='CHAMBRES FILLES 1e ETAGE'!$A$17,1,0)</f>
        <v>1</v>
      </c>
      <c r="FS206" s="160">
        <f>IF([Occurrence20]=0,0,SUM($FR$2:FR206))</f>
        <v>3</v>
      </c>
      <c r="FT206" s="160">
        <f>IF([Chambre2]*1='CHAMBRES FILLES 1e ETAGE'!$A$23,1,0)</f>
        <v>0</v>
      </c>
      <c r="FU206" s="160">
        <f>IF([Occurrence21]=0,0,SUM($FT$2:FT206))</f>
        <v>0</v>
      </c>
      <c r="FV206" s="160">
        <f>IF([Chambre2]*1='CHAMBRES FILLES 1e ETAGE'!$A$29,1,0)</f>
        <v>0</v>
      </c>
      <c r="FW206" s="160">
        <f>IF([Occurrence22]=0,0,SUM($FV$2:FV206))</f>
        <v>0</v>
      </c>
      <c r="FX206" s="160">
        <f>IF([Chambre2]*1='CHAMBRES FILLES 1e ETAGE'!$A$35,1,0)</f>
        <v>0</v>
      </c>
      <c r="FY206" s="160">
        <f>IF([Occurrence23]=0,0,SUM($FX$2:FX206))</f>
        <v>0</v>
      </c>
      <c r="FZ206" s="160">
        <f>IF([Chambre2]*1='CHAMBRES FILLES 1e ETAGE'!$A$41,1,0)</f>
        <v>0</v>
      </c>
      <c r="GA206" s="160">
        <f>IF([Occurrence24]=0,0,SUM($FZ$2:FZ206))</f>
        <v>0</v>
      </c>
      <c r="GB206" s="160">
        <f>IF([Chambre2]*1='CHAMBRES FILLES 1e ETAGE'!$A$47,1,0)</f>
        <v>0</v>
      </c>
      <c r="GC206" s="160">
        <f>IF([Occurrence25]=0,0,SUM($GB$2:GB206))</f>
        <v>0</v>
      </c>
      <c r="GD206" s="160">
        <f>IF([Chambre2]*1='CHAMBRES FILLES 1e ETAGE'!$A$53,1,0)</f>
        <v>0</v>
      </c>
      <c r="GE206" s="160">
        <f>IF([Occurrence26]=0,0,SUM($GD$2:GD206))</f>
        <v>0</v>
      </c>
      <c r="GF206" s="160">
        <f>IF([chambre4]*1='CHAMBRES GARCONS 1e ETAGE'!$A$5,1,0)</f>
        <v>0</v>
      </c>
      <c r="GG206" s="160">
        <f>IF([Occurrence27]=0,0,SUM($GF$2:GF206))</f>
        <v>0</v>
      </c>
      <c r="GH206" s="160">
        <f>IF([chambre4]*1='CHAMBRES GARCONS 1e ETAGE'!$A$11,1,0)</f>
        <v>0</v>
      </c>
      <c r="GI206" s="160">
        <f>IF([Occurrence28]=0,0,SUM($GH$2:GH206))</f>
        <v>0</v>
      </c>
      <c r="GJ206" s="160">
        <f>IF([chambre4]*1='CHAMBRES GARCONS 1e ETAGE'!$A$17,1,0)</f>
        <v>0</v>
      </c>
      <c r="GK206" s="160">
        <f>IF([Occurrence29]=0,0,SUM($GJ$2:GJ206))</f>
        <v>0</v>
      </c>
      <c r="GL206" s="160">
        <f>IF([chambre4]*1='CHAMBRES GARCONS 1e ETAGE'!$A$23,1,0)</f>
        <v>0</v>
      </c>
      <c r="GM206" s="160">
        <f>IF([Occurrence30]=0,0,SUM($GL$2:GL206))</f>
        <v>0</v>
      </c>
      <c r="GN206" s="160">
        <f>IF([chambre4]*1='CHAMBRES GARCONS 1e ETAGE'!$A$29,1,0)</f>
        <v>0</v>
      </c>
      <c r="GO206" s="160">
        <f>IF([Occurrence31]=0,0,SUM($GN$2:GN206))</f>
        <v>0</v>
      </c>
      <c r="GP206" s="160">
        <f>IF([chambre4]*1='CHAMBRES GARCONS 1e ETAGE'!$A$35,1,0)</f>
        <v>0</v>
      </c>
      <c r="GQ206" s="160">
        <f>IF([Occurrence32]=0,0,SUM($GP$2:GP206))</f>
        <v>0</v>
      </c>
      <c r="GR206" s="160">
        <f>IF([chambre3]*1='CHAMBRES GARCONS RDC'!$A$5,1,0)</f>
        <v>0</v>
      </c>
      <c r="GS206" s="160">
        <f>IF([Occurrence33]=0,0,SUM($GR$2:GR206))</f>
        <v>0</v>
      </c>
      <c r="GT206" s="160">
        <f>IF([chambre3]*1='CHAMBRES GARCONS RDC'!$A$11,1,0)</f>
        <v>0</v>
      </c>
      <c r="GU206" s="160">
        <f>IF([Occurrence34]=0,0,SUM($GT$2:GT206))</f>
        <v>0</v>
      </c>
      <c r="GV206" s="160">
        <f>IF([chambre3]*1='CHAMBRES GARCONS RDC'!$A$17,1,0)</f>
        <v>0</v>
      </c>
      <c r="GW206" s="160">
        <f>IF([Occurrence35]=0,0,SUM($GV$2:GV206))</f>
        <v>0</v>
      </c>
      <c r="GX206" s="160">
        <f>IF([chambre3]*1='CHAMBRES GARCONS RDC'!$A$23,1,0)</f>
        <v>0</v>
      </c>
      <c r="GY206" s="160">
        <f>IF([Occurrence36]=0,0,SUM($GX$2:GX206))</f>
        <v>0</v>
      </c>
      <c r="GZ206" s="160">
        <f>IF([chambre3]*1='CHAMBRES GARCONS RDC'!$A$29,1,0)</f>
        <v>0</v>
      </c>
      <c r="HA206" s="160">
        <f>IF([Occurrence37]=0,0,SUM($GZ$2:GZ206))</f>
        <v>0</v>
      </c>
      <c r="HB206" s="160">
        <f>IF([chambre3]*1='CHAMBRES GARCONS RDC'!$A$35,1,0)</f>
        <v>0</v>
      </c>
      <c r="HC206" s="160">
        <f>IF([Occurrence38]=0,0,SUM($HB$2:HB206))</f>
        <v>0</v>
      </c>
      <c r="HD206" s="160">
        <f>IF([chambre3]*1='CHAMBRES GARCONS RDC'!$A$41,1,0)</f>
        <v>0</v>
      </c>
      <c r="HE206" s="160">
        <f>IF([Occurrence39]=0,0,SUM($HD$2:HD206))</f>
        <v>0</v>
      </c>
      <c r="HF206" s="160">
        <f>IF([chambre3]*1='CHAMBRES GARCONS RDC'!$A$47,1,0)</f>
        <v>0</v>
      </c>
      <c r="HG206" s="160">
        <f>IF([Occurrence40]=0,0,SUM($HF$2:HF206))</f>
        <v>0</v>
      </c>
      <c r="HH206" s="160">
        <f>IF([chambre3]*1='CHAMBRES GARCONS RDC'!$A$53,1,0)</f>
        <v>0</v>
      </c>
      <c r="HI206" s="160">
        <f>IF([Occurrence41]=0,0,SUM($HH$2:HH206))</f>
        <v>0</v>
      </c>
      <c r="HJ206" s="160">
        <f>IF([chambre3]*1='CHAMBRES GARCONS RDC'!$A$59,1,0)</f>
        <v>0</v>
      </c>
      <c r="HK206" s="160">
        <f>IF([Occurrence42]=0,0,SUM($HJ$2:HJ206))</f>
        <v>0</v>
      </c>
      <c r="HL206" s="160">
        <f>IF([chambre3]*1='CHAMBRES GARCONS RDC'!$A$65,1,0)</f>
        <v>0</v>
      </c>
      <c r="HM206" s="160">
        <f>IF([Occurrence43]=0,0,SUM($HL$2:HL206))</f>
        <v>0</v>
      </c>
      <c r="HN206" s="160">
        <f>IF([chambre3]*1='CHAMBRES GARCONS RDC'!$A$71,1,0)</f>
        <v>0</v>
      </c>
      <c r="HO206" s="160">
        <f>IF([Occurrence44]=0,0,SUM($HN$2:HN206))</f>
        <v>0</v>
      </c>
      <c r="HP206" s="160">
        <f>IF([chambre3]*1='CHAMBRES GARCONS RDC'!$A$77,1,0)</f>
        <v>0</v>
      </c>
      <c r="HQ206" s="160">
        <f>IF([Occurrence45]=0,0,SUM($HP$2:HP206))</f>
        <v>0</v>
      </c>
      <c r="HR206" s="160">
        <f>IF([chambre3]*1='CHAMBRES GARCONS RDC'!$A$83,1,0)</f>
        <v>0</v>
      </c>
      <c r="HS206" s="160">
        <f>IF([Occurrence46]=0,0,SUM($HR$2:HR206))</f>
        <v>0</v>
      </c>
      <c r="HT206" s="160">
        <f>IF([chambre3]*1='CHAMBRES GARCONS RDC'!$A$89,1,0)</f>
        <v>0</v>
      </c>
      <c r="HU206" s="160">
        <f>IF([Occurrence47]=0,0,SUM($HT$2:HT206))</f>
        <v>0</v>
      </c>
      <c r="HV206" s="160">
        <f>IF([chambre3]*1='CHAMBRES GARCONS RDC'!$A$95,1,0)</f>
        <v>0</v>
      </c>
      <c r="HW206" s="160">
        <f>IF([Occurrence48]=0,0,SUM($HV$2:HV206))</f>
        <v>0</v>
      </c>
      <c r="HX206" s="160"/>
      <c r="HY206" s="160"/>
      <c r="HZ206" s="160">
        <f>IF([Classe]='Liste élève par classes'!$B$5,1,0)</f>
        <v>0</v>
      </c>
      <c r="IA206" s="160">
        <f>IF([Occurrence]=0,0,SUM($HZ$2:HZ206))</f>
        <v>0</v>
      </c>
      <c r="IB20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134</v>
      </c>
      <c r="IC206" s="208"/>
    </row>
    <row r="207" spans="1:237">
      <c r="A207" t="s">
        <v>586</v>
      </c>
      <c r="B207" t="s">
        <v>516</v>
      </c>
      <c r="C207" s="158">
        <v>36591</v>
      </c>
      <c r="D207" s="62">
        <f t="shared" ca="1" si="3"/>
        <v>17</v>
      </c>
      <c r="E207" t="s">
        <v>13</v>
      </c>
      <c r="F207" s="159" t="s">
        <v>50</v>
      </c>
      <c r="G207" t="s">
        <v>40</v>
      </c>
      <c r="H207" s="160"/>
      <c r="I207" s="161"/>
      <c r="J207" s="161"/>
      <c r="K207" s="161"/>
      <c r="L207" s="160"/>
      <c r="M207">
        <v>127</v>
      </c>
      <c r="N207" s="161"/>
      <c r="O207" s="161"/>
      <c r="P207" s="161"/>
      <c r="Q207" s="161"/>
      <c r="R207" s="161"/>
      <c r="S207" s="190"/>
      <c r="T207" s="161"/>
      <c r="U207" s="160"/>
      <c r="V207" s="161"/>
      <c r="W207" s="161"/>
      <c r="X207" s="161"/>
      <c r="Y207" s="161"/>
      <c r="Z207" s="161"/>
      <c r="AA207" s="161"/>
      <c r="AB207" s="161"/>
      <c r="AC207" s="161"/>
      <c r="AD207" s="161"/>
      <c r="AE207" s="161"/>
      <c r="AF207" s="163"/>
      <c r="AG207" s="163"/>
      <c r="AH207" s="163"/>
      <c r="AI207" s="163"/>
      <c r="AJ207" s="163"/>
      <c r="AK207" s="163"/>
      <c r="AL207" s="163"/>
      <c r="AM207" s="163"/>
      <c r="AN207" s="163"/>
      <c r="AO207" s="163"/>
      <c r="AP207" s="163"/>
      <c r="AQ207" s="163"/>
      <c r="AR207" s="163"/>
      <c r="AS207" s="163"/>
      <c r="AT207" s="163"/>
      <c r="AU207" s="163"/>
      <c r="AV207" s="163"/>
      <c r="AW207" s="163"/>
      <c r="AX207" s="163"/>
      <c r="AY207" s="163"/>
      <c r="AZ207" s="163"/>
      <c r="BA207" s="163"/>
      <c r="BB207" s="163"/>
      <c r="BC207" s="163" t="b">
        <v>0</v>
      </c>
      <c r="BD207" s="163" t="b">
        <v>1</v>
      </c>
      <c r="BE207" s="163" t="b">
        <v>1</v>
      </c>
      <c r="BF207" s="163" t="b">
        <v>0</v>
      </c>
      <c r="BG207" s="164" t="b">
        <v>0</v>
      </c>
      <c r="BH207" s="163" t="b">
        <v>1</v>
      </c>
      <c r="BI207" s="163"/>
      <c r="BJ207" s="163"/>
      <c r="BK207" s="163"/>
      <c r="BL207" s="163"/>
      <c r="BM207" s="163"/>
      <c r="BN207" s="163"/>
      <c r="BO207" s="163"/>
      <c r="BP207" s="163"/>
      <c r="BQ207" s="163" t="b">
        <v>0</v>
      </c>
      <c r="BR207" s="163"/>
      <c r="BS207" s="163"/>
      <c r="BT207" s="163"/>
      <c r="BU207" s="163"/>
      <c r="BV207" s="163"/>
      <c r="BW207" s="163"/>
      <c r="BX207" s="163"/>
      <c r="BY207" s="163"/>
      <c r="BZ207" s="163"/>
      <c r="CA207" s="163"/>
      <c r="CB207" s="163"/>
      <c r="CC207" s="163"/>
      <c r="CD207" s="163"/>
      <c r="CE207" s="163"/>
      <c r="CF207" s="163"/>
      <c r="CG207" s="163"/>
      <c r="CH207" s="163"/>
      <c r="CI207" s="163"/>
      <c r="CJ207" s="163"/>
      <c r="CK207" s="163"/>
      <c r="CL207" s="163"/>
      <c r="CM207" s="163"/>
      <c r="CN207" s="163"/>
      <c r="CO207" s="163"/>
      <c r="CP207" s="163"/>
      <c r="CQ207" s="163"/>
      <c r="CR207" s="163"/>
      <c r="CS207" s="163"/>
      <c r="CT207" s="163"/>
      <c r="CU207" s="163"/>
      <c r="CV207" s="163"/>
      <c r="CW207" s="163"/>
      <c r="CX207" s="163"/>
      <c r="CY207" s="163"/>
      <c r="CZ207" s="163"/>
      <c r="DA207" s="163">
        <v>124</v>
      </c>
      <c r="DB207" s="163"/>
      <c r="DC207" s="163"/>
      <c r="DD207" s="163"/>
      <c r="DE207" s="163"/>
      <c r="DF207" s="163"/>
      <c r="DG207" s="208"/>
      <c r="DH207" s="163"/>
      <c r="DI207" s="163"/>
      <c r="DJ207" s="163"/>
      <c r="DK207" s="163"/>
      <c r="DL207" s="163"/>
      <c r="DM207" s="163"/>
      <c r="DN207" s="163"/>
      <c r="DO207" s="163"/>
      <c r="DP207" s="163"/>
      <c r="DQ207" s="163"/>
      <c r="DR207" s="163"/>
      <c r="DS207" s="163"/>
      <c r="DT207" s="163"/>
      <c r="DU207" s="163"/>
      <c r="DV207" s="163"/>
      <c r="DW207" s="163"/>
      <c r="DX207" s="163"/>
      <c r="DY207" s="163"/>
      <c r="DZ207" s="163"/>
      <c r="EA207" s="163"/>
      <c r="EB207" s="163"/>
      <c r="EC207" s="163"/>
      <c r="ED207" s="163"/>
      <c r="EE207" s="163"/>
      <c r="EF207" s="163"/>
      <c r="EG207" s="163"/>
      <c r="EH207" s="160">
        <f>IF([Chambre]*1='CHAMBRES FILLES 2e ETAGE'!$A$5,1,0)</f>
        <v>0</v>
      </c>
      <c r="EI207" s="161">
        <f>IF([Occurrence2]=0,0,SUM($EH$2:EH207))</f>
        <v>0</v>
      </c>
      <c r="EJ207" s="160">
        <f>IF([Chambre]*1='CHAMBRES FILLES 2e ETAGE'!$A$11,1,0)</f>
        <v>0</v>
      </c>
      <c r="EK207" s="160">
        <f>IF([Occurrence3]=0,0,SUM($EJ$2:EJ207))</f>
        <v>0</v>
      </c>
      <c r="EL207" s="160">
        <f>IF([Chambre]*1='CHAMBRES FILLES 2e ETAGE'!$A$17,1,0)</f>
        <v>0</v>
      </c>
      <c r="EM207" s="160">
        <f>IF([Occurrence4]=0,0,SUM($EL$2:EL207))</f>
        <v>0</v>
      </c>
      <c r="EN207" s="160">
        <f>IF([Chambre]*1='CHAMBRES FILLES 2e ETAGE'!$A$23,1,0)</f>
        <v>0</v>
      </c>
      <c r="EO207" s="160">
        <f>IF([Occurrence5]=0,0,SUM($EN$2:EN207))</f>
        <v>0</v>
      </c>
      <c r="EP207" s="160">
        <f>IF([Chambre]*1='CHAMBRES FILLES 2e ETAGE'!$A$29,1,0)</f>
        <v>0</v>
      </c>
      <c r="EQ207" s="160">
        <f>IF([Occurrence6]=0,0,SUM($EP$2:EP207))</f>
        <v>0</v>
      </c>
      <c r="ER207" s="160">
        <f>IF([Chambre]*1='CHAMBRES FILLES 2e ETAGE'!$A$35,1,0)</f>
        <v>0</v>
      </c>
      <c r="ES207" s="160">
        <f>IF([Occurrence7]=0,0,SUM($ER$2:ER207))</f>
        <v>0</v>
      </c>
      <c r="ET207" s="160">
        <f>IF([Chambre]*1='CHAMBRES FILLES 2e ETAGE'!$A$41,1,0)</f>
        <v>0</v>
      </c>
      <c r="EU207" s="160">
        <f>IF([Occurrence8]=0,0,SUM($ET$2:ET207))</f>
        <v>0</v>
      </c>
      <c r="EV207" s="160">
        <f>IF([Chambre]*1='CHAMBRES FILLES 2e ETAGE'!$A$47,1,0)</f>
        <v>0</v>
      </c>
      <c r="EW207" s="160">
        <f>IF([Occurrence9]=0,0,SUM($EV$2:EV207))</f>
        <v>0</v>
      </c>
      <c r="EX207" s="160">
        <f>IF([Chambre]*1='CHAMBRES FILLES 2e ETAGE'!$A$53,1,0)</f>
        <v>0</v>
      </c>
      <c r="EY207" s="160">
        <f>IF([Occurrence10]=0,0,SUM($EX$2:EX207))</f>
        <v>0</v>
      </c>
      <c r="EZ207" s="160">
        <f>IF([Chambre]*1='CHAMBRES FILLES 2e ETAGE'!$A$59,1,0)</f>
        <v>0</v>
      </c>
      <c r="FA207" s="160">
        <f>IF([Occurrence11]=0,0,SUM($EZ$2:EZ207))</f>
        <v>0</v>
      </c>
      <c r="FB207" s="160">
        <f>IF([Chambre]*1='CHAMBRES FILLES 2e ETAGE'!$A$65,1,0)</f>
        <v>0</v>
      </c>
      <c r="FC207" s="160">
        <f>IF([Occurrence12]=0,0,SUM($FB$2:FB207))</f>
        <v>0</v>
      </c>
      <c r="FD207" s="160">
        <f>IF([Chambre]*1='CHAMBRES FILLES 2e ETAGE'!$A$71,1,0)</f>
        <v>0</v>
      </c>
      <c r="FE207" s="160">
        <f>IF([Occurrence13]=0,0,SUM($FD$2:FD207))</f>
        <v>0</v>
      </c>
      <c r="FF207" s="160">
        <f>IF([Chambre]*1='CHAMBRES FILLES 2e ETAGE'!$A$77,1,0)</f>
        <v>0</v>
      </c>
      <c r="FG207" s="160">
        <f>IF([Occurrence14]=0,0,SUM($FF$2:FF207))</f>
        <v>0</v>
      </c>
      <c r="FH207" s="160">
        <f>IF([Chambre]*1='CHAMBRES FILLES 2e ETAGE'!$A$83,1,0)</f>
        <v>0</v>
      </c>
      <c r="FI207" s="160">
        <f>IF([Occurrence15]=0,0,SUM($FH$2:FH207))</f>
        <v>0</v>
      </c>
      <c r="FJ207" s="160">
        <f>IF([Chambre]*1='CHAMBRES FILLES 2e ETAGE'!$A$89,1,0)</f>
        <v>0</v>
      </c>
      <c r="FK207" s="160">
        <f>IF([Occurrence16]=0,0,SUM($FJ$2:FJ207))</f>
        <v>0</v>
      </c>
      <c r="FL207" s="160">
        <f>IF([Chambre]*1='CHAMBRES FILLES 2e ETAGE'!$A$95,1,0)</f>
        <v>0</v>
      </c>
      <c r="FM207" s="160">
        <f>IF([Occurrence17]=0,0,SUM($FL$2:FL207))</f>
        <v>0</v>
      </c>
      <c r="FN207" s="160">
        <f>IF([Chambre2]*1='CHAMBRES FILLES 1e ETAGE'!$A$5,1,0)</f>
        <v>0</v>
      </c>
      <c r="FO207" s="160">
        <f>IF([Occurrence18]=0,0,SUM($FN$2:FN207))</f>
        <v>0</v>
      </c>
      <c r="FP207" s="160">
        <f>IF([Chambre2]*1='CHAMBRES FILLES 1e ETAGE'!$A$11,1,0)</f>
        <v>0</v>
      </c>
      <c r="FQ207" s="160">
        <f>IF([Occurrence19]=0,0,SUM($FP$2:FP207))</f>
        <v>0</v>
      </c>
      <c r="FR207" s="160">
        <f>IF([Chambre2]*1='CHAMBRES FILLES 1e ETAGE'!$A$17,1,0)</f>
        <v>0</v>
      </c>
      <c r="FS207" s="160">
        <f>IF([Occurrence20]=0,0,SUM($FR$2:FR207))</f>
        <v>0</v>
      </c>
      <c r="FT207" s="160">
        <f>IF([Chambre2]*1='CHAMBRES FILLES 1e ETAGE'!$A$23,1,0)</f>
        <v>0</v>
      </c>
      <c r="FU207" s="160">
        <f>IF([Occurrence21]=0,0,SUM($FT$2:FT207))</f>
        <v>0</v>
      </c>
      <c r="FV207" s="160">
        <f>IF([Chambre2]*1='CHAMBRES FILLES 1e ETAGE'!$A$29,1,0)</f>
        <v>0</v>
      </c>
      <c r="FW207" s="160">
        <f>IF([Occurrence22]=0,0,SUM($FV$2:FV207))</f>
        <v>0</v>
      </c>
      <c r="FX207" s="160">
        <f>IF([Chambre2]*1='CHAMBRES FILLES 1e ETAGE'!$A$35,1,0)</f>
        <v>0</v>
      </c>
      <c r="FY207" s="160">
        <f>IF([Occurrence23]=0,0,SUM($FX$2:FX207))</f>
        <v>0</v>
      </c>
      <c r="FZ207" s="160">
        <f>IF([Chambre2]*1='CHAMBRES FILLES 1e ETAGE'!$A$41,1,0)</f>
        <v>0</v>
      </c>
      <c r="GA207" s="160">
        <f>IF([Occurrence24]=0,0,SUM($FZ$2:FZ207))</f>
        <v>0</v>
      </c>
      <c r="GB207" s="160">
        <f>IF([Chambre2]*1='CHAMBRES FILLES 1e ETAGE'!$A$47,1,0)</f>
        <v>0</v>
      </c>
      <c r="GC207" s="160">
        <f>IF([Occurrence25]=0,0,SUM($GB$2:GB207))</f>
        <v>0</v>
      </c>
      <c r="GD207" s="160">
        <f>IF([Chambre2]*1='CHAMBRES FILLES 1e ETAGE'!$A$53,1,0)</f>
        <v>0</v>
      </c>
      <c r="GE207" s="160">
        <f>IF([Occurrence26]=0,0,SUM($GD$2:GD207))</f>
        <v>0</v>
      </c>
      <c r="GF207" s="160">
        <f>IF([chambre4]*1='CHAMBRES GARCONS 1e ETAGE'!$A$5,1,0)</f>
        <v>0</v>
      </c>
      <c r="GG207" s="160">
        <f>IF([Occurrence27]=0,0,SUM($GF$2:GF207))</f>
        <v>0</v>
      </c>
      <c r="GH207" s="160">
        <f>IF([chambre4]*1='CHAMBRES GARCONS 1e ETAGE'!$A$11,1,0)</f>
        <v>0</v>
      </c>
      <c r="GI207" s="160">
        <f>IF([Occurrence28]=0,0,SUM($GH$2:GH207))</f>
        <v>0</v>
      </c>
      <c r="GJ207" s="160">
        <f>IF([chambre4]*1='CHAMBRES GARCONS 1e ETAGE'!$A$17,1,0)</f>
        <v>0</v>
      </c>
      <c r="GK207" s="160">
        <f>IF([Occurrence29]=0,0,SUM($GJ$2:GJ207))</f>
        <v>0</v>
      </c>
      <c r="GL207" s="160">
        <f>IF([chambre4]*1='CHAMBRES GARCONS 1e ETAGE'!$A$23,1,0)</f>
        <v>0</v>
      </c>
      <c r="GM207" s="160">
        <f>IF([Occurrence30]=0,0,SUM($GL$2:GL207))</f>
        <v>0</v>
      </c>
      <c r="GN207" s="160">
        <f>IF([chambre4]*1='CHAMBRES GARCONS 1e ETAGE'!$A$29,1,0)</f>
        <v>0</v>
      </c>
      <c r="GO207" s="160">
        <f>IF([Occurrence31]=0,0,SUM($GN$2:GN207))</f>
        <v>0</v>
      </c>
      <c r="GP207" s="160">
        <f>IF([chambre4]*1='CHAMBRES GARCONS 1e ETAGE'!$A$35,1,0)</f>
        <v>0</v>
      </c>
      <c r="GQ207" s="160">
        <f>IF([Occurrence32]=0,0,SUM($GP$2:GP207))</f>
        <v>0</v>
      </c>
      <c r="GR207" s="160">
        <f>IF([chambre3]*1='CHAMBRES GARCONS RDC'!$A$5,1,0)</f>
        <v>0</v>
      </c>
      <c r="GS207" s="160">
        <f>IF([Occurrence33]=0,0,SUM($GR$2:GR207))</f>
        <v>0</v>
      </c>
      <c r="GT207" s="160">
        <f>IF([chambre3]*1='CHAMBRES GARCONS RDC'!$A$11,1,0)</f>
        <v>0</v>
      </c>
      <c r="GU207" s="160">
        <f>IF([Occurrence34]=0,0,SUM($GT$2:GT207))</f>
        <v>0</v>
      </c>
      <c r="GV207" s="160">
        <f>IF([chambre3]*1='CHAMBRES GARCONS RDC'!$A$17,1,0)</f>
        <v>0</v>
      </c>
      <c r="GW207" s="160">
        <f>IF([Occurrence35]=0,0,SUM($GV$2:GV207))</f>
        <v>0</v>
      </c>
      <c r="GX207" s="160">
        <f>IF([chambre3]*1='CHAMBRES GARCONS RDC'!$A$23,1,0)</f>
        <v>0</v>
      </c>
      <c r="GY207" s="160">
        <f>IF([Occurrence36]=0,0,SUM($GX$2:GX207))</f>
        <v>0</v>
      </c>
      <c r="GZ207" s="160">
        <f>IF([chambre3]*1='CHAMBRES GARCONS RDC'!$A$29,1,0)</f>
        <v>0</v>
      </c>
      <c r="HA207" s="160">
        <f>IF([Occurrence37]=0,0,SUM($GZ$2:GZ207))</f>
        <v>0</v>
      </c>
      <c r="HB207" s="160">
        <f>IF([chambre3]*1='CHAMBRES GARCONS RDC'!$A$35,1,0)</f>
        <v>0</v>
      </c>
      <c r="HC207" s="160">
        <f>IF([Occurrence38]=0,0,SUM($HB$2:HB207))</f>
        <v>0</v>
      </c>
      <c r="HD207" s="160">
        <f>IF([chambre3]*1='CHAMBRES GARCONS RDC'!$A$41,1,0)</f>
        <v>0</v>
      </c>
      <c r="HE207" s="160">
        <f>IF([Occurrence39]=0,0,SUM($HD$2:HD207))</f>
        <v>0</v>
      </c>
      <c r="HF207" s="160">
        <f>IF([chambre3]*1='CHAMBRES GARCONS RDC'!$A$47,1,0)</f>
        <v>0</v>
      </c>
      <c r="HG207" s="160">
        <f>IF([Occurrence40]=0,0,SUM($HF$2:HF207))</f>
        <v>0</v>
      </c>
      <c r="HH207" s="160">
        <f>IF([chambre3]*1='CHAMBRES GARCONS RDC'!$A$53,1,0)</f>
        <v>0</v>
      </c>
      <c r="HI207" s="160">
        <f>IF([Occurrence41]=0,0,SUM($HH$2:HH207))</f>
        <v>0</v>
      </c>
      <c r="HJ207" s="160">
        <f>IF([chambre3]*1='CHAMBRES GARCONS RDC'!$A$59,1,0)</f>
        <v>0</v>
      </c>
      <c r="HK207" s="160">
        <f>IF([Occurrence42]=0,0,SUM($HJ$2:HJ207))</f>
        <v>0</v>
      </c>
      <c r="HL207" s="160">
        <f>IF([chambre3]*1='CHAMBRES GARCONS RDC'!$A$65,1,0)</f>
        <v>0</v>
      </c>
      <c r="HM207" s="160">
        <f>IF([Occurrence43]=0,0,SUM($HL$2:HL207))</f>
        <v>0</v>
      </c>
      <c r="HN207" s="160">
        <f>IF([chambre3]*1='CHAMBRES GARCONS RDC'!$A$71,1,0)</f>
        <v>0</v>
      </c>
      <c r="HO207" s="160">
        <f>IF([Occurrence44]=0,0,SUM($HN$2:HN207))</f>
        <v>0</v>
      </c>
      <c r="HP207" s="160">
        <f>IF([chambre3]*1='CHAMBRES GARCONS RDC'!$A$77,1,0)</f>
        <v>0</v>
      </c>
      <c r="HQ207" s="160">
        <f>IF([Occurrence45]=0,0,SUM($HP$2:HP207))</f>
        <v>0</v>
      </c>
      <c r="HR207" s="160">
        <f>IF([chambre3]*1='CHAMBRES GARCONS RDC'!$A$83,1,0)</f>
        <v>0</v>
      </c>
      <c r="HS207" s="160">
        <f>IF([Occurrence46]=0,0,SUM($HR$2:HR207))</f>
        <v>0</v>
      </c>
      <c r="HT207" s="160">
        <f>IF([chambre3]*1='CHAMBRES GARCONS RDC'!$A$89,1,0)</f>
        <v>0</v>
      </c>
      <c r="HU207" s="160">
        <f>IF([Occurrence47]=0,0,SUM($HT$2:HT207))</f>
        <v>0</v>
      </c>
      <c r="HV207" s="160">
        <f>IF([chambre3]*1='CHAMBRES GARCONS RDC'!$A$95,1,0)</f>
        <v>1</v>
      </c>
      <c r="HW207" s="160">
        <f>IF([Occurrence48]=0,0,SUM($HV$2:HV207))</f>
        <v>3</v>
      </c>
      <c r="HX207" s="160"/>
      <c r="HY207" s="160"/>
      <c r="HZ207" s="160">
        <f>IF([Classe]='Liste élève par classes'!$B$5,1,0)</f>
        <v>0</v>
      </c>
      <c r="IA207" s="160">
        <f>IF([Occurrence]=0,0,SUM($HZ$2:HZ207))</f>
        <v>0</v>
      </c>
      <c r="IB20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124</v>
      </c>
      <c r="IC207" s="208"/>
    </row>
    <row r="208" spans="1:237">
      <c r="A208" t="s">
        <v>587</v>
      </c>
      <c r="B208" t="s">
        <v>588</v>
      </c>
      <c r="C208" s="158">
        <v>37410</v>
      </c>
      <c r="D208" s="62">
        <f t="shared" ca="1" si="3"/>
        <v>15</v>
      </c>
      <c r="E208" t="s">
        <v>2</v>
      </c>
      <c r="F208" s="159" t="s">
        <v>50</v>
      </c>
      <c r="G208" t="s">
        <v>40</v>
      </c>
      <c r="H208" s="160"/>
      <c r="I208" s="62"/>
      <c r="J208" s="161" t="s">
        <v>244</v>
      </c>
      <c r="K208" s="161"/>
      <c r="L208" s="160"/>
      <c r="M208">
        <v>155</v>
      </c>
      <c r="N208" s="161" t="s">
        <v>244</v>
      </c>
      <c r="O208" s="161" t="s">
        <v>244</v>
      </c>
      <c r="P208" s="161" t="s">
        <v>244</v>
      </c>
      <c r="Q208" s="161" t="s">
        <v>244</v>
      </c>
      <c r="R208" s="161" t="s">
        <v>244</v>
      </c>
      <c r="S208" s="161"/>
      <c r="T208" s="161" t="s">
        <v>244</v>
      </c>
      <c r="U208" s="160"/>
      <c r="V208" s="161" t="s">
        <v>244</v>
      </c>
      <c r="W208" s="161" t="s">
        <v>244</v>
      </c>
      <c r="X208" s="161" t="s">
        <v>244</v>
      </c>
      <c r="Y208" s="161" t="s">
        <v>244</v>
      </c>
      <c r="Z208" s="161" t="s">
        <v>244</v>
      </c>
      <c r="AA208" s="161" t="s">
        <v>244</v>
      </c>
      <c r="AB208" s="161" t="s">
        <v>244</v>
      </c>
      <c r="AC208" s="161" t="s">
        <v>244</v>
      </c>
      <c r="AD208" s="161" t="s">
        <v>244</v>
      </c>
      <c r="AE208" s="161" t="s">
        <v>244</v>
      </c>
      <c r="AF208" s="163" t="s">
        <v>244</v>
      </c>
      <c r="AG208" s="163" t="s">
        <v>244</v>
      </c>
      <c r="AH208" s="163" t="s">
        <v>244</v>
      </c>
      <c r="AI208" s="163"/>
      <c r="AJ208" s="163"/>
      <c r="AK208" s="163"/>
      <c r="AL208" s="163"/>
      <c r="AM208" s="163"/>
      <c r="AN208" s="163"/>
      <c r="AO208" s="163"/>
      <c r="AP208" s="163"/>
      <c r="AQ208" s="163"/>
      <c r="AR208" s="163"/>
      <c r="AS208" s="163"/>
      <c r="AT208" s="163"/>
      <c r="AU208" s="163"/>
      <c r="AV208" s="163"/>
      <c r="AW208" s="163"/>
      <c r="AX208" s="163"/>
      <c r="AY208" s="163"/>
      <c r="AZ208" s="163"/>
      <c r="BA208" s="163"/>
      <c r="BB208" s="163"/>
      <c r="BC208" s="163" t="b">
        <v>1</v>
      </c>
      <c r="BD208" s="163" t="b">
        <v>0</v>
      </c>
      <c r="BE208" s="163" t="b">
        <v>0</v>
      </c>
      <c r="BF208" s="163" t="b">
        <v>1</v>
      </c>
      <c r="BG208" s="164" t="b">
        <v>0</v>
      </c>
      <c r="BH208" s="163" t="b">
        <v>1</v>
      </c>
      <c r="BI208" s="163" t="b">
        <v>0</v>
      </c>
      <c r="BJ208" s="163" t="b">
        <v>1</v>
      </c>
      <c r="BK208" s="163" t="b">
        <v>1</v>
      </c>
      <c r="BL208" s="163" t="b">
        <v>0</v>
      </c>
      <c r="BM208" s="163"/>
      <c r="BN208" s="163"/>
      <c r="BO208" s="163"/>
      <c r="BP208" s="163"/>
      <c r="BQ208" s="163" t="b">
        <v>1</v>
      </c>
      <c r="BR208" s="163"/>
      <c r="BS208" s="163"/>
      <c r="BT208" s="163"/>
      <c r="BU208" s="163"/>
      <c r="BV208" s="163"/>
      <c r="BW208" s="163"/>
      <c r="BX208" s="163"/>
      <c r="BY208" s="163"/>
      <c r="BZ208" s="163"/>
      <c r="CA208" s="163"/>
      <c r="CB208" s="163"/>
      <c r="CC208" s="163"/>
      <c r="CD208" s="163"/>
      <c r="CE208" s="163"/>
      <c r="CF208" s="163"/>
      <c r="CG208" s="163"/>
      <c r="CH208" s="163"/>
      <c r="CI208" s="163"/>
      <c r="CJ208" s="163"/>
      <c r="CK208" s="163"/>
      <c r="CL208" s="163"/>
      <c r="CM208" s="163"/>
      <c r="CN208" s="163"/>
      <c r="CO208" s="163"/>
      <c r="CP208" s="163"/>
      <c r="CQ208" s="163"/>
      <c r="CR208" s="163"/>
      <c r="CS208" s="163"/>
      <c r="CT208" s="163"/>
      <c r="CU208" s="163"/>
      <c r="CV208" s="163"/>
      <c r="CW208" s="163"/>
      <c r="CX208" s="163"/>
      <c r="CY208" s="163"/>
      <c r="CZ208" s="163"/>
      <c r="DA208" s="163">
        <v>115</v>
      </c>
      <c r="DB208" s="163"/>
      <c r="DC208" s="163"/>
      <c r="DD208" s="163"/>
      <c r="DE208" s="163"/>
      <c r="DF208" s="163"/>
      <c r="DG208" s="208"/>
      <c r="DH208" s="163"/>
      <c r="DI208" s="163"/>
      <c r="DJ208" s="163"/>
      <c r="DK208" s="163"/>
      <c r="DL208" s="163"/>
      <c r="DM208" s="163"/>
      <c r="DN208" s="163"/>
      <c r="DO208" s="163"/>
      <c r="DP208" s="163"/>
      <c r="DQ208" s="163"/>
      <c r="DR208" s="163"/>
      <c r="DS208" s="163"/>
      <c r="DT208" s="163"/>
      <c r="DU208" s="163"/>
      <c r="DV208" s="163"/>
      <c r="DW208" s="163"/>
      <c r="DX208" s="163"/>
      <c r="DY208" s="163"/>
      <c r="DZ208" s="163"/>
      <c r="EA208" s="163"/>
      <c r="EB208" s="163"/>
      <c r="EC208" s="163"/>
      <c r="ED208" s="163"/>
      <c r="EE208" s="163"/>
      <c r="EF208" s="163"/>
      <c r="EG208" s="163"/>
      <c r="EH208" s="160">
        <f>IF([Chambre]*1='CHAMBRES FILLES 2e ETAGE'!$A$5,1,0)</f>
        <v>0</v>
      </c>
      <c r="EI208" s="161">
        <f>IF([Occurrence2]=0,0,SUM($EH$2:EH208))</f>
        <v>0</v>
      </c>
      <c r="EJ208" s="160">
        <f>IF([Chambre]*1='CHAMBRES FILLES 2e ETAGE'!$A$11,1,0)</f>
        <v>0</v>
      </c>
      <c r="EK208" s="160">
        <f>IF([Occurrence3]=0,0,SUM($EJ$2:EJ208))</f>
        <v>0</v>
      </c>
      <c r="EL208" s="160">
        <f>IF([Chambre]*1='CHAMBRES FILLES 2e ETAGE'!$A$17,1,0)</f>
        <v>0</v>
      </c>
      <c r="EM208" s="160">
        <f>IF([Occurrence4]=0,0,SUM($EL$2:EL208))</f>
        <v>0</v>
      </c>
      <c r="EN208" s="160">
        <f>IF([Chambre]*1='CHAMBRES FILLES 2e ETAGE'!$A$23,1,0)</f>
        <v>0</v>
      </c>
      <c r="EO208" s="160">
        <f>IF([Occurrence5]=0,0,SUM($EN$2:EN208))</f>
        <v>0</v>
      </c>
      <c r="EP208" s="160">
        <f>IF([Chambre]*1='CHAMBRES FILLES 2e ETAGE'!$A$29,1,0)</f>
        <v>0</v>
      </c>
      <c r="EQ208" s="160">
        <f>IF([Occurrence6]=0,0,SUM($EP$2:EP208))</f>
        <v>0</v>
      </c>
      <c r="ER208" s="160">
        <f>IF([Chambre]*1='CHAMBRES FILLES 2e ETAGE'!$A$35,1,0)</f>
        <v>0</v>
      </c>
      <c r="ES208" s="160">
        <f>IF([Occurrence7]=0,0,SUM($ER$2:ER208))</f>
        <v>0</v>
      </c>
      <c r="ET208" s="160">
        <f>IF([Chambre]*1='CHAMBRES FILLES 2e ETAGE'!$A$41,1,0)</f>
        <v>0</v>
      </c>
      <c r="EU208" s="160">
        <f>IF([Occurrence8]=0,0,SUM($ET$2:ET208))</f>
        <v>0</v>
      </c>
      <c r="EV208" s="160">
        <f>IF([Chambre]*1='CHAMBRES FILLES 2e ETAGE'!$A$47,1,0)</f>
        <v>0</v>
      </c>
      <c r="EW208" s="160">
        <f>IF([Occurrence9]=0,0,SUM($EV$2:EV208))</f>
        <v>0</v>
      </c>
      <c r="EX208" s="160">
        <f>IF([Chambre]*1='CHAMBRES FILLES 2e ETAGE'!$A$53,1,0)</f>
        <v>0</v>
      </c>
      <c r="EY208" s="160">
        <f>IF([Occurrence10]=0,0,SUM($EX$2:EX208))</f>
        <v>0</v>
      </c>
      <c r="EZ208" s="160">
        <f>IF([Chambre]*1='CHAMBRES FILLES 2e ETAGE'!$A$59,1,0)</f>
        <v>0</v>
      </c>
      <c r="FA208" s="160">
        <f>IF([Occurrence11]=0,0,SUM($EZ$2:EZ208))</f>
        <v>0</v>
      </c>
      <c r="FB208" s="160">
        <f>IF([Chambre]*1='CHAMBRES FILLES 2e ETAGE'!$A$65,1,0)</f>
        <v>0</v>
      </c>
      <c r="FC208" s="160">
        <f>IF([Occurrence12]=0,0,SUM($FB$2:FB208))</f>
        <v>0</v>
      </c>
      <c r="FD208" s="160">
        <f>IF([Chambre]*1='CHAMBRES FILLES 2e ETAGE'!$A$71,1,0)</f>
        <v>0</v>
      </c>
      <c r="FE208" s="160">
        <f>IF([Occurrence13]=0,0,SUM($FD$2:FD208))</f>
        <v>0</v>
      </c>
      <c r="FF208" s="160">
        <f>IF([Chambre]*1='CHAMBRES FILLES 2e ETAGE'!$A$77,1,0)</f>
        <v>0</v>
      </c>
      <c r="FG208" s="160">
        <f>IF([Occurrence14]=0,0,SUM($FF$2:FF208))</f>
        <v>0</v>
      </c>
      <c r="FH208" s="160">
        <f>IF([Chambre]*1='CHAMBRES FILLES 2e ETAGE'!$A$83,1,0)</f>
        <v>0</v>
      </c>
      <c r="FI208" s="160">
        <f>IF([Occurrence15]=0,0,SUM($FH$2:FH208))</f>
        <v>0</v>
      </c>
      <c r="FJ208" s="160">
        <f>IF([Chambre]*1='CHAMBRES FILLES 2e ETAGE'!$A$89,1,0)</f>
        <v>0</v>
      </c>
      <c r="FK208" s="160">
        <f>IF([Occurrence16]=0,0,SUM($FJ$2:FJ208))</f>
        <v>0</v>
      </c>
      <c r="FL208" s="160">
        <f>IF([Chambre]*1='CHAMBRES FILLES 2e ETAGE'!$A$95,1,0)</f>
        <v>0</v>
      </c>
      <c r="FM208" s="160">
        <f>IF([Occurrence17]=0,0,SUM($FL$2:FL208))</f>
        <v>0</v>
      </c>
      <c r="FN208" s="160">
        <f>IF([Chambre2]*1='CHAMBRES FILLES 1e ETAGE'!$A$5,1,0)</f>
        <v>0</v>
      </c>
      <c r="FO208" s="160">
        <f>IF([Occurrence18]=0,0,SUM($FN$2:FN208))</f>
        <v>0</v>
      </c>
      <c r="FP208" s="160">
        <f>IF([Chambre2]*1='CHAMBRES FILLES 1e ETAGE'!$A$11,1,0)</f>
        <v>0</v>
      </c>
      <c r="FQ208" s="160">
        <f>IF([Occurrence19]=0,0,SUM($FP$2:FP208))</f>
        <v>0</v>
      </c>
      <c r="FR208" s="160">
        <f>IF([Chambre2]*1='CHAMBRES FILLES 1e ETAGE'!$A$17,1,0)</f>
        <v>0</v>
      </c>
      <c r="FS208" s="160">
        <f>IF([Occurrence20]=0,0,SUM($FR$2:FR208))</f>
        <v>0</v>
      </c>
      <c r="FT208" s="160">
        <f>IF([Chambre2]*1='CHAMBRES FILLES 1e ETAGE'!$A$23,1,0)</f>
        <v>0</v>
      </c>
      <c r="FU208" s="160">
        <f>IF([Occurrence21]=0,0,SUM($FT$2:FT208))</f>
        <v>0</v>
      </c>
      <c r="FV208" s="160">
        <f>IF([Chambre2]*1='CHAMBRES FILLES 1e ETAGE'!$A$29,1,0)</f>
        <v>0</v>
      </c>
      <c r="FW208" s="160">
        <f>IF([Occurrence22]=0,0,SUM($FV$2:FV208))</f>
        <v>0</v>
      </c>
      <c r="FX208" s="160">
        <f>IF([Chambre2]*1='CHAMBRES FILLES 1e ETAGE'!$A$35,1,0)</f>
        <v>0</v>
      </c>
      <c r="FY208" s="160">
        <f>IF([Occurrence23]=0,0,SUM($FX$2:FX208))</f>
        <v>0</v>
      </c>
      <c r="FZ208" s="160">
        <f>IF([Chambre2]*1='CHAMBRES FILLES 1e ETAGE'!$A$41,1,0)</f>
        <v>0</v>
      </c>
      <c r="GA208" s="160">
        <f>IF([Occurrence24]=0,0,SUM($FZ$2:FZ208))</f>
        <v>0</v>
      </c>
      <c r="GB208" s="160">
        <f>IF([Chambre2]*1='CHAMBRES FILLES 1e ETAGE'!$A$47,1,0)</f>
        <v>0</v>
      </c>
      <c r="GC208" s="160">
        <f>IF([Occurrence25]=0,0,SUM($GB$2:GB208))</f>
        <v>0</v>
      </c>
      <c r="GD208" s="160">
        <f>IF([Chambre2]*1='CHAMBRES FILLES 1e ETAGE'!$A$53,1,0)</f>
        <v>0</v>
      </c>
      <c r="GE208" s="160">
        <f>IF([Occurrence26]=0,0,SUM($GD$2:GD208))</f>
        <v>0</v>
      </c>
      <c r="GF208" s="160">
        <f>IF([chambre4]*1='CHAMBRES GARCONS 1e ETAGE'!$A$5,1,0)</f>
        <v>0</v>
      </c>
      <c r="GG208" s="160">
        <f>IF([Occurrence27]=0,0,SUM($GF$2:GF208))</f>
        <v>0</v>
      </c>
      <c r="GH208" s="160">
        <f>IF([chambre4]*1='CHAMBRES GARCONS 1e ETAGE'!$A$11,1,0)</f>
        <v>0</v>
      </c>
      <c r="GI208" s="160">
        <f>IF([Occurrence28]=0,0,SUM($GH$2:GH208))</f>
        <v>0</v>
      </c>
      <c r="GJ208" s="160">
        <f>IF([chambre4]*1='CHAMBRES GARCONS 1e ETAGE'!$A$17,1,0)</f>
        <v>0</v>
      </c>
      <c r="GK208" s="160">
        <f>IF([Occurrence29]=0,0,SUM($GJ$2:GJ208))</f>
        <v>0</v>
      </c>
      <c r="GL208" s="160">
        <f>IF([chambre4]*1='CHAMBRES GARCONS 1e ETAGE'!$A$23,1,0)</f>
        <v>0</v>
      </c>
      <c r="GM208" s="160">
        <f>IF([Occurrence30]=0,0,SUM($GL$2:GL208))</f>
        <v>0</v>
      </c>
      <c r="GN208" s="160">
        <f>IF([chambre4]*1='CHAMBRES GARCONS 1e ETAGE'!$A$29,1,0)</f>
        <v>0</v>
      </c>
      <c r="GO208" s="160">
        <f>IF([Occurrence31]=0,0,SUM($GN$2:GN208))</f>
        <v>0</v>
      </c>
      <c r="GP208" s="160">
        <f>IF([chambre4]*1='CHAMBRES GARCONS 1e ETAGE'!$A$35,1,0)</f>
        <v>0</v>
      </c>
      <c r="GQ208" s="160">
        <f>IF([Occurrence32]=0,0,SUM($GP$2:GP208))</f>
        <v>0</v>
      </c>
      <c r="GR208" s="160">
        <f>IF([chambre3]*1='CHAMBRES GARCONS RDC'!$A$5,1,0)</f>
        <v>0</v>
      </c>
      <c r="GS208" s="160">
        <f>IF([Occurrence33]=0,0,SUM($GR$2:GR208))</f>
        <v>0</v>
      </c>
      <c r="GT208" s="160">
        <f>IF([chambre3]*1='CHAMBRES GARCONS RDC'!$A$11,1,0)</f>
        <v>0</v>
      </c>
      <c r="GU208" s="160">
        <f>IF([Occurrence34]=0,0,SUM($GT$2:GT208))</f>
        <v>0</v>
      </c>
      <c r="GV208" s="160">
        <f>IF([chambre3]*1='CHAMBRES GARCONS RDC'!$A$17,1,0)</f>
        <v>0</v>
      </c>
      <c r="GW208" s="160">
        <f>IF([Occurrence35]=0,0,SUM($GV$2:GV208))</f>
        <v>0</v>
      </c>
      <c r="GX208" s="160">
        <f>IF([chambre3]*1='CHAMBRES GARCONS RDC'!$A$23,1,0)</f>
        <v>0</v>
      </c>
      <c r="GY208" s="160">
        <f>IF([Occurrence36]=0,0,SUM($GX$2:GX208))</f>
        <v>0</v>
      </c>
      <c r="GZ208" s="160">
        <f>IF([chambre3]*1='CHAMBRES GARCONS RDC'!$A$29,1,0)</f>
        <v>0</v>
      </c>
      <c r="HA208" s="160">
        <f>IF([Occurrence37]=0,0,SUM($GZ$2:GZ208))</f>
        <v>0</v>
      </c>
      <c r="HB208" s="160">
        <f>IF([chambre3]*1='CHAMBRES GARCONS RDC'!$A$35,1,0)</f>
        <v>1</v>
      </c>
      <c r="HC208" s="160">
        <f>IF([Occurrence38]=0,0,SUM($HB$2:HB208))</f>
        <v>4</v>
      </c>
      <c r="HD208" s="160">
        <f>IF([chambre3]*1='CHAMBRES GARCONS RDC'!$A$41,1,0)</f>
        <v>0</v>
      </c>
      <c r="HE208" s="160">
        <f>IF([Occurrence39]=0,0,SUM($HD$2:HD208))</f>
        <v>0</v>
      </c>
      <c r="HF208" s="160">
        <f>IF([chambre3]*1='CHAMBRES GARCONS RDC'!$A$47,1,0)</f>
        <v>0</v>
      </c>
      <c r="HG208" s="160">
        <f>IF([Occurrence40]=0,0,SUM($HF$2:HF208))</f>
        <v>0</v>
      </c>
      <c r="HH208" s="160">
        <f>IF([chambre3]*1='CHAMBRES GARCONS RDC'!$A$53,1,0)</f>
        <v>0</v>
      </c>
      <c r="HI208" s="160">
        <f>IF([Occurrence41]=0,0,SUM($HH$2:HH208))</f>
        <v>0</v>
      </c>
      <c r="HJ208" s="160">
        <f>IF([chambre3]*1='CHAMBRES GARCONS RDC'!$A$59,1,0)</f>
        <v>0</v>
      </c>
      <c r="HK208" s="160">
        <f>IF([Occurrence42]=0,0,SUM($HJ$2:HJ208))</f>
        <v>0</v>
      </c>
      <c r="HL208" s="160">
        <f>IF([chambre3]*1='CHAMBRES GARCONS RDC'!$A$65,1,0)</f>
        <v>0</v>
      </c>
      <c r="HM208" s="160">
        <f>IF([Occurrence43]=0,0,SUM($HL$2:HL208))</f>
        <v>0</v>
      </c>
      <c r="HN208" s="160">
        <f>IF([chambre3]*1='CHAMBRES GARCONS RDC'!$A$71,1,0)</f>
        <v>0</v>
      </c>
      <c r="HO208" s="160">
        <f>IF([Occurrence44]=0,0,SUM($HN$2:HN208))</f>
        <v>0</v>
      </c>
      <c r="HP208" s="160">
        <f>IF([chambre3]*1='CHAMBRES GARCONS RDC'!$A$77,1,0)</f>
        <v>0</v>
      </c>
      <c r="HQ208" s="160">
        <f>IF([Occurrence45]=0,0,SUM($HP$2:HP208))</f>
        <v>0</v>
      </c>
      <c r="HR208" s="160">
        <f>IF([chambre3]*1='CHAMBRES GARCONS RDC'!$A$83,1,0)</f>
        <v>0</v>
      </c>
      <c r="HS208" s="160">
        <f>IF([Occurrence46]=0,0,SUM($HR$2:HR208))</f>
        <v>0</v>
      </c>
      <c r="HT208" s="160">
        <f>IF([chambre3]*1='CHAMBRES GARCONS RDC'!$A$89,1,0)</f>
        <v>0</v>
      </c>
      <c r="HU208" s="160">
        <f>IF([Occurrence47]=0,0,SUM($HT$2:HT208))</f>
        <v>0</v>
      </c>
      <c r="HV208" s="160">
        <f>IF([chambre3]*1='CHAMBRES GARCONS RDC'!$A$95,1,0)</f>
        <v>0</v>
      </c>
      <c r="HW208" s="160">
        <f>IF([Occurrence48]=0,0,SUM($HV$2:HV208))</f>
        <v>0</v>
      </c>
      <c r="HX208" s="160"/>
      <c r="HY208" s="160"/>
      <c r="HZ208" s="160">
        <f>IF([Classe]='Liste élève par classes'!$B$5,1,0)</f>
        <v>0</v>
      </c>
      <c r="IA208" s="160">
        <f>IF([Occurrence]=0,0,SUM($HZ$2:HZ208))</f>
        <v>0</v>
      </c>
      <c r="IB20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115</v>
      </c>
      <c r="IC208" s="208"/>
    </row>
    <row r="209" spans="1:237" ht="15.75">
      <c r="A209" t="s">
        <v>589</v>
      </c>
      <c r="B209" t="s">
        <v>590</v>
      </c>
      <c r="C209" s="158">
        <v>36506</v>
      </c>
      <c r="D209" s="62">
        <f t="shared" ca="1" si="3"/>
        <v>17</v>
      </c>
      <c r="E209" t="s">
        <v>14</v>
      </c>
      <c r="F209" s="159" t="s">
        <v>46</v>
      </c>
      <c r="G209" t="s">
        <v>40</v>
      </c>
      <c r="H209" s="160"/>
      <c r="I209" s="62"/>
      <c r="J209" s="167"/>
      <c r="K209" s="168"/>
      <c r="L209" s="61"/>
      <c r="M209">
        <v>183</v>
      </c>
      <c r="N209" s="62"/>
      <c r="O209" s="62"/>
      <c r="P209" s="62"/>
      <c r="Q209" s="62"/>
      <c r="R209" s="62"/>
      <c r="S209" s="62"/>
      <c r="T209" s="62"/>
      <c r="U209" s="61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163"/>
      <c r="AG209" s="163"/>
      <c r="AH209" s="163"/>
      <c r="AI209" s="163"/>
      <c r="AJ209" s="163"/>
      <c r="AK209" s="163"/>
      <c r="AL209" s="163"/>
      <c r="AM209" s="163"/>
      <c r="AN209" s="163"/>
      <c r="AO209" s="163"/>
      <c r="AP209" s="163"/>
      <c r="AQ209" s="163"/>
      <c r="AR209" s="163"/>
      <c r="AS209" s="163"/>
      <c r="AT209" s="163"/>
      <c r="AU209" s="163"/>
      <c r="AV209" s="163"/>
      <c r="AW209" s="163"/>
      <c r="AX209" s="163"/>
      <c r="AY209" s="163"/>
      <c r="AZ209" s="163"/>
      <c r="BA209" s="163"/>
      <c r="BB209" s="163"/>
      <c r="BC209" s="163"/>
      <c r="BD209" s="163"/>
      <c r="BE209" s="163"/>
      <c r="BF209" s="163"/>
      <c r="BG209" s="163"/>
      <c r="BH209" s="163"/>
      <c r="BI209" s="163"/>
      <c r="BJ209" s="163"/>
      <c r="BK209" s="163"/>
      <c r="BL209" s="163"/>
      <c r="BM209" s="163"/>
      <c r="BN209" s="163"/>
      <c r="BO209" s="163"/>
      <c r="BP209" s="163"/>
      <c r="BQ209" s="163"/>
      <c r="BR209" s="163"/>
      <c r="BS209" s="163"/>
      <c r="BT209" s="163"/>
      <c r="BU209" s="163"/>
      <c r="BV209" s="163"/>
      <c r="BW209" s="163"/>
      <c r="BX209" s="163"/>
      <c r="BY209" s="163"/>
      <c r="BZ209" s="163"/>
      <c r="CA209" s="163"/>
      <c r="CB209" s="163"/>
      <c r="CC209" s="163"/>
      <c r="CD209" s="163"/>
      <c r="CE209" s="163"/>
      <c r="CF209" s="163"/>
      <c r="CG209" s="163"/>
      <c r="CH209" s="163"/>
      <c r="CI209" s="163"/>
      <c r="CJ209" s="163"/>
      <c r="CK209" s="163"/>
      <c r="CL209" s="163"/>
      <c r="CM209" s="163"/>
      <c r="CN209" s="163"/>
      <c r="CO209" s="163"/>
      <c r="CP209" s="163"/>
      <c r="CQ209" s="163"/>
      <c r="CR209" s="163"/>
      <c r="CS209" s="163"/>
      <c r="CT209" s="163"/>
      <c r="CU209" s="163"/>
      <c r="CV209" s="163"/>
      <c r="CW209" s="163"/>
      <c r="CX209" s="163"/>
      <c r="CY209" s="163"/>
      <c r="CZ209" s="163"/>
      <c r="DA209" s="163"/>
      <c r="DB209" s="163"/>
      <c r="DC209" s="163"/>
      <c r="DD209" s="163"/>
      <c r="DE209" s="163"/>
      <c r="DF209" s="163"/>
      <c r="DG209" s="163"/>
      <c r="DH209" s="163"/>
      <c r="DI209" s="163"/>
      <c r="DJ209" s="163"/>
      <c r="DK209" s="163"/>
      <c r="DL209" s="163"/>
      <c r="DM209" s="163"/>
      <c r="DN209" s="163"/>
      <c r="DO209" s="163"/>
      <c r="DP209" s="163"/>
      <c r="DQ209" s="163"/>
      <c r="DR209" s="163"/>
      <c r="DS209" s="163"/>
      <c r="DT209" s="163"/>
      <c r="DU209" s="163"/>
      <c r="DV209" s="163"/>
      <c r="DW209" s="163"/>
      <c r="DX209" s="163"/>
      <c r="DY209" s="163"/>
      <c r="DZ209" s="163"/>
      <c r="EA209" s="163"/>
      <c r="EB209" s="163"/>
      <c r="EC209" s="163"/>
      <c r="ED209" s="163"/>
      <c r="EE209" s="163"/>
      <c r="EF209" s="163"/>
      <c r="EG209" s="163"/>
      <c r="EH209" s="160">
        <f>IF([Chambre]*1='CHAMBRES FILLES 2e ETAGE'!$A$5,1,0)</f>
        <v>0</v>
      </c>
      <c r="EI209" s="161">
        <f>IF([Occurrence2]=0,0,SUM($EH$2:EH209))</f>
        <v>0</v>
      </c>
      <c r="EJ209" s="160">
        <f>IF([Chambre]*1='CHAMBRES FILLES 2e ETAGE'!$A$11,1,0)</f>
        <v>0</v>
      </c>
      <c r="EK209" s="160">
        <f>IF([Occurrence3]=0,0,SUM($EJ$2:EJ209))</f>
        <v>0</v>
      </c>
      <c r="EL209" s="160">
        <f>IF([Chambre]*1='CHAMBRES FILLES 2e ETAGE'!$A$17,1,0)</f>
        <v>0</v>
      </c>
      <c r="EM209" s="160">
        <f>IF([Occurrence4]=0,0,SUM($EL$2:EL209))</f>
        <v>0</v>
      </c>
      <c r="EN209" s="160">
        <f>IF([Chambre]*1='CHAMBRES FILLES 2e ETAGE'!$A$23,1,0)</f>
        <v>0</v>
      </c>
      <c r="EO209" s="160">
        <f>IF([Occurrence5]=0,0,SUM($EN$2:EN209))</f>
        <v>0</v>
      </c>
      <c r="EP209" s="160">
        <f>IF([Chambre]*1='CHAMBRES FILLES 2e ETAGE'!$A$29,1,0)</f>
        <v>0</v>
      </c>
      <c r="EQ209" s="160">
        <f>IF([Occurrence6]=0,0,SUM($EP$2:EP209))</f>
        <v>0</v>
      </c>
      <c r="ER209" s="160">
        <f>IF([Chambre]*1='CHAMBRES FILLES 2e ETAGE'!$A$35,1,0)</f>
        <v>0</v>
      </c>
      <c r="ES209" s="160">
        <f>IF([Occurrence7]=0,0,SUM($ER$2:ER209))</f>
        <v>0</v>
      </c>
      <c r="ET209" s="160">
        <f>IF([Chambre]*1='CHAMBRES FILLES 2e ETAGE'!$A$41,1,0)</f>
        <v>0</v>
      </c>
      <c r="EU209" s="160">
        <f>IF([Occurrence8]=0,0,SUM($ET$2:ET209))</f>
        <v>0</v>
      </c>
      <c r="EV209" s="160">
        <f>IF([Chambre]*1='CHAMBRES FILLES 2e ETAGE'!$A$47,1,0)</f>
        <v>0</v>
      </c>
      <c r="EW209" s="160">
        <f>IF([Occurrence9]=0,0,SUM($EV$2:EV209))</f>
        <v>0</v>
      </c>
      <c r="EX209" s="160">
        <f>IF([Chambre]*1='CHAMBRES FILLES 2e ETAGE'!$A$53,1,0)</f>
        <v>0</v>
      </c>
      <c r="EY209" s="160">
        <f>IF([Occurrence10]=0,0,SUM($EX$2:EX209))</f>
        <v>0</v>
      </c>
      <c r="EZ209" s="160">
        <f>IF([Chambre]*1='CHAMBRES FILLES 2e ETAGE'!$A$59,1,0)</f>
        <v>0</v>
      </c>
      <c r="FA209" s="160">
        <f>IF([Occurrence11]=0,0,SUM($EZ$2:EZ209))</f>
        <v>0</v>
      </c>
      <c r="FB209" s="160">
        <f>IF([Chambre]*1='CHAMBRES FILLES 2e ETAGE'!$A$65,1,0)</f>
        <v>0</v>
      </c>
      <c r="FC209" s="160">
        <f>IF([Occurrence12]=0,0,SUM($FB$2:FB209))</f>
        <v>0</v>
      </c>
      <c r="FD209" s="160">
        <f>IF([Chambre]*1='CHAMBRES FILLES 2e ETAGE'!$A$71,1,0)</f>
        <v>0</v>
      </c>
      <c r="FE209" s="160">
        <f>IF([Occurrence13]=0,0,SUM($FD$2:FD209))</f>
        <v>0</v>
      </c>
      <c r="FF209" s="160">
        <f>IF([Chambre]*1='CHAMBRES FILLES 2e ETAGE'!$A$77,1,0)</f>
        <v>0</v>
      </c>
      <c r="FG209" s="160">
        <f>IF([Occurrence14]=0,0,SUM($FF$2:FF209))</f>
        <v>0</v>
      </c>
      <c r="FH209" s="160">
        <f>IF([Chambre]*1='CHAMBRES FILLES 2e ETAGE'!$A$83,1,0)</f>
        <v>0</v>
      </c>
      <c r="FI209" s="160">
        <f>IF([Occurrence15]=0,0,SUM($FH$2:FH209))</f>
        <v>0</v>
      </c>
      <c r="FJ209" s="160">
        <f>IF([Chambre]*1='CHAMBRES FILLES 2e ETAGE'!$A$89,1,0)</f>
        <v>0</v>
      </c>
      <c r="FK209" s="160">
        <f>IF([Occurrence16]=0,0,SUM($FJ$2:FJ209))</f>
        <v>0</v>
      </c>
      <c r="FL209" s="160">
        <f>IF([Chambre]*1='CHAMBRES FILLES 2e ETAGE'!$A$95,1,0)</f>
        <v>0</v>
      </c>
      <c r="FM209" s="160">
        <f>IF([Occurrence17]=0,0,SUM($FL$2:FL209))</f>
        <v>0</v>
      </c>
      <c r="FN209" s="160">
        <f>IF([Chambre2]*1='CHAMBRES FILLES 1e ETAGE'!$A$5,1,0)</f>
        <v>0</v>
      </c>
      <c r="FO209" s="160">
        <f>IF([Occurrence18]=0,0,SUM($FN$2:FN209))</f>
        <v>0</v>
      </c>
      <c r="FP209" s="160">
        <f>IF([Chambre2]*1='CHAMBRES FILLES 1e ETAGE'!$A$11,1,0)</f>
        <v>0</v>
      </c>
      <c r="FQ209" s="160">
        <f>IF([Occurrence19]=0,0,SUM($FP$2:FP209))</f>
        <v>0</v>
      </c>
      <c r="FR209" s="160">
        <f>IF([Chambre2]*1='CHAMBRES FILLES 1e ETAGE'!$A$17,1,0)</f>
        <v>0</v>
      </c>
      <c r="FS209" s="160">
        <f>IF([Occurrence20]=0,0,SUM($FR$2:FR209))</f>
        <v>0</v>
      </c>
      <c r="FT209" s="160">
        <f>IF([Chambre2]*1='CHAMBRES FILLES 1e ETAGE'!$A$23,1,0)</f>
        <v>0</v>
      </c>
      <c r="FU209" s="160">
        <f>IF([Occurrence21]=0,0,SUM($FT$2:FT209))</f>
        <v>0</v>
      </c>
      <c r="FV209" s="160">
        <f>IF([Chambre2]*1='CHAMBRES FILLES 1e ETAGE'!$A$29,1,0)</f>
        <v>0</v>
      </c>
      <c r="FW209" s="160">
        <f>IF([Occurrence22]=0,0,SUM($FV$2:FV209))</f>
        <v>0</v>
      </c>
      <c r="FX209" s="160">
        <f>IF([Chambre2]*1='CHAMBRES FILLES 1e ETAGE'!$A$35,1,0)</f>
        <v>0</v>
      </c>
      <c r="FY209" s="160">
        <f>IF([Occurrence23]=0,0,SUM($FX$2:FX209))</f>
        <v>0</v>
      </c>
      <c r="FZ209" s="160">
        <f>IF([Chambre2]*1='CHAMBRES FILLES 1e ETAGE'!$A$41,1,0)</f>
        <v>0</v>
      </c>
      <c r="GA209" s="160">
        <f>IF([Occurrence24]=0,0,SUM($FZ$2:FZ209))</f>
        <v>0</v>
      </c>
      <c r="GB209" s="160">
        <f>IF([Chambre2]*1='CHAMBRES FILLES 1e ETAGE'!$A$47,1,0)</f>
        <v>0</v>
      </c>
      <c r="GC209" s="160">
        <f>IF([Occurrence25]=0,0,SUM($GB$2:GB209))</f>
        <v>0</v>
      </c>
      <c r="GD209" s="160">
        <f>IF([Chambre2]*1='CHAMBRES FILLES 1e ETAGE'!$A$53,1,0)</f>
        <v>0</v>
      </c>
      <c r="GE209" s="160">
        <f>IF([Occurrence26]=0,0,SUM($GD$2:GD209))</f>
        <v>0</v>
      </c>
      <c r="GF209" s="160">
        <f>IF([chambre4]*1='CHAMBRES GARCONS 1e ETAGE'!$A$5,1,0)</f>
        <v>0</v>
      </c>
      <c r="GG209" s="160">
        <f>IF([Occurrence27]=0,0,SUM($GF$2:GF209))</f>
        <v>0</v>
      </c>
      <c r="GH209" s="160">
        <f>IF([chambre4]*1='CHAMBRES GARCONS 1e ETAGE'!$A$11,1,0)</f>
        <v>0</v>
      </c>
      <c r="GI209" s="160">
        <f>IF([Occurrence28]=0,0,SUM($GH$2:GH209))</f>
        <v>0</v>
      </c>
      <c r="GJ209" s="160">
        <f>IF([chambre4]*1='CHAMBRES GARCONS 1e ETAGE'!$A$17,1,0)</f>
        <v>0</v>
      </c>
      <c r="GK209" s="160">
        <f>IF([Occurrence29]=0,0,SUM($GJ$2:GJ209))</f>
        <v>0</v>
      </c>
      <c r="GL209" s="160">
        <f>IF([chambre4]*1='CHAMBRES GARCONS 1e ETAGE'!$A$23,1,0)</f>
        <v>0</v>
      </c>
      <c r="GM209" s="160">
        <f>IF([Occurrence30]=0,0,SUM($GL$2:GL209))</f>
        <v>0</v>
      </c>
      <c r="GN209" s="160">
        <f>IF([chambre4]*1='CHAMBRES GARCONS 1e ETAGE'!$A$29,1,0)</f>
        <v>0</v>
      </c>
      <c r="GO209" s="160">
        <f>IF([Occurrence31]=0,0,SUM($GN$2:GN209))</f>
        <v>0</v>
      </c>
      <c r="GP209" s="160">
        <f>IF([chambre4]*1='CHAMBRES GARCONS 1e ETAGE'!$A$35,1,0)</f>
        <v>0</v>
      </c>
      <c r="GQ209" s="160">
        <f>IF([Occurrence32]=0,0,SUM($GP$2:GP209))</f>
        <v>0</v>
      </c>
      <c r="GR209" s="160">
        <f>IF([chambre3]*1='CHAMBRES GARCONS RDC'!$A$5,1,0)</f>
        <v>0</v>
      </c>
      <c r="GS209" s="160">
        <f>IF([Occurrence33]=0,0,SUM($GR$2:GR209))</f>
        <v>0</v>
      </c>
      <c r="GT209" s="160">
        <f>IF([chambre3]*1='CHAMBRES GARCONS RDC'!$A$11,1,0)</f>
        <v>0</v>
      </c>
      <c r="GU209" s="160">
        <f>IF([Occurrence34]=0,0,SUM($GT$2:GT209))</f>
        <v>0</v>
      </c>
      <c r="GV209" s="160">
        <f>IF([chambre3]*1='CHAMBRES GARCONS RDC'!$A$17,1,0)</f>
        <v>0</v>
      </c>
      <c r="GW209" s="160">
        <f>IF([Occurrence35]=0,0,SUM($GV$2:GV209))</f>
        <v>0</v>
      </c>
      <c r="GX209" s="160">
        <f>IF([chambre3]*1='CHAMBRES GARCONS RDC'!$A$23,1,0)</f>
        <v>0</v>
      </c>
      <c r="GY209" s="160">
        <f>IF([Occurrence36]=0,0,SUM($GX$2:GX209))</f>
        <v>0</v>
      </c>
      <c r="GZ209" s="160">
        <f>IF([chambre3]*1='CHAMBRES GARCONS RDC'!$A$29,1,0)</f>
        <v>0</v>
      </c>
      <c r="HA209" s="160">
        <f>IF([Occurrence37]=0,0,SUM($GZ$2:GZ209))</f>
        <v>0</v>
      </c>
      <c r="HB209" s="160">
        <f>IF([chambre3]*1='CHAMBRES GARCONS RDC'!$A$35,1,0)</f>
        <v>0</v>
      </c>
      <c r="HC209" s="160">
        <f>IF([Occurrence38]=0,0,SUM($HB$2:HB209))</f>
        <v>0</v>
      </c>
      <c r="HD209" s="160">
        <f>IF([chambre3]*1='CHAMBRES GARCONS RDC'!$A$41,1,0)</f>
        <v>0</v>
      </c>
      <c r="HE209" s="160">
        <f>IF([Occurrence39]=0,0,SUM($HD$2:HD209))</f>
        <v>0</v>
      </c>
      <c r="HF209" s="160">
        <f>IF([chambre3]*1='CHAMBRES GARCONS RDC'!$A$47,1,0)</f>
        <v>0</v>
      </c>
      <c r="HG209" s="160">
        <f>IF([Occurrence40]=0,0,SUM($HF$2:HF209))</f>
        <v>0</v>
      </c>
      <c r="HH209" s="160">
        <f>IF([chambre3]*1='CHAMBRES GARCONS RDC'!$A$53,1,0)</f>
        <v>0</v>
      </c>
      <c r="HI209" s="160">
        <f>IF([Occurrence41]=0,0,SUM($HH$2:HH209))</f>
        <v>0</v>
      </c>
      <c r="HJ209" s="160">
        <f>IF([chambre3]*1='CHAMBRES GARCONS RDC'!$A$59,1,0)</f>
        <v>0</v>
      </c>
      <c r="HK209" s="160">
        <f>IF([Occurrence42]=0,0,SUM($HJ$2:HJ209))</f>
        <v>0</v>
      </c>
      <c r="HL209" s="160">
        <f>IF([chambre3]*1='CHAMBRES GARCONS RDC'!$A$65,1,0)</f>
        <v>0</v>
      </c>
      <c r="HM209" s="160">
        <f>IF([Occurrence43]=0,0,SUM($HL$2:HL209))</f>
        <v>0</v>
      </c>
      <c r="HN209" s="160">
        <f>IF([chambre3]*1='CHAMBRES GARCONS RDC'!$A$71,1,0)</f>
        <v>0</v>
      </c>
      <c r="HO209" s="160">
        <f>IF([Occurrence44]=0,0,SUM($HN$2:HN209))</f>
        <v>0</v>
      </c>
      <c r="HP209" s="160">
        <f>IF([chambre3]*1='CHAMBRES GARCONS RDC'!$A$77,1,0)</f>
        <v>0</v>
      </c>
      <c r="HQ209" s="160">
        <f>IF([Occurrence45]=0,0,SUM($HP$2:HP209))</f>
        <v>0</v>
      </c>
      <c r="HR209" s="160">
        <f>IF([chambre3]*1='CHAMBRES GARCONS RDC'!$A$83,1,0)</f>
        <v>0</v>
      </c>
      <c r="HS209" s="160">
        <f>IF([Occurrence46]=0,0,SUM($HR$2:HR209))</f>
        <v>0</v>
      </c>
      <c r="HT209" s="160">
        <f>IF([chambre3]*1='CHAMBRES GARCONS RDC'!$A$89,1,0)</f>
        <v>0</v>
      </c>
      <c r="HU209" s="160">
        <f>IF([Occurrence47]=0,0,SUM($HT$2:HT209))</f>
        <v>0</v>
      </c>
      <c r="HV209" s="160">
        <f>IF([chambre3]*1='CHAMBRES GARCONS RDC'!$A$95,1,0)</f>
        <v>0</v>
      </c>
      <c r="HW209" s="160">
        <f>IF([Occurrence48]=0,0,SUM($HV$2:HV209))</f>
        <v>0</v>
      </c>
      <c r="HX209" s="160"/>
      <c r="HY209" s="160"/>
      <c r="HZ209" s="160">
        <f>IF([Classe]='Liste élève par classes'!$B$5,1,0)</f>
        <v>0</v>
      </c>
      <c r="IA209" s="160">
        <f>IF([Occurrence]=0,0,SUM($HZ$2:HZ209))</f>
        <v>0</v>
      </c>
      <c r="IB20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09" s="208"/>
    </row>
    <row r="210" spans="1:237">
      <c r="A210" t="s">
        <v>591</v>
      </c>
      <c r="B210" t="s">
        <v>522</v>
      </c>
      <c r="C210" s="158">
        <v>36045</v>
      </c>
      <c r="D210" s="62">
        <f t="shared" ca="1" si="3"/>
        <v>19</v>
      </c>
      <c r="E210" t="s">
        <v>4</v>
      </c>
      <c r="F210" s="159" t="s">
        <v>46</v>
      </c>
      <c r="G210" t="s">
        <v>40</v>
      </c>
      <c r="H210" s="160"/>
      <c r="I210" s="161"/>
      <c r="J210" s="161"/>
      <c r="K210" s="161"/>
      <c r="L210" s="160"/>
      <c r="M210" s="161"/>
      <c r="N210" s="161"/>
      <c r="O210" s="161"/>
      <c r="P210" s="161"/>
      <c r="Q210" s="161"/>
      <c r="R210" s="161"/>
      <c r="S210" s="161"/>
      <c r="T210" s="161"/>
      <c r="U210" s="160"/>
      <c r="V210" s="161"/>
      <c r="W210" s="161"/>
      <c r="X210" s="161"/>
      <c r="Y210" s="161"/>
      <c r="Z210" s="161"/>
      <c r="AA210" s="161"/>
      <c r="AB210" s="161"/>
      <c r="AC210" s="161"/>
      <c r="AD210" s="161"/>
      <c r="AE210" s="161"/>
      <c r="AF210" s="163"/>
      <c r="AG210" s="163"/>
      <c r="AH210" s="163"/>
      <c r="AI210" s="163"/>
      <c r="AJ210" s="163"/>
      <c r="AK210" s="163"/>
      <c r="AL210" s="163"/>
      <c r="AM210" s="163"/>
      <c r="AN210" s="163"/>
      <c r="AO210" s="163"/>
      <c r="AP210" s="163"/>
      <c r="AQ210" s="163"/>
      <c r="AR210" s="163"/>
      <c r="AS210" s="163"/>
      <c r="AT210" s="163"/>
      <c r="AU210" s="163"/>
      <c r="AV210" s="163"/>
      <c r="AW210" s="163"/>
      <c r="AX210" s="163"/>
      <c r="AY210" s="163"/>
      <c r="AZ210" s="163"/>
      <c r="BA210" s="163"/>
      <c r="BB210" s="163"/>
      <c r="BC210" s="163" t="b">
        <v>0</v>
      </c>
      <c r="BD210" s="163" t="b">
        <v>0</v>
      </c>
      <c r="BE210" s="163" t="b">
        <v>0</v>
      </c>
      <c r="BF210" s="163" t="b">
        <v>0</v>
      </c>
      <c r="BG210" s="163" t="b">
        <v>0</v>
      </c>
      <c r="BH210" s="163" t="b">
        <v>0</v>
      </c>
      <c r="BI210" s="163" t="b">
        <v>1</v>
      </c>
      <c r="BJ210" s="163" t="b">
        <v>0</v>
      </c>
      <c r="BK210" s="163" t="b">
        <v>0</v>
      </c>
      <c r="BL210" s="163" t="b">
        <v>0</v>
      </c>
      <c r="BM210" s="163"/>
      <c r="BN210" s="163"/>
      <c r="BO210" s="163"/>
      <c r="BP210" s="163"/>
      <c r="BQ210" s="163"/>
      <c r="BR210" s="163"/>
      <c r="BS210" s="163"/>
      <c r="BT210" s="163"/>
      <c r="BU210" s="163"/>
      <c r="BV210" s="163"/>
      <c r="BW210" s="163"/>
      <c r="BX210" s="163"/>
      <c r="BY210" s="163"/>
      <c r="BZ210" s="163"/>
      <c r="CA210" s="163"/>
      <c r="CB210" s="163"/>
      <c r="CC210" s="163"/>
      <c r="CD210" s="163"/>
      <c r="CE210" s="163"/>
      <c r="CF210" s="163"/>
      <c r="CG210" s="163"/>
      <c r="CH210" s="163"/>
      <c r="CI210" s="163"/>
      <c r="CJ210" s="163"/>
      <c r="CK210" s="163"/>
      <c r="CL210" s="163"/>
      <c r="CM210" s="163"/>
      <c r="CN210" s="163"/>
      <c r="CO210" s="163"/>
      <c r="CP210" s="163"/>
      <c r="CQ210" s="163"/>
      <c r="CR210" s="163"/>
      <c r="CS210" s="163"/>
      <c r="CT210" s="163"/>
      <c r="CU210" s="163"/>
      <c r="CV210" s="163"/>
      <c r="CW210" s="163"/>
      <c r="CX210" s="163"/>
      <c r="CY210" s="163"/>
      <c r="CZ210" s="163"/>
      <c r="DA210" s="163"/>
      <c r="DB210" s="163"/>
      <c r="DC210" s="163"/>
      <c r="DD210" s="163"/>
      <c r="DE210" s="163"/>
      <c r="DF210" s="163"/>
      <c r="DG210" s="163"/>
      <c r="DH210" s="163"/>
      <c r="DI210" s="163"/>
      <c r="DJ210" s="163"/>
      <c r="DK210" s="163"/>
      <c r="DL210" s="163"/>
      <c r="DM210" s="163"/>
      <c r="DN210" s="163"/>
      <c r="DO210" s="163"/>
      <c r="DP210" s="163"/>
      <c r="DQ210" s="163"/>
      <c r="DR210" s="163"/>
      <c r="DS210" s="163"/>
      <c r="DT210" s="163"/>
      <c r="DU210" s="163"/>
      <c r="DV210" s="163"/>
      <c r="DW210" s="163"/>
      <c r="DX210" s="163"/>
      <c r="DY210" s="163"/>
      <c r="DZ210" s="163"/>
      <c r="EA210" s="163"/>
      <c r="EB210" s="163"/>
      <c r="EC210" s="163"/>
      <c r="ED210" s="163"/>
      <c r="EE210" s="163"/>
      <c r="EF210" s="163"/>
      <c r="EG210" s="163"/>
      <c r="EH210" s="160">
        <f>IF([Chambre]*1='CHAMBRES FILLES 2e ETAGE'!$A$5,1,0)</f>
        <v>0</v>
      </c>
      <c r="EI210" s="161">
        <f>IF([Occurrence2]=0,0,SUM($EH$2:EH210))</f>
        <v>0</v>
      </c>
      <c r="EJ210" s="160">
        <f>IF([Chambre]*1='CHAMBRES FILLES 2e ETAGE'!$A$11,1,0)</f>
        <v>0</v>
      </c>
      <c r="EK210" s="160">
        <f>IF([Occurrence3]=0,0,SUM($EJ$2:EJ210))</f>
        <v>0</v>
      </c>
      <c r="EL210" s="160">
        <f>IF([Chambre]*1='CHAMBRES FILLES 2e ETAGE'!$A$17,1,0)</f>
        <v>0</v>
      </c>
      <c r="EM210" s="160">
        <f>IF([Occurrence4]=0,0,SUM($EL$2:EL210))</f>
        <v>0</v>
      </c>
      <c r="EN210" s="160">
        <f>IF([Chambre]*1='CHAMBRES FILLES 2e ETAGE'!$A$23,1,0)</f>
        <v>0</v>
      </c>
      <c r="EO210" s="160">
        <f>IF([Occurrence5]=0,0,SUM($EN$2:EN210))</f>
        <v>0</v>
      </c>
      <c r="EP210" s="160">
        <f>IF([Chambre]*1='CHAMBRES FILLES 2e ETAGE'!$A$29,1,0)</f>
        <v>0</v>
      </c>
      <c r="EQ210" s="160">
        <f>IF([Occurrence6]=0,0,SUM($EP$2:EP210))</f>
        <v>0</v>
      </c>
      <c r="ER210" s="160">
        <f>IF([Chambre]*1='CHAMBRES FILLES 2e ETAGE'!$A$35,1,0)</f>
        <v>0</v>
      </c>
      <c r="ES210" s="160">
        <f>IF([Occurrence7]=0,0,SUM($ER$2:ER210))</f>
        <v>0</v>
      </c>
      <c r="ET210" s="160">
        <f>IF([Chambre]*1='CHAMBRES FILLES 2e ETAGE'!$A$41,1,0)</f>
        <v>0</v>
      </c>
      <c r="EU210" s="160">
        <f>IF([Occurrence8]=0,0,SUM($ET$2:ET210))</f>
        <v>0</v>
      </c>
      <c r="EV210" s="160">
        <f>IF([Chambre]*1='CHAMBRES FILLES 2e ETAGE'!$A$47,1,0)</f>
        <v>0</v>
      </c>
      <c r="EW210" s="160">
        <f>IF([Occurrence9]=0,0,SUM($EV$2:EV210))</f>
        <v>0</v>
      </c>
      <c r="EX210" s="160">
        <f>IF([Chambre]*1='CHAMBRES FILLES 2e ETAGE'!$A$53,1,0)</f>
        <v>0</v>
      </c>
      <c r="EY210" s="160">
        <f>IF([Occurrence10]=0,0,SUM($EX$2:EX210))</f>
        <v>0</v>
      </c>
      <c r="EZ210" s="160">
        <f>IF([Chambre]*1='CHAMBRES FILLES 2e ETAGE'!$A$59,1,0)</f>
        <v>0</v>
      </c>
      <c r="FA210" s="160">
        <f>IF([Occurrence11]=0,0,SUM($EZ$2:EZ210))</f>
        <v>0</v>
      </c>
      <c r="FB210" s="160">
        <f>IF([Chambre]*1='CHAMBRES FILLES 2e ETAGE'!$A$65,1,0)</f>
        <v>0</v>
      </c>
      <c r="FC210" s="160">
        <f>IF([Occurrence12]=0,0,SUM($FB$2:FB210))</f>
        <v>0</v>
      </c>
      <c r="FD210" s="160">
        <f>IF([Chambre]*1='CHAMBRES FILLES 2e ETAGE'!$A$71,1,0)</f>
        <v>0</v>
      </c>
      <c r="FE210" s="160">
        <f>IF([Occurrence13]=0,0,SUM($FD$2:FD210))</f>
        <v>0</v>
      </c>
      <c r="FF210" s="160">
        <f>IF([Chambre]*1='CHAMBRES FILLES 2e ETAGE'!$A$77,1,0)</f>
        <v>0</v>
      </c>
      <c r="FG210" s="160">
        <f>IF([Occurrence14]=0,0,SUM($FF$2:FF210))</f>
        <v>0</v>
      </c>
      <c r="FH210" s="160">
        <f>IF([Chambre]*1='CHAMBRES FILLES 2e ETAGE'!$A$83,1,0)</f>
        <v>0</v>
      </c>
      <c r="FI210" s="160">
        <f>IF([Occurrence15]=0,0,SUM($FH$2:FH210))</f>
        <v>0</v>
      </c>
      <c r="FJ210" s="160">
        <f>IF([Chambre]*1='CHAMBRES FILLES 2e ETAGE'!$A$89,1,0)</f>
        <v>0</v>
      </c>
      <c r="FK210" s="160">
        <f>IF([Occurrence16]=0,0,SUM($FJ$2:FJ210))</f>
        <v>0</v>
      </c>
      <c r="FL210" s="160">
        <f>IF([Chambre]*1='CHAMBRES FILLES 2e ETAGE'!$A$95,1,0)</f>
        <v>0</v>
      </c>
      <c r="FM210" s="160">
        <f>IF([Occurrence17]=0,0,SUM($FL$2:FL210))</f>
        <v>0</v>
      </c>
      <c r="FN210" s="160">
        <f>IF([Chambre2]*1='CHAMBRES FILLES 1e ETAGE'!$A$5,1,0)</f>
        <v>0</v>
      </c>
      <c r="FO210" s="160">
        <f>IF([Occurrence18]=0,0,SUM($FN$2:FN210))</f>
        <v>0</v>
      </c>
      <c r="FP210" s="160">
        <f>IF([Chambre2]*1='CHAMBRES FILLES 1e ETAGE'!$A$11,1,0)</f>
        <v>0</v>
      </c>
      <c r="FQ210" s="160">
        <f>IF([Occurrence19]=0,0,SUM($FP$2:FP210))</f>
        <v>0</v>
      </c>
      <c r="FR210" s="160">
        <f>IF([Chambre2]*1='CHAMBRES FILLES 1e ETAGE'!$A$17,1,0)</f>
        <v>0</v>
      </c>
      <c r="FS210" s="160">
        <f>IF([Occurrence20]=0,0,SUM($FR$2:FR210))</f>
        <v>0</v>
      </c>
      <c r="FT210" s="160">
        <f>IF([Chambre2]*1='CHAMBRES FILLES 1e ETAGE'!$A$23,1,0)</f>
        <v>0</v>
      </c>
      <c r="FU210" s="160">
        <f>IF([Occurrence21]=0,0,SUM($FT$2:FT210))</f>
        <v>0</v>
      </c>
      <c r="FV210" s="160">
        <f>IF([Chambre2]*1='CHAMBRES FILLES 1e ETAGE'!$A$29,1,0)</f>
        <v>0</v>
      </c>
      <c r="FW210" s="160">
        <f>IF([Occurrence22]=0,0,SUM($FV$2:FV210))</f>
        <v>0</v>
      </c>
      <c r="FX210" s="160">
        <f>IF([Chambre2]*1='CHAMBRES FILLES 1e ETAGE'!$A$35,1,0)</f>
        <v>0</v>
      </c>
      <c r="FY210" s="160">
        <f>IF([Occurrence23]=0,0,SUM($FX$2:FX210))</f>
        <v>0</v>
      </c>
      <c r="FZ210" s="160">
        <f>IF([Chambre2]*1='CHAMBRES FILLES 1e ETAGE'!$A$41,1,0)</f>
        <v>0</v>
      </c>
      <c r="GA210" s="160">
        <f>IF([Occurrence24]=0,0,SUM($FZ$2:FZ210))</f>
        <v>0</v>
      </c>
      <c r="GB210" s="160">
        <f>IF([Chambre2]*1='CHAMBRES FILLES 1e ETAGE'!$A$47,1,0)</f>
        <v>0</v>
      </c>
      <c r="GC210" s="160">
        <f>IF([Occurrence25]=0,0,SUM($GB$2:GB210))</f>
        <v>0</v>
      </c>
      <c r="GD210" s="160">
        <f>IF([Chambre2]*1='CHAMBRES FILLES 1e ETAGE'!$A$53,1,0)</f>
        <v>0</v>
      </c>
      <c r="GE210" s="160">
        <f>IF([Occurrence26]=0,0,SUM($GD$2:GD210))</f>
        <v>0</v>
      </c>
      <c r="GF210" s="160">
        <f>IF([chambre4]*1='CHAMBRES GARCONS 1e ETAGE'!$A$5,1,0)</f>
        <v>0</v>
      </c>
      <c r="GG210" s="160">
        <f>IF([Occurrence27]=0,0,SUM($GF$2:GF210))</f>
        <v>0</v>
      </c>
      <c r="GH210" s="160">
        <f>IF([chambre4]*1='CHAMBRES GARCONS 1e ETAGE'!$A$11,1,0)</f>
        <v>0</v>
      </c>
      <c r="GI210" s="160">
        <f>IF([Occurrence28]=0,0,SUM($GH$2:GH210))</f>
        <v>0</v>
      </c>
      <c r="GJ210" s="160">
        <f>IF([chambre4]*1='CHAMBRES GARCONS 1e ETAGE'!$A$17,1,0)</f>
        <v>0</v>
      </c>
      <c r="GK210" s="160">
        <f>IF([Occurrence29]=0,0,SUM($GJ$2:GJ210))</f>
        <v>0</v>
      </c>
      <c r="GL210" s="160">
        <f>IF([chambre4]*1='CHAMBRES GARCONS 1e ETAGE'!$A$23,1,0)</f>
        <v>0</v>
      </c>
      <c r="GM210" s="160">
        <f>IF([Occurrence30]=0,0,SUM($GL$2:GL210))</f>
        <v>0</v>
      </c>
      <c r="GN210" s="160">
        <f>IF([chambre4]*1='CHAMBRES GARCONS 1e ETAGE'!$A$29,1,0)</f>
        <v>0</v>
      </c>
      <c r="GO210" s="160">
        <f>IF([Occurrence31]=0,0,SUM($GN$2:GN210))</f>
        <v>0</v>
      </c>
      <c r="GP210" s="160">
        <f>IF([chambre4]*1='CHAMBRES GARCONS 1e ETAGE'!$A$35,1,0)</f>
        <v>0</v>
      </c>
      <c r="GQ210" s="160">
        <f>IF([Occurrence32]=0,0,SUM($GP$2:GP210))</f>
        <v>0</v>
      </c>
      <c r="GR210" s="160">
        <f>IF([chambre3]*1='CHAMBRES GARCONS RDC'!$A$5,1,0)</f>
        <v>0</v>
      </c>
      <c r="GS210" s="160">
        <f>IF([Occurrence33]=0,0,SUM($GR$2:GR210))</f>
        <v>0</v>
      </c>
      <c r="GT210" s="160">
        <f>IF([chambre3]*1='CHAMBRES GARCONS RDC'!$A$11,1,0)</f>
        <v>0</v>
      </c>
      <c r="GU210" s="160">
        <f>IF([Occurrence34]=0,0,SUM($GT$2:GT210))</f>
        <v>0</v>
      </c>
      <c r="GV210" s="160">
        <f>IF([chambre3]*1='CHAMBRES GARCONS RDC'!$A$17,1,0)</f>
        <v>0</v>
      </c>
      <c r="GW210" s="160">
        <f>IF([Occurrence35]=0,0,SUM($GV$2:GV210))</f>
        <v>0</v>
      </c>
      <c r="GX210" s="160">
        <f>IF([chambre3]*1='CHAMBRES GARCONS RDC'!$A$23,1,0)</f>
        <v>0</v>
      </c>
      <c r="GY210" s="160">
        <f>IF([Occurrence36]=0,0,SUM($GX$2:GX210))</f>
        <v>0</v>
      </c>
      <c r="GZ210" s="160">
        <f>IF([chambre3]*1='CHAMBRES GARCONS RDC'!$A$29,1,0)</f>
        <v>0</v>
      </c>
      <c r="HA210" s="160">
        <f>IF([Occurrence37]=0,0,SUM($GZ$2:GZ210))</f>
        <v>0</v>
      </c>
      <c r="HB210" s="160">
        <f>IF([chambre3]*1='CHAMBRES GARCONS RDC'!$A$35,1,0)</f>
        <v>0</v>
      </c>
      <c r="HC210" s="160">
        <f>IF([Occurrence38]=0,0,SUM($HB$2:HB210))</f>
        <v>0</v>
      </c>
      <c r="HD210" s="160">
        <f>IF([chambre3]*1='CHAMBRES GARCONS RDC'!$A$41,1,0)</f>
        <v>0</v>
      </c>
      <c r="HE210" s="160">
        <f>IF([Occurrence39]=0,0,SUM($HD$2:HD210))</f>
        <v>0</v>
      </c>
      <c r="HF210" s="160">
        <f>IF([chambre3]*1='CHAMBRES GARCONS RDC'!$A$47,1,0)</f>
        <v>0</v>
      </c>
      <c r="HG210" s="160">
        <f>IF([Occurrence40]=0,0,SUM($HF$2:HF210))</f>
        <v>0</v>
      </c>
      <c r="HH210" s="160">
        <f>IF([chambre3]*1='CHAMBRES GARCONS RDC'!$A$53,1,0)</f>
        <v>0</v>
      </c>
      <c r="HI210" s="160">
        <f>IF([Occurrence41]=0,0,SUM($HH$2:HH210))</f>
        <v>0</v>
      </c>
      <c r="HJ210" s="160">
        <f>IF([chambre3]*1='CHAMBRES GARCONS RDC'!$A$59,1,0)</f>
        <v>0</v>
      </c>
      <c r="HK210" s="160">
        <f>IF([Occurrence42]=0,0,SUM($HJ$2:HJ210))</f>
        <v>0</v>
      </c>
      <c r="HL210" s="160">
        <f>IF([chambre3]*1='CHAMBRES GARCONS RDC'!$A$65,1,0)</f>
        <v>0</v>
      </c>
      <c r="HM210" s="160">
        <f>IF([Occurrence43]=0,0,SUM($HL$2:HL210))</f>
        <v>0</v>
      </c>
      <c r="HN210" s="160">
        <f>IF([chambre3]*1='CHAMBRES GARCONS RDC'!$A$71,1,0)</f>
        <v>0</v>
      </c>
      <c r="HO210" s="160">
        <f>IF([Occurrence44]=0,0,SUM($HN$2:HN210))</f>
        <v>0</v>
      </c>
      <c r="HP210" s="160">
        <f>IF([chambre3]*1='CHAMBRES GARCONS RDC'!$A$77,1,0)</f>
        <v>0</v>
      </c>
      <c r="HQ210" s="160">
        <f>IF([Occurrence45]=0,0,SUM($HP$2:HP210))</f>
        <v>0</v>
      </c>
      <c r="HR210" s="160">
        <f>IF([chambre3]*1='CHAMBRES GARCONS RDC'!$A$83,1,0)</f>
        <v>0</v>
      </c>
      <c r="HS210" s="160">
        <f>IF([Occurrence46]=0,0,SUM($HR$2:HR210))</f>
        <v>0</v>
      </c>
      <c r="HT210" s="160">
        <f>IF([chambre3]*1='CHAMBRES GARCONS RDC'!$A$89,1,0)</f>
        <v>0</v>
      </c>
      <c r="HU210" s="160">
        <f>IF([Occurrence47]=0,0,SUM($HT$2:HT210))</f>
        <v>0</v>
      </c>
      <c r="HV210" s="160">
        <f>IF([chambre3]*1='CHAMBRES GARCONS RDC'!$A$95,1,0)</f>
        <v>0</v>
      </c>
      <c r="HW210" s="160">
        <f>IF([Occurrence48]=0,0,SUM($HV$2:HV210))</f>
        <v>0</v>
      </c>
      <c r="HX210" s="160"/>
      <c r="HY210" s="160"/>
      <c r="HZ210" s="160">
        <f>IF([Classe]='Liste élève par classes'!$B$5,1,0)</f>
        <v>0</v>
      </c>
      <c r="IA210" s="160">
        <f>IF([Occurrence]=0,0,SUM($HZ$2:HZ210))</f>
        <v>0</v>
      </c>
      <c r="IB21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10" s="208"/>
    </row>
    <row r="211" spans="1:237">
      <c r="A211" t="s">
        <v>592</v>
      </c>
      <c r="B211" t="s">
        <v>593</v>
      </c>
      <c r="C211" s="158">
        <v>37590</v>
      </c>
      <c r="D211" s="62">
        <f t="shared" ca="1" si="3"/>
        <v>14</v>
      </c>
      <c r="E211" t="s">
        <v>7</v>
      </c>
      <c r="F211" s="159" t="s">
        <v>50</v>
      </c>
      <c r="G211" t="s">
        <v>40</v>
      </c>
      <c r="H211" s="160"/>
      <c r="I211" s="62"/>
      <c r="J211" s="62"/>
      <c r="K211" s="62"/>
      <c r="L211" s="61"/>
      <c r="M211">
        <v>21</v>
      </c>
      <c r="N211" s="62"/>
      <c r="O211" s="62"/>
      <c r="P211" s="62"/>
      <c r="Q211" s="62"/>
      <c r="R211" s="62"/>
      <c r="S211" s="191"/>
      <c r="T211" s="62"/>
      <c r="U211" s="61"/>
      <c r="V211" s="62"/>
      <c r="W211" s="62"/>
      <c r="X211" s="62"/>
      <c r="Y211" s="62"/>
      <c r="Z211" s="62"/>
      <c r="AA211" s="62"/>
      <c r="AB211" s="62"/>
      <c r="AC211" s="62"/>
      <c r="AD211" s="62"/>
      <c r="AE211" s="62"/>
      <c r="AF211" s="163"/>
      <c r="AG211" s="163"/>
      <c r="AH211" s="163"/>
      <c r="AI211" s="163"/>
      <c r="AJ211" s="163"/>
      <c r="AK211" s="163"/>
      <c r="AL211" s="163"/>
      <c r="AM211" s="163"/>
      <c r="AN211" s="163"/>
      <c r="AO211" s="163"/>
      <c r="AP211" s="163"/>
      <c r="AQ211" s="163"/>
      <c r="AR211" s="163"/>
      <c r="AS211" s="163"/>
      <c r="AT211" s="163"/>
      <c r="AU211" s="163"/>
      <c r="AV211" s="163"/>
      <c r="AW211" s="163"/>
      <c r="AX211" s="163"/>
      <c r="AY211" s="163"/>
      <c r="AZ211" s="163"/>
      <c r="BA211" s="163"/>
      <c r="BB211" s="163"/>
      <c r="BC211" s="163" t="b">
        <v>0</v>
      </c>
      <c r="BD211" s="163" t="b">
        <v>1</v>
      </c>
      <c r="BE211" s="163" t="b">
        <v>1</v>
      </c>
      <c r="BF211" s="163" t="b">
        <v>0</v>
      </c>
      <c r="BG211" s="164" t="b">
        <v>0</v>
      </c>
      <c r="BH211" s="163" t="b">
        <v>1</v>
      </c>
      <c r="BI211" s="163"/>
      <c r="BJ211" s="163"/>
      <c r="BK211" s="163"/>
      <c r="BL211" s="163"/>
      <c r="BM211" s="163"/>
      <c r="BN211" s="163"/>
      <c r="BO211" s="163"/>
      <c r="BP211" s="163"/>
      <c r="BQ211" s="163" t="b">
        <v>0</v>
      </c>
      <c r="BR211" s="163"/>
      <c r="BS211" s="163"/>
      <c r="BT211" s="163"/>
      <c r="BU211" s="163"/>
      <c r="BV211" s="163"/>
      <c r="BW211" s="163"/>
      <c r="BX211" s="163"/>
      <c r="BY211" s="163"/>
      <c r="BZ211" s="163"/>
      <c r="CA211" s="163"/>
      <c r="CB211" s="163"/>
      <c r="CC211" s="163"/>
      <c r="CD211" s="163"/>
      <c r="CE211" s="163"/>
      <c r="CF211" s="163"/>
      <c r="CG211" s="163"/>
      <c r="CH211" s="163"/>
      <c r="CI211" s="163"/>
      <c r="CJ211" s="163"/>
      <c r="CK211" s="163"/>
      <c r="CL211" s="163"/>
      <c r="CM211" s="163"/>
      <c r="CN211" s="163"/>
      <c r="CO211" s="163"/>
      <c r="CP211" s="163"/>
      <c r="CQ211" s="163"/>
      <c r="CR211" s="163"/>
      <c r="CS211" s="163"/>
      <c r="CT211" s="163"/>
      <c r="CU211" s="163"/>
      <c r="CV211" s="163"/>
      <c r="CW211" s="163"/>
      <c r="CX211" s="163"/>
      <c r="CY211" s="163"/>
      <c r="CZ211" s="163"/>
      <c r="DA211" s="163">
        <v>112</v>
      </c>
      <c r="DB211" s="163"/>
      <c r="DC211" s="163"/>
      <c r="DD211" s="163"/>
      <c r="DE211" s="163"/>
      <c r="DF211" s="163"/>
      <c r="DG211" s="208"/>
      <c r="DH211" s="163"/>
      <c r="DI211" s="163"/>
      <c r="DJ211" s="163"/>
      <c r="DK211" s="163"/>
      <c r="DL211" s="163"/>
      <c r="DM211" s="163"/>
      <c r="DN211" s="163"/>
      <c r="DO211" s="163"/>
      <c r="DP211" s="163"/>
      <c r="DQ211" s="163"/>
      <c r="DR211" s="163"/>
      <c r="DS211" s="163"/>
      <c r="DT211" s="163"/>
      <c r="DU211" s="163"/>
      <c r="DV211" s="163"/>
      <c r="DW211" s="163"/>
      <c r="DX211" s="163"/>
      <c r="DY211" s="163"/>
      <c r="DZ211" s="163"/>
      <c r="EA211" s="163"/>
      <c r="EB211" s="163"/>
      <c r="EC211" s="163"/>
      <c r="ED211" s="163"/>
      <c r="EE211" s="163"/>
      <c r="EF211" s="163"/>
      <c r="EG211" s="163"/>
      <c r="EH211" s="160">
        <f>IF([Chambre]*1='CHAMBRES FILLES 2e ETAGE'!$A$5,1,0)</f>
        <v>0</v>
      </c>
      <c r="EI211" s="161">
        <f>IF([Occurrence2]=0,0,SUM($EH$2:EH211))</f>
        <v>0</v>
      </c>
      <c r="EJ211" s="160">
        <f>IF([Chambre]*1='CHAMBRES FILLES 2e ETAGE'!$A$11,1,0)</f>
        <v>0</v>
      </c>
      <c r="EK211" s="160">
        <f>IF([Occurrence3]=0,0,SUM($EJ$2:EJ211))</f>
        <v>0</v>
      </c>
      <c r="EL211" s="160">
        <f>IF([Chambre]*1='CHAMBRES FILLES 2e ETAGE'!$A$17,1,0)</f>
        <v>0</v>
      </c>
      <c r="EM211" s="160">
        <f>IF([Occurrence4]=0,0,SUM($EL$2:EL211))</f>
        <v>0</v>
      </c>
      <c r="EN211" s="160">
        <f>IF([Chambre]*1='CHAMBRES FILLES 2e ETAGE'!$A$23,1,0)</f>
        <v>0</v>
      </c>
      <c r="EO211" s="160">
        <f>IF([Occurrence5]=0,0,SUM($EN$2:EN211))</f>
        <v>0</v>
      </c>
      <c r="EP211" s="160">
        <f>IF([Chambre]*1='CHAMBRES FILLES 2e ETAGE'!$A$29,1,0)</f>
        <v>0</v>
      </c>
      <c r="EQ211" s="160">
        <f>IF([Occurrence6]=0,0,SUM($EP$2:EP211))</f>
        <v>0</v>
      </c>
      <c r="ER211" s="160">
        <f>IF([Chambre]*1='CHAMBRES FILLES 2e ETAGE'!$A$35,1,0)</f>
        <v>0</v>
      </c>
      <c r="ES211" s="160">
        <f>IF([Occurrence7]=0,0,SUM($ER$2:ER211))</f>
        <v>0</v>
      </c>
      <c r="ET211" s="160">
        <f>IF([Chambre]*1='CHAMBRES FILLES 2e ETAGE'!$A$41,1,0)</f>
        <v>0</v>
      </c>
      <c r="EU211" s="160">
        <f>IF([Occurrence8]=0,0,SUM($ET$2:ET211))</f>
        <v>0</v>
      </c>
      <c r="EV211" s="160">
        <f>IF([Chambre]*1='CHAMBRES FILLES 2e ETAGE'!$A$47,1,0)</f>
        <v>0</v>
      </c>
      <c r="EW211" s="160">
        <f>IF([Occurrence9]=0,0,SUM($EV$2:EV211))</f>
        <v>0</v>
      </c>
      <c r="EX211" s="160">
        <f>IF([Chambre]*1='CHAMBRES FILLES 2e ETAGE'!$A$53,1,0)</f>
        <v>0</v>
      </c>
      <c r="EY211" s="160">
        <f>IF([Occurrence10]=0,0,SUM($EX$2:EX211))</f>
        <v>0</v>
      </c>
      <c r="EZ211" s="160">
        <f>IF([Chambre]*1='CHAMBRES FILLES 2e ETAGE'!$A$59,1,0)</f>
        <v>0</v>
      </c>
      <c r="FA211" s="160">
        <f>IF([Occurrence11]=0,0,SUM($EZ$2:EZ211))</f>
        <v>0</v>
      </c>
      <c r="FB211" s="160">
        <f>IF([Chambre]*1='CHAMBRES FILLES 2e ETAGE'!$A$65,1,0)</f>
        <v>0</v>
      </c>
      <c r="FC211" s="160">
        <f>IF([Occurrence12]=0,0,SUM($FB$2:FB211))</f>
        <v>0</v>
      </c>
      <c r="FD211" s="160">
        <f>IF([Chambre]*1='CHAMBRES FILLES 2e ETAGE'!$A$71,1,0)</f>
        <v>0</v>
      </c>
      <c r="FE211" s="160">
        <f>IF([Occurrence13]=0,0,SUM($FD$2:FD211))</f>
        <v>0</v>
      </c>
      <c r="FF211" s="160">
        <f>IF([Chambre]*1='CHAMBRES FILLES 2e ETAGE'!$A$77,1,0)</f>
        <v>0</v>
      </c>
      <c r="FG211" s="160">
        <f>IF([Occurrence14]=0,0,SUM($FF$2:FF211))</f>
        <v>0</v>
      </c>
      <c r="FH211" s="160">
        <f>IF([Chambre]*1='CHAMBRES FILLES 2e ETAGE'!$A$83,1,0)</f>
        <v>0</v>
      </c>
      <c r="FI211" s="160">
        <f>IF([Occurrence15]=0,0,SUM($FH$2:FH211))</f>
        <v>0</v>
      </c>
      <c r="FJ211" s="160">
        <f>IF([Chambre]*1='CHAMBRES FILLES 2e ETAGE'!$A$89,1,0)</f>
        <v>0</v>
      </c>
      <c r="FK211" s="160">
        <f>IF([Occurrence16]=0,0,SUM($FJ$2:FJ211))</f>
        <v>0</v>
      </c>
      <c r="FL211" s="160">
        <f>IF([Chambre]*1='CHAMBRES FILLES 2e ETAGE'!$A$95,1,0)</f>
        <v>0</v>
      </c>
      <c r="FM211" s="160">
        <f>IF([Occurrence17]=0,0,SUM($FL$2:FL211))</f>
        <v>0</v>
      </c>
      <c r="FN211" s="160">
        <f>IF([Chambre2]*1='CHAMBRES FILLES 1e ETAGE'!$A$5,1,0)</f>
        <v>0</v>
      </c>
      <c r="FO211" s="160">
        <f>IF([Occurrence18]=0,0,SUM($FN$2:FN211))</f>
        <v>0</v>
      </c>
      <c r="FP211" s="160">
        <f>IF([Chambre2]*1='CHAMBRES FILLES 1e ETAGE'!$A$11,1,0)</f>
        <v>0</v>
      </c>
      <c r="FQ211" s="160">
        <f>IF([Occurrence19]=0,0,SUM($FP$2:FP211))</f>
        <v>0</v>
      </c>
      <c r="FR211" s="160">
        <f>IF([Chambre2]*1='CHAMBRES FILLES 1e ETAGE'!$A$17,1,0)</f>
        <v>0</v>
      </c>
      <c r="FS211" s="160">
        <f>IF([Occurrence20]=0,0,SUM($FR$2:FR211))</f>
        <v>0</v>
      </c>
      <c r="FT211" s="160">
        <f>IF([Chambre2]*1='CHAMBRES FILLES 1e ETAGE'!$A$23,1,0)</f>
        <v>0</v>
      </c>
      <c r="FU211" s="160">
        <f>IF([Occurrence21]=0,0,SUM($FT$2:FT211))</f>
        <v>0</v>
      </c>
      <c r="FV211" s="160">
        <f>IF([Chambre2]*1='CHAMBRES FILLES 1e ETAGE'!$A$29,1,0)</f>
        <v>0</v>
      </c>
      <c r="FW211" s="160">
        <f>IF([Occurrence22]=0,0,SUM($FV$2:FV211))</f>
        <v>0</v>
      </c>
      <c r="FX211" s="160">
        <f>IF([Chambre2]*1='CHAMBRES FILLES 1e ETAGE'!$A$35,1,0)</f>
        <v>0</v>
      </c>
      <c r="FY211" s="160">
        <f>IF([Occurrence23]=0,0,SUM($FX$2:FX211))</f>
        <v>0</v>
      </c>
      <c r="FZ211" s="160">
        <f>IF([Chambre2]*1='CHAMBRES FILLES 1e ETAGE'!$A$41,1,0)</f>
        <v>0</v>
      </c>
      <c r="GA211" s="160">
        <f>IF([Occurrence24]=0,0,SUM($FZ$2:FZ211))</f>
        <v>0</v>
      </c>
      <c r="GB211" s="160">
        <f>IF([Chambre2]*1='CHAMBRES FILLES 1e ETAGE'!$A$47,1,0)</f>
        <v>0</v>
      </c>
      <c r="GC211" s="160">
        <f>IF([Occurrence25]=0,0,SUM($GB$2:GB211))</f>
        <v>0</v>
      </c>
      <c r="GD211" s="160">
        <f>IF([Chambre2]*1='CHAMBRES FILLES 1e ETAGE'!$A$53,1,0)</f>
        <v>0</v>
      </c>
      <c r="GE211" s="160">
        <f>IF([Occurrence26]=0,0,SUM($GD$2:GD211))</f>
        <v>0</v>
      </c>
      <c r="GF211" s="160">
        <f>IF([chambre4]*1='CHAMBRES GARCONS 1e ETAGE'!$A$5,1,0)</f>
        <v>0</v>
      </c>
      <c r="GG211" s="160">
        <f>IF([Occurrence27]=0,0,SUM($GF$2:GF211))</f>
        <v>0</v>
      </c>
      <c r="GH211" s="160">
        <f>IF([chambre4]*1='CHAMBRES GARCONS 1e ETAGE'!$A$11,1,0)</f>
        <v>0</v>
      </c>
      <c r="GI211" s="160">
        <f>IF([Occurrence28]=0,0,SUM($GH$2:GH211))</f>
        <v>0</v>
      </c>
      <c r="GJ211" s="160">
        <f>IF([chambre4]*1='CHAMBRES GARCONS 1e ETAGE'!$A$17,1,0)</f>
        <v>0</v>
      </c>
      <c r="GK211" s="160">
        <f>IF([Occurrence29]=0,0,SUM($GJ$2:GJ211))</f>
        <v>0</v>
      </c>
      <c r="GL211" s="160">
        <f>IF([chambre4]*1='CHAMBRES GARCONS 1e ETAGE'!$A$23,1,0)</f>
        <v>0</v>
      </c>
      <c r="GM211" s="160">
        <f>IF([Occurrence30]=0,0,SUM($GL$2:GL211))</f>
        <v>0</v>
      </c>
      <c r="GN211" s="160">
        <f>IF([chambre4]*1='CHAMBRES GARCONS 1e ETAGE'!$A$29,1,0)</f>
        <v>0</v>
      </c>
      <c r="GO211" s="160">
        <f>IF([Occurrence31]=0,0,SUM($GN$2:GN211))</f>
        <v>0</v>
      </c>
      <c r="GP211" s="160">
        <f>IF([chambre4]*1='CHAMBRES GARCONS 1e ETAGE'!$A$35,1,0)</f>
        <v>0</v>
      </c>
      <c r="GQ211" s="160">
        <f>IF([Occurrence32]=0,0,SUM($GP$2:GP211))</f>
        <v>0</v>
      </c>
      <c r="GR211" s="160">
        <f>IF([chambre3]*1='CHAMBRES GARCONS RDC'!$A$5,1,0)</f>
        <v>0</v>
      </c>
      <c r="GS211" s="160">
        <f>IF([Occurrence33]=0,0,SUM($GR$2:GR211))</f>
        <v>0</v>
      </c>
      <c r="GT211" s="160">
        <f>IF([chambre3]*1='CHAMBRES GARCONS RDC'!$A$11,1,0)</f>
        <v>0</v>
      </c>
      <c r="GU211" s="160">
        <f>IF([Occurrence34]=0,0,SUM($GT$2:GT211))</f>
        <v>0</v>
      </c>
      <c r="GV211" s="160">
        <f>IF([chambre3]*1='CHAMBRES GARCONS RDC'!$A$17,1,0)</f>
        <v>0</v>
      </c>
      <c r="GW211" s="160">
        <f>IF([Occurrence35]=0,0,SUM($GV$2:GV211))</f>
        <v>0</v>
      </c>
      <c r="GX211" s="160">
        <f>IF([chambre3]*1='CHAMBRES GARCONS RDC'!$A$23,1,0)</f>
        <v>0</v>
      </c>
      <c r="GY211" s="160">
        <f>IF([Occurrence36]=0,0,SUM($GX$2:GX211))</f>
        <v>0</v>
      </c>
      <c r="GZ211" s="160">
        <f>IF([chambre3]*1='CHAMBRES GARCONS RDC'!$A$29,1,0)</f>
        <v>0</v>
      </c>
      <c r="HA211" s="160">
        <f>IF([Occurrence37]=0,0,SUM($GZ$2:GZ211))</f>
        <v>0</v>
      </c>
      <c r="HB211" s="160">
        <f>IF([chambre3]*1='CHAMBRES GARCONS RDC'!$A$35,1,0)</f>
        <v>0</v>
      </c>
      <c r="HC211" s="160">
        <f>IF([Occurrence38]=0,0,SUM($HB$2:HB211))</f>
        <v>0</v>
      </c>
      <c r="HD211" s="160">
        <f>IF([chambre3]*1='CHAMBRES GARCONS RDC'!$A$41,1,0)</f>
        <v>0</v>
      </c>
      <c r="HE211" s="160">
        <f>IF([Occurrence39]=0,0,SUM($HD$2:HD211))</f>
        <v>0</v>
      </c>
      <c r="HF211" s="160">
        <f>IF([chambre3]*1='CHAMBRES GARCONS RDC'!$A$47,1,0)</f>
        <v>1</v>
      </c>
      <c r="HG211" s="160">
        <f>IF([Occurrence40]=0,0,SUM($HF$2:HF211))</f>
        <v>4</v>
      </c>
      <c r="HH211" s="160">
        <f>IF([chambre3]*1='CHAMBRES GARCONS RDC'!$A$53,1,0)</f>
        <v>0</v>
      </c>
      <c r="HI211" s="160">
        <f>IF([Occurrence41]=0,0,SUM($HH$2:HH211))</f>
        <v>0</v>
      </c>
      <c r="HJ211" s="160">
        <f>IF([chambre3]*1='CHAMBRES GARCONS RDC'!$A$59,1,0)</f>
        <v>0</v>
      </c>
      <c r="HK211" s="160">
        <f>IF([Occurrence42]=0,0,SUM($HJ$2:HJ211))</f>
        <v>0</v>
      </c>
      <c r="HL211" s="160">
        <f>IF([chambre3]*1='CHAMBRES GARCONS RDC'!$A$65,1,0)</f>
        <v>0</v>
      </c>
      <c r="HM211" s="160">
        <f>IF([Occurrence43]=0,0,SUM($HL$2:HL211))</f>
        <v>0</v>
      </c>
      <c r="HN211" s="160">
        <f>IF([chambre3]*1='CHAMBRES GARCONS RDC'!$A$71,1,0)</f>
        <v>0</v>
      </c>
      <c r="HO211" s="160">
        <f>IF([Occurrence44]=0,0,SUM($HN$2:HN211))</f>
        <v>0</v>
      </c>
      <c r="HP211" s="160">
        <f>IF([chambre3]*1='CHAMBRES GARCONS RDC'!$A$77,1,0)</f>
        <v>0</v>
      </c>
      <c r="HQ211" s="160">
        <f>IF([Occurrence45]=0,0,SUM($HP$2:HP211))</f>
        <v>0</v>
      </c>
      <c r="HR211" s="160">
        <f>IF([chambre3]*1='CHAMBRES GARCONS RDC'!$A$83,1,0)</f>
        <v>0</v>
      </c>
      <c r="HS211" s="160">
        <f>IF([Occurrence46]=0,0,SUM($HR$2:HR211))</f>
        <v>0</v>
      </c>
      <c r="HT211" s="160">
        <f>IF([chambre3]*1='CHAMBRES GARCONS RDC'!$A$89,1,0)</f>
        <v>0</v>
      </c>
      <c r="HU211" s="160">
        <f>IF([Occurrence47]=0,0,SUM($HT$2:HT211))</f>
        <v>0</v>
      </c>
      <c r="HV211" s="160">
        <f>IF([chambre3]*1='CHAMBRES GARCONS RDC'!$A$95,1,0)</f>
        <v>0</v>
      </c>
      <c r="HW211" s="160">
        <f>IF([Occurrence48]=0,0,SUM($HV$2:HV211))</f>
        <v>0</v>
      </c>
      <c r="HX211" s="160"/>
      <c r="HY211" s="160"/>
      <c r="HZ211" s="160">
        <f>IF([Classe]='Liste élève par classes'!$B$5,1,0)</f>
        <v>0</v>
      </c>
      <c r="IA211" s="160">
        <f>IF([Occurrence]=0,0,SUM($HZ$2:HZ211))</f>
        <v>0</v>
      </c>
      <c r="IB21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112</v>
      </c>
      <c r="IC211" s="208"/>
    </row>
    <row r="212" spans="1:237">
      <c r="A212" t="s">
        <v>592</v>
      </c>
      <c r="B212" t="s">
        <v>594</v>
      </c>
      <c r="C212" s="158">
        <v>36431</v>
      </c>
      <c r="D212" s="62">
        <f t="shared" ca="1" si="3"/>
        <v>18</v>
      </c>
      <c r="E212" t="s">
        <v>13</v>
      </c>
      <c r="F212" s="159" t="s">
        <v>50</v>
      </c>
      <c r="G212" t="s">
        <v>45</v>
      </c>
      <c r="H212" s="160"/>
      <c r="I212" s="161"/>
      <c r="J212" s="161"/>
      <c r="K212" s="161"/>
      <c r="L212" s="160">
        <v>180</v>
      </c>
      <c r="M212">
        <v>128</v>
      </c>
      <c r="N212" s="161"/>
      <c r="O212" s="161"/>
      <c r="P212" s="161"/>
      <c r="Q212" s="161"/>
      <c r="R212" s="161"/>
      <c r="S212" s="190"/>
      <c r="T212" s="161"/>
      <c r="U212" s="160"/>
      <c r="V212" s="161"/>
      <c r="W212" s="161"/>
      <c r="X212" s="161"/>
      <c r="Y212" s="161"/>
      <c r="Z212" s="161"/>
      <c r="AA212" s="161"/>
      <c r="AB212" s="161"/>
      <c r="AC212" s="161"/>
      <c r="AD212" s="161"/>
      <c r="AE212" s="161"/>
      <c r="AF212" s="163"/>
      <c r="AG212" s="163"/>
      <c r="AH212" s="163"/>
      <c r="AI212" s="163"/>
      <c r="AJ212" s="163"/>
      <c r="AK212" s="163"/>
      <c r="AL212" s="163"/>
      <c r="AM212" s="163"/>
      <c r="AN212" s="163"/>
      <c r="AO212" s="163"/>
      <c r="AP212" s="163"/>
      <c r="AQ212" s="163"/>
      <c r="AR212" s="163"/>
      <c r="AS212" s="163"/>
      <c r="AT212" s="163"/>
      <c r="AU212" s="163"/>
      <c r="AV212" s="163"/>
      <c r="AW212" s="163"/>
      <c r="AX212" s="163"/>
      <c r="AY212" s="163"/>
      <c r="AZ212" s="163"/>
      <c r="BA212" s="163"/>
      <c r="BB212" s="163"/>
      <c r="BC212" s="163" t="b">
        <v>0</v>
      </c>
      <c r="BD212" s="163" t="b">
        <v>1</v>
      </c>
      <c r="BE212" s="163" t="b">
        <v>1</v>
      </c>
      <c r="BF212" s="163" t="b">
        <v>0</v>
      </c>
      <c r="BG212" s="164" t="b">
        <v>0</v>
      </c>
      <c r="BH212" s="163" t="b">
        <v>1</v>
      </c>
      <c r="BI212" s="163"/>
      <c r="BJ212" s="163"/>
      <c r="BK212" s="163"/>
      <c r="BL212" s="163"/>
      <c r="BM212" s="163"/>
      <c r="BN212" s="163"/>
      <c r="BO212" s="163"/>
      <c r="BP212" s="163"/>
      <c r="BQ212" s="163" t="b">
        <v>0</v>
      </c>
      <c r="BR212" s="163"/>
      <c r="BS212" s="163"/>
      <c r="BT212" s="163"/>
      <c r="BU212" s="163"/>
      <c r="BV212" s="163"/>
      <c r="BW212" s="163"/>
      <c r="BX212" s="163"/>
      <c r="BY212" s="163"/>
      <c r="BZ212" s="163"/>
      <c r="CA212" s="163"/>
      <c r="CB212" s="163"/>
      <c r="CC212" s="163"/>
      <c r="CD212" s="163"/>
      <c r="CE212" s="163"/>
      <c r="CF212" s="163"/>
      <c r="CG212" s="163"/>
      <c r="CH212" s="163"/>
      <c r="CI212" s="163"/>
      <c r="CJ212" s="163"/>
      <c r="CK212" s="163"/>
      <c r="CL212" s="163"/>
      <c r="CM212" s="163"/>
      <c r="CN212" s="163"/>
      <c r="CO212" s="163"/>
      <c r="CP212" s="163"/>
      <c r="CQ212" s="163"/>
      <c r="CR212" s="163"/>
      <c r="CS212" s="163"/>
      <c r="CT212" s="163"/>
      <c r="CU212" s="163"/>
      <c r="CV212" s="163"/>
      <c r="CW212" s="163"/>
      <c r="CX212" s="163"/>
      <c r="CY212" s="163"/>
      <c r="CZ212" s="163"/>
      <c r="DA212" s="163"/>
      <c r="DB212" s="163"/>
      <c r="DC212" s="163"/>
      <c r="DD212" s="163"/>
      <c r="DE212" s="163"/>
      <c r="DF212" s="163"/>
      <c r="DG212" s="208"/>
      <c r="DH212" s="163"/>
      <c r="DI212" s="163"/>
      <c r="DJ212" s="163"/>
      <c r="DK212" s="163"/>
      <c r="DL212" s="163"/>
      <c r="DM212" s="163"/>
      <c r="DN212" s="163"/>
      <c r="DO212" s="163"/>
      <c r="DP212" s="163"/>
      <c r="DQ212" s="163"/>
      <c r="DR212" s="163"/>
      <c r="DS212" s="163"/>
      <c r="DT212" s="163"/>
      <c r="DU212" s="163"/>
      <c r="DV212" s="163"/>
      <c r="DW212" s="163"/>
      <c r="DX212" s="163"/>
      <c r="DY212" s="163"/>
      <c r="DZ212" s="163"/>
      <c r="EA212" s="163"/>
      <c r="EB212" s="163"/>
      <c r="EC212" s="163"/>
      <c r="ED212" s="163"/>
      <c r="EE212" s="163"/>
      <c r="EF212" s="163"/>
      <c r="EG212" s="163"/>
      <c r="EH212" s="160">
        <f>IF([Chambre]*1='CHAMBRES FILLES 2e ETAGE'!$A$5,1,0)</f>
        <v>0</v>
      </c>
      <c r="EI212" s="161">
        <f>IF([Occurrence2]=0,0,SUM($EH$2:EH212))</f>
        <v>0</v>
      </c>
      <c r="EJ212" s="160">
        <f>IF([Chambre]*1='CHAMBRES FILLES 2e ETAGE'!$A$11,1,0)</f>
        <v>0</v>
      </c>
      <c r="EK212" s="160">
        <f>IF([Occurrence3]=0,0,SUM($EJ$2:EJ212))</f>
        <v>0</v>
      </c>
      <c r="EL212" s="160">
        <f>IF([Chambre]*1='CHAMBRES FILLES 2e ETAGE'!$A$17,1,0)</f>
        <v>0</v>
      </c>
      <c r="EM212" s="160">
        <f>IF([Occurrence4]=0,0,SUM($EL$2:EL212))</f>
        <v>0</v>
      </c>
      <c r="EN212" s="160">
        <f>IF([Chambre]*1='CHAMBRES FILLES 2e ETAGE'!$A$23,1,0)</f>
        <v>0</v>
      </c>
      <c r="EO212" s="160">
        <f>IF([Occurrence5]=0,0,SUM($EN$2:EN212))</f>
        <v>0</v>
      </c>
      <c r="EP212" s="160">
        <f>IF([Chambre]*1='CHAMBRES FILLES 2e ETAGE'!$A$29,1,0)</f>
        <v>0</v>
      </c>
      <c r="EQ212" s="160">
        <f>IF([Occurrence6]=0,0,SUM($EP$2:EP212))</f>
        <v>0</v>
      </c>
      <c r="ER212" s="160">
        <f>IF([Chambre]*1='CHAMBRES FILLES 2e ETAGE'!$A$35,1,0)</f>
        <v>0</v>
      </c>
      <c r="ES212" s="160">
        <f>IF([Occurrence7]=0,0,SUM($ER$2:ER212))</f>
        <v>0</v>
      </c>
      <c r="ET212" s="160">
        <f>IF([Chambre]*1='CHAMBRES FILLES 2e ETAGE'!$A$41,1,0)</f>
        <v>0</v>
      </c>
      <c r="EU212" s="160">
        <f>IF([Occurrence8]=0,0,SUM($ET$2:ET212))</f>
        <v>0</v>
      </c>
      <c r="EV212" s="160">
        <f>IF([Chambre]*1='CHAMBRES FILLES 2e ETAGE'!$A$47,1,0)</f>
        <v>0</v>
      </c>
      <c r="EW212" s="160">
        <f>IF([Occurrence9]=0,0,SUM($EV$2:EV212))</f>
        <v>0</v>
      </c>
      <c r="EX212" s="160">
        <f>IF([Chambre]*1='CHAMBRES FILLES 2e ETAGE'!$A$53,1,0)</f>
        <v>0</v>
      </c>
      <c r="EY212" s="160">
        <f>IF([Occurrence10]=0,0,SUM($EX$2:EX212))</f>
        <v>0</v>
      </c>
      <c r="EZ212" s="160">
        <f>IF([Chambre]*1='CHAMBRES FILLES 2e ETAGE'!$A$59,1,0)</f>
        <v>0</v>
      </c>
      <c r="FA212" s="160">
        <f>IF([Occurrence11]=0,0,SUM($EZ$2:EZ212))</f>
        <v>0</v>
      </c>
      <c r="FB212" s="160">
        <f>IF([Chambre]*1='CHAMBRES FILLES 2e ETAGE'!$A$65,1,0)</f>
        <v>0</v>
      </c>
      <c r="FC212" s="160">
        <f>IF([Occurrence12]=0,0,SUM($FB$2:FB212))</f>
        <v>0</v>
      </c>
      <c r="FD212" s="160">
        <f>IF([Chambre]*1='CHAMBRES FILLES 2e ETAGE'!$A$71,1,0)</f>
        <v>0</v>
      </c>
      <c r="FE212" s="160">
        <f>IF([Occurrence13]=0,0,SUM($FD$2:FD212))</f>
        <v>0</v>
      </c>
      <c r="FF212" s="160">
        <f>IF([Chambre]*1='CHAMBRES FILLES 2e ETAGE'!$A$77,1,0)</f>
        <v>0</v>
      </c>
      <c r="FG212" s="160">
        <f>IF([Occurrence14]=0,0,SUM($FF$2:FF212))</f>
        <v>0</v>
      </c>
      <c r="FH212" s="160">
        <f>IF([Chambre]*1='CHAMBRES FILLES 2e ETAGE'!$A$83,1,0)</f>
        <v>0</v>
      </c>
      <c r="FI212" s="160">
        <f>IF([Occurrence15]=0,0,SUM($FH$2:FH212))</f>
        <v>0</v>
      </c>
      <c r="FJ212" s="160">
        <f>IF([Chambre]*1='CHAMBRES FILLES 2e ETAGE'!$A$89,1,0)</f>
        <v>1</v>
      </c>
      <c r="FK212" s="160">
        <f>IF([Occurrence16]=0,0,SUM($FJ$2:FJ212))</f>
        <v>1</v>
      </c>
      <c r="FL212" s="160">
        <f>IF([Chambre]*1='CHAMBRES FILLES 2e ETAGE'!$A$95,1,0)</f>
        <v>0</v>
      </c>
      <c r="FM212" s="160">
        <f>IF([Occurrence17]=0,0,SUM($FL$2:FL212))</f>
        <v>0</v>
      </c>
      <c r="FN212" s="160">
        <f>IF([Chambre2]*1='CHAMBRES FILLES 1e ETAGE'!$A$5,1,0)</f>
        <v>0</v>
      </c>
      <c r="FO212" s="160">
        <f>IF([Occurrence18]=0,0,SUM($FN$2:FN212))</f>
        <v>0</v>
      </c>
      <c r="FP212" s="160">
        <f>IF([Chambre2]*1='CHAMBRES FILLES 1e ETAGE'!$A$11,1,0)</f>
        <v>0</v>
      </c>
      <c r="FQ212" s="160">
        <f>IF([Occurrence19]=0,0,SUM($FP$2:FP212))</f>
        <v>0</v>
      </c>
      <c r="FR212" s="160">
        <f>IF([Chambre2]*1='CHAMBRES FILLES 1e ETAGE'!$A$17,1,0)</f>
        <v>0</v>
      </c>
      <c r="FS212" s="160">
        <f>IF([Occurrence20]=0,0,SUM($FR$2:FR212))</f>
        <v>0</v>
      </c>
      <c r="FT212" s="160">
        <f>IF([Chambre2]*1='CHAMBRES FILLES 1e ETAGE'!$A$23,1,0)</f>
        <v>0</v>
      </c>
      <c r="FU212" s="160">
        <f>IF([Occurrence21]=0,0,SUM($FT$2:FT212))</f>
        <v>0</v>
      </c>
      <c r="FV212" s="160">
        <f>IF([Chambre2]*1='CHAMBRES FILLES 1e ETAGE'!$A$29,1,0)</f>
        <v>0</v>
      </c>
      <c r="FW212" s="160">
        <f>IF([Occurrence22]=0,0,SUM($FV$2:FV212))</f>
        <v>0</v>
      </c>
      <c r="FX212" s="160">
        <f>IF([Chambre2]*1='CHAMBRES FILLES 1e ETAGE'!$A$35,1,0)</f>
        <v>0</v>
      </c>
      <c r="FY212" s="160">
        <f>IF([Occurrence23]=0,0,SUM($FX$2:FX212))</f>
        <v>0</v>
      </c>
      <c r="FZ212" s="160">
        <f>IF([Chambre2]*1='CHAMBRES FILLES 1e ETAGE'!$A$41,1,0)</f>
        <v>0</v>
      </c>
      <c r="GA212" s="160">
        <f>IF([Occurrence24]=0,0,SUM($FZ$2:FZ212))</f>
        <v>0</v>
      </c>
      <c r="GB212" s="160">
        <f>IF([Chambre2]*1='CHAMBRES FILLES 1e ETAGE'!$A$47,1,0)</f>
        <v>0</v>
      </c>
      <c r="GC212" s="160">
        <f>IF([Occurrence25]=0,0,SUM($GB$2:GB212))</f>
        <v>0</v>
      </c>
      <c r="GD212" s="160">
        <f>IF([Chambre2]*1='CHAMBRES FILLES 1e ETAGE'!$A$53,1,0)</f>
        <v>0</v>
      </c>
      <c r="GE212" s="160">
        <f>IF([Occurrence26]=0,0,SUM($GD$2:GD212))</f>
        <v>0</v>
      </c>
      <c r="GF212" s="160">
        <f>IF([chambre4]*1='CHAMBRES GARCONS 1e ETAGE'!$A$5,1,0)</f>
        <v>0</v>
      </c>
      <c r="GG212" s="160">
        <f>IF([Occurrence27]=0,0,SUM($GF$2:GF212))</f>
        <v>0</v>
      </c>
      <c r="GH212" s="160">
        <f>IF([chambre4]*1='CHAMBRES GARCONS 1e ETAGE'!$A$11,1,0)</f>
        <v>0</v>
      </c>
      <c r="GI212" s="160">
        <f>IF([Occurrence28]=0,0,SUM($GH$2:GH212))</f>
        <v>0</v>
      </c>
      <c r="GJ212" s="160">
        <f>IF([chambre4]*1='CHAMBRES GARCONS 1e ETAGE'!$A$17,1,0)</f>
        <v>0</v>
      </c>
      <c r="GK212" s="160">
        <f>IF([Occurrence29]=0,0,SUM($GJ$2:GJ212))</f>
        <v>0</v>
      </c>
      <c r="GL212" s="160">
        <f>IF([chambre4]*1='CHAMBRES GARCONS 1e ETAGE'!$A$23,1,0)</f>
        <v>0</v>
      </c>
      <c r="GM212" s="160">
        <f>IF([Occurrence30]=0,0,SUM($GL$2:GL212))</f>
        <v>0</v>
      </c>
      <c r="GN212" s="160">
        <f>IF([chambre4]*1='CHAMBRES GARCONS 1e ETAGE'!$A$29,1,0)</f>
        <v>0</v>
      </c>
      <c r="GO212" s="160">
        <f>IF([Occurrence31]=0,0,SUM($GN$2:GN212))</f>
        <v>0</v>
      </c>
      <c r="GP212" s="160">
        <f>IF([chambre4]*1='CHAMBRES GARCONS 1e ETAGE'!$A$35,1,0)</f>
        <v>0</v>
      </c>
      <c r="GQ212" s="160">
        <f>IF([Occurrence32]=0,0,SUM($GP$2:GP212))</f>
        <v>0</v>
      </c>
      <c r="GR212" s="160">
        <f>IF([chambre3]*1='CHAMBRES GARCONS RDC'!$A$5,1,0)</f>
        <v>0</v>
      </c>
      <c r="GS212" s="160">
        <f>IF([Occurrence33]=0,0,SUM($GR$2:GR212))</f>
        <v>0</v>
      </c>
      <c r="GT212" s="160">
        <f>IF([chambre3]*1='CHAMBRES GARCONS RDC'!$A$11,1,0)</f>
        <v>0</v>
      </c>
      <c r="GU212" s="160">
        <f>IF([Occurrence34]=0,0,SUM($GT$2:GT212))</f>
        <v>0</v>
      </c>
      <c r="GV212" s="160">
        <f>IF([chambre3]*1='CHAMBRES GARCONS RDC'!$A$17,1,0)</f>
        <v>0</v>
      </c>
      <c r="GW212" s="160">
        <f>IF([Occurrence35]=0,0,SUM($GV$2:GV212))</f>
        <v>0</v>
      </c>
      <c r="GX212" s="160">
        <f>IF([chambre3]*1='CHAMBRES GARCONS RDC'!$A$23,1,0)</f>
        <v>0</v>
      </c>
      <c r="GY212" s="160">
        <f>IF([Occurrence36]=0,0,SUM($GX$2:GX212))</f>
        <v>0</v>
      </c>
      <c r="GZ212" s="160">
        <f>IF([chambre3]*1='CHAMBRES GARCONS RDC'!$A$29,1,0)</f>
        <v>0</v>
      </c>
      <c r="HA212" s="160">
        <f>IF([Occurrence37]=0,0,SUM($GZ$2:GZ212))</f>
        <v>0</v>
      </c>
      <c r="HB212" s="160">
        <f>IF([chambre3]*1='CHAMBRES GARCONS RDC'!$A$35,1,0)</f>
        <v>0</v>
      </c>
      <c r="HC212" s="160">
        <f>IF([Occurrence38]=0,0,SUM($HB$2:HB212))</f>
        <v>0</v>
      </c>
      <c r="HD212" s="160">
        <f>IF([chambre3]*1='CHAMBRES GARCONS RDC'!$A$41,1,0)</f>
        <v>0</v>
      </c>
      <c r="HE212" s="160">
        <f>IF([Occurrence39]=0,0,SUM($HD$2:HD212))</f>
        <v>0</v>
      </c>
      <c r="HF212" s="160">
        <f>IF([chambre3]*1='CHAMBRES GARCONS RDC'!$A$47,1,0)</f>
        <v>0</v>
      </c>
      <c r="HG212" s="160">
        <f>IF([Occurrence40]=0,0,SUM($HF$2:HF212))</f>
        <v>0</v>
      </c>
      <c r="HH212" s="160">
        <f>IF([chambre3]*1='CHAMBRES GARCONS RDC'!$A$53,1,0)</f>
        <v>0</v>
      </c>
      <c r="HI212" s="160">
        <f>IF([Occurrence41]=0,0,SUM($HH$2:HH212))</f>
        <v>0</v>
      </c>
      <c r="HJ212" s="160">
        <f>IF([chambre3]*1='CHAMBRES GARCONS RDC'!$A$59,1,0)</f>
        <v>0</v>
      </c>
      <c r="HK212" s="160">
        <f>IF([Occurrence42]=0,0,SUM($HJ$2:HJ212))</f>
        <v>0</v>
      </c>
      <c r="HL212" s="160">
        <f>IF([chambre3]*1='CHAMBRES GARCONS RDC'!$A$65,1,0)</f>
        <v>0</v>
      </c>
      <c r="HM212" s="160">
        <f>IF([Occurrence43]=0,0,SUM($HL$2:HL212))</f>
        <v>0</v>
      </c>
      <c r="HN212" s="160">
        <f>IF([chambre3]*1='CHAMBRES GARCONS RDC'!$A$71,1,0)</f>
        <v>0</v>
      </c>
      <c r="HO212" s="160">
        <f>IF([Occurrence44]=0,0,SUM($HN$2:HN212))</f>
        <v>0</v>
      </c>
      <c r="HP212" s="160">
        <f>IF([chambre3]*1='CHAMBRES GARCONS RDC'!$A$77,1,0)</f>
        <v>0</v>
      </c>
      <c r="HQ212" s="160">
        <f>IF([Occurrence45]=0,0,SUM($HP$2:HP212))</f>
        <v>0</v>
      </c>
      <c r="HR212" s="160">
        <f>IF([chambre3]*1='CHAMBRES GARCONS RDC'!$A$83,1,0)</f>
        <v>0</v>
      </c>
      <c r="HS212" s="160">
        <f>IF([Occurrence46]=0,0,SUM($HR$2:HR212))</f>
        <v>0</v>
      </c>
      <c r="HT212" s="160">
        <f>IF([chambre3]*1='CHAMBRES GARCONS RDC'!$A$89,1,0)</f>
        <v>0</v>
      </c>
      <c r="HU212" s="160">
        <f>IF([Occurrence47]=0,0,SUM($HT$2:HT212))</f>
        <v>0</v>
      </c>
      <c r="HV212" s="160">
        <f>IF([chambre3]*1='CHAMBRES GARCONS RDC'!$A$95,1,0)</f>
        <v>0</v>
      </c>
      <c r="HW212" s="160">
        <f>IF([Occurrence48]=0,0,SUM($HV$2:HV212))</f>
        <v>0</v>
      </c>
      <c r="HX212" s="160"/>
      <c r="HY212" s="160"/>
      <c r="HZ212" s="160">
        <f>IF([Classe]='Liste élève par classes'!$B$5,1,0)</f>
        <v>0</v>
      </c>
      <c r="IA212" s="160">
        <f>IF([Occurrence]=0,0,SUM($HZ$2:HZ212))</f>
        <v>0</v>
      </c>
      <c r="IB21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180</v>
      </c>
      <c r="IC212" s="208"/>
    </row>
    <row r="213" spans="1:237">
      <c r="A213" t="s">
        <v>595</v>
      </c>
      <c r="B213" t="s">
        <v>497</v>
      </c>
      <c r="C213" s="158">
        <v>36899</v>
      </c>
      <c r="D213" s="62">
        <f t="shared" ca="1" si="3"/>
        <v>16</v>
      </c>
      <c r="E213" t="s">
        <v>11</v>
      </c>
      <c r="F213" s="159" t="s">
        <v>50</v>
      </c>
      <c r="G213" t="s">
        <v>45</v>
      </c>
      <c r="H213" s="160"/>
      <c r="I213" s="62"/>
      <c r="J213" s="62"/>
      <c r="K213" s="62"/>
      <c r="L213" s="61"/>
      <c r="M213">
        <v>169</v>
      </c>
      <c r="N213" s="62"/>
      <c r="O213" s="62"/>
      <c r="P213" s="62"/>
      <c r="Q213" s="62"/>
      <c r="R213" s="62"/>
      <c r="S213" s="191"/>
      <c r="T213" s="62"/>
      <c r="U213" s="61">
        <v>141</v>
      </c>
      <c r="V213" s="62"/>
      <c r="W213" s="62"/>
      <c r="X213" s="62"/>
      <c r="Y213" s="62"/>
      <c r="Z213" s="62"/>
      <c r="AA213" s="62"/>
      <c r="AB213" s="62"/>
      <c r="AC213" s="62"/>
      <c r="AD213" s="62"/>
      <c r="AE213" s="62"/>
      <c r="AF213" s="163"/>
      <c r="AG213" s="163"/>
      <c r="AH213" s="163"/>
      <c r="AI213" s="163"/>
      <c r="AJ213" s="163"/>
      <c r="AK213" s="163"/>
      <c r="AL213" s="163"/>
      <c r="AM213" s="163"/>
      <c r="AN213" s="163"/>
      <c r="AO213" s="163"/>
      <c r="AP213" s="163"/>
      <c r="AQ213" s="163"/>
      <c r="AR213" s="163"/>
      <c r="AS213" s="163"/>
      <c r="AT213" s="163"/>
      <c r="AU213" s="163"/>
      <c r="AV213" s="163"/>
      <c r="AW213" s="163"/>
      <c r="AX213" s="163"/>
      <c r="AY213" s="163"/>
      <c r="AZ213" s="163"/>
      <c r="BA213" s="163"/>
      <c r="BB213" s="163"/>
      <c r="BC213" s="163" t="b">
        <v>0</v>
      </c>
      <c r="BD213" s="163" t="b">
        <v>1</v>
      </c>
      <c r="BE213" s="163" t="b">
        <v>1</v>
      </c>
      <c r="BF213" s="163" t="b">
        <v>0</v>
      </c>
      <c r="BG213" s="163" t="b">
        <v>1</v>
      </c>
      <c r="BH213" s="163" t="b">
        <v>0</v>
      </c>
      <c r="BI213" s="163"/>
      <c r="BJ213" s="163"/>
      <c r="BK213" s="163"/>
      <c r="BL213" s="163"/>
      <c r="BM213" s="163"/>
      <c r="BN213" s="163"/>
      <c r="BO213" s="163"/>
      <c r="BP213" s="163"/>
      <c r="BQ213" s="163" t="b">
        <v>0</v>
      </c>
      <c r="BR213" s="163"/>
      <c r="BS213" s="163"/>
      <c r="BT213" s="163"/>
      <c r="BU213" s="163"/>
      <c r="BV213" s="163"/>
      <c r="BW213" s="163"/>
      <c r="BX213" s="163"/>
      <c r="BY213" s="163"/>
      <c r="BZ213" s="163"/>
      <c r="CA213" s="163"/>
      <c r="CB213" s="163"/>
      <c r="CC213" s="163"/>
      <c r="CD213" s="163"/>
      <c r="CE213" s="163"/>
      <c r="CF213" s="163"/>
      <c r="CG213" s="163"/>
      <c r="CH213" s="163"/>
      <c r="CI213" s="163"/>
      <c r="CJ213" s="163"/>
      <c r="CK213" s="163"/>
      <c r="CL213" s="163"/>
      <c r="CM213" s="163"/>
      <c r="CN213" s="163"/>
      <c r="CO213" s="163"/>
      <c r="CP213" s="163"/>
      <c r="CQ213" s="163"/>
      <c r="CR213" s="163"/>
      <c r="CS213" s="163"/>
      <c r="CT213" s="163"/>
      <c r="CU213" s="163"/>
      <c r="CV213" s="163"/>
      <c r="CW213" s="163"/>
      <c r="CX213" s="163"/>
      <c r="CY213" s="163"/>
      <c r="CZ213" s="163"/>
      <c r="DA213" s="163"/>
      <c r="DB213" s="163"/>
      <c r="DC213" s="163"/>
      <c r="DD213" s="163"/>
      <c r="DE213" s="163"/>
      <c r="DF213" s="163"/>
      <c r="DG213" s="208"/>
      <c r="DH213" s="163"/>
      <c r="DI213" s="163"/>
      <c r="DJ213" s="163"/>
      <c r="DK213" s="163"/>
      <c r="DL213" s="163"/>
      <c r="DM213" s="163"/>
      <c r="DN213" s="163"/>
      <c r="DO213" s="163"/>
      <c r="DP213" s="163"/>
      <c r="DQ213" s="163"/>
      <c r="DR213" s="163"/>
      <c r="DS213" s="163"/>
      <c r="DT213" s="163"/>
      <c r="DU213" s="163"/>
      <c r="DV213" s="163"/>
      <c r="DW213" s="163"/>
      <c r="DX213" s="163"/>
      <c r="DY213" s="163"/>
      <c r="DZ213" s="163"/>
      <c r="EA213" s="163"/>
      <c r="EB213" s="163"/>
      <c r="EC213" s="163"/>
      <c r="ED213" s="163"/>
      <c r="EE213" s="163"/>
      <c r="EF213" s="163"/>
      <c r="EG213" s="163"/>
      <c r="EH213" s="160">
        <f>IF([Chambre]*1='CHAMBRES FILLES 2e ETAGE'!$A$5,1,0)</f>
        <v>0</v>
      </c>
      <c r="EI213" s="161">
        <f>IF([Occurrence2]=0,0,SUM($EH$2:EH213))</f>
        <v>0</v>
      </c>
      <c r="EJ213" s="160">
        <f>IF([Chambre]*1='CHAMBRES FILLES 2e ETAGE'!$A$11,1,0)</f>
        <v>0</v>
      </c>
      <c r="EK213" s="160">
        <f>IF([Occurrence3]=0,0,SUM($EJ$2:EJ213))</f>
        <v>0</v>
      </c>
      <c r="EL213" s="160">
        <f>IF([Chambre]*1='CHAMBRES FILLES 2e ETAGE'!$A$17,1,0)</f>
        <v>0</v>
      </c>
      <c r="EM213" s="160">
        <f>IF([Occurrence4]=0,0,SUM($EL$2:EL213))</f>
        <v>0</v>
      </c>
      <c r="EN213" s="160">
        <f>IF([Chambre]*1='CHAMBRES FILLES 2e ETAGE'!$A$23,1,0)</f>
        <v>0</v>
      </c>
      <c r="EO213" s="160">
        <f>IF([Occurrence5]=0,0,SUM($EN$2:EN213))</f>
        <v>0</v>
      </c>
      <c r="EP213" s="160">
        <f>IF([Chambre]*1='CHAMBRES FILLES 2e ETAGE'!$A$29,1,0)</f>
        <v>0</v>
      </c>
      <c r="EQ213" s="160">
        <f>IF([Occurrence6]=0,0,SUM($EP$2:EP213))</f>
        <v>0</v>
      </c>
      <c r="ER213" s="160">
        <f>IF([Chambre]*1='CHAMBRES FILLES 2e ETAGE'!$A$35,1,0)</f>
        <v>0</v>
      </c>
      <c r="ES213" s="160">
        <f>IF([Occurrence7]=0,0,SUM($ER$2:ER213))</f>
        <v>0</v>
      </c>
      <c r="ET213" s="160">
        <f>IF([Chambre]*1='CHAMBRES FILLES 2e ETAGE'!$A$41,1,0)</f>
        <v>0</v>
      </c>
      <c r="EU213" s="160">
        <f>IF([Occurrence8]=0,0,SUM($ET$2:ET213))</f>
        <v>0</v>
      </c>
      <c r="EV213" s="160">
        <f>IF([Chambre]*1='CHAMBRES FILLES 2e ETAGE'!$A$47,1,0)</f>
        <v>0</v>
      </c>
      <c r="EW213" s="160">
        <f>IF([Occurrence9]=0,0,SUM($EV$2:EV213))</f>
        <v>0</v>
      </c>
      <c r="EX213" s="160">
        <f>IF([Chambre]*1='CHAMBRES FILLES 2e ETAGE'!$A$53,1,0)</f>
        <v>0</v>
      </c>
      <c r="EY213" s="160">
        <f>IF([Occurrence10]=0,0,SUM($EX$2:EX213))</f>
        <v>0</v>
      </c>
      <c r="EZ213" s="160">
        <f>IF([Chambre]*1='CHAMBRES FILLES 2e ETAGE'!$A$59,1,0)</f>
        <v>0</v>
      </c>
      <c r="FA213" s="160">
        <f>IF([Occurrence11]=0,0,SUM($EZ$2:EZ213))</f>
        <v>0</v>
      </c>
      <c r="FB213" s="160">
        <f>IF([Chambre]*1='CHAMBRES FILLES 2e ETAGE'!$A$65,1,0)</f>
        <v>0</v>
      </c>
      <c r="FC213" s="160">
        <f>IF([Occurrence12]=0,0,SUM($FB$2:FB213))</f>
        <v>0</v>
      </c>
      <c r="FD213" s="160">
        <f>IF([Chambre]*1='CHAMBRES FILLES 2e ETAGE'!$A$71,1,0)</f>
        <v>0</v>
      </c>
      <c r="FE213" s="160">
        <f>IF([Occurrence13]=0,0,SUM($FD$2:FD213))</f>
        <v>0</v>
      </c>
      <c r="FF213" s="160">
        <f>IF([Chambre]*1='CHAMBRES FILLES 2e ETAGE'!$A$77,1,0)</f>
        <v>0</v>
      </c>
      <c r="FG213" s="160">
        <f>IF([Occurrence14]=0,0,SUM($FF$2:FF213))</f>
        <v>0</v>
      </c>
      <c r="FH213" s="160">
        <f>IF([Chambre]*1='CHAMBRES FILLES 2e ETAGE'!$A$83,1,0)</f>
        <v>0</v>
      </c>
      <c r="FI213" s="160">
        <f>IF([Occurrence15]=0,0,SUM($FH$2:FH213))</f>
        <v>0</v>
      </c>
      <c r="FJ213" s="160">
        <f>IF([Chambre]*1='CHAMBRES FILLES 2e ETAGE'!$A$89,1,0)</f>
        <v>0</v>
      </c>
      <c r="FK213" s="160">
        <f>IF([Occurrence16]=0,0,SUM($FJ$2:FJ213))</f>
        <v>0</v>
      </c>
      <c r="FL213" s="160">
        <f>IF([Chambre]*1='CHAMBRES FILLES 2e ETAGE'!$A$95,1,0)</f>
        <v>0</v>
      </c>
      <c r="FM213" s="160">
        <f>IF([Occurrence17]=0,0,SUM($FL$2:FL213))</f>
        <v>0</v>
      </c>
      <c r="FN213" s="160">
        <f>IF([Chambre2]*1='CHAMBRES FILLES 1e ETAGE'!$A$5,1,0)</f>
        <v>0</v>
      </c>
      <c r="FO213" s="160">
        <f>IF([Occurrence18]=0,0,SUM($FN$2:FN213))</f>
        <v>0</v>
      </c>
      <c r="FP213" s="160">
        <f>IF([Chambre2]*1='CHAMBRES FILLES 1e ETAGE'!$A$11,1,0)</f>
        <v>0</v>
      </c>
      <c r="FQ213" s="160">
        <f>IF([Occurrence19]=0,0,SUM($FP$2:FP213))</f>
        <v>0</v>
      </c>
      <c r="FR213" s="160">
        <f>IF([Chambre2]*1='CHAMBRES FILLES 1e ETAGE'!$A$17,1,0)</f>
        <v>0</v>
      </c>
      <c r="FS213" s="160">
        <f>IF([Occurrence20]=0,0,SUM($FR$2:FR213))</f>
        <v>0</v>
      </c>
      <c r="FT213" s="160">
        <f>IF([Chambre2]*1='CHAMBRES FILLES 1e ETAGE'!$A$23,1,0)</f>
        <v>1</v>
      </c>
      <c r="FU213" s="160">
        <f>IF([Occurrence21]=0,0,SUM($FT$2:FT213))</f>
        <v>4</v>
      </c>
      <c r="FV213" s="160">
        <f>IF([Chambre2]*1='CHAMBRES FILLES 1e ETAGE'!$A$29,1,0)</f>
        <v>0</v>
      </c>
      <c r="FW213" s="160">
        <f>IF([Occurrence22]=0,0,SUM($FV$2:FV213))</f>
        <v>0</v>
      </c>
      <c r="FX213" s="160">
        <f>IF([Chambre2]*1='CHAMBRES FILLES 1e ETAGE'!$A$35,1,0)</f>
        <v>0</v>
      </c>
      <c r="FY213" s="160">
        <f>IF([Occurrence23]=0,0,SUM($FX$2:FX213))</f>
        <v>0</v>
      </c>
      <c r="FZ213" s="160">
        <f>IF([Chambre2]*1='CHAMBRES FILLES 1e ETAGE'!$A$41,1,0)</f>
        <v>0</v>
      </c>
      <c r="GA213" s="160">
        <f>IF([Occurrence24]=0,0,SUM($FZ$2:FZ213))</f>
        <v>0</v>
      </c>
      <c r="GB213" s="160">
        <f>IF([Chambre2]*1='CHAMBRES FILLES 1e ETAGE'!$A$47,1,0)</f>
        <v>0</v>
      </c>
      <c r="GC213" s="160">
        <f>IF([Occurrence25]=0,0,SUM($GB$2:GB213))</f>
        <v>0</v>
      </c>
      <c r="GD213" s="160">
        <f>IF([Chambre2]*1='CHAMBRES FILLES 1e ETAGE'!$A$53,1,0)</f>
        <v>0</v>
      </c>
      <c r="GE213" s="160">
        <f>IF([Occurrence26]=0,0,SUM($GD$2:GD213))</f>
        <v>0</v>
      </c>
      <c r="GF213" s="160">
        <f>IF([chambre4]*1='CHAMBRES GARCONS 1e ETAGE'!$A$5,1,0)</f>
        <v>0</v>
      </c>
      <c r="GG213" s="160">
        <f>IF([Occurrence27]=0,0,SUM($GF$2:GF213))</f>
        <v>0</v>
      </c>
      <c r="GH213" s="160">
        <f>IF([chambre4]*1='CHAMBRES GARCONS 1e ETAGE'!$A$11,1,0)</f>
        <v>0</v>
      </c>
      <c r="GI213" s="160">
        <f>IF([Occurrence28]=0,0,SUM($GH$2:GH213))</f>
        <v>0</v>
      </c>
      <c r="GJ213" s="160">
        <f>IF([chambre4]*1='CHAMBRES GARCONS 1e ETAGE'!$A$17,1,0)</f>
        <v>0</v>
      </c>
      <c r="GK213" s="160">
        <f>IF([Occurrence29]=0,0,SUM($GJ$2:GJ213))</f>
        <v>0</v>
      </c>
      <c r="GL213" s="160">
        <f>IF([chambre4]*1='CHAMBRES GARCONS 1e ETAGE'!$A$23,1,0)</f>
        <v>0</v>
      </c>
      <c r="GM213" s="160">
        <f>IF([Occurrence30]=0,0,SUM($GL$2:GL213))</f>
        <v>0</v>
      </c>
      <c r="GN213" s="160">
        <f>IF([chambre4]*1='CHAMBRES GARCONS 1e ETAGE'!$A$29,1,0)</f>
        <v>0</v>
      </c>
      <c r="GO213" s="160">
        <f>IF([Occurrence31]=0,0,SUM($GN$2:GN213))</f>
        <v>0</v>
      </c>
      <c r="GP213" s="160">
        <f>IF([chambre4]*1='CHAMBRES GARCONS 1e ETAGE'!$A$35,1,0)</f>
        <v>0</v>
      </c>
      <c r="GQ213" s="160">
        <f>IF([Occurrence32]=0,0,SUM($GP$2:GP213))</f>
        <v>0</v>
      </c>
      <c r="GR213" s="160">
        <f>IF([chambre3]*1='CHAMBRES GARCONS RDC'!$A$5,1,0)</f>
        <v>0</v>
      </c>
      <c r="GS213" s="160">
        <f>IF([Occurrence33]=0,0,SUM($GR$2:GR213))</f>
        <v>0</v>
      </c>
      <c r="GT213" s="160">
        <f>IF([chambre3]*1='CHAMBRES GARCONS RDC'!$A$11,1,0)</f>
        <v>0</v>
      </c>
      <c r="GU213" s="160">
        <f>IF([Occurrence34]=0,0,SUM($GT$2:GT213))</f>
        <v>0</v>
      </c>
      <c r="GV213" s="160">
        <f>IF([chambre3]*1='CHAMBRES GARCONS RDC'!$A$17,1,0)</f>
        <v>0</v>
      </c>
      <c r="GW213" s="160">
        <f>IF([Occurrence35]=0,0,SUM($GV$2:GV213))</f>
        <v>0</v>
      </c>
      <c r="GX213" s="160">
        <f>IF([chambre3]*1='CHAMBRES GARCONS RDC'!$A$23,1,0)</f>
        <v>0</v>
      </c>
      <c r="GY213" s="160">
        <f>IF([Occurrence36]=0,0,SUM($GX$2:GX213))</f>
        <v>0</v>
      </c>
      <c r="GZ213" s="160">
        <f>IF([chambre3]*1='CHAMBRES GARCONS RDC'!$A$29,1,0)</f>
        <v>0</v>
      </c>
      <c r="HA213" s="160">
        <f>IF([Occurrence37]=0,0,SUM($GZ$2:GZ213))</f>
        <v>0</v>
      </c>
      <c r="HB213" s="160">
        <f>IF([chambre3]*1='CHAMBRES GARCONS RDC'!$A$35,1,0)</f>
        <v>0</v>
      </c>
      <c r="HC213" s="160">
        <f>IF([Occurrence38]=0,0,SUM($HB$2:HB213))</f>
        <v>0</v>
      </c>
      <c r="HD213" s="160">
        <f>IF([chambre3]*1='CHAMBRES GARCONS RDC'!$A$41,1,0)</f>
        <v>0</v>
      </c>
      <c r="HE213" s="160">
        <f>IF([Occurrence39]=0,0,SUM($HD$2:HD213))</f>
        <v>0</v>
      </c>
      <c r="HF213" s="160">
        <f>IF([chambre3]*1='CHAMBRES GARCONS RDC'!$A$47,1,0)</f>
        <v>0</v>
      </c>
      <c r="HG213" s="160">
        <f>IF([Occurrence40]=0,0,SUM($HF$2:HF213))</f>
        <v>0</v>
      </c>
      <c r="HH213" s="160">
        <f>IF([chambre3]*1='CHAMBRES GARCONS RDC'!$A$53,1,0)</f>
        <v>0</v>
      </c>
      <c r="HI213" s="160">
        <f>IF([Occurrence41]=0,0,SUM($HH$2:HH213))</f>
        <v>0</v>
      </c>
      <c r="HJ213" s="160">
        <f>IF([chambre3]*1='CHAMBRES GARCONS RDC'!$A$59,1,0)</f>
        <v>0</v>
      </c>
      <c r="HK213" s="160">
        <f>IF([Occurrence42]=0,0,SUM($HJ$2:HJ213))</f>
        <v>0</v>
      </c>
      <c r="HL213" s="160">
        <f>IF([chambre3]*1='CHAMBRES GARCONS RDC'!$A$65,1,0)</f>
        <v>0</v>
      </c>
      <c r="HM213" s="160">
        <f>IF([Occurrence43]=0,0,SUM($HL$2:HL213))</f>
        <v>0</v>
      </c>
      <c r="HN213" s="160">
        <f>IF([chambre3]*1='CHAMBRES GARCONS RDC'!$A$71,1,0)</f>
        <v>0</v>
      </c>
      <c r="HO213" s="160">
        <f>IF([Occurrence44]=0,0,SUM($HN$2:HN213))</f>
        <v>0</v>
      </c>
      <c r="HP213" s="160">
        <f>IF([chambre3]*1='CHAMBRES GARCONS RDC'!$A$77,1,0)</f>
        <v>0</v>
      </c>
      <c r="HQ213" s="160">
        <f>IF([Occurrence45]=0,0,SUM($HP$2:HP213))</f>
        <v>0</v>
      </c>
      <c r="HR213" s="160">
        <f>IF([chambre3]*1='CHAMBRES GARCONS RDC'!$A$83,1,0)</f>
        <v>0</v>
      </c>
      <c r="HS213" s="160">
        <f>IF([Occurrence46]=0,0,SUM($HR$2:HR213))</f>
        <v>0</v>
      </c>
      <c r="HT213" s="160">
        <f>IF([chambre3]*1='CHAMBRES GARCONS RDC'!$A$89,1,0)</f>
        <v>0</v>
      </c>
      <c r="HU213" s="160">
        <f>IF([Occurrence47]=0,0,SUM($HT$2:HT213))</f>
        <v>0</v>
      </c>
      <c r="HV213" s="160">
        <f>IF([chambre3]*1='CHAMBRES GARCONS RDC'!$A$95,1,0)</f>
        <v>0</v>
      </c>
      <c r="HW213" s="160">
        <f>IF([Occurrence48]=0,0,SUM($HV$2:HV213))</f>
        <v>0</v>
      </c>
      <c r="HX213" s="160"/>
      <c r="HY213" s="160"/>
      <c r="HZ213" s="160">
        <f>IF([Classe]='Liste élève par classes'!$B$5,1,0)</f>
        <v>0</v>
      </c>
      <c r="IA213" s="160">
        <f>IF([Occurrence]=0,0,SUM($HZ$2:HZ213))</f>
        <v>0</v>
      </c>
      <c r="IB21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141</v>
      </c>
      <c r="IC213" s="208"/>
    </row>
    <row r="214" spans="1:237">
      <c r="A214" t="s">
        <v>596</v>
      </c>
      <c r="B214" t="s">
        <v>516</v>
      </c>
      <c r="C214" s="158">
        <v>36323</v>
      </c>
      <c r="D214" s="62">
        <f t="shared" ca="1" si="3"/>
        <v>18</v>
      </c>
      <c r="E214" t="s">
        <v>0</v>
      </c>
      <c r="F214" s="159" t="s">
        <v>46</v>
      </c>
      <c r="G214" t="s">
        <v>40</v>
      </c>
      <c r="H214" s="160"/>
      <c r="I214" s="161"/>
      <c r="J214" s="161"/>
      <c r="K214" s="161"/>
      <c r="L214" s="160"/>
      <c r="M214">
        <v>217</v>
      </c>
      <c r="N214" s="161"/>
      <c r="O214" s="161"/>
      <c r="P214" s="161"/>
      <c r="Q214" s="161"/>
      <c r="R214" s="161"/>
      <c r="S214" s="161"/>
      <c r="T214" s="161"/>
      <c r="U214" s="160"/>
      <c r="V214" s="161"/>
      <c r="W214" s="161"/>
      <c r="X214" s="161"/>
      <c r="Y214" s="161"/>
      <c r="Z214" s="161"/>
      <c r="AA214" s="161"/>
      <c r="AB214" s="161"/>
      <c r="AC214" s="161"/>
      <c r="AD214" s="161"/>
      <c r="AE214" s="161"/>
      <c r="AF214" s="163"/>
      <c r="AG214" s="163"/>
      <c r="AH214" s="163"/>
      <c r="AI214" s="163"/>
      <c r="AJ214" s="163"/>
      <c r="AK214" s="163"/>
      <c r="AL214" s="163"/>
      <c r="AM214" s="163"/>
      <c r="AN214" s="163"/>
      <c r="AO214" s="163"/>
      <c r="AP214" s="163"/>
      <c r="AQ214" s="163"/>
      <c r="AR214" s="163"/>
      <c r="AS214" s="163"/>
      <c r="AT214" s="163"/>
      <c r="AU214" s="163"/>
      <c r="AV214" s="163"/>
      <c r="AW214" s="163"/>
      <c r="AX214" s="163"/>
      <c r="AY214" s="163"/>
      <c r="AZ214" s="163"/>
      <c r="BA214" s="163"/>
      <c r="BB214" s="163"/>
      <c r="BC214" s="163"/>
      <c r="BD214" s="163"/>
      <c r="BE214" s="163"/>
      <c r="BF214" s="163"/>
      <c r="BG214" s="163"/>
      <c r="BH214" s="163"/>
      <c r="BI214" s="163"/>
      <c r="BJ214" s="163"/>
      <c r="BK214" s="163"/>
      <c r="BL214" s="163"/>
      <c r="BM214" s="163"/>
      <c r="BN214" s="163"/>
      <c r="BO214" s="163"/>
      <c r="BP214" s="163"/>
      <c r="BQ214" s="163"/>
      <c r="BR214" s="163"/>
      <c r="BS214" s="163"/>
      <c r="BT214" s="163"/>
      <c r="BU214" s="163"/>
      <c r="BV214" s="163"/>
      <c r="BW214" s="163"/>
      <c r="BX214" s="163"/>
      <c r="BY214" s="163"/>
      <c r="BZ214" s="163"/>
      <c r="CA214" s="163"/>
      <c r="CB214" s="163"/>
      <c r="CC214" s="163"/>
      <c r="CD214" s="163"/>
      <c r="CE214" s="163"/>
      <c r="CF214" s="163"/>
      <c r="CG214" s="163"/>
      <c r="CH214" s="163"/>
      <c r="CI214" s="163"/>
      <c r="CJ214" s="163"/>
      <c r="CK214" s="163"/>
      <c r="CL214" s="163"/>
      <c r="CM214" s="163"/>
      <c r="CN214" s="163"/>
      <c r="CO214" s="163"/>
      <c r="CP214" s="163"/>
      <c r="CQ214" s="163"/>
      <c r="CR214" s="163"/>
      <c r="CS214" s="163"/>
      <c r="CT214" s="163"/>
      <c r="CU214" s="163"/>
      <c r="CV214" s="163"/>
      <c r="CW214" s="163"/>
      <c r="CX214" s="163"/>
      <c r="CY214" s="163"/>
      <c r="CZ214" s="163"/>
      <c r="DA214" s="163"/>
      <c r="DB214" s="163"/>
      <c r="DC214" s="163"/>
      <c r="DD214" s="163"/>
      <c r="DE214" s="163"/>
      <c r="DF214" s="163"/>
      <c r="DG214" s="163"/>
      <c r="DH214" s="163"/>
      <c r="DI214" s="163"/>
      <c r="DJ214" s="163"/>
      <c r="DK214" s="163"/>
      <c r="DL214" s="163"/>
      <c r="DM214" s="163"/>
      <c r="DN214" s="163"/>
      <c r="DO214" s="163"/>
      <c r="DP214" s="163"/>
      <c r="DQ214" s="163"/>
      <c r="DR214" s="163"/>
      <c r="DS214" s="163"/>
      <c r="DT214" s="163"/>
      <c r="DU214" s="163"/>
      <c r="DV214" s="163"/>
      <c r="DW214" s="163"/>
      <c r="DX214" s="163"/>
      <c r="DY214" s="163"/>
      <c r="DZ214" s="163"/>
      <c r="EA214" s="163"/>
      <c r="EB214" s="163"/>
      <c r="EC214" s="163"/>
      <c r="ED214" s="163"/>
      <c r="EE214" s="163"/>
      <c r="EF214" s="163"/>
      <c r="EG214" s="163"/>
      <c r="EH214" s="160">
        <f>IF([Chambre]*1='CHAMBRES FILLES 2e ETAGE'!$A$5,1,0)</f>
        <v>0</v>
      </c>
      <c r="EI214" s="161">
        <f>IF([Occurrence2]=0,0,SUM($EH$2:EH214))</f>
        <v>0</v>
      </c>
      <c r="EJ214" s="160">
        <f>IF([Chambre]*1='CHAMBRES FILLES 2e ETAGE'!$A$11,1,0)</f>
        <v>0</v>
      </c>
      <c r="EK214" s="160">
        <f>IF([Occurrence3]=0,0,SUM($EJ$2:EJ214))</f>
        <v>0</v>
      </c>
      <c r="EL214" s="160">
        <f>IF([Chambre]*1='CHAMBRES FILLES 2e ETAGE'!$A$17,1,0)</f>
        <v>0</v>
      </c>
      <c r="EM214" s="160">
        <f>IF([Occurrence4]=0,0,SUM($EL$2:EL214))</f>
        <v>0</v>
      </c>
      <c r="EN214" s="160">
        <f>IF([Chambre]*1='CHAMBRES FILLES 2e ETAGE'!$A$23,1,0)</f>
        <v>0</v>
      </c>
      <c r="EO214" s="160">
        <f>IF([Occurrence5]=0,0,SUM($EN$2:EN214))</f>
        <v>0</v>
      </c>
      <c r="EP214" s="160">
        <f>IF([Chambre]*1='CHAMBRES FILLES 2e ETAGE'!$A$29,1,0)</f>
        <v>0</v>
      </c>
      <c r="EQ214" s="160">
        <f>IF([Occurrence6]=0,0,SUM($EP$2:EP214))</f>
        <v>0</v>
      </c>
      <c r="ER214" s="160">
        <f>IF([Chambre]*1='CHAMBRES FILLES 2e ETAGE'!$A$35,1,0)</f>
        <v>0</v>
      </c>
      <c r="ES214" s="160">
        <f>IF([Occurrence7]=0,0,SUM($ER$2:ER214))</f>
        <v>0</v>
      </c>
      <c r="ET214" s="160">
        <f>IF([Chambre]*1='CHAMBRES FILLES 2e ETAGE'!$A$41,1,0)</f>
        <v>0</v>
      </c>
      <c r="EU214" s="160">
        <f>IF([Occurrence8]=0,0,SUM($ET$2:ET214))</f>
        <v>0</v>
      </c>
      <c r="EV214" s="160">
        <f>IF([Chambre]*1='CHAMBRES FILLES 2e ETAGE'!$A$47,1,0)</f>
        <v>0</v>
      </c>
      <c r="EW214" s="160">
        <f>IF([Occurrence9]=0,0,SUM($EV$2:EV214))</f>
        <v>0</v>
      </c>
      <c r="EX214" s="160">
        <f>IF([Chambre]*1='CHAMBRES FILLES 2e ETAGE'!$A$53,1,0)</f>
        <v>0</v>
      </c>
      <c r="EY214" s="160">
        <f>IF([Occurrence10]=0,0,SUM($EX$2:EX214))</f>
        <v>0</v>
      </c>
      <c r="EZ214" s="160">
        <f>IF([Chambre]*1='CHAMBRES FILLES 2e ETAGE'!$A$59,1,0)</f>
        <v>0</v>
      </c>
      <c r="FA214" s="160">
        <f>IF([Occurrence11]=0,0,SUM($EZ$2:EZ214))</f>
        <v>0</v>
      </c>
      <c r="FB214" s="160">
        <f>IF([Chambre]*1='CHAMBRES FILLES 2e ETAGE'!$A$65,1,0)</f>
        <v>0</v>
      </c>
      <c r="FC214" s="160">
        <f>IF([Occurrence12]=0,0,SUM($FB$2:FB214))</f>
        <v>0</v>
      </c>
      <c r="FD214" s="160">
        <f>IF([Chambre]*1='CHAMBRES FILLES 2e ETAGE'!$A$71,1,0)</f>
        <v>0</v>
      </c>
      <c r="FE214" s="160">
        <f>IF([Occurrence13]=0,0,SUM($FD$2:FD214))</f>
        <v>0</v>
      </c>
      <c r="FF214" s="160">
        <f>IF([Chambre]*1='CHAMBRES FILLES 2e ETAGE'!$A$77,1,0)</f>
        <v>0</v>
      </c>
      <c r="FG214" s="160">
        <f>IF([Occurrence14]=0,0,SUM($FF$2:FF214))</f>
        <v>0</v>
      </c>
      <c r="FH214" s="160">
        <f>IF([Chambre]*1='CHAMBRES FILLES 2e ETAGE'!$A$83,1,0)</f>
        <v>0</v>
      </c>
      <c r="FI214" s="160">
        <f>IF([Occurrence15]=0,0,SUM($FH$2:FH214))</f>
        <v>0</v>
      </c>
      <c r="FJ214" s="160">
        <f>IF([Chambre]*1='CHAMBRES FILLES 2e ETAGE'!$A$89,1,0)</f>
        <v>0</v>
      </c>
      <c r="FK214" s="160">
        <f>IF([Occurrence16]=0,0,SUM($FJ$2:FJ214))</f>
        <v>0</v>
      </c>
      <c r="FL214" s="160">
        <f>IF([Chambre]*1='CHAMBRES FILLES 2e ETAGE'!$A$95,1,0)</f>
        <v>0</v>
      </c>
      <c r="FM214" s="160">
        <f>IF([Occurrence17]=0,0,SUM($FL$2:FL214))</f>
        <v>0</v>
      </c>
      <c r="FN214" s="160">
        <f>IF([Chambre2]*1='CHAMBRES FILLES 1e ETAGE'!$A$5,1,0)</f>
        <v>0</v>
      </c>
      <c r="FO214" s="160">
        <f>IF([Occurrence18]=0,0,SUM($FN$2:FN214))</f>
        <v>0</v>
      </c>
      <c r="FP214" s="160">
        <f>IF([Chambre2]*1='CHAMBRES FILLES 1e ETAGE'!$A$11,1,0)</f>
        <v>0</v>
      </c>
      <c r="FQ214" s="160">
        <f>IF([Occurrence19]=0,0,SUM($FP$2:FP214))</f>
        <v>0</v>
      </c>
      <c r="FR214" s="160">
        <f>IF([Chambre2]*1='CHAMBRES FILLES 1e ETAGE'!$A$17,1,0)</f>
        <v>0</v>
      </c>
      <c r="FS214" s="160">
        <f>IF([Occurrence20]=0,0,SUM($FR$2:FR214))</f>
        <v>0</v>
      </c>
      <c r="FT214" s="160">
        <f>IF([Chambre2]*1='CHAMBRES FILLES 1e ETAGE'!$A$23,1,0)</f>
        <v>0</v>
      </c>
      <c r="FU214" s="160">
        <f>IF([Occurrence21]=0,0,SUM($FT$2:FT214))</f>
        <v>0</v>
      </c>
      <c r="FV214" s="160">
        <f>IF([Chambre2]*1='CHAMBRES FILLES 1e ETAGE'!$A$29,1,0)</f>
        <v>0</v>
      </c>
      <c r="FW214" s="160">
        <f>IF([Occurrence22]=0,0,SUM($FV$2:FV214))</f>
        <v>0</v>
      </c>
      <c r="FX214" s="160">
        <f>IF([Chambre2]*1='CHAMBRES FILLES 1e ETAGE'!$A$35,1,0)</f>
        <v>0</v>
      </c>
      <c r="FY214" s="160">
        <f>IF([Occurrence23]=0,0,SUM($FX$2:FX214))</f>
        <v>0</v>
      </c>
      <c r="FZ214" s="160">
        <f>IF([Chambre2]*1='CHAMBRES FILLES 1e ETAGE'!$A$41,1,0)</f>
        <v>0</v>
      </c>
      <c r="GA214" s="160">
        <f>IF([Occurrence24]=0,0,SUM($FZ$2:FZ214))</f>
        <v>0</v>
      </c>
      <c r="GB214" s="160">
        <f>IF([Chambre2]*1='CHAMBRES FILLES 1e ETAGE'!$A$47,1,0)</f>
        <v>0</v>
      </c>
      <c r="GC214" s="160">
        <f>IF([Occurrence25]=0,0,SUM($GB$2:GB214))</f>
        <v>0</v>
      </c>
      <c r="GD214" s="160">
        <f>IF([Chambre2]*1='CHAMBRES FILLES 1e ETAGE'!$A$53,1,0)</f>
        <v>0</v>
      </c>
      <c r="GE214" s="160">
        <f>IF([Occurrence26]=0,0,SUM($GD$2:GD214))</f>
        <v>0</v>
      </c>
      <c r="GF214" s="160">
        <f>IF([chambre4]*1='CHAMBRES GARCONS 1e ETAGE'!$A$5,1,0)</f>
        <v>0</v>
      </c>
      <c r="GG214" s="160">
        <f>IF([Occurrence27]=0,0,SUM($GF$2:GF214))</f>
        <v>0</v>
      </c>
      <c r="GH214" s="160">
        <f>IF([chambre4]*1='CHAMBRES GARCONS 1e ETAGE'!$A$11,1,0)</f>
        <v>0</v>
      </c>
      <c r="GI214" s="160">
        <f>IF([Occurrence28]=0,0,SUM($GH$2:GH214))</f>
        <v>0</v>
      </c>
      <c r="GJ214" s="160">
        <f>IF([chambre4]*1='CHAMBRES GARCONS 1e ETAGE'!$A$17,1,0)</f>
        <v>0</v>
      </c>
      <c r="GK214" s="160">
        <f>IF([Occurrence29]=0,0,SUM($GJ$2:GJ214))</f>
        <v>0</v>
      </c>
      <c r="GL214" s="160">
        <f>IF([chambre4]*1='CHAMBRES GARCONS 1e ETAGE'!$A$23,1,0)</f>
        <v>0</v>
      </c>
      <c r="GM214" s="160">
        <f>IF([Occurrence30]=0,0,SUM($GL$2:GL214))</f>
        <v>0</v>
      </c>
      <c r="GN214" s="160">
        <f>IF([chambre4]*1='CHAMBRES GARCONS 1e ETAGE'!$A$29,1,0)</f>
        <v>0</v>
      </c>
      <c r="GO214" s="160">
        <f>IF([Occurrence31]=0,0,SUM($GN$2:GN214))</f>
        <v>0</v>
      </c>
      <c r="GP214" s="160">
        <f>IF([chambre4]*1='CHAMBRES GARCONS 1e ETAGE'!$A$35,1,0)</f>
        <v>0</v>
      </c>
      <c r="GQ214" s="160">
        <f>IF([Occurrence32]=0,0,SUM($GP$2:GP214))</f>
        <v>0</v>
      </c>
      <c r="GR214" s="160">
        <f>IF([chambre3]*1='CHAMBRES GARCONS RDC'!$A$5,1,0)</f>
        <v>0</v>
      </c>
      <c r="GS214" s="160">
        <f>IF([Occurrence33]=0,0,SUM($GR$2:GR214))</f>
        <v>0</v>
      </c>
      <c r="GT214" s="160">
        <f>IF([chambre3]*1='CHAMBRES GARCONS RDC'!$A$11,1,0)</f>
        <v>0</v>
      </c>
      <c r="GU214" s="160">
        <f>IF([Occurrence34]=0,0,SUM($GT$2:GT214))</f>
        <v>0</v>
      </c>
      <c r="GV214" s="160">
        <f>IF([chambre3]*1='CHAMBRES GARCONS RDC'!$A$17,1,0)</f>
        <v>0</v>
      </c>
      <c r="GW214" s="160">
        <f>IF([Occurrence35]=0,0,SUM($GV$2:GV214))</f>
        <v>0</v>
      </c>
      <c r="GX214" s="160">
        <f>IF([chambre3]*1='CHAMBRES GARCONS RDC'!$A$23,1,0)</f>
        <v>0</v>
      </c>
      <c r="GY214" s="160">
        <f>IF([Occurrence36]=0,0,SUM($GX$2:GX214))</f>
        <v>0</v>
      </c>
      <c r="GZ214" s="160">
        <f>IF([chambre3]*1='CHAMBRES GARCONS RDC'!$A$29,1,0)</f>
        <v>0</v>
      </c>
      <c r="HA214" s="160">
        <f>IF([Occurrence37]=0,0,SUM($GZ$2:GZ214))</f>
        <v>0</v>
      </c>
      <c r="HB214" s="160">
        <f>IF([chambre3]*1='CHAMBRES GARCONS RDC'!$A$35,1,0)</f>
        <v>0</v>
      </c>
      <c r="HC214" s="160">
        <f>IF([Occurrence38]=0,0,SUM($HB$2:HB214))</f>
        <v>0</v>
      </c>
      <c r="HD214" s="160">
        <f>IF([chambre3]*1='CHAMBRES GARCONS RDC'!$A$41,1,0)</f>
        <v>0</v>
      </c>
      <c r="HE214" s="160">
        <f>IF([Occurrence39]=0,0,SUM($HD$2:HD214))</f>
        <v>0</v>
      </c>
      <c r="HF214" s="160">
        <f>IF([chambre3]*1='CHAMBRES GARCONS RDC'!$A$47,1,0)</f>
        <v>0</v>
      </c>
      <c r="HG214" s="160">
        <f>IF([Occurrence40]=0,0,SUM($HF$2:HF214))</f>
        <v>0</v>
      </c>
      <c r="HH214" s="160">
        <f>IF([chambre3]*1='CHAMBRES GARCONS RDC'!$A$53,1,0)</f>
        <v>0</v>
      </c>
      <c r="HI214" s="160">
        <f>IF([Occurrence41]=0,0,SUM($HH$2:HH214))</f>
        <v>0</v>
      </c>
      <c r="HJ214" s="160">
        <f>IF([chambre3]*1='CHAMBRES GARCONS RDC'!$A$59,1,0)</f>
        <v>0</v>
      </c>
      <c r="HK214" s="160">
        <f>IF([Occurrence42]=0,0,SUM($HJ$2:HJ214))</f>
        <v>0</v>
      </c>
      <c r="HL214" s="160">
        <f>IF([chambre3]*1='CHAMBRES GARCONS RDC'!$A$65,1,0)</f>
        <v>0</v>
      </c>
      <c r="HM214" s="160">
        <f>IF([Occurrence43]=0,0,SUM($HL$2:HL214))</f>
        <v>0</v>
      </c>
      <c r="HN214" s="160">
        <f>IF([chambre3]*1='CHAMBRES GARCONS RDC'!$A$71,1,0)</f>
        <v>0</v>
      </c>
      <c r="HO214" s="160">
        <f>IF([Occurrence44]=0,0,SUM($HN$2:HN214))</f>
        <v>0</v>
      </c>
      <c r="HP214" s="160">
        <f>IF([chambre3]*1='CHAMBRES GARCONS RDC'!$A$77,1,0)</f>
        <v>0</v>
      </c>
      <c r="HQ214" s="160">
        <f>IF([Occurrence45]=0,0,SUM($HP$2:HP214))</f>
        <v>0</v>
      </c>
      <c r="HR214" s="160">
        <f>IF([chambre3]*1='CHAMBRES GARCONS RDC'!$A$83,1,0)</f>
        <v>0</v>
      </c>
      <c r="HS214" s="160">
        <f>IF([Occurrence46]=0,0,SUM($HR$2:HR214))</f>
        <v>0</v>
      </c>
      <c r="HT214" s="160">
        <f>IF([chambre3]*1='CHAMBRES GARCONS RDC'!$A$89,1,0)</f>
        <v>0</v>
      </c>
      <c r="HU214" s="160">
        <f>IF([Occurrence47]=0,0,SUM($HT$2:HT214))</f>
        <v>0</v>
      </c>
      <c r="HV214" s="160">
        <f>IF([chambre3]*1='CHAMBRES GARCONS RDC'!$A$95,1,0)</f>
        <v>0</v>
      </c>
      <c r="HW214" s="160">
        <f>IF([Occurrence48]=0,0,SUM($HV$2:HV214))</f>
        <v>0</v>
      </c>
      <c r="HX214" s="160"/>
      <c r="HY214" s="160"/>
      <c r="HZ214" s="160">
        <f>IF([Classe]='Liste élève par classes'!$B$5,1,0)</f>
        <v>0</v>
      </c>
      <c r="IA214" s="160">
        <f>IF([Occurrence]=0,0,SUM($HZ$2:HZ214))</f>
        <v>0</v>
      </c>
      <c r="IB21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14" s="208"/>
    </row>
    <row r="215" spans="1:237" ht="15.75">
      <c r="A215" t="s">
        <v>597</v>
      </c>
      <c r="B215" t="s">
        <v>598</v>
      </c>
      <c r="C215" s="158">
        <v>36720</v>
      </c>
      <c r="D215" s="62">
        <f t="shared" ca="1" si="3"/>
        <v>17</v>
      </c>
      <c r="E215" t="s">
        <v>14</v>
      </c>
      <c r="F215" s="159" t="s">
        <v>50</v>
      </c>
      <c r="G215" t="s">
        <v>45</v>
      </c>
      <c r="H215" s="160"/>
      <c r="I215" s="62"/>
      <c r="J215" s="167"/>
      <c r="K215" s="168"/>
      <c r="L215" s="61">
        <v>180</v>
      </c>
      <c r="M215">
        <v>184</v>
      </c>
      <c r="N215" s="62"/>
      <c r="O215" s="62"/>
      <c r="P215" s="62"/>
      <c r="Q215" s="62"/>
      <c r="R215" s="62"/>
      <c r="S215" s="191"/>
      <c r="T215" s="62"/>
      <c r="U215" s="61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163"/>
      <c r="AG215" s="163"/>
      <c r="AH215" s="163"/>
      <c r="AI215" s="163"/>
      <c r="AJ215" s="163"/>
      <c r="AK215" s="163"/>
      <c r="AL215" s="163"/>
      <c r="AM215" s="163"/>
      <c r="AN215" s="163"/>
      <c r="AO215" s="163"/>
      <c r="AP215" s="163"/>
      <c r="AQ215" s="163"/>
      <c r="AR215" s="163"/>
      <c r="AS215" s="163"/>
      <c r="AT215" s="163"/>
      <c r="AU215" s="163"/>
      <c r="AV215" s="163"/>
      <c r="AW215" s="163"/>
      <c r="AX215" s="163"/>
      <c r="AY215" s="163"/>
      <c r="AZ215" s="163"/>
      <c r="BA215" s="163"/>
      <c r="BB215" s="163"/>
      <c r="BC215" s="163" t="b">
        <v>0</v>
      </c>
      <c r="BD215" s="163" t="b">
        <v>1</v>
      </c>
      <c r="BE215" s="163" t="b">
        <v>1</v>
      </c>
      <c r="BF215" s="163" t="b">
        <v>0</v>
      </c>
      <c r="BG215" s="164" t="b">
        <v>0</v>
      </c>
      <c r="BH215" s="163" t="b">
        <v>1</v>
      </c>
      <c r="BI215" s="163"/>
      <c r="BJ215" s="163"/>
      <c r="BK215" s="163"/>
      <c r="BL215" s="163"/>
      <c r="BM215" s="163"/>
      <c r="BN215" s="163"/>
      <c r="BO215" s="163"/>
      <c r="BP215" s="163"/>
      <c r="BQ215" s="163" t="b">
        <v>1</v>
      </c>
      <c r="BR215" s="163"/>
      <c r="BS215" s="163"/>
      <c r="BT215" s="163"/>
      <c r="BU215" s="163"/>
      <c r="BV215" s="163"/>
      <c r="BW215" s="163"/>
      <c r="BX215" s="163"/>
      <c r="BY215" s="163"/>
      <c r="BZ215" s="163"/>
      <c r="CA215" s="163"/>
      <c r="CB215" s="163"/>
      <c r="CC215" s="163"/>
      <c r="CD215" s="163"/>
      <c r="CE215" s="163"/>
      <c r="CF215" s="163"/>
      <c r="CG215" s="163"/>
      <c r="CH215" s="163"/>
      <c r="CI215" s="163"/>
      <c r="CJ215" s="163"/>
      <c r="CK215" s="163"/>
      <c r="CL215" s="163"/>
      <c r="CM215" s="163"/>
      <c r="CN215" s="163"/>
      <c r="CO215" s="163"/>
      <c r="CP215" s="163"/>
      <c r="CQ215" s="163"/>
      <c r="CR215" s="163"/>
      <c r="CS215" s="163"/>
      <c r="CT215" s="163"/>
      <c r="CU215" s="163"/>
      <c r="CV215" s="163"/>
      <c r="CW215" s="163"/>
      <c r="CX215" s="163"/>
      <c r="CY215" s="163"/>
      <c r="CZ215" s="163"/>
      <c r="DA215" s="163"/>
      <c r="DB215" s="163"/>
      <c r="DC215" s="163"/>
      <c r="DD215" s="163"/>
      <c r="DE215" s="163"/>
      <c r="DF215" s="163"/>
      <c r="DG215" s="208"/>
      <c r="DH215" s="163"/>
      <c r="DI215" s="163"/>
      <c r="DJ215" s="163"/>
      <c r="DK215" s="163"/>
      <c r="DL215" s="163"/>
      <c r="DM215" s="163"/>
      <c r="DN215" s="163"/>
      <c r="DO215" s="163"/>
      <c r="DP215" s="163"/>
      <c r="DQ215" s="163"/>
      <c r="DR215" s="163"/>
      <c r="DS215" s="163"/>
      <c r="DT215" s="163"/>
      <c r="DU215" s="163"/>
      <c r="DV215" s="163"/>
      <c r="DW215" s="163"/>
      <c r="DX215" s="163"/>
      <c r="DY215" s="163"/>
      <c r="DZ215" s="163"/>
      <c r="EA215" s="163"/>
      <c r="EB215" s="163"/>
      <c r="EC215" s="163"/>
      <c r="ED215" s="163"/>
      <c r="EE215" s="163"/>
      <c r="EF215" s="163"/>
      <c r="EG215" s="163"/>
      <c r="EH215" s="160">
        <f>IF([Chambre]*1='CHAMBRES FILLES 2e ETAGE'!$A$5,1,0)</f>
        <v>0</v>
      </c>
      <c r="EI215" s="161">
        <f>IF([Occurrence2]=0,0,SUM($EH$2:EH215))</f>
        <v>0</v>
      </c>
      <c r="EJ215" s="160">
        <f>IF([Chambre]*1='CHAMBRES FILLES 2e ETAGE'!$A$11,1,0)</f>
        <v>0</v>
      </c>
      <c r="EK215" s="160">
        <f>IF([Occurrence3]=0,0,SUM($EJ$2:EJ215))</f>
        <v>0</v>
      </c>
      <c r="EL215" s="160">
        <f>IF([Chambre]*1='CHAMBRES FILLES 2e ETAGE'!$A$17,1,0)</f>
        <v>0</v>
      </c>
      <c r="EM215" s="160">
        <f>IF([Occurrence4]=0,0,SUM($EL$2:EL215))</f>
        <v>0</v>
      </c>
      <c r="EN215" s="160">
        <f>IF([Chambre]*1='CHAMBRES FILLES 2e ETAGE'!$A$23,1,0)</f>
        <v>0</v>
      </c>
      <c r="EO215" s="160">
        <f>IF([Occurrence5]=0,0,SUM($EN$2:EN215))</f>
        <v>0</v>
      </c>
      <c r="EP215" s="160">
        <f>IF([Chambre]*1='CHAMBRES FILLES 2e ETAGE'!$A$29,1,0)</f>
        <v>0</v>
      </c>
      <c r="EQ215" s="160">
        <f>IF([Occurrence6]=0,0,SUM($EP$2:EP215))</f>
        <v>0</v>
      </c>
      <c r="ER215" s="160">
        <f>IF([Chambre]*1='CHAMBRES FILLES 2e ETAGE'!$A$35,1,0)</f>
        <v>0</v>
      </c>
      <c r="ES215" s="160">
        <f>IF([Occurrence7]=0,0,SUM($ER$2:ER215))</f>
        <v>0</v>
      </c>
      <c r="ET215" s="160">
        <f>IF([Chambre]*1='CHAMBRES FILLES 2e ETAGE'!$A$41,1,0)</f>
        <v>0</v>
      </c>
      <c r="EU215" s="160">
        <f>IF([Occurrence8]=0,0,SUM($ET$2:ET215))</f>
        <v>0</v>
      </c>
      <c r="EV215" s="160">
        <f>IF([Chambre]*1='CHAMBRES FILLES 2e ETAGE'!$A$47,1,0)</f>
        <v>0</v>
      </c>
      <c r="EW215" s="160">
        <f>IF([Occurrence9]=0,0,SUM($EV$2:EV215))</f>
        <v>0</v>
      </c>
      <c r="EX215" s="160">
        <f>IF([Chambre]*1='CHAMBRES FILLES 2e ETAGE'!$A$53,1,0)</f>
        <v>0</v>
      </c>
      <c r="EY215" s="160">
        <f>IF([Occurrence10]=0,0,SUM($EX$2:EX215))</f>
        <v>0</v>
      </c>
      <c r="EZ215" s="160">
        <f>IF([Chambre]*1='CHAMBRES FILLES 2e ETAGE'!$A$59,1,0)</f>
        <v>0</v>
      </c>
      <c r="FA215" s="160">
        <f>IF([Occurrence11]=0,0,SUM($EZ$2:EZ215))</f>
        <v>0</v>
      </c>
      <c r="FB215" s="160">
        <f>IF([Chambre]*1='CHAMBRES FILLES 2e ETAGE'!$A$65,1,0)</f>
        <v>0</v>
      </c>
      <c r="FC215" s="160">
        <f>IF([Occurrence12]=0,0,SUM($FB$2:FB215))</f>
        <v>0</v>
      </c>
      <c r="FD215" s="160">
        <f>IF([Chambre]*1='CHAMBRES FILLES 2e ETAGE'!$A$71,1,0)</f>
        <v>0</v>
      </c>
      <c r="FE215" s="160">
        <f>IF([Occurrence13]=0,0,SUM($FD$2:FD215))</f>
        <v>0</v>
      </c>
      <c r="FF215" s="160">
        <f>IF([Chambre]*1='CHAMBRES FILLES 2e ETAGE'!$A$77,1,0)</f>
        <v>0</v>
      </c>
      <c r="FG215" s="160">
        <f>IF([Occurrence14]=0,0,SUM($FF$2:FF215))</f>
        <v>0</v>
      </c>
      <c r="FH215" s="160">
        <f>IF([Chambre]*1='CHAMBRES FILLES 2e ETAGE'!$A$83,1,0)</f>
        <v>0</v>
      </c>
      <c r="FI215" s="160">
        <f>IF([Occurrence15]=0,0,SUM($FH$2:FH215))</f>
        <v>0</v>
      </c>
      <c r="FJ215" s="160">
        <f>IF([Chambre]*1='CHAMBRES FILLES 2e ETAGE'!$A$89,1,0)</f>
        <v>1</v>
      </c>
      <c r="FK215" s="160">
        <f>IF([Occurrence16]=0,0,SUM($FJ$2:FJ215))</f>
        <v>2</v>
      </c>
      <c r="FL215" s="160">
        <f>IF([Chambre]*1='CHAMBRES FILLES 2e ETAGE'!$A$95,1,0)</f>
        <v>0</v>
      </c>
      <c r="FM215" s="160">
        <f>IF([Occurrence17]=0,0,SUM($FL$2:FL215))</f>
        <v>0</v>
      </c>
      <c r="FN215" s="160">
        <f>IF([Chambre2]*1='CHAMBRES FILLES 1e ETAGE'!$A$5,1,0)</f>
        <v>0</v>
      </c>
      <c r="FO215" s="160">
        <f>IF([Occurrence18]=0,0,SUM($FN$2:FN215))</f>
        <v>0</v>
      </c>
      <c r="FP215" s="160">
        <f>IF([Chambre2]*1='CHAMBRES FILLES 1e ETAGE'!$A$11,1,0)</f>
        <v>0</v>
      </c>
      <c r="FQ215" s="160">
        <f>IF([Occurrence19]=0,0,SUM($FP$2:FP215))</f>
        <v>0</v>
      </c>
      <c r="FR215" s="160">
        <f>IF([Chambre2]*1='CHAMBRES FILLES 1e ETAGE'!$A$17,1,0)</f>
        <v>0</v>
      </c>
      <c r="FS215" s="160">
        <f>IF([Occurrence20]=0,0,SUM($FR$2:FR215))</f>
        <v>0</v>
      </c>
      <c r="FT215" s="160">
        <f>IF([Chambre2]*1='CHAMBRES FILLES 1e ETAGE'!$A$23,1,0)</f>
        <v>0</v>
      </c>
      <c r="FU215" s="160">
        <f>IF([Occurrence21]=0,0,SUM($FT$2:FT215))</f>
        <v>0</v>
      </c>
      <c r="FV215" s="160">
        <f>IF([Chambre2]*1='CHAMBRES FILLES 1e ETAGE'!$A$29,1,0)</f>
        <v>0</v>
      </c>
      <c r="FW215" s="160">
        <f>IF([Occurrence22]=0,0,SUM($FV$2:FV215))</f>
        <v>0</v>
      </c>
      <c r="FX215" s="160">
        <f>IF([Chambre2]*1='CHAMBRES FILLES 1e ETAGE'!$A$35,1,0)</f>
        <v>0</v>
      </c>
      <c r="FY215" s="160">
        <f>IF([Occurrence23]=0,0,SUM($FX$2:FX215))</f>
        <v>0</v>
      </c>
      <c r="FZ215" s="160">
        <f>IF([Chambre2]*1='CHAMBRES FILLES 1e ETAGE'!$A$41,1,0)</f>
        <v>0</v>
      </c>
      <c r="GA215" s="160">
        <f>IF([Occurrence24]=0,0,SUM($FZ$2:FZ215))</f>
        <v>0</v>
      </c>
      <c r="GB215" s="160">
        <f>IF([Chambre2]*1='CHAMBRES FILLES 1e ETAGE'!$A$47,1,0)</f>
        <v>0</v>
      </c>
      <c r="GC215" s="160">
        <f>IF([Occurrence25]=0,0,SUM($GB$2:GB215))</f>
        <v>0</v>
      </c>
      <c r="GD215" s="160">
        <f>IF([Chambre2]*1='CHAMBRES FILLES 1e ETAGE'!$A$53,1,0)</f>
        <v>0</v>
      </c>
      <c r="GE215" s="160">
        <f>IF([Occurrence26]=0,0,SUM($GD$2:GD215))</f>
        <v>0</v>
      </c>
      <c r="GF215" s="160">
        <f>IF([chambre4]*1='CHAMBRES GARCONS 1e ETAGE'!$A$5,1,0)</f>
        <v>0</v>
      </c>
      <c r="GG215" s="160">
        <f>IF([Occurrence27]=0,0,SUM($GF$2:GF215))</f>
        <v>0</v>
      </c>
      <c r="GH215" s="160">
        <f>IF([chambre4]*1='CHAMBRES GARCONS 1e ETAGE'!$A$11,1,0)</f>
        <v>0</v>
      </c>
      <c r="GI215" s="160">
        <f>IF([Occurrence28]=0,0,SUM($GH$2:GH215))</f>
        <v>0</v>
      </c>
      <c r="GJ215" s="160">
        <f>IF([chambre4]*1='CHAMBRES GARCONS 1e ETAGE'!$A$17,1,0)</f>
        <v>0</v>
      </c>
      <c r="GK215" s="160">
        <f>IF([Occurrence29]=0,0,SUM($GJ$2:GJ215))</f>
        <v>0</v>
      </c>
      <c r="GL215" s="160">
        <f>IF([chambre4]*1='CHAMBRES GARCONS 1e ETAGE'!$A$23,1,0)</f>
        <v>0</v>
      </c>
      <c r="GM215" s="160">
        <f>IF([Occurrence30]=0,0,SUM($GL$2:GL215))</f>
        <v>0</v>
      </c>
      <c r="GN215" s="160">
        <f>IF([chambre4]*1='CHAMBRES GARCONS 1e ETAGE'!$A$29,1,0)</f>
        <v>0</v>
      </c>
      <c r="GO215" s="160">
        <f>IF([Occurrence31]=0,0,SUM($GN$2:GN215))</f>
        <v>0</v>
      </c>
      <c r="GP215" s="160">
        <f>IF([chambre4]*1='CHAMBRES GARCONS 1e ETAGE'!$A$35,1,0)</f>
        <v>0</v>
      </c>
      <c r="GQ215" s="160">
        <f>IF([Occurrence32]=0,0,SUM($GP$2:GP215))</f>
        <v>0</v>
      </c>
      <c r="GR215" s="160">
        <f>IF([chambre3]*1='CHAMBRES GARCONS RDC'!$A$5,1,0)</f>
        <v>0</v>
      </c>
      <c r="GS215" s="160">
        <f>IF([Occurrence33]=0,0,SUM($GR$2:GR215))</f>
        <v>0</v>
      </c>
      <c r="GT215" s="160">
        <f>IF([chambre3]*1='CHAMBRES GARCONS RDC'!$A$11,1,0)</f>
        <v>0</v>
      </c>
      <c r="GU215" s="160">
        <f>IF([Occurrence34]=0,0,SUM($GT$2:GT215))</f>
        <v>0</v>
      </c>
      <c r="GV215" s="160">
        <f>IF([chambre3]*1='CHAMBRES GARCONS RDC'!$A$17,1,0)</f>
        <v>0</v>
      </c>
      <c r="GW215" s="160">
        <f>IF([Occurrence35]=0,0,SUM($GV$2:GV215))</f>
        <v>0</v>
      </c>
      <c r="GX215" s="160">
        <f>IF([chambre3]*1='CHAMBRES GARCONS RDC'!$A$23,1,0)</f>
        <v>0</v>
      </c>
      <c r="GY215" s="160">
        <f>IF([Occurrence36]=0,0,SUM($GX$2:GX215))</f>
        <v>0</v>
      </c>
      <c r="GZ215" s="160">
        <f>IF([chambre3]*1='CHAMBRES GARCONS RDC'!$A$29,1,0)</f>
        <v>0</v>
      </c>
      <c r="HA215" s="160">
        <f>IF([Occurrence37]=0,0,SUM($GZ$2:GZ215))</f>
        <v>0</v>
      </c>
      <c r="HB215" s="160">
        <f>IF([chambre3]*1='CHAMBRES GARCONS RDC'!$A$35,1,0)</f>
        <v>0</v>
      </c>
      <c r="HC215" s="160">
        <f>IF([Occurrence38]=0,0,SUM($HB$2:HB215))</f>
        <v>0</v>
      </c>
      <c r="HD215" s="160">
        <f>IF([chambre3]*1='CHAMBRES GARCONS RDC'!$A$41,1,0)</f>
        <v>0</v>
      </c>
      <c r="HE215" s="160">
        <f>IF([Occurrence39]=0,0,SUM($HD$2:HD215))</f>
        <v>0</v>
      </c>
      <c r="HF215" s="160">
        <f>IF([chambre3]*1='CHAMBRES GARCONS RDC'!$A$47,1,0)</f>
        <v>0</v>
      </c>
      <c r="HG215" s="160">
        <f>IF([Occurrence40]=0,0,SUM($HF$2:HF215))</f>
        <v>0</v>
      </c>
      <c r="HH215" s="160">
        <f>IF([chambre3]*1='CHAMBRES GARCONS RDC'!$A$53,1,0)</f>
        <v>0</v>
      </c>
      <c r="HI215" s="160">
        <f>IF([Occurrence41]=0,0,SUM($HH$2:HH215))</f>
        <v>0</v>
      </c>
      <c r="HJ215" s="160">
        <f>IF([chambre3]*1='CHAMBRES GARCONS RDC'!$A$59,1,0)</f>
        <v>0</v>
      </c>
      <c r="HK215" s="160">
        <f>IF([Occurrence42]=0,0,SUM($HJ$2:HJ215))</f>
        <v>0</v>
      </c>
      <c r="HL215" s="160">
        <f>IF([chambre3]*1='CHAMBRES GARCONS RDC'!$A$65,1,0)</f>
        <v>0</v>
      </c>
      <c r="HM215" s="160">
        <f>IF([Occurrence43]=0,0,SUM($HL$2:HL215))</f>
        <v>0</v>
      </c>
      <c r="HN215" s="160">
        <f>IF([chambre3]*1='CHAMBRES GARCONS RDC'!$A$71,1,0)</f>
        <v>0</v>
      </c>
      <c r="HO215" s="160">
        <f>IF([Occurrence44]=0,0,SUM($HN$2:HN215))</f>
        <v>0</v>
      </c>
      <c r="HP215" s="160">
        <f>IF([chambre3]*1='CHAMBRES GARCONS RDC'!$A$77,1,0)</f>
        <v>0</v>
      </c>
      <c r="HQ215" s="160">
        <f>IF([Occurrence45]=0,0,SUM($HP$2:HP215))</f>
        <v>0</v>
      </c>
      <c r="HR215" s="160">
        <f>IF([chambre3]*1='CHAMBRES GARCONS RDC'!$A$83,1,0)</f>
        <v>0</v>
      </c>
      <c r="HS215" s="160">
        <f>IF([Occurrence46]=0,0,SUM($HR$2:HR215))</f>
        <v>0</v>
      </c>
      <c r="HT215" s="160">
        <f>IF([chambre3]*1='CHAMBRES GARCONS RDC'!$A$89,1,0)</f>
        <v>0</v>
      </c>
      <c r="HU215" s="160">
        <f>IF([Occurrence47]=0,0,SUM($HT$2:HT215))</f>
        <v>0</v>
      </c>
      <c r="HV215" s="160">
        <f>IF([chambre3]*1='CHAMBRES GARCONS RDC'!$A$95,1,0)</f>
        <v>0</v>
      </c>
      <c r="HW215" s="160">
        <f>IF([Occurrence48]=0,0,SUM($HV$2:HV215))</f>
        <v>0</v>
      </c>
      <c r="HX215" s="160"/>
      <c r="HY215" s="160"/>
      <c r="HZ215" s="160">
        <f>IF([Classe]='Liste élève par classes'!$B$5,1,0)</f>
        <v>0</v>
      </c>
      <c r="IA215" s="160">
        <f>IF([Occurrence]=0,0,SUM($HZ$2:HZ215))</f>
        <v>0</v>
      </c>
      <c r="IB21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180</v>
      </c>
      <c r="IC215" s="208"/>
    </row>
    <row r="216" spans="1:237">
      <c r="A216" t="s">
        <v>599</v>
      </c>
      <c r="B216" t="s">
        <v>600</v>
      </c>
      <c r="C216" s="158">
        <v>37019</v>
      </c>
      <c r="D216" s="62">
        <f t="shared" ca="1" si="3"/>
        <v>16</v>
      </c>
      <c r="E216" t="s">
        <v>8</v>
      </c>
      <c r="F216" s="159" t="s">
        <v>50</v>
      </c>
      <c r="G216" t="s">
        <v>45</v>
      </c>
      <c r="H216" s="160"/>
      <c r="I216" s="62"/>
      <c r="J216" s="62" t="s">
        <v>244</v>
      </c>
      <c r="K216" s="62"/>
      <c r="L216" s="61">
        <v>170</v>
      </c>
      <c r="M216">
        <v>109</v>
      </c>
      <c r="N216" s="62" t="s">
        <v>244</v>
      </c>
      <c r="O216" s="62" t="s">
        <v>244</v>
      </c>
      <c r="P216" s="62" t="s">
        <v>244</v>
      </c>
      <c r="Q216" s="62" t="s">
        <v>244</v>
      </c>
      <c r="R216" s="62" t="s">
        <v>244</v>
      </c>
      <c r="S216" s="191"/>
      <c r="T216" s="62" t="s">
        <v>244</v>
      </c>
      <c r="U216" s="61"/>
      <c r="V216" s="62" t="s">
        <v>244</v>
      </c>
      <c r="W216" s="62" t="s">
        <v>244</v>
      </c>
      <c r="X216" s="62" t="s">
        <v>244</v>
      </c>
      <c r="Y216" s="62" t="s">
        <v>244</v>
      </c>
      <c r="Z216" s="62" t="s">
        <v>244</v>
      </c>
      <c r="AA216" s="62" t="s">
        <v>244</v>
      </c>
      <c r="AB216" s="62" t="s">
        <v>244</v>
      </c>
      <c r="AC216" s="62" t="s">
        <v>244</v>
      </c>
      <c r="AD216" s="62" t="s">
        <v>244</v>
      </c>
      <c r="AE216" s="62" t="s">
        <v>244</v>
      </c>
      <c r="AF216" s="163" t="s">
        <v>244</v>
      </c>
      <c r="AG216" s="163" t="s">
        <v>244</v>
      </c>
      <c r="AH216" s="163" t="s">
        <v>244</v>
      </c>
      <c r="AI216" s="163"/>
      <c r="AJ216" s="163"/>
      <c r="AK216" s="163"/>
      <c r="AL216" s="163"/>
      <c r="AM216" s="163"/>
      <c r="AN216" s="163"/>
      <c r="AO216" s="163"/>
      <c r="AP216" s="163"/>
      <c r="AQ216" s="163"/>
      <c r="AR216" s="163"/>
      <c r="AS216" s="163"/>
      <c r="AT216" s="163"/>
      <c r="AU216" s="163"/>
      <c r="AV216" s="163"/>
      <c r="AW216" s="163"/>
      <c r="AX216" s="163"/>
      <c r="AY216" s="163"/>
      <c r="AZ216" s="163"/>
      <c r="BA216" s="163"/>
      <c r="BB216" s="163"/>
      <c r="BC216" s="163" t="b">
        <v>0</v>
      </c>
      <c r="BD216" s="163" t="b">
        <v>1</v>
      </c>
      <c r="BE216" s="163" t="b">
        <v>1</v>
      </c>
      <c r="BF216" s="163" t="b">
        <v>0</v>
      </c>
      <c r="BG216" s="164" t="b">
        <v>0</v>
      </c>
      <c r="BH216" s="163" t="b">
        <v>1</v>
      </c>
      <c r="BI216" s="163"/>
      <c r="BJ216" s="163"/>
      <c r="BK216" s="163"/>
      <c r="BL216" s="163"/>
      <c r="BM216" s="163"/>
      <c r="BN216" s="163"/>
      <c r="BO216" s="163"/>
      <c r="BP216" s="163"/>
      <c r="BQ216" s="163" t="b">
        <v>0</v>
      </c>
      <c r="BR216" s="163"/>
      <c r="BS216" s="163"/>
      <c r="BT216" s="163"/>
      <c r="BU216" s="163"/>
      <c r="BV216" s="163"/>
      <c r="BW216" s="163"/>
      <c r="BX216" s="163"/>
      <c r="BY216" s="163"/>
      <c r="BZ216" s="163"/>
      <c r="CA216" s="163"/>
      <c r="CB216" s="163"/>
      <c r="CC216" s="163"/>
      <c r="CD216" s="163"/>
      <c r="CE216" s="163"/>
      <c r="CF216" s="163"/>
      <c r="CG216" s="163"/>
      <c r="CH216" s="163"/>
      <c r="CI216" s="163"/>
      <c r="CJ216" s="163"/>
      <c r="CK216" s="163"/>
      <c r="CL216" s="163"/>
      <c r="CM216" s="163"/>
      <c r="CN216" s="163"/>
      <c r="CO216" s="163"/>
      <c r="CP216" s="163"/>
      <c r="CQ216" s="163"/>
      <c r="CR216" s="163"/>
      <c r="CS216" s="163"/>
      <c r="CT216" s="163"/>
      <c r="CU216" s="163"/>
      <c r="CV216" s="163"/>
      <c r="CW216" s="163"/>
      <c r="CX216" s="163"/>
      <c r="CY216" s="163"/>
      <c r="CZ216" s="163"/>
      <c r="DA216" s="163"/>
      <c r="DB216" s="163"/>
      <c r="DC216" s="163"/>
      <c r="DD216" s="163"/>
      <c r="DE216" s="163"/>
      <c r="DF216" s="163"/>
      <c r="DG216" s="208"/>
      <c r="DH216" s="163"/>
      <c r="DI216" s="163"/>
      <c r="DJ216" s="163"/>
      <c r="DK216" s="163"/>
      <c r="DL216" s="163"/>
      <c r="DM216" s="163"/>
      <c r="DN216" s="163"/>
      <c r="DO216" s="163"/>
      <c r="DP216" s="163"/>
      <c r="DQ216" s="163"/>
      <c r="DR216" s="163"/>
      <c r="DS216" s="163"/>
      <c r="DT216" s="163"/>
      <c r="DU216" s="163"/>
      <c r="DV216" s="163"/>
      <c r="DW216" s="163"/>
      <c r="DX216" s="163"/>
      <c r="DY216" s="163"/>
      <c r="DZ216" s="163"/>
      <c r="EA216" s="163"/>
      <c r="EB216" s="163"/>
      <c r="EC216" s="163"/>
      <c r="ED216" s="163"/>
      <c r="EE216" s="163"/>
      <c r="EF216" s="163"/>
      <c r="EG216" s="163"/>
      <c r="EH216" s="160">
        <f>IF([Chambre]*1='CHAMBRES FILLES 2e ETAGE'!$A$5,1,0)</f>
        <v>0</v>
      </c>
      <c r="EI216" s="161">
        <f>IF([Occurrence2]=0,0,SUM($EH$2:EH216))</f>
        <v>0</v>
      </c>
      <c r="EJ216" s="160">
        <f>IF([Chambre]*1='CHAMBRES FILLES 2e ETAGE'!$A$11,1,0)</f>
        <v>0</v>
      </c>
      <c r="EK216" s="160">
        <f>IF([Occurrence3]=0,0,SUM($EJ$2:EJ216))</f>
        <v>0</v>
      </c>
      <c r="EL216" s="160">
        <f>IF([Chambre]*1='CHAMBRES FILLES 2e ETAGE'!$A$17,1,0)</f>
        <v>0</v>
      </c>
      <c r="EM216" s="160">
        <f>IF([Occurrence4]=0,0,SUM($EL$2:EL216))</f>
        <v>0</v>
      </c>
      <c r="EN216" s="160">
        <f>IF([Chambre]*1='CHAMBRES FILLES 2e ETAGE'!$A$23,1,0)</f>
        <v>0</v>
      </c>
      <c r="EO216" s="160">
        <f>IF([Occurrence5]=0,0,SUM($EN$2:EN216))</f>
        <v>0</v>
      </c>
      <c r="EP216" s="160">
        <f>IF([Chambre]*1='CHAMBRES FILLES 2e ETAGE'!$A$29,1,0)</f>
        <v>0</v>
      </c>
      <c r="EQ216" s="160">
        <f>IF([Occurrence6]=0,0,SUM($EP$2:EP216))</f>
        <v>0</v>
      </c>
      <c r="ER216" s="160">
        <f>IF([Chambre]*1='CHAMBRES FILLES 2e ETAGE'!$A$35,1,0)</f>
        <v>0</v>
      </c>
      <c r="ES216" s="160">
        <f>IF([Occurrence7]=0,0,SUM($ER$2:ER216))</f>
        <v>0</v>
      </c>
      <c r="ET216" s="160">
        <f>IF([Chambre]*1='CHAMBRES FILLES 2e ETAGE'!$A$41,1,0)</f>
        <v>0</v>
      </c>
      <c r="EU216" s="160">
        <f>IF([Occurrence8]=0,0,SUM($ET$2:ET216))</f>
        <v>0</v>
      </c>
      <c r="EV216" s="160">
        <f>IF([Chambre]*1='CHAMBRES FILLES 2e ETAGE'!$A$47,1,0)</f>
        <v>0</v>
      </c>
      <c r="EW216" s="160">
        <f>IF([Occurrence9]=0,0,SUM($EV$2:EV216))</f>
        <v>0</v>
      </c>
      <c r="EX216" s="160">
        <f>IF([Chambre]*1='CHAMBRES FILLES 2e ETAGE'!$A$53,1,0)</f>
        <v>1</v>
      </c>
      <c r="EY216" s="160">
        <f>IF([Occurrence10]=0,0,SUM($EX$2:EX216))</f>
        <v>4</v>
      </c>
      <c r="EZ216" s="160">
        <f>IF([Chambre]*1='CHAMBRES FILLES 2e ETAGE'!$A$59,1,0)</f>
        <v>0</v>
      </c>
      <c r="FA216" s="160">
        <f>IF([Occurrence11]=0,0,SUM($EZ$2:EZ216))</f>
        <v>0</v>
      </c>
      <c r="FB216" s="160">
        <f>IF([Chambre]*1='CHAMBRES FILLES 2e ETAGE'!$A$65,1,0)</f>
        <v>0</v>
      </c>
      <c r="FC216" s="160">
        <f>IF([Occurrence12]=0,0,SUM($FB$2:FB216))</f>
        <v>0</v>
      </c>
      <c r="FD216" s="160">
        <f>IF([Chambre]*1='CHAMBRES FILLES 2e ETAGE'!$A$71,1,0)</f>
        <v>0</v>
      </c>
      <c r="FE216" s="160">
        <f>IF([Occurrence13]=0,0,SUM($FD$2:FD216))</f>
        <v>0</v>
      </c>
      <c r="FF216" s="160">
        <f>IF([Chambre]*1='CHAMBRES FILLES 2e ETAGE'!$A$77,1,0)</f>
        <v>0</v>
      </c>
      <c r="FG216" s="160">
        <f>IF([Occurrence14]=0,0,SUM($FF$2:FF216))</f>
        <v>0</v>
      </c>
      <c r="FH216" s="160">
        <f>IF([Chambre]*1='CHAMBRES FILLES 2e ETAGE'!$A$83,1,0)</f>
        <v>0</v>
      </c>
      <c r="FI216" s="160">
        <f>IF([Occurrence15]=0,0,SUM($FH$2:FH216))</f>
        <v>0</v>
      </c>
      <c r="FJ216" s="160">
        <f>IF([Chambre]*1='CHAMBRES FILLES 2e ETAGE'!$A$89,1,0)</f>
        <v>0</v>
      </c>
      <c r="FK216" s="160">
        <f>IF([Occurrence16]=0,0,SUM($FJ$2:FJ216))</f>
        <v>0</v>
      </c>
      <c r="FL216" s="160">
        <f>IF([Chambre]*1='CHAMBRES FILLES 2e ETAGE'!$A$95,1,0)</f>
        <v>0</v>
      </c>
      <c r="FM216" s="160">
        <f>IF([Occurrence17]=0,0,SUM($FL$2:FL216))</f>
        <v>0</v>
      </c>
      <c r="FN216" s="160">
        <f>IF([Chambre2]*1='CHAMBRES FILLES 1e ETAGE'!$A$5,1,0)</f>
        <v>0</v>
      </c>
      <c r="FO216" s="160">
        <f>IF([Occurrence18]=0,0,SUM($FN$2:FN216))</f>
        <v>0</v>
      </c>
      <c r="FP216" s="160">
        <f>IF([Chambre2]*1='CHAMBRES FILLES 1e ETAGE'!$A$11,1,0)</f>
        <v>0</v>
      </c>
      <c r="FQ216" s="160">
        <f>IF([Occurrence19]=0,0,SUM($FP$2:FP216))</f>
        <v>0</v>
      </c>
      <c r="FR216" s="160">
        <f>IF([Chambre2]*1='CHAMBRES FILLES 1e ETAGE'!$A$17,1,0)</f>
        <v>0</v>
      </c>
      <c r="FS216" s="160">
        <f>IF([Occurrence20]=0,0,SUM($FR$2:FR216))</f>
        <v>0</v>
      </c>
      <c r="FT216" s="160">
        <f>IF([Chambre2]*1='CHAMBRES FILLES 1e ETAGE'!$A$23,1,0)</f>
        <v>0</v>
      </c>
      <c r="FU216" s="160">
        <f>IF([Occurrence21]=0,0,SUM($FT$2:FT216))</f>
        <v>0</v>
      </c>
      <c r="FV216" s="160">
        <f>IF([Chambre2]*1='CHAMBRES FILLES 1e ETAGE'!$A$29,1,0)</f>
        <v>0</v>
      </c>
      <c r="FW216" s="160">
        <f>IF([Occurrence22]=0,0,SUM($FV$2:FV216))</f>
        <v>0</v>
      </c>
      <c r="FX216" s="160">
        <f>IF([Chambre2]*1='CHAMBRES FILLES 1e ETAGE'!$A$35,1,0)</f>
        <v>0</v>
      </c>
      <c r="FY216" s="160">
        <f>IF([Occurrence23]=0,0,SUM($FX$2:FX216))</f>
        <v>0</v>
      </c>
      <c r="FZ216" s="160">
        <f>IF([Chambre2]*1='CHAMBRES FILLES 1e ETAGE'!$A$41,1,0)</f>
        <v>0</v>
      </c>
      <c r="GA216" s="160">
        <f>IF([Occurrence24]=0,0,SUM($FZ$2:FZ216))</f>
        <v>0</v>
      </c>
      <c r="GB216" s="160">
        <f>IF([Chambre2]*1='CHAMBRES FILLES 1e ETAGE'!$A$47,1,0)</f>
        <v>0</v>
      </c>
      <c r="GC216" s="160">
        <f>IF([Occurrence25]=0,0,SUM($GB$2:GB216))</f>
        <v>0</v>
      </c>
      <c r="GD216" s="160">
        <f>IF([Chambre2]*1='CHAMBRES FILLES 1e ETAGE'!$A$53,1,0)</f>
        <v>0</v>
      </c>
      <c r="GE216" s="160">
        <f>IF([Occurrence26]=0,0,SUM($GD$2:GD216))</f>
        <v>0</v>
      </c>
      <c r="GF216" s="160">
        <f>IF([chambre4]*1='CHAMBRES GARCONS 1e ETAGE'!$A$5,1,0)</f>
        <v>0</v>
      </c>
      <c r="GG216" s="160">
        <f>IF([Occurrence27]=0,0,SUM($GF$2:GF216))</f>
        <v>0</v>
      </c>
      <c r="GH216" s="160">
        <f>IF([chambre4]*1='CHAMBRES GARCONS 1e ETAGE'!$A$11,1,0)</f>
        <v>0</v>
      </c>
      <c r="GI216" s="160">
        <f>IF([Occurrence28]=0,0,SUM($GH$2:GH216))</f>
        <v>0</v>
      </c>
      <c r="GJ216" s="160">
        <f>IF([chambre4]*1='CHAMBRES GARCONS 1e ETAGE'!$A$17,1,0)</f>
        <v>0</v>
      </c>
      <c r="GK216" s="160">
        <f>IF([Occurrence29]=0,0,SUM($GJ$2:GJ216))</f>
        <v>0</v>
      </c>
      <c r="GL216" s="160">
        <f>IF([chambre4]*1='CHAMBRES GARCONS 1e ETAGE'!$A$23,1,0)</f>
        <v>0</v>
      </c>
      <c r="GM216" s="160">
        <f>IF([Occurrence30]=0,0,SUM($GL$2:GL216))</f>
        <v>0</v>
      </c>
      <c r="GN216" s="160">
        <f>IF([chambre4]*1='CHAMBRES GARCONS 1e ETAGE'!$A$29,1,0)</f>
        <v>0</v>
      </c>
      <c r="GO216" s="160">
        <f>IF([Occurrence31]=0,0,SUM($GN$2:GN216))</f>
        <v>0</v>
      </c>
      <c r="GP216" s="160">
        <f>IF([chambre4]*1='CHAMBRES GARCONS 1e ETAGE'!$A$35,1,0)</f>
        <v>0</v>
      </c>
      <c r="GQ216" s="160">
        <f>IF([Occurrence32]=0,0,SUM($GP$2:GP216))</f>
        <v>0</v>
      </c>
      <c r="GR216" s="160">
        <f>IF([chambre3]*1='CHAMBRES GARCONS RDC'!$A$5,1,0)</f>
        <v>0</v>
      </c>
      <c r="GS216" s="160">
        <f>IF([Occurrence33]=0,0,SUM($GR$2:GR216))</f>
        <v>0</v>
      </c>
      <c r="GT216" s="160">
        <f>IF([chambre3]*1='CHAMBRES GARCONS RDC'!$A$11,1,0)</f>
        <v>0</v>
      </c>
      <c r="GU216" s="160">
        <f>IF([Occurrence34]=0,0,SUM($GT$2:GT216))</f>
        <v>0</v>
      </c>
      <c r="GV216" s="160">
        <f>IF([chambre3]*1='CHAMBRES GARCONS RDC'!$A$17,1,0)</f>
        <v>0</v>
      </c>
      <c r="GW216" s="160">
        <f>IF([Occurrence35]=0,0,SUM($GV$2:GV216))</f>
        <v>0</v>
      </c>
      <c r="GX216" s="160">
        <f>IF([chambre3]*1='CHAMBRES GARCONS RDC'!$A$23,1,0)</f>
        <v>0</v>
      </c>
      <c r="GY216" s="160">
        <f>IF([Occurrence36]=0,0,SUM($GX$2:GX216))</f>
        <v>0</v>
      </c>
      <c r="GZ216" s="160">
        <f>IF([chambre3]*1='CHAMBRES GARCONS RDC'!$A$29,1,0)</f>
        <v>0</v>
      </c>
      <c r="HA216" s="160">
        <f>IF([Occurrence37]=0,0,SUM($GZ$2:GZ216))</f>
        <v>0</v>
      </c>
      <c r="HB216" s="160">
        <f>IF([chambre3]*1='CHAMBRES GARCONS RDC'!$A$35,1,0)</f>
        <v>0</v>
      </c>
      <c r="HC216" s="160">
        <f>IF([Occurrence38]=0,0,SUM($HB$2:HB216))</f>
        <v>0</v>
      </c>
      <c r="HD216" s="160">
        <f>IF([chambre3]*1='CHAMBRES GARCONS RDC'!$A$41,1,0)</f>
        <v>0</v>
      </c>
      <c r="HE216" s="160">
        <f>IF([Occurrence39]=0,0,SUM($HD$2:HD216))</f>
        <v>0</v>
      </c>
      <c r="HF216" s="160">
        <f>IF([chambre3]*1='CHAMBRES GARCONS RDC'!$A$47,1,0)</f>
        <v>0</v>
      </c>
      <c r="HG216" s="160">
        <f>IF([Occurrence40]=0,0,SUM($HF$2:HF216))</f>
        <v>0</v>
      </c>
      <c r="HH216" s="160">
        <f>IF([chambre3]*1='CHAMBRES GARCONS RDC'!$A$53,1,0)</f>
        <v>0</v>
      </c>
      <c r="HI216" s="160">
        <f>IF([Occurrence41]=0,0,SUM($HH$2:HH216))</f>
        <v>0</v>
      </c>
      <c r="HJ216" s="160">
        <f>IF([chambre3]*1='CHAMBRES GARCONS RDC'!$A$59,1,0)</f>
        <v>0</v>
      </c>
      <c r="HK216" s="160">
        <f>IF([Occurrence42]=0,0,SUM($HJ$2:HJ216))</f>
        <v>0</v>
      </c>
      <c r="HL216" s="160">
        <f>IF([chambre3]*1='CHAMBRES GARCONS RDC'!$A$65,1,0)</f>
        <v>0</v>
      </c>
      <c r="HM216" s="160">
        <f>IF([Occurrence43]=0,0,SUM($HL$2:HL216))</f>
        <v>0</v>
      </c>
      <c r="HN216" s="160">
        <f>IF([chambre3]*1='CHAMBRES GARCONS RDC'!$A$71,1,0)</f>
        <v>0</v>
      </c>
      <c r="HO216" s="160">
        <f>IF([Occurrence44]=0,0,SUM($HN$2:HN216))</f>
        <v>0</v>
      </c>
      <c r="HP216" s="160">
        <f>IF([chambre3]*1='CHAMBRES GARCONS RDC'!$A$77,1,0)</f>
        <v>0</v>
      </c>
      <c r="HQ216" s="160">
        <f>IF([Occurrence45]=0,0,SUM($HP$2:HP216))</f>
        <v>0</v>
      </c>
      <c r="HR216" s="160">
        <f>IF([chambre3]*1='CHAMBRES GARCONS RDC'!$A$83,1,0)</f>
        <v>0</v>
      </c>
      <c r="HS216" s="160">
        <f>IF([Occurrence46]=0,0,SUM($HR$2:HR216))</f>
        <v>0</v>
      </c>
      <c r="HT216" s="160">
        <f>IF([chambre3]*1='CHAMBRES GARCONS RDC'!$A$89,1,0)</f>
        <v>0</v>
      </c>
      <c r="HU216" s="160">
        <f>IF([Occurrence47]=0,0,SUM($HT$2:HT216))</f>
        <v>0</v>
      </c>
      <c r="HV216" s="160">
        <f>IF([chambre3]*1='CHAMBRES GARCONS RDC'!$A$95,1,0)</f>
        <v>0</v>
      </c>
      <c r="HW216" s="160">
        <f>IF([Occurrence48]=0,0,SUM($HV$2:HV216))</f>
        <v>0</v>
      </c>
      <c r="HX216" s="160"/>
      <c r="HY216" s="160"/>
      <c r="HZ216" s="160">
        <f>IF([Classe]='Liste élève par classes'!$B$5,1,0)</f>
        <v>1</v>
      </c>
      <c r="IA216" s="160">
        <f>IF([Occurrence]=0,0,SUM($HZ$2:HZ216))</f>
        <v>15</v>
      </c>
      <c r="IB21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170</v>
      </c>
      <c r="IC216" s="208"/>
    </row>
    <row r="217" spans="1:237" ht="15.75">
      <c r="A217" t="s">
        <v>601</v>
      </c>
      <c r="B217" t="s">
        <v>367</v>
      </c>
      <c r="C217" s="158">
        <v>37237</v>
      </c>
      <c r="D217" s="62">
        <f t="shared" ca="1" si="3"/>
        <v>15</v>
      </c>
      <c r="E217" t="s">
        <v>14</v>
      </c>
      <c r="F217" s="159" t="s">
        <v>50</v>
      </c>
      <c r="G217" t="s">
        <v>45</v>
      </c>
      <c r="H217" s="160"/>
      <c r="I217" s="62"/>
      <c r="J217" s="167"/>
      <c r="K217" s="168"/>
      <c r="L217" s="160">
        <v>160</v>
      </c>
      <c r="M217">
        <v>185</v>
      </c>
      <c r="N217" s="161" t="s">
        <v>244</v>
      </c>
      <c r="O217" s="161" t="s">
        <v>244</v>
      </c>
      <c r="P217" s="161" t="s">
        <v>244</v>
      </c>
      <c r="Q217" s="161" t="s">
        <v>244</v>
      </c>
      <c r="R217" s="161" t="s">
        <v>244</v>
      </c>
      <c r="S217" s="190"/>
      <c r="T217" s="161" t="s">
        <v>244</v>
      </c>
      <c r="U217" s="160"/>
      <c r="V217" s="161" t="s">
        <v>244</v>
      </c>
      <c r="W217" s="161" t="s">
        <v>244</v>
      </c>
      <c r="X217" s="161" t="s">
        <v>244</v>
      </c>
      <c r="Y217" s="161" t="s">
        <v>244</v>
      </c>
      <c r="Z217" s="161" t="s">
        <v>244</v>
      </c>
      <c r="AA217" s="161" t="s">
        <v>244</v>
      </c>
      <c r="AB217" s="161" t="s">
        <v>244</v>
      </c>
      <c r="AC217" s="161" t="s">
        <v>244</v>
      </c>
      <c r="AD217" s="161" t="s">
        <v>244</v>
      </c>
      <c r="AE217" s="161" t="s">
        <v>244</v>
      </c>
      <c r="AF217" s="163" t="s">
        <v>244</v>
      </c>
      <c r="AG217" s="163" t="s">
        <v>244</v>
      </c>
      <c r="AH217" s="163" t="s">
        <v>244</v>
      </c>
      <c r="AI217" s="163"/>
      <c r="AJ217" s="163"/>
      <c r="AK217" s="163"/>
      <c r="AL217" s="163"/>
      <c r="AM217" s="163"/>
      <c r="AN217" s="163"/>
      <c r="AO217" s="163"/>
      <c r="AP217" s="163"/>
      <c r="AQ217" s="163"/>
      <c r="AR217" s="163"/>
      <c r="AS217" s="163"/>
      <c r="AT217" s="163"/>
      <c r="AU217" s="163"/>
      <c r="AV217" s="163"/>
      <c r="AW217" s="163"/>
      <c r="AX217" s="163"/>
      <c r="AY217" s="163"/>
      <c r="AZ217" s="163"/>
      <c r="BA217" s="163"/>
      <c r="BB217" s="163"/>
      <c r="BC217" s="163" t="b">
        <v>0</v>
      </c>
      <c r="BD217" s="163" t="b">
        <v>1</v>
      </c>
      <c r="BE217" s="163" t="b">
        <v>1</v>
      </c>
      <c r="BF217" s="163" t="b">
        <v>0</v>
      </c>
      <c r="BG217" s="164" t="b">
        <v>0</v>
      </c>
      <c r="BH217" s="163" t="b">
        <v>1</v>
      </c>
      <c r="BI217" s="163"/>
      <c r="BJ217" s="163"/>
      <c r="BK217" s="163"/>
      <c r="BL217" s="163"/>
      <c r="BM217" s="163"/>
      <c r="BN217" s="163"/>
      <c r="BO217" s="163"/>
      <c r="BP217" s="163"/>
      <c r="BQ217" s="163" t="b">
        <v>1</v>
      </c>
      <c r="BR217" s="163"/>
      <c r="BS217" s="163"/>
      <c r="BT217" s="163"/>
      <c r="BU217" s="163"/>
      <c r="BV217" s="163"/>
      <c r="BW217" s="163"/>
      <c r="BX217" s="163"/>
      <c r="BY217" s="163"/>
      <c r="BZ217" s="163"/>
      <c r="CA217" s="163"/>
      <c r="CB217" s="163"/>
      <c r="CC217" s="163"/>
      <c r="CD217" s="163"/>
      <c r="CE217" s="163"/>
      <c r="CF217" s="163"/>
      <c r="CG217" s="163"/>
      <c r="CH217" s="163"/>
      <c r="CI217" s="163"/>
      <c r="CJ217" s="163"/>
      <c r="CK217" s="163"/>
      <c r="CL217" s="163"/>
      <c r="CM217" s="163"/>
      <c r="CN217" s="163"/>
      <c r="CO217" s="163"/>
      <c r="CP217" s="163"/>
      <c r="CQ217" s="163"/>
      <c r="CR217" s="163"/>
      <c r="CS217" s="163"/>
      <c r="CT217" s="163"/>
      <c r="CU217" s="163"/>
      <c r="CV217" s="163"/>
      <c r="CW217" s="163"/>
      <c r="CX217" s="163"/>
      <c r="CY217" s="163"/>
      <c r="CZ217" s="163"/>
      <c r="DA217" s="163"/>
      <c r="DB217" s="163"/>
      <c r="DC217" s="163"/>
      <c r="DD217" s="163"/>
      <c r="DE217" s="163"/>
      <c r="DF217" s="163"/>
      <c r="DG217" s="208"/>
      <c r="DH217" s="163"/>
      <c r="DI217" s="163"/>
      <c r="DJ217" s="163"/>
      <c r="DK217" s="163"/>
      <c r="DL217" s="163"/>
      <c r="DM217" s="163"/>
      <c r="DN217" s="163"/>
      <c r="DO217" s="163"/>
      <c r="DP217" s="163"/>
      <c r="DQ217" s="163"/>
      <c r="DR217" s="163"/>
      <c r="DS217" s="163"/>
      <c r="DT217" s="163"/>
      <c r="DU217" s="163"/>
      <c r="DV217" s="163"/>
      <c r="DW217" s="163"/>
      <c r="DX217" s="163"/>
      <c r="DY217" s="163"/>
      <c r="DZ217" s="163"/>
      <c r="EA217" s="163"/>
      <c r="EB217" s="163"/>
      <c r="EC217" s="163"/>
      <c r="ED217" s="163"/>
      <c r="EE217" s="163"/>
      <c r="EF217" s="163"/>
      <c r="EG217" s="163"/>
      <c r="EH217" s="160">
        <f>IF([Chambre]*1='CHAMBRES FILLES 2e ETAGE'!$A$5,1,0)</f>
        <v>0</v>
      </c>
      <c r="EI217" s="161">
        <f>IF([Occurrence2]=0,0,SUM($EH$2:EH217))</f>
        <v>0</v>
      </c>
      <c r="EJ217" s="160">
        <f>IF([Chambre]*1='CHAMBRES FILLES 2e ETAGE'!$A$11,1,0)</f>
        <v>0</v>
      </c>
      <c r="EK217" s="160">
        <f>IF([Occurrence3]=0,0,SUM($EJ$2:EJ217))</f>
        <v>0</v>
      </c>
      <c r="EL217" s="160">
        <f>IF([Chambre]*1='CHAMBRES FILLES 2e ETAGE'!$A$17,1,0)</f>
        <v>1</v>
      </c>
      <c r="EM217" s="160">
        <f>IF([Occurrence4]=0,0,SUM($EL$2:EL217))</f>
        <v>3</v>
      </c>
      <c r="EN217" s="160">
        <f>IF([Chambre]*1='CHAMBRES FILLES 2e ETAGE'!$A$23,1,0)</f>
        <v>0</v>
      </c>
      <c r="EO217" s="160">
        <f>IF([Occurrence5]=0,0,SUM($EN$2:EN217))</f>
        <v>0</v>
      </c>
      <c r="EP217" s="160">
        <f>IF([Chambre]*1='CHAMBRES FILLES 2e ETAGE'!$A$29,1,0)</f>
        <v>0</v>
      </c>
      <c r="EQ217" s="160">
        <f>IF([Occurrence6]=0,0,SUM($EP$2:EP217))</f>
        <v>0</v>
      </c>
      <c r="ER217" s="160">
        <f>IF([Chambre]*1='CHAMBRES FILLES 2e ETAGE'!$A$35,1,0)</f>
        <v>0</v>
      </c>
      <c r="ES217" s="160">
        <f>IF([Occurrence7]=0,0,SUM($ER$2:ER217))</f>
        <v>0</v>
      </c>
      <c r="ET217" s="160">
        <f>IF([Chambre]*1='CHAMBRES FILLES 2e ETAGE'!$A$41,1,0)</f>
        <v>0</v>
      </c>
      <c r="EU217" s="160">
        <f>IF([Occurrence8]=0,0,SUM($ET$2:ET217))</f>
        <v>0</v>
      </c>
      <c r="EV217" s="160">
        <f>IF([Chambre]*1='CHAMBRES FILLES 2e ETAGE'!$A$47,1,0)</f>
        <v>0</v>
      </c>
      <c r="EW217" s="160">
        <f>IF([Occurrence9]=0,0,SUM($EV$2:EV217))</f>
        <v>0</v>
      </c>
      <c r="EX217" s="160">
        <f>IF([Chambre]*1='CHAMBRES FILLES 2e ETAGE'!$A$53,1,0)</f>
        <v>0</v>
      </c>
      <c r="EY217" s="160">
        <f>IF([Occurrence10]=0,0,SUM($EX$2:EX217))</f>
        <v>0</v>
      </c>
      <c r="EZ217" s="160">
        <f>IF([Chambre]*1='CHAMBRES FILLES 2e ETAGE'!$A$59,1,0)</f>
        <v>0</v>
      </c>
      <c r="FA217" s="160">
        <f>IF([Occurrence11]=0,0,SUM($EZ$2:EZ217))</f>
        <v>0</v>
      </c>
      <c r="FB217" s="160">
        <f>IF([Chambre]*1='CHAMBRES FILLES 2e ETAGE'!$A$65,1,0)</f>
        <v>0</v>
      </c>
      <c r="FC217" s="160">
        <f>IF([Occurrence12]=0,0,SUM($FB$2:FB217))</f>
        <v>0</v>
      </c>
      <c r="FD217" s="160">
        <f>IF([Chambre]*1='CHAMBRES FILLES 2e ETAGE'!$A$71,1,0)</f>
        <v>0</v>
      </c>
      <c r="FE217" s="160">
        <f>IF([Occurrence13]=0,0,SUM($FD$2:FD217))</f>
        <v>0</v>
      </c>
      <c r="FF217" s="160">
        <f>IF([Chambre]*1='CHAMBRES FILLES 2e ETAGE'!$A$77,1,0)</f>
        <v>0</v>
      </c>
      <c r="FG217" s="160">
        <f>IF([Occurrence14]=0,0,SUM($FF$2:FF217))</f>
        <v>0</v>
      </c>
      <c r="FH217" s="160">
        <f>IF([Chambre]*1='CHAMBRES FILLES 2e ETAGE'!$A$83,1,0)</f>
        <v>0</v>
      </c>
      <c r="FI217" s="160">
        <f>IF([Occurrence15]=0,0,SUM($FH$2:FH217))</f>
        <v>0</v>
      </c>
      <c r="FJ217" s="160">
        <f>IF([Chambre]*1='CHAMBRES FILLES 2e ETAGE'!$A$89,1,0)</f>
        <v>0</v>
      </c>
      <c r="FK217" s="160">
        <f>IF([Occurrence16]=0,0,SUM($FJ$2:FJ217))</f>
        <v>0</v>
      </c>
      <c r="FL217" s="160">
        <f>IF([Chambre]*1='CHAMBRES FILLES 2e ETAGE'!$A$95,1,0)</f>
        <v>0</v>
      </c>
      <c r="FM217" s="160">
        <f>IF([Occurrence17]=0,0,SUM($FL$2:FL217))</f>
        <v>0</v>
      </c>
      <c r="FN217" s="160">
        <f>IF([Chambre2]*1='CHAMBRES FILLES 1e ETAGE'!$A$5,1,0)</f>
        <v>0</v>
      </c>
      <c r="FO217" s="160">
        <f>IF([Occurrence18]=0,0,SUM($FN$2:FN217))</f>
        <v>0</v>
      </c>
      <c r="FP217" s="160">
        <f>IF([Chambre2]*1='CHAMBRES FILLES 1e ETAGE'!$A$11,1,0)</f>
        <v>0</v>
      </c>
      <c r="FQ217" s="160">
        <f>IF([Occurrence19]=0,0,SUM($FP$2:FP217))</f>
        <v>0</v>
      </c>
      <c r="FR217" s="160">
        <f>IF([Chambre2]*1='CHAMBRES FILLES 1e ETAGE'!$A$17,1,0)</f>
        <v>0</v>
      </c>
      <c r="FS217" s="160">
        <f>IF([Occurrence20]=0,0,SUM($FR$2:FR217))</f>
        <v>0</v>
      </c>
      <c r="FT217" s="160">
        <f>IF([Chambre2]*1='CHAMBRES FILLES 1e ETAGE'!$A$23,1,0)</f>
        <v>0</v>
      </c>
      <c r="FU217" s="160">
        <f>IF([Occurrence21]=0,0,SUM($FT$2:FT217))</f>
        <v>0</v>
      </c>
      <c r="FV217" s="160">
        <f>IF([Chambre2]*1='CHAMBRES FILLES 1e ETAGE'!$A$29,1,0)</f>
        <v>0</v>
      </c>
      <c r="FW217" s="160">
        <f>IF([Occurrence22]=0,0,SUM($FV$2:FV217))</f>
        <v>0</v>
      </c>
      <c r="FX217" s="160">
        <f>IF([Chambre2]*1='CHAMBRES FILLES 1e ETAGE'!$A$35,1,0)</f>
        <v>0</v>
      </c>
      <c r="FY217" s="160">
        <f>IF([Occurrence23]=0,0,SUM($FX$2:FX217))</f>
        <v>0</v>
      </c>
      <c r="FZ217" s="160">
        <f>IF([Chambre2]*1='CHAMBRES FILLES 1e ETAGE'!$A$41,1,0)</f>
        <v>0</v>
      </c>
      <c r="GA217" s="160">
        <f>IF([Occurrence24]=0,0,SUM($FZ$2:FZ217))</f>
        <v>0</v>
      </c>
      <c r="GB217" s="160">
        <f>IF([Chambre2]*1='CHAMBRES FILLES 1e ETAGE'!$A$47,1,0)</f>
        <v>0</v>
      </c>
      <c r="GC217" s="160">
        <f>IF([Occurrence25]=0,0,SUM($GB$2:GB217))</f>
        <v>0</v>
      </c>
      <c r="GD217" s="160">
        <f>IF([Chambre2]*1='CHAMBRES FILLES 1e ETAGE'!$A$53,1,0)</f>
        <v>0</v>
      </c>
      <c r="GE217" s="160">
        <f>IF([Occurrence26]=0,0,SUM($GD$2:GD217))</f>
        <v>0</v>
      </c>
      <c r="GF217" s="160">
        <f>IF([chambre4]*1='CHAMBRES GARCONS 1e ETAGE'!$A$5,1,0)</f>
        <v>0</v>
      </c>
      <c r="GG217" s="160">
        <f>IF([Occurrence27]=0,0,SUM($GF$2:GF217))</f>
        <v>0</v>
      </c>
      <c r="GH217" s="160">
        <f>IF([chambre4]*1='CHAMBRES GARCONS 1e ETAGE'!$A$11,1,0)</f>
        <v>0</v>
      </c>
      <c r="GI217" s="160">
        <f>IF([Occurrence28]=0,0,SUM($GH$2:GH217))</f>
        <v>0</v>
      </c>
      <c r="GJ217" s="160">
        <f>IF([chambre4]*1='CHAMBRES GARCONS 1e ETAGE'!$A$17,1,0)</f>
        <v>0</v>
      </c>
      <c r="GK217" s="160">
        <f>IF([Occurrence29]=0,0,SUM($GJ$2:GJ217))</f>
        <v>0</v>
      </c>
      <c r="GL217" s="160">
        <f>IF([chambre4]*1='CHAMBRES GARCONS 1e ETAGE'!$A$23,1,0)</f>
        <v>0</v>
      </c>
      <c r="GM217" s="160">
        <f>IF([Occurrence30]=0,0,SUM($GL$2:GL217))</f>
        <v>0</v>
      </c>
      <c r="GN217" s="160">
        <f>IF([chambre4]*1='CHAMBRES GARCONS 1e ETAGE'!$A$29,1,0)</f>
        <v>0</v>
      </c>
      <c r="GO217" s="160">
        <f>IF([Occurrence31]=0,0,SUM($GN$2:GN217))</f>
        <v>0</v>
      </c>
      <c r="GP217" s="160">
        <f>IF([chambre4]*1='CHAMBRES GARCONS 1e ETAGE'!$A$35,1,0)</f>
        <v>0</v>
      </c>
      <c r="GQ217" s="160">
        <f>IF([Occurrence32]=0,0,SUM($GP$2:GP217))</f>
        <v>0</v>
      </c>
      <c r="GR217" s="160">
        <f>IF([chambre3]*1='CHAMBRES GARCONS RDC'!$A$5,1,0)</f>
        <v>0</v>
      </c>
      <c r="GS217" s="160">
        <f>IF([Occurrence33]=0,0,SUM($GR$2:GR217))</f>
        <v>0</v>
      </c>
      <c r="GT217" s="160">
        <f>IF([chambre3]*1='CHAMBRES GARCONS RDC'!$A$11,1,0)</f>
        <v>0</v>
      </c>
      <c r="GU217" s="160">
        <f>IF([Occurrence34]=0,0,SUM($GT$2:GT217))</f>
        <v>0</v>
      </c>
      <c r="GV217" s="160">
        <f>IF([chambre3]*1='CHAMBRES GARCONS RDC'!$A$17,1,0)</f>
        <v>0</v>
      </c>
      <c r="GW217" s="160">
        <f>IF([Occurrence35]=0,0,SUM($GV$2:GV217))</f>
        <v>0</v>
      </c>
      <c r="GX217" s="160">
        <f>IF([chambre3]*1='CHAMBRES GARCONS RDC'!$A$23,1,0)</f>
        <v>0</v>
      </c>
      <c r="GY217" s="160">
        <f>IF([Occurrence36]=0,0,SUM($GX$2:GX217))</f>
        <v>0</v>
      </c>
      <c r="GZ217" s="160">
        <f>IF([chambre3]*1='CHAMBRES GARCONS RDC'!$A$29,1,0)</f>
        <v>0</v>
      </c>
      <c r="HA217" s="160">
        <f>IF([Occurrence37]=0,0,SUM($GZ$2:GZ217))</f>
        <v>0</v>
      </c>
      <c r="HB217" s="160">
        <f>IF([chambre3]*1='CHAMBRES GARCONS RDC'!$A$35,1,0)</f>
        <v>0</v>
      </c>
      <c r="HC217" s="160">
        <f>IF([Occurrence38]=0,0,SUM($HB$2:HB217))</f>
        <v>0</v>
      </c>
      <c r="HD217" s="160">
        <f>IF([chambre3]*1='CHAMBRES GARCONS RDC'!$A$41,1,0)</f>
        <v>0</v>
      </c>
      <c r="HE217" s="160">
        <f>IF([Occurrence39]=0,0,SUM($HD$2:HD217))</f>
        <v>0</v>
      </c>
      <c r="HF217" s="160">
        <f>IF([chambre3]*1='CHAMBRES GARCONS RDC'!$A$47,1,0)</f>
        <v>0</v>
      </c>
      <c r="HG217" s="160">
        <f>IF([Occurrence40]=0,0,SUM($HF$2:HF217))</f>
        <v>0</v>
      </c>
      <c r="HH217" s="160">
        <f>IF([chambre3]*1='CHAMBRES GARCONS RDC'!$A$53,1,0)</f>
        <v>0</v>
      </c>
      <c r="HI217" s="160">
        <f>IF([Occurrence41]=0,0,SUM($HH$2:HH217))</f>
        <v>0</v>
      </c>
      <c r="HJ217" s="160">
        <f>IF([chambre3]*1='CHAMBRES GARCONS RDC'!$A$59,1,0)</f>
        <v>0</v>
      </c>
      <c r="HK217" s="160">
        <f>IF([Occurrence42]=0,0,SUM($HJ$2:HJ217))</f>
        <v>0</v>
      </c>
      <c r="HL217" s="160">
        <f>IF([chambre3]*1='CHAMBRES GARCONS RDC'!$A$65,1,0)</f>
        <v>0</v>
      </c>
      <c r="HM217" s="160">
        <f>IF([Occurrence43]=0,0,SUM($HL$2:HL217))</f>
        <v>0</v>
      </c>
      <c r="HN217" s="160">
        <f>IF([chambre3]*1='CHAMBRES GARCONS RDC'!$A$71,1,0)</f>
        <v>0</v>
      </c>
      <c r="HO217" s="160">
        <f>IF([Occurrence44]=0,0,SUM($HN$2:HN217))</f>
        <v>0</v>
      </c>
      <c r="HP217" s="160">
        <f>IF([chambre3]*1='CHAMBRES GARCONS RDC'!$A$77,1,0)</f>
        <v>0</v>
      </c>
      <c r="HQ217" s="160">
        <f>IF([Occurrence45]=0,0,SUM($HP$2:HP217))</f>
        <v>0</v>
      </c>
      <c r="HR217" s="160">
        <f>IF([chambre3]*1='CHAMBRES GARCONS RDC'!$A$83,1,0)</f>
        <v>0</v>
      </c>
      <c r="HS217" s="160">
        <f>IF([Occurrence46]=0,0,SUM($HR$2:HR217))</f>
        <v>0</v>
      </c>
      <c r="HT217" s="160">
        <f>IF([chambre3]*1='CHAMBRES GARCONS RDC'!$A$89,1,0)</f>
        <v>0</v>
      </c>
      <c r="HU217" s="160">
        <f>IF([Occurrence47]=0,0,SUM($HT$2:HT217))</f>
        <v>0</v>
      </c>
      <c r="HV217" s="160">
        <f>IF([chambre3]*1='CHAMBRES GARCONS RDC'!$A$95,1,0)</f>
        <v>0</v>
      </c>
      <c r="HW217" s="160">
        <f>IF([Occurrence48]=0,0,SUM($HV$2:HV217))</f>
        <v>0</v>
      </c>
      <c r="HX217" s="160"/>
      <c r="HY217" s="160"/>
      <c r="HZ217" s="160">
        <f>IF([Classe]='Liste élève par classes'!$B$5,1,0)</f>
        <v>0</v>
      </c>
      <c r="IA217" s="160">
        <f>IF([Occurrence]=0,0,SUM($HZ$2:HZ217))</f>
        <v>0</v>
      </c>
      <c r="IB21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160</v>
      </c>
      <c r="IC217" s="208"/>
    </row>
    <row r="218" spans="1:237">
      <c r="A218" t="s">
        <v>602</v>
      </c>
      <c r="B218" t="s">
        <v>603</v>
      </c>
      <c r="C218" s="158">
        <v>36363</v>
      </c>
      <c r="D218" s="62">
        <f t="shared" ca="1" si="3"/>
        <v>18</v>
      </c>
      <c r="E218" t="s">
        <v>3</v>
      </c>
      <c r="F218" s="165" t="s">
        <v>46</v>
      </c>
      <c r="G218" t="s">
        <v>45</v>
      </c>
      <c r="H218" s="160"/>
      <c r="I218" s="62"/>
      <c r="J218" s="62"/>
      <c r="K218" s="62"/>
      <c r="L218" s="61"/>
      <c r="M218" s="62"/>
      <c r="N218" s="62"/>
      <c r="O218" s="62"/>
      <c r="P218" s="62"/>
      <c r="Q218" s="62"/>
      <c r="R218" s="62"/>
      <c r="S218" s="62"/>
      <c r="T218" s="62"/>
      <c r="U218" s="61"/>
      <c r="V218" s="62"/>
      <c r="W218" s="62"/>
      <c r="X218" s="62"/>
      <c r="Y218" s="62"/>
      <c r="Z218" s="62"/>
      <c r="AA218" s="62"/>
      <c r="AB218" s="62"/>
      <c r="AC218" s="62"/>
      <c r="AD218" s="62"/>
      <c r="AE218" s="62"/>
      <c r="AF218" s="163"/>
      <c r="AG218" s="163"/>
      <c r="AH218" s="163"/>
      <c r="AI218" s="163"/>
      <c r="AJ218" s="163"/>
      <c r="AK218" s="163"/>
      <c r="AL218" s="163"/>
      <c r="AM218" s="163"/>
      <c r="AN218" s="163"/>
      <c r="AO218" s="163"/>
      <c r="AP218" s="163"/>
      <c r="AQ218" s="163"/>
      <c r="AR218" s="163"/>
      <c r="AS218" s="163"/>
      <c r="AT218" s="163"/>
      <c r="AU218" s="163"/>
      <c r="AV218" s="163"/>
      <c r="AW218" s="163"/>
      <c r="AX218" s="163"/>
      <c r="AY218" s="163"/>
      <c r="AZ218" s="163"/>
      <c r="BA218" s="163"/>
      <c r="BB218" s="163"/>
      <c r="BC218" s="163" t="b">
        <v>0</v>
      </c>
      <c r="BD218" s="163" t="b">
        <v>0</v>
      </c>
      <c r="BE218" s="163" t="b">
        <v>0</v>
      </c>
      <c r="BF218" s="163" t="b">
        <v>0</v>
      </c>
      <c r="BG218" s="163" t="b">
        <v>0</v>
      </c>
      <c r="BH218" s="163" t="b">
        <v>0</v>
      </c>
      <c r="BI218" s="163" t="b">
        <v>1</v>
      </c>
      <c r="BJ218" s="163" t="b">
        <v>0</v>
      </c>
      <c r="BK218" s="163" t="b">
        <v>0</v>
      </c>
      <c r="BL218" s="163" t="b">
        <v>0</v>
      </c>
      <c r="BM218" s="163"/>
      <c r="BN218" s="163"/>
      <c r="BO218" s="163"/>
      <c r="BP218" s="163"/>
      <c r="BQ218" s="163"/>
      <c r="BR218" s="163"/>
      <c r="BS218" s="163"/>
      <c r="BT218" s="163"/>
      <c r="BU218" s="163"/>
      <c r="BV218" s="163"/>
      <c r="BW218" s="163"/>
      <c r="BX218" s="163"/>
      <c r="BY218" s="163"/>
      <c r="BZ218" s="163"/>
      <c r="CA218" s="163"/>
      <c r="CB218" s="163"/>
      <c r="CC218" s="163"/>
      <c r="CD218" s="163"/>
      <c r="CE218" s="163"/>
      <c r="CF218" s="163"/>
      <c r="CG218" s="163"/>
      <c r="CH218" s="163"/>
      <c r="CI218" s="163"/>
      <c r="CJ218" s="163"/>
      <c r="CK218" s="163"/>
      <c r="CL218" s="163"/>
      <c r="CM218" s="163"/>
      <c r="CN218" s="163"/>
      <c r="CO218" s="163"/>
      <c r="CP218" s="163"/>
      <c r="CQ218" s="163"/>
      <c r="CR218" s="163"/>
      <c r="CS218" s="163"/>
      <c r="CT218" s="163"/>
      <c r="CU218" s="163"/>
      <c r="CV218" s="163"/>
      <c r="CW218" s="163"/>
      <c r="CX218" s="163"/>
      <c r="CY218" s="163"/>
      <c r="CZ218" s="163"/>
      <c r="DA218" s="163"/>
      <c r="DB218" s="163"/>
      <c r="DC218" s="163"/>
      <c r="DD218" s="163"/>
      <c r="DE218" s="163"/>
      <c r="DF218" s="163"/>
      <c r="DG218" s="163"/>
      <c r="DH218" s="163"/>
      <c r="DI218" s="163"/>
      <c r="DJ218" s="163"/>
      <c r="DK218" s="163"/>
      <c r="DL218" s="163"/>
      <c r="DM218" s="163"/>
      <c r="DN218" s="163"/>
      <c r="DO218" s="163"/>
      <c r="DP218" s="163"/>
      <c r="DQ218" s="163"/>
      <c r="DR218" s="163"/>
      <c r="DS218" s="163"/>
      <c r="DT218" s="163"/>
      <c r="DU218" s="163"/>
      <c r="DV218" s="163"/>
      <c r="DW218" s="163"/>
      <c r="DX218" s="163"/>
      <c r="DY218" s="163"/>
      <c r="DZ218" s="163"/>
      <c r="EA218" s="163"/>
      <c r="EB218" s="163"/>
      <c r="EC218" s="163"/>
      <c r="ED218" s="163"/>
      <c r="EE218" s="163"/>
      <c r="EF218" s="163"/>
      <c r="EG218" s="163"/>
      <c r="EH218" s="160">
        <f>IF([Chambre]*1='CHAMBRES FILLES 2e ETAGE'!$A$5,1,0)</f>
        <v>0</v>
      </c>
      <c r="EI218" s="161">
        <f>IF([Occurrence2]=0,0,SUM($EH$2:EH218))</f>
        <v>0</v>
      </c>
      <c r="EJ218" s="160">
        <f>IF([Chambre]*1='CHAMBRES FILLES 2e ETAGE'!$A$11,1,0)</f>
        <v>0</v>
      </c>
      <c r="EK218" s="160">
        <f>IF([Occurrence3]=0,0,SUM($EJ$2:EJ218))</f>
        <v>0</v>
      </c>
      <c r="EL218" s="160">
        <f>IF([Chambre]*1='CHAMBRES FILLES 2e ETAGE'!$A$17,1,0)</f>
        <v>0</v>
      </c>
      <c r="EM218" s="160">
        <f>IF([Occurrence4]=0,0,SUM($EL$2:EL218))</f>
        <v>0</v>
      </c>
      <c r="EN218" s="160">
        <f>IF([Chambre]*1='CHAMBRES FILLES 2e ETAGE'!$A$23,1,0)</f>
        <v>0</v>
      </c>
      <c r="EO218" s="160">
        <f>IF([Occurrence5]=0,0,SUM($EN$2:EN218))</f>
        <v>0</v>
      </c>
      <c r="EP218" s="160">
        <f>IF([Chambre]*1='CHAMBRES FILLES 2e ETAGE'!$A$29,1,0)</f>
        <v>0</v>
      </c>
      <c r="EQ218" s="160">
        <f>IF([Occurrence6]=0,0,SUM($EP$2:EP218))</f>
        <v>0</v>
      </c>
      <c r="ER218" s="160">
        <f>IF([Chambre]*1='CHAMBRES FILLES 2e ETAGE'!$A$35,1,0)</f>
        <v>0</v>
      </c>
      <c r="ES218" s="160">
        <f>IF([Occurrence7]=0,0,SUM($ER$2:ER218))</f>
        <v>0</v>
      </c>
      <c r="ET218" s="160">
        <f>IF([Chambre]*1='CHAMBRES FILLES 2e ETAGE'!$A$41,1,0)</f>
        <v>0</v>
      </c>
      <c r="EU218" s="160">
        <f>IF([Occurrence8]=0,0,SUM($ET$2:ET218))</f>
        <v>0</v>
      </c>
      <c r="EV218" s="160">
        <f>IF([Chambre]*1='CHAMBRES FILLES 2e ETAGE'!$A$47,1,0)</f>
        <v>0</v>
      </c>
      <c r="EW218" s="160">
        <f>IF([Occurrence9]=0,0,SUM($EV$2:EV218))</f>
        <v>0</v>
      </c>
      <c r="EX218" s="160">
        <f>IF([Chambre]*1='CHAMBRES FILLES 2e ETAGE'!$A$53,1,0)</f>
        <v>0</v>
      </c>
      <c r="EY218" s="160">
        <f>IF([Occurrence10]=0,0,SUM($EX$2:EX218))</f>
        <v>0</v>
      </c>
      <c r="EZ218" s="160">
        <f>IF([Chambre]*1='CHAMBRES FILLES 2e ETAGE'!$A$59,1,0)</f>
        <v>0</v>
      </c>
      <c r="FA218" s="160">
        <f>IF([Occurrence11]=0,0,SUM($EZ$2:EZ218))</f>
        <v>0</v>
      </c>
      <c r="FB218" s="160">
        <f>IF([Chambre]*1='CHAMBRES FILLES 2e ETAGE'!$A$65,1,0)</f>
        <v>0</v>
      </c>
      <c r="FC218" s="160">
        <f>IF([Occurrence12]=0,0,SUM($FB$2:FB218))</f>
        <v>0</v>
      </c>
      <c r="FD218" s="160">
        <f>IF([Chambre]*1='CHAMBRES FILLES 2e ETAGE'!$A$71,1,0)</f>
        <v>0</v>
      </c>
      <c r="FE218" s="160">
        <f>IF([Occurrence13]=0,0,SUM($FD$2:FD218))</f>
        <v>0</v>
      </c>
      <c r="FF218" s="160">
        <f>IF([Chambre]*1='CHAMBRES FILLES 2e ETAGE'!$A$77,1,0)</f>
        <v>0</v>
      </c>
      <c r="FG218" s="160">
        <f>IF([Occurrence14]=0,0,SUM($FF$2:FF218))</f>
        <v>0</v>
      </c>
      <c r="FH218" s="160">
        <f>IF([Chambre]*1='CHAMBRES FILLES 2e ETAGE'!$A$83,1,0)</f>
        <v>0</v>
      </c>
      <c r="FI218" s="160">
        <f>IF([Occurrence15]=0,0,SUM($FH$2:FH218))</f>
        <v>0</v>
      </c>
      <c r="FJ218" s="160">
        <f>IF([Chambre]*1='CHAMBRES FILLES 2e ETAGE'!$A$89,1,0)</f>
        <v>0</v>
      </c>
      <c r="FK218" s="160">
        <f>IF([Occurrence16]=0,0,SUM($FJ$2:FJ218))</f>
        <v>0</v>
      </c>
      <c r="FL218" s="160">
        <f>IF([Chambre]*1='CHAMBRES FILLES 2e ETAGE'!$A$95,1,0)</f>
        <v>0</v>
      </c>
      <c r="FM218" s="160">
        <f>IF([Occurrence17]=0,0,SUM($FL$2:FL218))</f>
        <v>0</v>
      </c>
      <c r="FN218" s="160">
        <f>IF([Chambre2]*1='CHAMBRES FILLES 1e ETAGE'!$A$5,1,0)</f>
        <v>0</v>
      </c>
      <c r="FO218" s="160">
        <f>IF([Occurrence18]=0,0,SUM($FN$2:FN218))</f>
        <v>0</v>
      </c>
      <c r="FP218" s="160">
        <f>IF([Chambre2]*1='CHAMBRES FILLES 1e ETAGE'!$A$11,1,0)</f>
        <v>0</v>
      </c>
      <c r="FQ218" s="160">
        <f>IF([Occurrence19]=0,0,SUM($FP$2:FP218))</f>
        <v>0</v>
      </c>
      <c r="FR218" s="160">
        <f>IF([Chambre2]*1='CHAMBRES FILLES 1e ETAGE'!$A$17,1,0)</f>
        <v>0</v>
      </c>
      <c r="FS218" s="160">
        <f>IF([Occurrence20]=0,0,SUM($FR$2:FR218))</f>
        <v>0</v>
      </c>
      <c r="FT218" s="160">
        <f>IF([Chambre2]*1='CHAMBRES FILLES 1e ETAGE'!$A$23,1,0)</f>
        <v>0</v>
      </c>
      <c r="FU218" s="160">
        <f>IF([Occurrence21]=0,0,SUM($FT$2:FT218))</f>
        <v>0</v>
      </c>
      <c r="FV218" s="160">
        <f>IF([Chambre2]*1='CHAMBRES FILLES 1e ETAGE'!$A$29,1,0)</f>
        <v>0</v>
      </c>
      <c r="FW218" s="160">
        <f>IF([Occurrence22]=0,0,SUM($FV$2:FV218))</f>
        <v>0</v>
      </c>
      <c r="FX218" s="160">
        <f>IF([Chambre2]*1='CHAMBRES FILLES 1e ETAGE'!$A$35,1,0)</f>
        <v>0</v>
      </c>
      <c r="FY218" s="160">
        <f>IF([Occurrence23]=0,0,SUM($FX$2:FX218))</f>
        <v>0</v>
      </c>
      <c r="FZ218" s="160">
        <f>IF([Chambre2]*1='CHAMBRES FILLES 1e ETAGE'!$A$41,1,0)</f>
        <v>0</v>
      </c>
      <c r="GA218" s="160">
        <f>IF([Occurrence24]=0,0,SUM($FZ$2:FZ218))</f>
        <v>0</v>
      </c>
      <c r="GB218" s="160">
        <f>IF([Chambre2]*1='CHAMBRES FILLES 1e ETAGE'!$A$47,1,0)</f>
        <v>0</v>
      </c>
      <c r="GC218" s="160">
        <f>IF([Occurrence25]=0,0,SUM($GB$2:GB218))</f>
        <v>0</v>
      </c>
      <c r="GD218" s="160">
        <f>IF([Chambre2]*1='CHAMBRES FILLES 1e ETAGE'!$A$53,1,0)</f>
        <v>0</v>
      </c>
      <c r="GE218" s="160">
        <f>IF([Occurrence26]=0,0,SUM($GD$2:GD218))</f>
        <v>0</v>
      </c>
      <c r="GF218" s="160">
        <f>IF([chambre4]*1='CHAMBRES GARCONS 1e ETAGE'!$A$5,1,0)</f>
        <v>0</v>
      </c>
      <c r="GG218" s="160">
        <f>IF([Occurrence27]=0,0,SUM($GF$2:GF218))</f>
        <v>0</v>
      </c>
      <c r="GH218" s="160">
        <f>IF([chambre4]*1='CHAMBRES GARCONS 1e ETAGE'!$A$11,1,0)</f>
        <v>0</v>
      </c>
      <c r="GI218" s="160">
        <f>IF([Occurrence28]=0,0,SUM($GH$2:GH218))</f>
        <v>0</v>
      </c>
      <c r="GJ218" s="160">
        <f>IF([chambre4]*1='CHAMBRES GARCONS 1e ETAGE'!$A$17,1,0)</f>
        <v>0</v>
      </c>
      <c r="GK218" s="160">
        <f>IF([Occurrence29]=0,0,SUM($GJ$2:GJ218))</f>
        <v>0</v>
      </c>
      <c r="GL218" s="160">
        <f>IF([chambre4]*1='CHAMBRES GARCONS 1e ETAGE'!$A$23,1,0)</f>
        <v>0</v>
      </c>
      <c r="GM218" s="160">
        <f>IF([Occurrence30]=0,0,SUM($GL$2:GL218))</f>
        <v>0</v>
      </c>
      <c r="GN218" s="160">
        <f>IF([chambre4]*1='CHAMBRES GARCONS 1e ETAGE'!$A$29,1,0)</f>
        <v>0</v>
      </c>
      <c r="GO218" s="160">
        <f>IF([Occurrence31]=0,0,SUM($GN$2:GN218))</f>
        <v>0</v>
      </c>
      <c r="GP218" s="160">
        <f>IF([chambre4]*1='CHAMBRES GARCONS 1e ETAGE'!$A$35,1,0)</f>
        <v>0</v>
      </c>
      <c r="GQ218" s="160">
        <f>IF([Occurrence32]=0,0,SUM($GP$2:GP218))</f>
        <v>0</v>
      </c>
      <c r="GR218" s="160">
        <f>IF([chambre3]*1='CHAMBRES GARCONS RDC'!$A$5,1,0)</f>
        <v>0</v>
      </c>
      <c r="GS218" s="160">
        <f>IF([Occurrence33]=0,0,SUM($GR$2:GR218))</f>
        <v>0</v>
      </c>
      <c r="GT218" s="160">
        <f>IF([chambre3]*1='CHAMBRES GARCONS RDC'!$A$11,1,0)</f>
        <v>0</v>
      </c>
      <c r="GU218" s="160">
        <f>IF([Occurrence34]=0,0,SUM($GT$2:GT218))</f>
        <v>0</v>
      </c>
      <c r="GV218" s="160">
        <f>IF([chambre3]*1='CHAMBRES GARCONS RDC'!$A$17,1,0)</f>
        <v>0</v>
      </c>
      <c r="GW218" s="160">
        <f>IF([Occurrence35]=0,0,SUM($GV$2:GV218))</f>
        <v>0</v>
      </c>
      <c r="GX218" s="160">
        <f>IF([chambre3]*1='CHAMBRES GARCONS RDC'!$A$23,1,0)</f>
        <v>0</v>
      </c>
      <c r="GY218" s="160">
        <f>IF([Occurrence36]=0,0,SUM($GX$2:GX218))</f>
        <v>0</v>
      </c>
      <c r="GZ218" s="160">
        <f>IF([chambre3]*1='CHAMBRES GARCONS RDC'!$A$29,1,0)</f>
        <v>0</v>
      </c>
      <c r="HA218" s="160">
        <f>IF([Occurrence37]=0,0,SUM($GZ$2:GZ218))</f>
        <v>0</v>
      </c>
      <c r="HB218" s="160">
        <f>IF([chambre3]*1='CHAMBRES GARCONS RDC'!$A$35,1,0)</f>
        <v>0</v>
      </c>
      <c r="HC218" s="160">
        <f>IF([Occurrence38]=0,0,SUM($HB$2:HB218))</f>
        <v>0</v>
      </c>
      <c r="HD218" s="160">
        <f>IF([chambre3]*1='CHAMBRES GARCONS RDC'!$A$41,1,0)</f>
        <v>0</v>
      </c>
      <c r="HE218" s="160">
        <f>IF([Occurrence39]=0,0,SUM($HD$2:HD218))</f>
        <v>0</v>
      </c>
      <c r="HF218" s="160">
        <f>IF([chambre3]*1='CHAMBRES GARCONS RDC'!$A$47,1,0)</f>
        <v>0</v>
      </c>
      <c r="HG218" s="160">
        <f>IF([Occurrence40]=0,0,SUM($HF$2:HF218))</f>
        <v>0</v>
      </c>
      <c r="HH218" s="160">
        <f>IF([chambre3]*1='CHAMBRES GARCONS RDC'!$A$53,1,0)</f>
        <v>0</v>
      </c>
      <c r="HI218" s="160">
        <f>IF([Occurrence41]=0,0,SUM($HH$2:HH218))</f>
        <v>0</v>
      </c>
      <c r="HJ218" s="160">
        <f>IF([chambre3]*1='CHAMBRES GARCONS RDC'!$A$59,1,0)</f>
        <v>0</v>
      </c>
      <c r="HK218" s="160">
        <f>IF([Occurrence42]=0,0,SUM($HJ$2:HJ218))</f>
        <v>0</v>
      </c>
      <c r="HL218" s="160">
        <f>IF([chambre3]*1='CHAMBRES GARCONS RDC'!$A$65,1,0)</f>
        <v>0</v>
      </c>
      <c r="HM218" s="160">
        <f>IF([Occurrence43]=0,0,SUM($HL$2:HL218))</f>
        <v>0</v>
      </c>
      <c r="HN218" s="160">
        <f>IF([chambre3]*1='CHAMBRES GARCONS RDC'!$A$71,1,0)</f>
        <v>0</v>
      </c>
      <c r="HO218" s="160">
        <f>IF([Occurrence44]=0,0,SUM($HN$2:HN218))</f>
        <v>0</v>
      </c>
      <c r="HP218" s="160">
        <f>IF([chambre3]*1='CHAMBRES GARCONS RDC'!$A$77,1,0)</f>
        <v>0</v>
      </c>
      <c r="HQ218" s="160">
        <f>IF([Occurrence45]=0,0,SUM($HP$2:HP218))</f>
        <v>0</v>
      </c>
      <c r="HR218" s="160">
        <f>IF([chambre3]*1='CHAMBRES GARCONS RDC'!$A$83,1,0)</f>
        <v>0</v>
      </c>
      <c r="HS218" s="160">
        <f>IF([Occurrence46]=0,0,SUM($HR$2:HR218))</f>
        <v>0</v>
      </c>
      <c r="HT218" s="160">
        <f>IF([chambre3]*1='CHAMBRES GARCONS RDC'!$A$89,1,0)</f>
        <v>0</v>
      </c>
      <c r="HU218" s="160">
        <f>IF([Occurrence47]=0,0,SUM($HT$2:HT218))</f>
        <v>0</v>
      </c>
      <c r="HV218" s="160">
        <f>IF([chambre3]*1='CHAMBRES GARCONS RDC'!$A$95,1,0)</f>
        <v>0</v>
      </c>
      <c r="HW218" s="160">
        <f>IF([Occurrence48]=0,0,SUM($HV$2:HV218))</f>
        <v>0</v>
      </c>
      <c r="HX218" s="160"/>
      <c r="HY218" s="160"/>
      <c r="HZ218" s="160">
        <f>IF([Classe]='Liste élève par classes'!$B$5,1,0)</f>
        <v>0</v>
      </c>
      <c r="IA218" s="160">
        <f>IF([Occurrence]=0,0,SUM($HZ$2:HZ218))</f>
        <v>0</v>
      </c>
      <c r="IB21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18" s="208"/>
    </row>
    <row r="219" spans="1:237">
      <c r="A219" t="s">
        <v>604</v>
      </c>
      <c r="B219" t="s">
        <v>605</v>
      </c>
      <c r="C219" s="158">
        <v>36009</v>
      </c>
      <c r="D219" s="62">
        <f t="shared" ca="1" si="3"/>
        <v>19</v>
      </c>
      <c r="E219" t="s">
        <v>4</v>
      </c>
      <c r="F219" s="159" t="s">
        <v>46</v>
      </c>
      <c r="G219" t="s">
        <v>40</v>
      </c>
      <c r="H219" s="160"/>
      <c r="I219" s="161"/>
      <c r="J219" s="161"/>
      <c r="K219" s="161"/>
      <c r="L219" s="160"/>
      <c r="M219" s="161"/>
      <c r="N219" s="161"/>
      <c r="O219" s="161"/>
      <c r="P219" s="161"/>
      <c r="Q219" s="161"/>
      <c r="R219" s="161"/>
      <c r="S219" s="161"/>
      <c r="T219" s="161"/>
      <c r="U219" s="160"/>
      <c r="V219" s="161"/>
      <c r="W219" s="161"/>
      <c r="X219" s="161"/>
      <c r="Y219" s="161"/>
      <c r="Z219" s="161"/>
      <c r="AA219" s="161"/>
      <c r="AB219" s="161"/>
      <c r="AC219" s="161"/>
      <c r="AD219" s="161"/>
      <c r="AE219" s="161"/>
      <c r="AF219" s="163"/>
      <c r="AG219" s="163"/>
      <c r="AH219" s="163"/>
      <c r="AI219" s="163"/>
      <c r="AJ219" s="163"/>
      <c r="AK219" s="163"/>
      <c r="AL219" s="163"/>
      <c r="AM219" s="163"/>
      <c r="AN219" s="163"/>
      <c r="AO219" s="163"/>
      <c r="AP219" s="163"/>
      <c r="AQ219" s="163"/>
      <c r="AR219" s="163"/>
      <c r="AS219" s="163"/>
      <c r="AT219" s="163"/>
      <c r="AU219" s="163"/>
      <c r="AV219" s="163"/>
      <c r="AW219" s="163"/>
      <c r="AX219" s="163"/>
      <c r="AY219" s="163"/>
      <c r="AZ219" s="163"/>
      <c r="BA219" s="163"/>
      <c r="BB219" s="163"/>
      <c r="BC219" s="163" t="b">
        <v>0</v>
      </c>
      <c r="BD219" s="163" t="b">
        <v>0</v>
      </c>
      <c r="BE219" s="163" t="b">
        <v>0</v>
      </c>
      <c r="BF219" s="163" t="b">
        <v>0</v>
      </c>
      <c r="BG219" s="163" t="b">
        <v>0</v>
      </c>
      <c r="BH219" s="163" t="b">
        <v>0</v>
      </c>
      <c r="BI219" s="163" t="b">
        <v>1</v>
      </c>
      <c r="BJ219" s="163" t="b">
        <v>0</v>
      </c>
      <c r="BK219" s="163" t="b">
        <v>0</v>
      </c>
      <c r="BL219" s="163" t="b">
        <v>0</v>
      </c>
      <c r="BM219" s="163"/>
      <c r="BN219" s="163"/>
      <c r="BO219" s="163"/>
      <c r="BP219" s="163"/>
      <c r="BQ219" s="163"/>
      <c r="BR219" s="163"/>
      <c r="BS219" s="163"/>
      <c r="BT219" s="163"/>
      <c r="BU219" s="163"/>
      <c r="BV219" s="163"/>
      <c r="BW219" s="163"/>
      <c r="BX219" s="163"/>
      <c r="BY219" s="163"/>
      <c r="BZ219" s="163"/>
      <c r="CA219" s="163"/>
      <c r="CB219" s="163"/>
      <c r="CC219" s="163"/>
      <c r="CD219" s="163"/>
      <c r="CE219" s="163"/>
      <c r="CF219" s="163"/>
      <c r="CG219" s="163"/>
      <c r="CH219" s="163"/>
      <c r="CI219" s="163"/>
      <c r="CJ219" s="163"/>
      <c r="CK219" s="163"/>
      <c r="CL219" s="163"/>
      <c r="CM219" s="163"/>
      <c r="CN219" s="163"/>
      <c r="CO219" s="163"/>
      <c r="CP219" s="163"/>
      <c r="CQ219" s="163"/>
      <c r="CR219" s="163"/>
      <c r="CS219" s="163"/>
      <c r="CT219" s="163"/>
      <c r="CU219" s="163"/>
      <c r="CV219" s="163"/>
      <c r="CW219" s="163"/>
      <c r="CX219" s="163"/>
      <c r="CY219" s="163"/>
      <c r="CZ219" s="163"/>
      <c r="DA219" s="163"/>
      <c r="DB219" s="163"/>
      <c r="DC219" s="163"/>
      <c r="DD219" s="163"/>
      <c r="DE219" s="163"/>
      <c r="DF219" s="163"/>
      <c r="DG219" s="163"/>
      <c r="DH219" s="163"/>
      <c r="DI219" s="163"/>
      <c r="DJ219" s="163"/>
      <c r="DK219" s="163"/>
      <c r="DL219" s="163"/>
      <c r="DM219" s="163"/>
      <c r="DN219" s="163"/>
      <c r="DO219" s="163"/>
      <c r="DP219" s="163"/>
      <c r="DQ219" s="163"/>
      <c r="DR219" s="163"/>
      <c r="DS219" s="163"/>
      <c r="DT219" s="163"/>
      <c r="DU219" s="163"/>
      <c r="DV219" s="163"/>
      <c r="DW219" s="163"/>
      <c r="DX219" s="163"/>
      <c r="DY219" s="163"/>
      <c r="DZ219" s="163"/>
      <c r="EA219" s="163"/>
      <c r="EB219" s="163"/>
      <c r="EC219" s="163"/>
      <c r="ED219" s="163"/>
      <c r="EE219" s="163"/>
      <c r="EF219" s="163"/>
      <c r="EG219" s="163"/>
      <c r="EH219" s="160">
        <f>IF([Chambre]*1='CHAMBRES FILLES 2e ETAGE'!$A$5,1,0)</f>
        <v>0</v>
      </c>
      <c r="EI219" s="161">
        <f>IF([Occurrence2]=0,0,SUM($EH$2:EH219))</f>
        <v>0</v>
      </c>
      <c r="EJ219" s="160">
        <f>IF([Chambre]*1='CHAMBRES FILLES 2e ETAGE'!$A$11,1,0)</f>
        <v>0</v>
      </c>
      <c r="EK219" s="160">
        <f>IF([Occurrence3]=0,0,SUM($EJ$2:EJ219))</f>
        <v>0</v>
      </c>
      <c r="EL219" s="160">
        <f>IF([Chambre]*1='CHAMBRES FILLES 2e ETAGE'!$A$17,1,0)</f>
        <v>0</v>
      </c>
      <c r="EM219" s="160">
        <f>IF([Occurrence4]=0,0,SUM($EL$2:EL219))</f>
        <v>0</v>
      </c>
      <c r="EN219" s="160">
        <f>IF([Chambre]*1='CHAMBRES FILLES 2e ETAGE'!$A$23,1,0)</f>
        <v>0</v>
      </c>
      <c r="EO219" s="160">
        <f>IF([Occurrence5]=0,0,SUM($EN$2:EN219))</f>
        <v>0</v>
      </c>
      <c r="EP219" s="160">
        <f>IF([Chambre]*1='CHAMBRES FILLES 2e ETAGE'!$A$29,1,0)</f>
        <v>0</v>
      </c>
      <c r="EQ219" s="160">
        <f>IF([Occurrence6]=0,0,SUM($EP$2:EP219))</f>
        <v>0</v>
      </c>
      <c r="ER219" s="160">
        <f>IF([Chambre]*1='CHAMBRES FILLES 2e ETAGE'!$A$35,1,0)</f>
        <v>0</v>
      </c>
      <c r="ES219" s="160">
        <f>IF([Occurrence7]=0,0,SUM($ER$2:ER219))</f>
        <v>0</v>
      </c>
      <c r="ET219" s="160">
        <f>IF([Chambre]*1='CHAMBRES FILLES 2e ETAGE'!$A$41,1,0)</f>
        <v>0</v>
      </c>
      <c r="EU219" s="160">
        <f>IF([Occurrence8]=0,0,SUM($ET$2:ET219))</f>
        <v>0</v>
      </c>
      <c r="EV219" s="160">
        <f>IF([Chambre]*1='CHAMBRES FILLES 2e ETAGE'!$A$47,1,0)</f>
        <v>0</v>
      </c>
      <c r="EW219" s="160">
        <f>IF([Occurrence9]=0,0,SUM($EV$2:EV219))</f>
        <v>0</v>
      </c>
      <c r="EX219" s="160">
        <f>IF([Chambre]*1='CHAMBRES FILLES 2e ETAGE'!$A$53,1,0)</f>
        <v>0</v>
      </c>
      <c r="EY219" s="160">
        <f>IF([Occurrence10]=0,0,SUM($EX$2:EX219))</f>
        <v>0</v>
      </c>
      <c r="EZ219" s="160">
        <f>IF([Chambre]*1='CHAMBRES FILLES 2e ETAGE'!$A$59,1,0)</f>
        <v>0</v>
      </c>
      <c r="FA219" s="160">
        <f>IF([Occurrence11]=0,0,SUM($EZ$2:EZ219))</f>
        <v>0</v>
      </c>
      <c r="FB219" s="160">
        <f>IF([Chambre]*1='CHAMBRES FILLES 2e ETAGE'!$A$65,1,0)</f>
        <v>0</v>
      </c>
      <c r="FC219" s="160">
        <f>IF([Occurrence12]=0,0,SUM($FB$2:FB219))</f>
        <v>0</v>
      </c>
      <c r="FD219" s="160">
        <f>IF([Chambre]*1='CHAMBRES FILLES 2e ETAGE'!$A$71,1,0)</f>
        <v>0</v>
      </c>
      <c r="FE219" s="160">
        <f>IF([Occurrence13]=0,0,SUM($FD$2:FD219))</f>
        <v>0</v>
      </c>
      <c r="FF219" s="160">
        <f>IF([Chambre]*1='CHAMBRES FILLES 2e ETAGE'!$A$77,1,0)</f>
        <v>0</v>
      </c>
      <c r="FG219" s="160">
        <f>IF([Occurrence14]=0,0,SUM($FF$2:FF219))</f>
        <v>0</v>
      </c>
      <c r="FH219" s="160">
        <f>IF([Chambre]*1='CHAMBRES FILLES 2e ETAGE'!$A$83,1,0)</f>
        <v>0</v>
      </c>
      <c r="FI219" s="160">
        <f>IF([Occurrence15]=0,0,SUM($FH$2:FH219))</f>
        <v>0</v>
      </c>
      <c r="FJ219" s="160">
        <f>IF([Chambre]*1='CHAMBRES FILLES 2e ETAGE'!$A$89,1,0)</f>
        <v>0</v>
      </c>
      <c r="FK219" s="160">
        <f>IF([Occurrence16]=0,0,SUM($FJ$2:FJ219))</f>
        <v>0</v>
      </c>
      <c r="FL219" s="160">
        <f>IF([Chambre]*1='CHAMBRES FILLES 2e ETAGE'!$A$95,1,0)</f>
        <v>0</v>
      </c>
      <c r="FM219" s="160">
        <f>IF([Occurrence17]=0,0,SUM($FL$2:FL219))</f>
        <v>0</v>
      </c>
      <c r="FN219" s="160">
        <f>IF([Chambre2]*1='CHAMBRES FILLES 1e ETAGE'!$A$5,1,0)</f>
        <v>0</v>
      </c>
      <c r="FO219" s="160">
        <f>IF([Occurrence18]=0,0,SUM($FN$2:FN219))</f>
        <v>0</v>
      </c>
      <c r="FP219" s="160">
        <f>IF([Chambre2]*1='CHAMBRES FILLES 1e ETAGE'!$A$11,1,0)</f>
        <v>0</v>
      </c>
      <c r="FQ219" s="160">
        <f>IF([Occurrence19]=0,0,SUM($FP$2:FP219))</f>
        <v>0</v>
      </c>
      <c r="FR219" s="160">
        <f>IF([Chambre2]*1='CHAMBRES FILLES 1e ETAGE'!$A$17,1,0)</f>
        <v>0</v>
      </c>
      <c r="FS219" s="160">
        <f>IF([Occurrence20]=0,0,SUM($FR$2:FR219))</f>
        <v>0</v>
      </c>
      <c r="FT219" s="160">
        <f>IF([Chambre2]*1='CHAMBRES FILLES 1e ETAGE'!$A$23,1,0)</f>
        <v>0</v>
      </c>
      <c r="FU219" s="160">
        <f>IF([Occurrence21]=0,0,SUM($FT$2:FT219))</f>
        <v>0</v>
      </c>
      <c r="FV219" s="160">
        <f>IF([Chambre2]*1='CHAMBRES FILLES 1e ETAGE'!$A$29,1,0)</f>
        <v>0</v>
      </c>
      <c r="FW219" s="160">
        <f>IF([Occurrence22]=0,0,SUM($FV$2:FV219))</f>
        <v>0</v>
      </c>
      <c r="FX219" s="160">
        <f>IF([Chambre2]*1='CHAMBRES FILLES 1e ETAGE'!$A$35,1,0)</f>
        <v>0</v>
      </c>
      <c r="FY219" s="160">
        <f>IF([Occurrence23]=0,0,SUM($FX$2:FX219))</f>
        <v>0</v>
      </c>
      <c r="FZ219" s="160">
        <f>IF([Chambre2]*1='CHAMBRES FILLES 1e ETAGE'!$A$41,1,0)</f>
        <v>0</v>
      </c>
      <c r="GA219" s="160">
        <f>IF([Occurrence24]=0,0,SUM($FZ$2:FZ219))</f>
        <v>0</v>
      </c>
      <c r="GB219" s="160">
        <f>IF([Chambre2]*1='CHAMBRES FILLES 1e ETAGE'!$A$47,1,0)</f>
        <v>0</v>
      </c>
      <c r="GC219" s="160">
        <f>IF([Occurrence25]=0,0,SUM($GB$2:GB219))</f>
        <v>0</v>
      </c>
      <c r="GD219" s="160">
        <f>IF([Chambre2]*1='CHAMBRES FILLES 1e ETAGE'!$A$53,1,0)</f>
        <v>0</v>
      </c>
      <c r="GE219" s="160">
        <f>IF([Occurrence26]=0,0,SUM($GD$2:GD219))</f>
        <v>0</v>
      </c>
      <c r="GF219" s="160">
        <f>IF([chambre4]*1='CHAMBRES GARCONS 1e ETAGE'!$A$5,1,0)</f>
        <v>0</v>
      </c>
      <c r="GG219" s="160">
        <f>IF([Occurrence27]=0,0,SUM($GF$2:GF219))</f>
        <v>0</v>
      </c>
      <c r="GH219" s="160">
        <f>IF([chambre4]*1='CHAMBRES GARCONS 1e ETAGE'!$A$11,1,0)</f>
        <v>0</v>
      </c>
      <c r="GI219" s="160">
        <f>IF([Occurrence28]=0,0,SUM($GH$2:GH219))</f>
        <v>0</v>
      </c>
      <c r="GJ219" s="160">
        <f>IF([chambre4]*1='CHAMBRES GARCONS 1e ETAGE'!$A$17,1,0)</f>
        <v>0</v>
      </c>
      <c r="GK219" s="160">
        <f>IF([Occurrence29]=0,0,SUM($GJ$2:GJ219))</f>
        <v>0</v>
      </c>
      <c r="GL219" s="160">
        <f>IF([chambre4]*1='CHAMBRES GARCONS 1e ETAGE'!$A$23,1,0)</f>
        <v>0</v>
      </c>
      <c r="GM219" s="160">
        <f>IF([Occurrence30]=0,0,SUM($GL$2:GL219))</f>
        <v>0</v>
      </c>
      <c r="GN219" s="160">
        <f>IF([chambre4]*1='CHAMBRES GARCONS 1e ETAGE'!$A$29,1,0)</f>
        <v>0</v>
      </c>
      <c r="GO219" s="160">
        <f>IF([Occurrence31]=0,0,SUM($GN$2:GN219))</f>
        <v>0</v>
      </c>
      <c r="GP219" s="160">
        <f>IF([chambre4]*1='CHAMBRES GARCONS 1e ETAGE'!$A$35,1,0)</f>
        <v>0</v>
      </c>
      <c r="GQ219" s="160">
        <f>IF([Occurrence32]=0,0,SUM($GP$2:GP219))</f>
        <v>0</v>
      </c>
      <c r="GR219" s="160">
        <f>IF([chambre3]*1='CHAMBRES GARCONS RDC'!$A$5,1,0)</f>
        <v>0</v>
      </c>
      <c r="GS219" s="160">
        <f>IF([Occurrence33]=0,0,SUM($GR$2:GR219))</f>
        <v>0</v>
      </c>
      <c r="GT219" s="160">
        <f>IF([chambre3]*1='CHAMBRES GARCONS RDC'!$A$11,1,0)</f>
        <v>0</v>
      </c>
      <c r="GU219" s="160">
        <f>IF([Occurrence34]=0,0,SUM($GT$2:GT219))</f>
        <v>0</v>
      </c>
      <c r="GV219" s="160">
        <f>IF([chambre3]*1='CHAMBRES GARCONS RDC'!$A$17,1,0)</f>
        <v>0</v>
      </c>
      <c r="GW219" s="160">
        <f>IF([Occurrence35]=0,0,SUM($GV$2:GV219))</f>
        <v>0</v>
      </c>
      <c r="GX219" s="160">
        <f>IF([chambre3]*1='CHAMBRES GARCONS RDC'!$A$23,1,0)</f>
        <v>0</v>
      </c>
      <c r="GY219" s="160">
        <f>IF([Occurrence36]=0,0,SUM($GX$2:GX219))</f>
        <v>0</v>
      </c>
      <c r="GZ219" s="160">
        <f>IF([chambre3]*1='CHAMBRES GARCONS RDC'!$A$29,1,0)</f>
        <v>0</v>
      </c>
      <c r="HA219" s="160">
        <f>IF([Occurrence37]=0,0,SUM($GZ$2:GZ219))</f>
        <v>0</v>
      </c>
      <c r="HB219" s="160">
        <f>IF([chambre3]*1='CHAMBRES GARCONS RDC'!$A$35,1,0)</f>
        <v>0</v>
      </c>
      <c r="HC219" s="160">
        <f>IF([Occurrence38]=0,0,SUM($HB$2:HB219))</f>
        <v>0</v>
      </c>
      <c r="HD219" s="160">
        <f>IF([chambre3]*1='CHAMBRES GARCONS RDC'!$A$41,1,0)</f>
        <v>0</v>
      </c>
      <c r="HE219" s="160">
        <f>IF([Occurrence39]=0,0,SUM($HD$2:HD219))</f>
        <v>0</v>
      </c>
      <c r="HF219" s="160">
        <f>IF([chambre3]*1='CHAMBRES GARCONS RDC'!$A$47,1,0)</f>
        <v>0</v>
      </c>
      <c r="HG219" s="160">
        <f>IF([Occurrence40]=0,0,SUM($HF$2:HF219))</f>
        <v>0</v>
      </c>
      <c r="HH219" s="160">
        <f>IF([chambre3]*1='CHAMBRES GARCONS RDC'!$A$53,1,0)</f>
        <v>0</v>
      </c>
      <c r="HI219" s="160">
        <f>IF([Occurrence41]=0,0,SUM($HH$2:HH219))</f>
        <v>0</v>
      </c>
      <c r="HJ219" s="160">
        <f>IF([chambre3]*1='CHAMBRES GARCONS RDC'!$A$59,1,0)</f>
        <v>0</v>
      </c>
      <c r="HK219" s="160">
        <f>IF([Occurrence42]=0,0,SUM($HJ$2:HJ219))</f>
        <v>0</v>
      </c>
      <c r="HL219" s="160">
        <f>IF([chambre3]*1='CHAMBRES GARCONS RDC'!$A$65,1,0)</f>
        <v>0</v>
      </c>
      <c r="HM219" s="160">
        <f>IF([Occurrence43]=0,0,SUM($HL$2:HL219))</f>
        <v>0</v>
      </c>
      <c r="HN219" s="160">
        <f>IF([chambre3]*1='CHAMBRES GARCONS RDC'!$A$71,1,0)</f>
        <v>0</v>
      </c>
      <c r="HO219" s="160">
        <f>IF([Occurrence44]=0,0,SUM($HN$2:HN219))</f>
        <v>0</v>
      </c>
      <c r="HP219" s="160">
        <f>IF([chambre3]*1='CHAMBRES GARCONS RDC'!$A$77,1,0)</f>
        <v>0</v>
      </c>
      <c r="HQ219" s="160">
        <f>IF([Occurrence45]=0,0,SUM($HP$2:HP219))</f>
        <v>0</v>
      </c>
      <c r="HR219" s="160">
        <f>IF([chambre3]*1='CHAMBRES GARCONS RDC'!$A$83,1,0)</f>
        <v>0</v>
      </c>
      <c r="HS219" s="160">
        <f>IF([Occurrence46]=0,0,SUM($HR$2:HR219))</f>
        <v>0</v>
      </c>
      <c r="HT219" s="160">
        <f>IF([chambre3]*1='CHAMBRES GARCONS RDC'!$A$89,1,0)</f>
        <v>0</v>
      </c>
      <c r="HU219" s="160">
        <f>IF([Occurrence47]=0,0,SUM($HT$2:HT219))</f>
        <v>0</v>
      </c>
      <c r="HV219" s="160">
        <f>IF([chambre3]*1='CHAMBRES GARCONS RDC'!$A$95,1,0)</f>
        <v>0</v>
      </c>
      <c r="HW219" s="160">
        <f>IF([Occurrence48]=0,0,SUM($HV$2:HV219))</f>
        <v>0</v>
      </c>
      <c r="HX219" s="160"/>
      <c r="HY219" s="160"/>
      <c r="HZ219" s="160">
        <f>IF([Classe]='Liste élève par classes'!$B$5,1,0)</f>
        <v>0</v>
      </c>
      <c r="IA219" s="160">
        <f>IF([Occurrence]=0,0,SUM($HZ$2:HZ219))</f>
        <v>0</v>
      </c>
      <c r="IB21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19" s="208"/>
    </row>
    <row r="220" spans="1:237">
      <c r="A220" t="s">
        <v>606</v>
      </c>
      <c r="B220" t="s">
        <v>367</v>
      </c>
      <c r="C220" s="158">
        <v>37199</v>
      </c>
      <c r="D220" s="62">
        <f t="shared" ca="1" si="3"/>
        <v>16</v>
      </c>
      <c r="E220" t="s">
        <v>8</v>
      </c>
      <c r="F220" s="159" t="s">
        <v>50</v>
      </c>
      <c r="G220" t="s">
        <v>45</v>
      </c>
      <c r="H220" s="160"/>
      <c r="I220" s="62"/>
      <c r="J220" s="62"/>
      <c r="K220" s="62"/>
      <c r="L220" s="61">
        <v>179</v>
      </c>
      <c r="M220">
        <v>110</v>
      </c>
      <c r="N220" s="62"/>
      <c r="O220" s="62"/>
      <c r="P220" s="62"/>
      <c r="Q220" s="62"/>
      <c r="R220" s="62"/>
      <c r="S220" s="191"/>
      <c r="T220" s="62"/>
      <c r="U220" s="61"/>
      <c r="V220" s="62"/>
      <c r="W220" s="62"/>
      <c r="X220" s="62"/>
      <c r="Y220" s="62"/>
      <c r="Z220" s="62"/>
      <c r="AA220" s="62"/>
      <c r="AB220" s="62"/>
      <c r="AC220" s="62"/>
      <c r="AD220" s="62"/>
      <c r="AE220" s="62"/>
      <c r="AF220" s="163"/>
      <c r="AG220" s="163"/>
      <c r="AH220" s="163"/>
      <c r="AI220" s="163"/>
      <c r="AJ220" s="163"/>
      <c r="AK220" s="163"/>
      <c r="AL220" s="163"/>
      <c r="AM220" s="163"/>
      <c r="AN220" s="163"/>
      <c r="AO220" s="163"/>
      <c r="AP220" s="163"/>
      <c r="AQ220" s="163"/>
      <c r="AR220" s="163"/>
      <c r="AS220" s="163"/>
      <c r="AT220" s="163"/>
      <c r="AU220" s="163"/>
      <c r="AV220" s="163"/>
      <c r="AW220" s="163"/>
      <c r="AX220" s="163"/>
      <c r="AY220" s="163"/>
      <c r="AZ220" s="163"/>
      <c r="BA220" s="163"/>
      <c r="BB220" s="163"/>
      <c r="BC220" s="163" t="b">
        <v>0</v>
      </c>
      <c r="BD220" s="163" t="b">
        <v>1</v>
      </c>
      <c r="BE220" s="163" t="b">
        <v>1</v>
      </c>
      <c r="BF220" s="163" t="b">
        <v>0</v>
      </c>
      <c r="BG220" s="164" t="b">
        <v>0</v>
      </c>
      <c r="BH220" s="163" t="b">
        <v>1</v>
      </c>
      <c r="BI220" s="163"/>
      <c r="BJ220" s="163"/>
      <c r="BK220" s="163"/>
      <c r="BL220" s="163"/>
      <c r="BM220" s="163"/>
      <c r="BN220" s="163"/>
      <c r="BO220" s="163"/>
      <c r="BP220" s="163"/>
      <c r="BQ220" s="163" t="b">
        <v>1</v>
      </c>
      <c r="BR220" s="163"/>
      <c r="BS220" s="163"/>
      <c r="BT220" s="163"/>
      <c r="BU220" s="163"/>
      <c r="BV220" s="163"/>
      <c r="BW220" s="163"/>
      <c r="BX220" s="163"/>
      <c r="BY220" s="163"/>
      <c r="BZ220" s="163"/>
      <c r="CA220" s="163"/>
      <c r="CB220" s="163"/>
      <c r="CC220" s="163"/>
      <c r="CD220" s="163"/>
      <c r="CE220" s="163"/>
      <c r="CF220" s="163"/>
      <c r="CG220" s="163"/>
      <c r="CH220" s="163"/>
      <c r="CI220" s="163"/>
      <c r="CJ220" s="163"/>
      <c r="CK220" s="163"/>
      <c r="CL220" s="163"/>
      <c r="CM220" s="163"/>
      <c r="CN220" s="163"/>
      <c r="CO220" s="163"/>
      <c r="CP220" s="163"/>
      <c r="CQ220" s="163"/>
      <c r="CR220" s="163"/>
      <c r="CS220" s="163"/>
      <c r="CT220" s="163"/>
      <c r="CU220" s="163"/>
      <c r="CV220" s="163"/>
      <c r="CW220" s="163"/>
      <c r="CX220" s="163"/>
      <c r="CY220" s="163"/>
      <c r="CZ220" s="163"/>
      <c r="DA220" s="163"/>
      <c r="DB220" s="163"/>
      <c r="DC220" s="163"/>
      <c r="DD220" s="163"/>
      <c r="DE220" s="163"/>
      <c r="DF220" s="163"/>
      <c r="DG220" s="208"/>
      <c r="DH220" s="163"/>
      <c r="DI220" s="163"/>
      <c r="DJ220" s="163"/>
      <c r="DK220" s="163"/>
      <c r="DL220" s="163"/>
      <c r="DM220" s="163"/>
      <c r="DN220" s="163"/>
      <c r="DO220" s="163"/>
      <c r="DP220" s="163"/>
      <c r="DQ220" s="163"/>
      <c r="DR220" s="163"/>
      <c r="DS220" s="163"/>
      <c r="DT220" s="163"/>
      <c r="DU220" s="163"/>
      <c r="DV220" s="163"/>
      <c r="DW220" s="163"/>
      <c r="DX220" s="163"/>
      <c r="DY220" s="163"/>
      <c r="DZ220" s="163"/>
      <c r="EA220" s="163"/>
      <c r="EB220" s="163"/>
      <c r="EC220" s="163"/>
      <c r="ED220" s="163"/>
      <c r="EE220" s="163"/>
      <c r="EF220" s="163"/>
      <c r="EG220" s="163"/>
      <c r="EH220" s="160">
        <f>IF([Chambre]*1='CHAMBRES FILLES 2e ETAGE'!$A$5,1,0)</f>
        <v>0</v>
      </c>
      <c r="EI220" s="161">
        <f>IF([Occurrence2]=0,0,SUM($EH$2:EH220))</f>
        <v>0</v>
      </c>
      <c r="EJ220" s="160">
        <f>IF([Chambre]*1='CHAMBRES FILLES 2e ETAGE'!$A$11,1,0)</f>
        <v>0</v>
      </c>
      <c r="EK220" s="160">
        <f>IF([Occurrence3]=0,0,SUM($EJ$2:EJ220))</f>
        <v>0</v>
      </c>
      <c r="EL220" s="160">
        <f>IF([Chambre]*1='CHAMBRES FILLES 2e ETAGE'!$A$17,1,0)</f>
        <v>0</v>
      </c>
      <c r="EM220" s="160">
        <f>IF([Occurrence4]=0,0,SUM($EL$2:EL220))</f>
        <v>0</v>
      </c>
      <c r="EN220" s="160">
        <f>IF([Chambre]*1='CHAMBRES FILLES 2e ETAGE'!$A$23,1,0)</f>
        <v>0</v>
      </c>
      <c r="EO220" s="160">
        <f>IF([Occurrence5]=0,0,SUM($EN$2:EN220))</f>
        <v>0</v>
      </c>
      <c r="EP220" s="160">
        <f>IF([Chambre]*1='CHAMBRES FILLES 2e ETAGE'!$A$29,1,0)</f>
        <v>0</v>
      </c>
      <c r="EQ220" s="160">
        <f>IF([Occurrence6]=0,0,SUM($EP$2:EP220))</f>
        <v>0</v>
      </c>
      <c r="ER220" s="160">
        <f>IF([Chambre]*1='CHAMBRES FILLES 2e ETAGE'!$A$35,1,0)</f>
        <v>0</v>
      </c>
      <c r="ES220" s="160">
        <f>IF([Occurrence7]=0,0,SUM($ER$2:ER220))</f>
        <v>0</v>
      </c>
      <c r="ET220" s="160">
        <f>IF([Chambre]*1='CHAMBRES FILLES 2e ETAGE'!$A$41,1,0)</f>
        <v>0</v>
      </c>
      <c r="EU220" s="160">
        <f>IF([Occurrence8]=0,0,SUM($ET$2:ET220))</f>
        <v>0</v>
      </c>
      <c r="EV220" s="160">
        <f>IF([Chambre]*1='CHAMBRES FILLES 2e ETAGE'!$A$47,1,0)</f>
        <v>0</v>
      </c>
      <c r="EW220" s="160">
        <f>IF([Occurrence9]=0,0,SUM($EV$2:EV220))</f>
        <v>0</v>
      </c>
      <c r="EX220" s="160">
        <f>IF([Chambre]*1='CHAMBRES FILLES 2e ETAGE'!$A$53,1,0)</f>
        <v>0</v>
      </c>
      <c r="EY220" s="160">
        <f>IF([Occurrence10]=0,0,SUM($EX$2:EX220))</f>
        <v>0</v>
      </c>
      <c r="EZ220" s="160">
        <f>IF([Chambre]*1='CHAMBRES FILLES 2e ETAGE'!$A$59,1,0)</f>
        <v>0</v>
      </c>
      <c r="FA220" s="160">
        <f>IF([Occurrence11]=0,0,SUM($EZ$2:EZ220))</f>
        <v>0</v>
      </c>
      <c r="FB220" s="160">
        <f>IF([Chambre]*1='CHAMBRES FILLES 2e ETAGE'!$A$65,1,0)</f>
        <v>0</v>
      </c>
      <c r="FC220" s="160">
        <f>IF([Occurrence12]=0,0,SUM($FB$2:FB220))</f>
        <v>0</v>
      </c>
      <c r="FD220" s="160">
        <f>IF([Chambre]*1='CHAMBRES FILLES 2e ETAGE'!$A$71,1,0)</f>
        <v>1</v>
      </c>
      <c r="FE220" s="160">
        <f>IF([Occurrence13]=0,0,SUM($FD$2:FD220))</f>
        <v>4</v>
      </c>
      <c r="FF220" s="160">
        <f>IF([Chambre]*1='CHAMBRES FILLES 2e ETAGE'!$A$77,1,0)</f>
        <v>0</v>
      </c>
      <c r="FG220" s="160">
        <f>IF([Occurrence14]=0,0,SUM($FF$2:FF220))</f>
        <v>0</v>
      </c>
      <c r="FH220" s="160">
        <f>IF([Chambre]*1='CHAMBRES FILLES 2e ETAGE'!$A$83,1,0)</f>
        <v>0</v>
      </c>
      <c r="FI220" s="160">
        <f>IF([Occurrence15]=0,0,SUM($FH$2:FH220))</f>
        <v>0</v>
      </c>
      <c r="FJ220" s="160">
        <f>IF([Chambre]*1='CHAMBRES FILLES 2e ETAGE'!$A$89,1,0)</f>
        <v>0</v>
      </c>
      <c r="FK220" s="160">
        <f>IF([Occurrence16]=0,0,SUM($FJ$2:FJ220))</f>
        <v>0</v>
      </c>
      <c r="FL220" s="160">
        <f>IF([Chambre]*1='CHAMBRES FILLES 2e ETAGE'!$A$95,1,0)</f>
        <v>0</v>
      </c>
      <c r="FM220" s="160">
        <f>IF([Occurrence17]=0,0,SUM($FL$2:FL220))</f>
        <v>0</v>
      </c>
      <c r="FN220" s="160">
        <f>IF([Chambre2]*1='CHAMBRES FILLES 1e ETAGE'!$A$5,1,0)</f>
        <v>0</v>
      </c>
      <c r="FO220" s="160">
        <f>IF([Occurrence18]=0,0,SUM($FN$2:FN220))</f>
        <v>0</v>
      </c>
      <c r="FP220" s="160">
        <f>IF([Chambre2]*1='CHAMBRES FILLES 1e ETAGE'!$A$11,1,0)</f>
        <v>0</v>
      </c>
      <c r="FQ220" s="160">
        <f>IF([Occurrence19]=0,0,SUM($FP$2:FP220))</f>
        <v>0</v>
      </c>
      <c r="FR220" s="160">
        <f>IF([Chambre2]*1='CHAMBRES FILLES 1e ETAGE'!$A$17,1,0)</f>
        <v>0</v>
      </c>
      <c r="FS220" s="160">
        <f>IF([Occurrence20]=0,0,SUM($FR$2:FR220))</f>
        <v>0</v>
      </c>
      <c r="FT220" s="160">
        <f>IF([Chambre2]*1='CHAMBRES FILLES 1e ETAGE'!$A$23,1,0)</f>
        <v>0</v>
      </c>
      <c r="FU220" s="160">
        <f>IF([Occurrence21]=0,0,SUM($FT$2:FT220))</f>
        <v>0</v>
      </c>
      <c r="FV220" s="160">
        <f>IF([Chambre2]*1='CHAMBRES FILLES 1e ETAGE'!$A$29,1,0)</f>
        <v>0</v>
      </c>
      <c r="FW220" s="160">
        <f>IF([Occurrence22]=0,0,SUM($FV$2:FV220))</f>
        <v>0</v>
      </c>
      <c r="FX220" s="160">
        <f>IF([Chambre2]*1='CHAMBRES FILLES 1e ETAGE'!$A$35,1,0)</f>
        <v>0</v>
      </c>
      <c r="FY220" s="160">
        <f>IF([Occurrence23]=0,0,SUM($FX$2:FX220))</f>
        <v>0</v>
      </c>
      <c r="FZ220" s="160">
        <f>IF([Chambre2]*1='CHAMBRES FILLES 1e ETAGE'!$A$41,1,0)</f>
        <v>0</v>
      </c>
      <c r="GA220" s="160">
        <f>IF([Occurrence24]=0,0,SUM($FZ$2:FZ220))</f>
        <v>0</v>
      </c>
      <c r="GB220" s="160">
        <f>IF([Chambre2]*1='CHAMBRES FILLES 1e ETAGE'!$A$47,1,0)</f>
        <v>0</v>
      </c>
      <c r="GC220" s="160">
        <f>IF([Occurrence25]=0,0,SUM($GB$2:GB220))</f>
        <v>0</v>
      </c>
      <c r="GD220" s="160">
        <f>IF([Chambre2]*1='CHAMBRES FILLES 1e ETAGE'!$A$53,1,0)</f>
        <v>0</v>
      </c>
      <c r="GE220" s="160">
        <f>IF([Occurrence26]=0,0,SUM($GD$2:GD220))</f>
        <v>0</v>
      </c>
      <c r="GF220" s="160">
        <f>IF([chambre4]*1='CHAMBRES GARCONS 1e ETAGE'!$A$5,1,0)</f>
        <v>0</v>
      </c>
      <c r="GG220" s="160">
        <f>IF([Occurrence27]=0,0,SUM($GF$2:GF220))</f>
        <v>0</v>
      </c>
      <c r="GH220" s="160">
        <f>IF([chambre4]*1='CHAMBRES GARCONS 1e ETAGE'!$A$11,1,0)</f>
        <v>0</v>
      </c>
      <c r="GI220" s="160">
        <f>IF([Occurrence28]=0,0,SUM($GH$2:GH220))</f>
        <v>0</v>
      </c>
      <c r="GJ220" s="160">
        <f>IF([chambre4]*1='CHAMBRES GARCONS 1e ETAGE'!$A$17,1,0)</f>
        <v>0</v>
      </c>
      <c r="GK220" s="160">
        <f>IF([Occurrence29]=0,0,SUM($GJ$2:GJ220))</f>
        <v>0</v>
      </c>
      <c r="GL220" s="160">
        <f>IF([chambre4]*1='CHAMBRES GARCONS 1e ETAGE'!$A$23,1,0)</f>
        <v>0</v>
      </c>
      <c r="GM220" s="160">
        <f>IF([Occurrence30]=0,0,SUM($GL$2:GL220))</f>
        <v>0</v>
      </c>
      <c r="GN220" s="160">
        <f>IF([chambre4]*1='CHAMBRES GARCONS 1e ETAGE'!$A$29,1,0)</f>
        <v>0</v>
      </c>
      <c r="GO220" s="160">
        <f>IF([Occurrence31]=0,0,SUM($GN$2:GN220))</f>
        <v>0</v>
      </c>
      <c r="GP220" s="160">
        <f>IF([chambre4]*1='CHAMBRES GARCONS 1e ETAGE'!$A$35,1,0)</f>
        <v>0</v>
      </c>
      <c r="GQ220" s="160">
        <f>IF([Occurrence32]=0,0,SUM($GP$2:GP220))</f>
        <v>0</v>
      </c>
      <c r="GR220" s="160">
        <f>IF([chambre3]*1='CHAMBRES GARCONS RDC'!$A$5,1,0)</f>
        <v>0</v>
      </c>
      <c r="GS220" s="160">
        <f>IF([Occurrence33]=0,0,SUM($GR$2:GR220))</f>
        <v>0</v>
      </c>
      <c r="GT220" s="160">
        <f>IF([chambre3]*1='CHAMBRES GARCONS RDC'!$A$11,1,0)</f>
        <v>0</v>
      </c>
      <c r="GU220" s="160">
        <f>IF([Occurrence34]=0,0,SUM($GT$2:GT220))</f>
        <v>0</v>
      </c>
      <c r="GV220" s="160">
        <f>IF([chambre3]*1='CHAMBRES GARCONS RDC'!$A$17,1,0)</f>
        <v>0</v>
      </c>
      <c r="GW220" s="160">
        <f>IF([Occurrence35]=0,0,SUM($GV$2:GV220))</f>
        <v>0</v>
      </c>
      <c r="GX220" s="160">
        <f>IF([chambre3]*1='CHAMBRES GARCONS RDC'!$A$23,1,0)</f>
        <v>0</v>
      </c>
      <c r="GY220" s="160">
        <f>IF([Occurrence36]=0,0,SUM($GX$2:GX220))</f>
        <v>0</v>
      </c>
      <c r="GZ220" s="160">
        <f>IF([chambre3]*1='CHAMBRES GARCONS RDC'!$A$29,1,0)</f>
        <v>0</v>
      </c>
      <c r="HA220" s="160">
        <f>IF([Occurrence37]=0,0,SUM($GZ$2:GZ220))</f>
        <v>0</v>
      </c>
      <c r="HB220" s="160">
        <f>IF([chambre3]*1='CHAMBRES GARCONS RDC'!$A$35,1,0)</f>
        <v>0</v>
      </c>
      <c r="HC220" s="160">
        <f>IF([Occurrence38]=0,0,SUM($HB$2:HB220))</f>
        <v>0</v>
      </c>
      <c r="HD220" s="160">
        <f>IF([chambre3]*1='CHAMBRES GARCONS RDC'!$A$41,1,0)</f>
        <v>0</v>
      </c>
      <c r="HE220" s="160">
        <f>IF([Occurrence39]=0,0,SUM($HD$2:HD220))</f>
        <v>0</v>
      </c>
      <c r="HF220" s="160">
        <f>IF([chambre3]*1='CHAMBRES GARCONS RDC'!$A$47,1,0)</f>
        <v>0</v>
      </c>
      <c r="HG220" s="160">
        <f>IF([Occurrence40]=0,0,SUM($HF$2:HF220))</f>
        <v>0</v>
      </c>
      <c r="HH220" s="160">
        <f>IF([chambre3]*1='CHAMBRES GARCONS RDC'!$A$53,1,0)</f>
        <v>0</v>
      </c>
      <c r="HI220" s="160">
        <f>IF([Occurrence41]=0,0,SUM($HH$2:HH220))</f>
        <v>0</v>
      </c>
      <c r="HJ220" s="160">
        <f>IF([chambre3]*1='CHAMBRES GARCONS RDC'!$A$59,1,0)</f>
        <v>0</v>
      </c>
      <c r="HK220" s="160">
        <f>IF([Occurrence42]=0,0,SUM($HJ$2:HJ220))</f>
        <v>0</v>
      </c>
      <c r="HL220" s="160">
        <f>IF([chambre3]*1='CHAMBRES GARCONS RDC'!$A$65,1,0)</f>
        <v>0</v>
      </c>
      <c r="HM220" s="160">
        <f>IF([Occurrence43]=0,0,SUM($HL$2:HL220))</f>
        <v>0</v>
      </c>
      <c r="HN220" s="160">
        <f>IF([chambre3]*1='CHAMBRES GARCONS RDC'!$A$71,1,0)</f>
        <v>0</v>
      </c>
      <c r="HO220" s="160">
        <f>IF([Occurrence44]=0,0,SUM($HN$2:HN220))</f>
        <v>0</v>
      </c>
      <c r="HP220" s="160">
        <f>IF([chambre3]*1='CHAMBRES GARCONS RDC'!$A$77,1,0)</f>
        <v>0</v>
      </c>
      <c r="HQ220" s="160">
        <f>IF([Occurrence45]=0,0,SUM($HP$2:HP220))</f>
        <v>0</v>
      </c>
      <c r="HR220" s="160">
        <f>IF([chambre3]*1='CHAMBRES GARCONS RDC'!$A$83,1,0)</f>
        <v>0</v>
      </c>
      <c r="HS220" s="160">
        <f>IF([Occurrence46]=0,0,SUM($HR$2:HR220))</f>
        <v>0</v>
      </c>
      <c r="HT220" s="160">
        <f>IF([chambre3]*1='CHAMBRES GARCONS RDC'!$A$89,1,0)</f>
        <v>0</v>
      </c>
      <c r="HU220" s="160">
        <f>IF([Occurrence47]=0,0,SUM($HT$2:HT220))</f>
        <v>0</v>
      </c>
      <c r="HV220" s="160">
        <f>IF([chambre3]*1='CHAMBRES GARCONS RDC'!$A$95,1,0)</f>
        <v>0</v>
      </c>
      <c r="HW220" s="160">
        <f>IF([Occurrence48]=0,0,SUM($HV$2:HV220))</f>
        <v>0</v>
      </c>
      <c r="HX220" s="160"/>
      <c r="HY220" s="160"/>
      <c r="HZ220" s="160">
        <f>IF([Classe]='Liste élève par classes'!$B$5,1,0)</f>
        <v>1</v>
      </c>
      <c r="IA220" s="160">
        <f>IF([Occurrence]=0,0,SUM($HZ$2:HZ220))</f>
        <v>16</v>
      </c>
      <c r="IB22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179</v>
      </c>
      <c r="IC220" s="208"/>
    </row>
    <row r="221" spans="1:237">
      <c r="A221" t="s">
        <v>607</v>
      </c>
      <c r="B221" t="s">
        <v>569</v>
      </c>
      <c r="C221" s="158">
        <v>37600</v>
      </c>
      <c r="D221" s="62">
        <f t="shared" ca="1" si="3"/>
        <v>14</v>
      </c>
      <c r="E221" t="s">
        <v>5</v>
      </c>
      <c r="F221" s="159" t="s">
        <v>46</v>
      </c>
      <c r="G221" t="s">
        <v>40</v>
      </c>
      <c r="H221" s="160"/>
      <c r="I221" s="62"/>
      <c r="J221" s="62" t="s">
        <v>244</v>
      </c>
      <c r="K221" s="62"/>
      <c r="L221" s="61"/>
      <c r="M221">
        <v>262</v>
      </c>
      <c r="N221" s="62" t="s">
        <v>244</v>
      </c>
      <c r="O221" s="62" t="s">
        <v>244</v>
      </c>
      <c r="P221" s="62" t="s">
        <v>244</v>
      </c>
      <c r="Q221" s="62" t="s">
        <v>244</v>
      </c>
      <c r="R221" s="62" t="s">
        <v>244</v>
      </c>
      <c r="S221" s="62"/>
      <c r="T221" s="62" t="s">
        <v>244</v>
      </c>
      <c r="U221" s="61"/>
      <c r="V221" s="62" t="s">
        <v>244</v>
      </c>
      <c r="W221" s="62" t="s">
        <v>244</v>
      </c>
      <c r="X221" s="62" t="s">
        <v>244</v>
      </c>
      <c r="Y221" s="62" t="s">
        <v>244</v>
      </c>
      <c r="Z221" s="62" t="s">
        <v>244</v>
      </c>
      <c r="AA221" s="62" t="s">
        <v>244</v>
      </c>
      <c r="AB221" s="62" t="s">
        <v>244</v>
      </c>
      <c r="AC221" s="62" t="s">
        <v>244</v>
      </c>
      <c r="AD221" s="62" t="s">
        <v>244</v>
      </c>
      <c r="AE221" s="62" t="s">
        <v>244</v>
      </c>
      <c r="AF221" s="166" t="s">
        <v>244</v>
      </c>
      <c r="AG221" s="166" t="s">
        <v>244</v>
      </c>
      <c r="AH221" s="166" t="s">
        <v>244</v>
      </c>
      <c r="AI221" s="166"/>
      <c r="AJ221" s="166"/>
      <c r="AK221" s="166"/>
      <c r="AL221" s="166"/>
      <c r="AM221" s="166"/>
      <c r="AN221" s="166"/>
      <c r="AO221" s="166"/>
      <c r="AP221" s="166"/>
      <c r="AQ221" s="166"/>
      <c r="AR221" s="166"/>
      <c r="AS221" s="166"/>
      <c r="AT221" s="166"/>
      <c r="AU221" s="166"/>
      <c r="AV221" s="166"/>
      <c r="AW221" s="166"/>
      <c r="AX221" s="166"/>
      <c r="AY221" s="166"/>
      <c r="AZ221" s="166"/>
      <c r="BA221" s="166"/>
      <c r="BB221" s="166"/>
      <c r="BC221" s="166"/>
      <c r="BD221" s="166"/>
      <c r="BE221" s="166"/>
      <c r="BF221" s="166"/>
      <c r="BG221" s="166"/>
      <c r="BH221" s="166"/>
      <c r="BI221" s="166"/>
      <c r="BJ221" s="166"/>
      <c r="BK221" s="166"/>
      <c r="BL221" s="166"/>
      <c r="BM221" s="166"/>
      <c r="BN221" s="166"/>
      <c r="BO221" s="166"/>
      <c r="BP221" s="166"/>
      <c r="BQ221" s="166"/>
      <c r="BR221" s="166"/>
      <c r="BS221" s="166"/>
      <c r="BT221" s="166"/>
      <c r="BU221" s="166"/>
      <c r="BV221" s="166"/>
      <c r="BW221" s="166"/>
      <c r="BX221" s="166"/>
      <c r="BY221" s="166"/>
      <c r="BZ221" s="166"/>
      <c r="CA221" s="166"/>
      <c r="CB221" s="166"/>
      <c r="CC221" s="166"/>
      <c r="CD221" s="166"/>
      <c r="CE221" s="166"/>
      <c r="CF221" s="166"/>
      <c r="CG221" s="166"/>
      <c r="CH221" s="166"/>
      <c r="CI221" s="166"/>
      <c r="CJ221" s="166"/>
      <c r="CK221" s="166"/>
      <c r="CL221" s="166"/>
      <c r="CM221" s="166"/>
      <c r="CN221" s="166"/>
      <c r="CO221" s="166"/>
      <c r="CP221" s="166"/>
      <c r="CQ221" s="166"/>
      <c r="CR221" s="166"/>
      <c r="CS221" s="166"/>
      <c r="CT221" s="166"/>
      <c r="CU221" s="166"/>
      <c r="CV221" s="166"/>
      <c r="CW221" s="166"/>
      <c r="CX221" s="166"/>
      <c r="CY221" s="166"/>
      <c r="CZ221" s="166"/>
      <c r="DA221" s="166"/>
      <c r="DB221" s="166"/>
      <c r="DC221" s="166"/>
      <c r="DD221" s="166"/>
      <c r="DE221" s="166"/>
      <c r="DF221" s="166"/>
      <c r="DG221" s="166"/>
      <c r="DH221" s="166"/>
      <c r="DI221" s="166"/>
      <c r="DJ221" s="166"/>
      <c r="DK221" s="166"/>
      <c r="DL221" s="166"/>
      <c r="DM221" s="166"/>
      <c r="DN221" s="166"/>
      <c r="DO221" s="166"/>
      <c r="DP221" s="166"/>
      <c r="DQ221" s="166"/>
      <c r="DR221" s="166"/>
      <c r="DS221" s="166"/>
      <c r="DT221" s="166"/>
      <c r="DU221" s="166"/>
      <c r="DV221" s="166"/>
      <c r="DW221" s="166"/>
      <c r="DX221" s="166"/>
      <c r="DY221" s="166"/>
      <c r="DZ221" s="166"/>
      <c r="EA221" s="166"/>
      <c r="EB221" s="166"/>
      <c r="EC221" s="166"/>
      <c r="ED221" s="166"/>
      <c r="EE221" s="166"/>
      <c r="EF221" s="166"/>
      <c r="EG221" s="166"/>
      <c r="EH221" s="160">
        <f>IF([Chambre]*1='CHAMBRES FILLES 2e ETAGE'!$A$5,1,0)</f>
        <v>0</v>
      </c>
      <c r="EI221" s="161">
        <f>IF([Occurrence2]=0,0,SUM($EH$2:EH221))</f>
        <v>0</v>
      </c>
      <c r="EJ221" s="160">
        <f>IF([Chambre]*1='CHAMBRES FILLES 2e ETAGE'!$A$11,1,0)</f>
        <v>0</v>
      </c>
      <c r="EK221" s="160">
        <f>IF([Occurrence3]=0,0,SUM($EJ$2:EJ221))</f>
        <v>0</v>
      </c>
      <c r="EL221" s="160">
        <f>IF([Chambre]*1='CHAMBRES FILLES 2e ETAGE'!$A$17,1,0)</f>
        <v>0</v>
      </c>
      <c r="EM221" s="160">
        <f>IF([Occurrence4]=0,0,SUM($EL$2:EL221))</f>
        <v>0</v>
      </c>
      <c r="EN221" s="160">
        <f>IF([Chambre]*1='CHAMBRES FILLES 2e ETAGE'!$A$23,1,0)</f>
        <v>0</v>
      </c>
      <c r="EO221" s="160">
        <f>IF([Occurrence5]=0,0,SUM($EN$2:EN221))</f>
        <v>0</v>
      </c>
      <c r="EP221" s="160">
        <f>IF([Chambre]*1='CHAMBRES FILLES 2e ETAGE'!$A$29,1,0)</f>
        <v>0</v>
      </c>
      <c r="EQ221" s="160">
        <f>IF([Occurrence6]=0,0,SUM($EP$2:EP221))</f>
        <v>0</v>
      </c>
      <c r="ER221" s="160">
        <f>IF([Chambre]*1='CHAMBRES FILLES 2e ETAGE'!$A$35,1,0)</f>
        <v>0</v>
      </c>
      <c r="ES221" s="160">
        <f>IF([Occurrence7]=0,0,SUM($ER$2:ER221))</f>
        <v>0</v>
      </c>
      <c r="ET221" s="160">
        <f>IF([Chambre]*1='CHAMBRES FILLES 2e ETAGE'!$A$41,1,0)</f>
        <v>0</v>
      </c>
      <c r="EU221" s="160">
        <f>IF([Occurrence8]=0,0,SUM($ET$2:ET221))</f>
        <v>0</v>
      </c>
      <c r="EV221" s="160">
        <f>IF([Chambre]*1='CHAMBRES FILLES 2e ETAGE'!$A$47,1,0)</f>
        <v>0</v>
      </c>
      <c r="EW221" s="160">
        <f>IF([Occurrence9]=0,0,SUM($EV$2:EV221))</f>
        <v>0</v>
      </c>
      <c r="EX221" s="160">
        <f>IF([Chambre]*1='CHAMBRES FILLES 2e ETAGE'!$A$53,1,0)</f>
        <v>0</v>
      </c>
      <c r="EY221" s="160">
        <f>IF([Occurrence10]=0,0,SUM($EX$2:EX221))</f>
        <v>0</v>
      </c>
      <c r="EZ221" s="160">
        <f>IF([Chambre]*1='CHAMBRES FILLES 2e ETAGE'!$A$59,1,0)</f>
        <v>0</v>
      </c>
      <c r="FA221" s="160">
        <f>IF([Occurrence11]=0,0,SUM($EZ$2:EZ221))</f>
        <v>0</v>
      </c>
      <c r="FB221" s="160">
        <f>IF([Chambre]*1='CHAMBRES FILLES 2e ETAGE'!$A$65,1,0)</f>
        <v>0</v>
      </c>
      <c r="FC221" s="160">
        <f>IF([Occurrence12]=0,0,SUM($FB$2:FB221))</f>
        <v>0</v>
      </c>
      <c r="FD221" s="160">
        <f>IF([Chambre]*1='CHAMBRES FILLES 2e ETAGE'!$A$71,1,0)</f>
        <v>0</v>
      </c>
      <c r="FE221" s="160">
        <f>IF([Occurrence13]=0,0,SUM($FD$2:FD221))</f>
        <v>0</v>
      </c>
      <c r="FF221" s="160">
        <f>IF([Chambre]*1='CHAMBRES FILLES 2e ETAGE'!$A$77,1,0)</f>
        <v>0</v>
      </c>
      <c r="FG221" s="160">
        <f>IF([Occurrence14]=0,0,SUM($FF$2:FF221))</f>
        <v>0</v>
      </c>
      <c r="FH221" s="160">
        <f>IF([Chambre]*1='CHAMBRES FILLES 2e ETAGE'!$A$83,1,0)</f>
        <v>0</v>
      </c>
      <c r="FI221" s="160">
        <f>IF([Occurrence15]=0,0,SUM($FH$2:FH221))</f>
        <v>0</v>
      </c>
      <c r="FJ221" s="160">
        <f>IF([Chambre]*1='CHAMBRES FILLES 2e ETAGE'!$A$89,1,0)</f>
        <v>0</v>
      </c>
      <c r="FK221" s="160">
        <f>IF([Occurrence16]=0,0,SUM($FJ$2:FJ221))</f>
        <v>0</v>
      </c>
      <c r="FL221" s="160">
        <f>IF([Chambre]*1='CHAMBRES FILLES 2e ETAGE'!$A$95,1,0)</f>
        <v>0</v>
      </c>
      <c r="FM221" s="160">
        <f>IF([Occurrence17]=0,0,SUM($FL$2:FL221))</f>
        <v>0</v>
      </c>
      <c r="FN221" s="160">
        <f>IF([Chambre2]*1='CHAMBRES FILLES 1e ETAGE'!$A$5,1,0)</f>
        <v>0</v>
      </c>
      <c r="FO221" s="160">
        <f>IF([Occurrence18]=0,0,SUM($FN$2:FN221))</f>
        <v>0</v>
      </c>
      <c r="FP221" s="160">
        <f>IF([Chambre2]*1='CHAMBRES FILLES 1e ETAGE'!$A$11,1,0)</f>
        <v>0</v>
      </c>
      <c r="FQ221" s="160">
        <f>IF([Occurrence19]=0,0,SUM($FP$2:FP221))</f>
        <v>0</v>
      </c>
      <c r="FR221" s="160">
        <f>IF([Chambre2]*1='CHAMBRES FILLES 1e ETAGE'!$A$17,1,0)</f>
        <v>0</v>
      </c>
      <c r="FS221" s="160">
        <f>IF([Occurrence20]=0,0,SUM($FR$2:FR221))</f>
        <v>0</v>
      </c>
      <c r="FT221" s="160">
        <f>IF([Chambre2]*1='CHAMBRES FILLES 1e ETAGE'!$A$23,1,0)</f>
        <v>0</v>
      </c>
      <c r="FU221" s="160">
        <f>IF([Occurrence21]=0,0,SUM($FT$2:FT221))</f>
        <v>0</v>
      </c>
      <c r="FV221" s="160">
        <f>IF([Chambre2]*1='CHAMBRES FILLES 1e ETAGE'!$A$29,1,0)</f>
        <v>0</v>
      </c>
      <c r="FW221" s="160">
        <f>IF([Occurrence22]=0,0,SUM($FV$2:FV221))</f>
        <v>0</v>
      </c>
      <c r="FX221" s="160">
        <f>IF([Chambre2]*1='CHAMBRES FILLES 1e ETAGE'!$A$35,1,0)</f>
        <v>0</v>
      </c>
      <c r="FY221" s="160">
        <f>IF([Occurrence23]=0,0,SUM($FX$2:FX221))</f>
        <v>0</v>
      </c>
      <c r="FZ221" s="160">
        <f>IF([Chambre2]*1='CHAMBRES FILLES 1e ETAGE'!$A$41,1,0)</f>
        <v>0</v>
      </c>
      <c r="GA221" s="160">
        <f>IF([Occurrence24]=0,0,SUM($FZ$2:FZ221))</f>
        <v>0</v>
      </c>
      <c r="GB221" s="160">
        <f>IF([Chambre2]*1='CHAMBRES FILLES 1e ETAGE'!$A$47,1,0)</f>
        <v>0</v>
      </c>
      <c r="GC221" s="160">
        <f>IF([Occurrence25]=0,0,SUM($GB$2:GB221))</f>
        <v>0</v>
      </c>
      <c r="GD221" s="160">
        <f>IF([Chambre2]*1='CHAMBRES FILLES 1e ETAGE'!$A$53,1,0)</f>
        <v>0</v>
      </c>
      <c r="GE221" s="160">
        <f>IF([Occurrence26]=0,0,SUM($GD$2:GD221))</f>
        <v>0</v>
      </c>
      <c r="GF221" s="160">
        <f>IF([chambre4]*1='CHAMBRES GARCONS 1e ETAGE'!$A$5,1,0)</f>
        <v>0</v>
      </c>
      <c r="GG221" s="160">
        <f>IF([Occurrence27]=0,0,SUM($GF$2:GF221))</f>
        <v>0</v>
      </c>
      <c r="GH221" s="160">
        <f>IF([chambre4]*1='CHAMBRES GARCONS 1e ETAGE'!$A$11,1,0)</f>
        <v>0</v>
      </c>
      <c r="GI221" s="160">
        <f>IF([Occurrence28]=0,0,SUM($GH$2:GH221))</f>
        <v>0</v>
      </c>
      <c r="GJ221" s="160">
        <f>IF([chambre4]*1='CHAMBRES GARCONS 1e ETAGE'!$A$17,1,0)</f>
        <v>0</v>
      </c>
      <c r="GK221" s="160">
        <f>IF([Occurrence29]=0,0,SUM($GJ$2:GJ221))</f>
        <v>0</v>
      </c>
      <c r="GL221" s="160">
        <f>IF([chambre4]*1='CHAMBRES GARCONS 1e ETAGE'!$A$23,1,0)</f>
        <v>0</v>
      </c>
      <c r="GM221" s="160">
        <f>IF([Occurrence30]=0,0,SUM($GL$2:GL221))</f>
        <v>0</v>
      </c>
      <c r="GN221" s="160">
        <f>IF([chambre4]*1='CHAMBRES GARCONS 1e ETAGE'!$A$29,1,0)</f>
        <v>0</v>
      </c>
      <c r="GO221" s="160">
        <f>IF([Occurrence31]=0,0,SUM($GN$2:GN221))</f>
        <v>0</v>
      </c>
      <c r="GP221" s="160">
        <f>IF([chambre4]*1='CHAMBRES GARCONS 1e ETAGE'!$A$35,1,0)</f>
        <v>0</v>
      </c>
      <c r="GQ221" s="160">
        <f>IF([Occurrence32]=0,0,SUM($GP$2:GP221))</f>
        <v>0</v>
      </c>
      <c r="GR221" s="160">
        <f>IF([chambre3]*1='CHAMBRES GARCONS RDC'!$A$5,1,0)</f>
        <v>0</v>
      </c>
      <c r="GS221" s="160">
        <f>IF([Occurrence33]=0,0,SUM($GR$2:GR221))</f>
        <v>0</v>
      </c>
      <c r="GT221" s="160">
        <f>IF([chambre3]*1='CHAMBRES GARCONS RDC'!$A$11,1,0)</f>
        <v>0</v>
      </c>
      <c r="GU221" s="160">
        <f>IF([Occurrence34]=0,0,SUM($GT$2:GT221))</f>
        <v>0</v>
      </c>
      <c r="GV221" s="160">
        <f>IF([chambre3]*1='CHAMBRES GARCONS RDC'!$A$17,1,0)</f>
        <v>0</v>
      </c>
      <c r="GW221" s="160">
        <f>IF([Occurrence35]=0,0,SUM($GV$2:GV221))</f>
        <v>0</v>
      </c>
      <c r="GX221" s="160">
        <f>IF([chambre3]*1='CHAMBRES GARCONS RDC'!$A$23,1,0)</f>
        <v>0</v>
      </c>
      <c r="GY221" s="160">
        <f>IF([Occurrence36]=0,0,SUM($GX$2:GX221))</f>
        <v>0</v>
      </c>
      <c r="GZ221" s="160">
        <f>IF([chambre3]*1='CHAMBRES GARCONS RDC'!$A$29,1,0)</f>
        <v>0</v>
      </c>
      <c r="HA221" s="160">
        <f>IF([Occurrence37]=0,0,SUM($GZ$2:GZ221))</f>
        <v>0</v>
      </c>
      <c r="HB221" s="160">
        <f>IF([chambre3]*1='CHAMBRES GARCONS RDC'!$A$35,1,0)</f>
        <v>0</v>
      </c>
      <c r="HC221" s="160">
        <f>IF([Occurrence38]=0,0,SUM($HB$2:HB221))</f>
        <v>0</v>
      </c>
      <c r="HD221" s="160">
        <f>IF([chambre3]*1='CHAMBRES GARCONS RDC'!$A$41,1,0)</f>
        <v>0</v>
      </c>
      <c r="HE221" s="160">
        <f>IF([Occurrence39]=0,0,SUM($HD$2:HD221))</f>
        <v>0</v>
      </c>
      <c r="HF221" s="160">
        <f>IF([chambre3]*1='CHAMBRES GARCONS RDC'!$A$47,1,0)</f>
        <v>0</v>
      </c>
      <c r="HG221" s="160">
        <f>IF([Occurrence40]=0,0,SUM($HF$2:HF221))</f>
        <v>0</v>
      </c>
      <c r="HH221" s="160">
        <f>IF([chambre3]*1='CHAMBRES GARCONS RDC'!$A$53,1,0)</f>
        <v>0</v>
      </c>
      <c r="HI221" s="160">
        <f>IF([Occurrence41]=0,0,SUM($HH$2:HH221))</f>
        <v>0</v>
      </c>
      <c r="HJ221" s="160">
        <f>IF([chambre3]*1='CHAMBRES GARCONS RDC'!$A$59,1,0)</f>
        <v>0</v>
      </c>
      <c r="HK221" s="160">
        <f>IF([Occurrence42]=0,0,SUM($HJ$2:HJ221))</f>
        <v>0</v>
      </c>
      <c r="HL221" s="160">
        <f>IF([chambre3]*1='CHAMBRES GARCONS RDC'!$A$65,1,0)</f>
        <v>0</v>
      </c>
      <c r="HM221" s="160">
        <f>IF([Occurrence43]=0,0,SUM($HL$2:HL221))</f>
        <v>0</v>
      </c>
      <c r="HN221" s="160">
        <f>IF([chambre3]*1='CHAMBRES GARCONS RDC'!$A$71,1,0)</f>
        <v>0</v>
      </c>
      <c r="HO221" s="160">
        <f>IF([Occurrence44]=0,0,SUM($HN$2:HN221))</f>
        <v>0</v>
      </c>
      <c r="HP221" s="160">
        <f>IF([chambre3]*1='CHAMBRES GARCONS RDC'!$A$77,1,0)</f>
        <v>0</v>
      </c>
      <c r="HQ221" s="160">
        <f>IF([Occurrence45]=0,0,SUM($HP$2:HP221))</f>
        <v>0</v>
      </c>
      <c r="HR221" s="160">
        <f>IF([chambre3]*1='CHAMBRES GARCONS RDC'!$A$83,1,0)</f>
        <v>0</v>
      </c>
      <c r="HS221" s="160">
        <f>IF([Occurrence46]=0,0,SUM($HR$2:HR221))</f>
        <v>0</v>
      </c>
      <c r="HT221" s="160">
        <f>IF([chambre3]*1='CHAMBRES GARCONS RDC'!$A$89,1,0)</f>
        <v>0</v>
      </c>
      <c r="HU221" s="160">
        <f>IF([Occurrence47]=0,0,SUM($HT$2:HT221))</f>
        <v>0</v>
      </c>
      <c r="HV221" s="160">
        <f>IF([chambre3]*1='CHAMBRES GARCONS RDC'!$A$95,1,0)</f>
        <v>0</v>
      </c>
      <c r="HW221" s="160">
        <f>IF([Occurrence48]=0,0,SUM($HV$2:HV221))</f>
        <v>0</v>
      </c>
      <c r="HX221" s="160"/>
      <c r="HY221" s="160"/>
      <c r="HZ221" s="160">
        <f>IF([Classe]='Liste élève par classes'!$B$5,1,0)</f>
        <v>0</v>
      </c>
      <c r="IA221" s="160">
        <f>IF([Occurrence]=0,0,SUM($HZ$2:HZ221))</f>
        <v>0</v>
      </c>
      <c r="IB22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21" s="208"/>
    </row>
    <row r="222" spans="1:237">
      <c r="A222" t="s">
        <v>607</v>
      </c>
      <c r="B222" t="s">
        <v>608</v>
      </c>
      <c r="C222" s="158">
        <v>37371</v>
      </c>
      <c r="D222" s="62">
        <f t="shared" ca="1" si="3"/>
        <v>15</v>
      </c>
      <c r="E222" t="s">
        <v>5</v>
      </c>
      <c r="F222" s="159" t="s">
        <v>46</v>
      </c>
      <c r="G222" t="s">
        <v>45</v>
      </c>
      <c r="H222" s="160"/>
      <c r="I222" s="62"/>
      <c r="J222" s="62"/>
      <c r="K222" s="62"/>
      <c r="L222" s="61"/>
      <c r="M222">
        <v>263</v>
      </c>
      <c r="N222" s="62"/>
      <c r="O222" s="62"/>
      <c r="P222" s="62"/>
      <c r="Q222" s="62"/>
      <c r="R222" s="62"/>
      <c r="S222" s="62"/>
      <c r="T222" s="62"/>
      <c r="U222" s="61"/>
      <c r="V222" s="62"/>
      <c r="W222" s="62"/>
      <c r="X222" s="62"/>
      <c r="Y222" s="62"/>
      <c r="Z222" s="62"/>
      <c r="AA222" s="62"/>
      <c r="AB222" s="62"/>
      <c r="AC222" s="62"/>
      <c r="AD222" s="62"/>
      <c r="AE222" s="62"/>
      <c r="AF222" s="163"/>
      <c r="AG222" s="163"/>
      <c r="AH222" s="163"/>
      <c r="AI222" s="163"/>
      <c r="AJ222" s="163"/>
      <c r="AK222" s="163"/>
      <c r="AL222" s="163"/>
      <c r="AM222" s="163"/>
      <c r="AN222" s="163"/>
      <c r="AO222" s="163"/>
      <c r="AP222" s="163"/>
      <c r="AQ222" s="163"/>
      <c r="AR222" s="163"/>
      <c r="AS222" s="163"/>
      <c r="AT222" s="163"/>
      <c r="AU222" s="163"/>
      <c r="AV222" s="163"/>
      <c r="AW222" s="163"/>
      <c r="AX222" s="163"/>
      <c r="AY222" s="163"/>
      <c r="AZ222" s="163"/>
      <c r="BA222" s="163"/>
      <c r="BB222" s="163"/>
      <c r="BC222" s="163"/>
      <c r="BD222" s="163"/>
      <c r="BE222" s="163"/>
      <c r="BF222" s="163"/>
      <c r="BG222" s="163"/>
      <c r="BH222" s="163"/>
      <c r="BI222" s="163"/>
      <c r="BJ222" s="163"/>
      <c r="BK222" s="163"/>
      <c r="BL222" s="163"/>
      <c r="BM222" s="163"/>
      <c r="BN222" s="163"/>
      <c r="BO222" s="163"/>
      <c r="BP222" s="163"/>
      <c r="BQ222" s="163"/>
      <c r="BR222" s="163"/>
      <c r="BS222" s="163"/>
      <c r="BT222" s="163"/>
      <c r="BU222" s="163"/>
      <c r="BV222" s="163"/>
      <c r="BW222" s="163"/>
      <c r="BX222" s="163"/>
      <c r="BY222" s="163"/>
      <c r="BZ222" s="163"/>
      <c r="CA222" s="163"/>
      <c r="CB222" s="163"/>
      <c r="CC222" s="163"/>
      <c r="CD222" s="163"/>
      <c r="CE222" s="163"/>
      <c r="CF222" s="163"/>
      <c r="CG222" s="163"/>
      <c r="CH222" s="163"/>
      <c r="CI222" s="163"/>
      <c r="CJ222" s="163"/>
      <c r="CK222" s="163"/>
      <c r="CL222" s="163"/>
      <c r="CM222" s="163"/>
      <c r="CN222" s="163"/>
      <c r="CO222" s="163"/>
      <c r="CP222" s="163"/>
      <c r="CQ222" s="163"/>
      <c r="CR222" s="163"/>
      <c r="CS222" s="163"/>
      <c r="CT222" s="163"/>
      <c r="CU222" s="163"/>
      <c r="CV222" s="163"/>
      <c r="CW222" s="163"/>
      <c r="CX222" s="163"/>
      <c r="CY222" s="163"/>
      <c r="CZ222" s="163"/>
      <c r="DA222" s="163"/>
      <c r="DB222" s="163"/>
      <c r="DC222" s="163"/>
      <c r="DD222" s="163"/>
      <c r="DE222" s="163"/>
      <c r="DF222" s="163"/>
      <c r="DG222" s="163"/>
      <c r="DH222" s="163"/>
      <c r="DI222" s="163"/>
      <c r="DJ222" s="163"/>
      <c r="DK222" s="163"/>
      <c r="DL222" s="163"/>
      <c r="DM222" s="163"/>
      <c r="DN222" s="163"/>
      <c r="DO222" s="163"/>
      <c r="DP222" s="163"/>
      <c r="DQ222" s="163"/>
      <c r="DR222" s="163"/>
      <c r="DS222" s="163"/>
      <c r="DT222" s="163"/>
      <c r="DU222" s="163"/>
      <c r="DV222" s="163"/>
      <c r="DW222" s="163"/>
      <c r="DX222" s="163"/>
      <c r="DY222" s="163"/>
      <c r="DZ222" s="163"/>
      <c r="EA222" s="163"/>
      <c r="EB222" s="163"/>
      <c r="EC222" s="163"/>
      <c r="ED222" s="163"/>
      <c r="EE222" s="163"/>
      <c r="EF222" s="163"/>
      <c r="EG222" s="163"/>
      <c r="EH222" s="160">
        <f>IF([Chambre]*1='CHAMBRES FILLES 2e ETAGE'!$A$5,1,0)</f>
        <v>0</v>
      </c>
      <c r="EI222" s="161">
        <f>IF([Occurrence2]=0,0,SUM($EH$2:EH222))</f>
        <v>0</v>
      </c>
      <c r="EJ222" s="160">
        <f>IF([Chambre]*1='CHAMBRES FILLES 2e ETAGE'!$A$11,1,0)</f>
        <v>0</v>
      </c>
      <c r="EK222" s="160">
        <f>IF([Occurrence3]=0,0,SUM($EJ$2:EJ222))</f>
        <v>0</v>
      </c>
      <c r="EL222" s="160">
        <f>IF([Chambre]*1='CHAMBRES FILLES 2e ETAGE'!$A$17,1,0)</f>
        <v>0</v>
      </c>
      <c r="EM222" s="160">
        <f>IF([Occurrence4]=0,0,SUM($EL$2:EL222))</f>
        <v>0</v>
      </c>
      <c r="EN222" s="160">
        <f>IF([Chambre]*1='CHAMBRES FILLES 2e ETAGE'!$A$23,1,0)</f>
        <v>0</v>
      </c>
      <c r="EO222" s="160">
        <f>IF([Occurrence5]=0,0,SUM($EN$2:EN222))</f>
        <v>0</v>
      </c>
      <c r="EP222" s="160">
        <f>IF([Chambre]*1='CHAMBRES FILLES 2e ETAGE'!$A$29,1,0)</f>
        <v>0</v>
      </c>
      <c r="EQ222" s="160">
        <f>IF([Occurrence6]=0,0,SUM($EP$2:EP222))</f>
        <v>0</v>
      </c>
      <c r="ER222" s="160">
        <f>IF([Chambre]*1='CHAMBRES FILLES 2e ETAGE'!$A$35,1,0)</f>
        <v>0</v>
      </c>
      <c r="ES222" s="160">
        <f>IF([Occurrence7]=0,0,SUM($ER$2:ER222))</f>
        <v>0</v>
      </c>
      <c r="ET222" s="160">
        <f>IF([Chambre]*1='CHAMBRES FILLES 2e ETAGE'!$A$41,1,0)</f>
        <v>0</v>
      </c>
      <c r="EU222" s="160">
        <f>IF([Occurrence8]=0,0,SUM($ET$2:ET222))</f>
        <v>0</v>
      </c>
      <c r="EV222" s="160">
        <f>IF([Chambre]*1='CHAMBRES FILLES 2e ETAGE'!$A$47,1,0)</f>
        <v>0</v>
      </c>
      <c r="EW222" s="160">
        <f>IF([Occurrence9]=0,0,SUM($EV$2:EV222))</f>
        <v>0</v>
      </c>
      <c r="EX222" s="160">
        <f>IF([Chambre]*1='CHAMBRES FILLES 2e ETAGE'!$A$53,1,0)</f>
        <v>0</v>
      </c>
      <c r="EY222" s="160">
        <f>IF([Occurrence10]=0,0,SUM($EX$2:EX222))</f>
        <v>0</v>
      </c>
      <c r="EZ222" s="160">
        <f>IF([Chambre]*1='CHAMBRES FILLES 2e ETAGE'!$A$59,1,0)</f>
        <v>0</v>
      </c>
      <c r="FA222" s="160">
        <f>IF([Occurrence11]=0,0,SUM($EZ$2:EZ222))</f>
        <v>0</v>
      </c>
      <c r="FB222" s="160">
        <f>IF([Chambre]*1='CHAMBRES FILLES 2e ETAGE'!$A$65,1,0)</f>
        <v>0</v>
      </c>
      <c r="FC222" s="160">
        <f>IF([Occurrence12]=0,0,SUM($FB$2:FB222))</f>
        <v>0</v>
      </c>
      <c r="FD222" s="160">
        <f>IF([Chambre]*1='CHAMBRES FILLES 2e ETAGE'!$A$71,1,0)</f>
        <v>0</v>
      </c>
      <c r="FE222" s="160">
        <f>IF([Occurrence13]=0,0,SUM($FD$2:FD222))</f>
        <v>0</v>
      </c>
      <c r="FF222" s="160">
        <f>IF([Chambre]*1='CHAMBRES FILLES 2e ETAGE'!$A$77,1,0)</f>
        <v>0</v>
      </c>
      <c r="FG222" s="160">
        <f>IF([Occurrence14]=0,0,SUM($FF$2:FF222))</f>
        <v>0</v>
      </c>
      <c r="FH222" s="160">
        <f>IF([Chambre]*1='CHAMBRES FILLES 2e ETAGE'!$A$83,1,0)</f>
        <v>0</v>
      </c>
      <c r="FI222" s="160">
        <f>IF([Occurrence15]=0,0,SUM($FH$2:FH222))</f>
        <v>0</v>
      </c>
      <c r="FJ222" s="160">
        <f>IF([Chambre]*1='CHAMBRES FILLES 2e ETAGE'!$A$89,1,0)</f>
        <v>0</v>
      </c>
      <c r="FK222" s="160">
        <f>IF([Occurrence16]=0,0,SUM($FJ$2:FJ222))</f>
        <v>0</v>
      </c>
      <c r="FL222" s="160">
        <f>IF([Chambre]*1='CHAMBRES FILLES 2e ETAGE'!$A$95,1,0)</f>
        <v>0</v>
      </c>
      <c r="FM222" s="160">
        <f>IF([Occurrence17]=0,0,SUM($FL$2:FL222))</f>
        <v>0</v>
      </c>
      <c r="FN222" s="160">
        <f>IF([Chambre2]*1='CHAMBRES FILLES 1e ETAGE'!$A$5,1,0)</f>
        <v>0</v>
      </c>
      <c r="FO222" s="160">
        <f>IF([Occurrence18]=0,0,SUM($FN$2:FN222))</f>
        <v>0</v>
      </c>
      <c r="FP222" s="160">
        <f>IF([Chambre2]*1='CHAMBRES FILLES 1e ETAGE'!$A$11,1,0)</f>
        <v>0</v>
      </c>
      <c r="FQ222" s="160">
        <f>IF([Occurrence19]=0,0,SUM($FP$2:FP222))</f>
        <v>0</v>
      </c>
      <c r="FR222" s="160">
        <f>IF([Chambre2]*1='CHAMBRES FILLES 1e ETAGE'!$A$17,1,0)</f>
        <v>0</v>
      </c>
      <c r="FS222" s="160">
        <f>IF([Occurrence20]=0,0,SUM($FR$2:FR222))</f>
        <v>0</v>
      </c>
      <c r="FT222" s="160">
        <f>IF([Chambre2]*1='CHAMBRES FILLES 1e ETAGE'!$A$23,1,0)</f>
        <v>0</v>
      </c>
      <c r="FU222" s="160">
        <f>IF([Occurrence21]=0,0,SUM($FT$2:FT222))</f>
        <v>0</v>
      </c>
      <c r="FV222" s="160">
        <f>IF([Chambre2]*1='CHAMBRES FILLES 1e ETAGE'!$A$29,1,0)</f>
        <v>0</v>
      </c>
      <c r="FW222" s="160">
        <f>IF([Occurrence22]=0,0,SUM($FV$2:FV222))</f>
        <v>0</v>
      </c>
      <c r="FX222" s="160">
        <f>IF([Chambre2]*1='CHAMBRES FILLES 1e ETAGE'!$A$35,1,0)</f>
        <v>0</v>
      </c>
      <c r="FY222" s="160">
        <f>IF([Occurrence23]=0,0,SUM($FX$2:FX222))</f>
        <v>0</v>
      </c>
      <c r="FZ222" s="160">
        <f>IF([Chambre2]*1='CHAMBRES FILLES 1e ETAGE'!$A$41,1,0)</f>
        <v>0</v>
      </c>
      <c r="GA222" s="160">
        <f>IF([Occurrence24]=0,0,SUM($FZ$2:FZ222))</f>
        <v>0</v>
      </c>
      <c r="GB222" s="160">
        <f>IF([Chambre2]*1='CHAMBRES FILLES 1e ETAGE'!$A$47,1,0)</f>
        <v>0</v>
      </c>
      <c r="GC222" s="160">
        <f>IF([Occurrence25]=0,0,SUM($GB$2:GB222))</f>
        <v>0</v>
      </c>
      <c r="GD222" s="160">
        <f>IF([Chambre2]*1='CHAMBRES FILLES 1e ETAGE'!$A$53,1,0)</f>
        <v>0</v>
      </c>
      <c r="GE222" s="160">
        <f>IF([Occurrence26]=0,0,SUM($GD$2:GD222))</f>
        <v>0</v>
      </c>
      <c r="GF222" s="160">
        <f>IF([chambre4]*1='CHAMBRES GARCONS 1e ETAGE'!$A$5,1,0)</f>
        <v>0</v>
      </c>
      <c r="GG222" s="160">
        <f>IF([Occurrence27]=0,0,SUM($GF$2:GF222))</f>
        <v>0</v>
      </c>
      <c r="GH222" s="160">
        <f>IF([chambre4]*1='CHAMBRES GARCONS 1e ETAGE'!$A$11,1,0)</f>
        <v>0</v>
      </c>
      <c r="GI222" s="160">
        <f>IF([Occurrence28]=0,0,SUM($GH$2:GH222))</f>
        <v>0</v>
      </c>
      <c r="GJ222" s="160">
        <f>IF([chambre4]*1='CHAMBRES GARCONS 1e ETAGE'!$A$17,1,0)</f>
        <v>0</v>
      </c>
      <c r="GK222" s="160">
        <f>IF([Occurrence29]=0,0,SUM($GJ$2:GJ222))</f>
        <v>0</v>
      </c>
      <c r="GL222" s="160">
        <f>IF([chambre4]*1='CHAMBRES GARCONS 1e ETAGE'!$A$23,1,0)</f>
        <v>0</v>
      </c>
      <c r="GM222" s="160">
        <f>IF([Occurrence30]=0,0,SUM($GL$2:GL222))</f>
        <v>0</v>
      </c>
      <c r="GN222" s="160">
        <f>IF([chambre4]*1='CHAMBRES GARCONS 1e ETAGE'!$A$29,1,0)</f>
        <v>0</v>
      </c>
      <c r="GO222" s="160">
        <f>IF([Occurrence31]=0,0,SUM($GN$2:GN222))</f>
        <v>0</v>
      </c>
      <c r="GP222" s="160">
        <f>IF([chambre4]*1='CHAMBRES GARCONS 1e ETAGE'!$A$35,1,0)</f>
        <v>0</v>
      </c>
      <c r="GQ222" s="160">
        <f>IF([Occurrence32]=0,0,SUM($GP$2:GP222))</f>
        <v>0</v>
      </c>
      <c r="GR222" s="160">
        <f>IF([chambre3]*1='CHAMBRES GARCONS RDC'!$A$5,1,0)</f>
        <v>0</v>
      </c>
      <c r="GS222" s="160">
        <f>IF([Occurrence33]=0,0,SUM($GR$2:GR222))</f>
        <v>0</v>
      </c>
      <c r="GT222" s="160">
        <f>IF([chambre3]*1='CHAMBRES GARCONS RDC'!$A$11,1,0)</f>
        <v>0</v>
      </c>
      <c r="GU222" s="160">
        <f>IF([Occurrence34]=0,0,SUM($GT$2:GT222))</f>
        <v>0</v>
      </c>
      <c r="GV222" s="160">
        <f>IF([chambre3]*1='CHAMBRES GARCONS RDC'!$A$17,1,0)</f>
        <v>0</v>
      </c>
      <c r="GW222" s="160">
        <f>IF([Occurrence35]=0,0,SUM($GV$2:GV222))</f>
        <v>0</v>
      </c>
      <c r="GX222" s="160">
        <f>IF([chambre3]*1='CHAMBRES GARCONS RDC'!$A$23,1,0)</f>
        <v>0</v>
      </c>
      <c r="GY222" s="160">
        <f>IF([Occurrence36]=0,0,SUM($GX$2:GX222))</f>
        <v>0</v>
      </c>
      <c r="GZ222" s="160">
        <f>IF([chambre3]*1='CHAMBRES GARCONS RDC'!$A$29,1,0)</f>
        <v>0</v>
      </c>
      <c r="HA222" s="160">
        <f>IF([Occurrence37]=0,0,SUM($GZ$2:GZ222))</f>
        <v>0</v>
      </c>
      <c r="HB222" s="160">
        <f>IF([chambre3]*1='CHAMBRES GARCONS RDC'!$A$35,1,0)</f>
        <v>0</v>
      </c>
      <c r="HC222" s="160">
        <f>IF([Occurrence38]=0,0,SUM($HB$2:HB222))</f>
        <v>0</v>
      </c>
      <c r="HD222" s="160">
        <f>IF([chambre3]*1='CHAMBRES GARCONS RDC'!$A$41,1,0)</f>
        <v>0</v>
      </c>
      <c r="HE222" s="160">
        <f>IF([Occurrence39]=0,0,SUM($HD$2:HD222))</f>
        <v>0</v>
      </c>
      <c r="HF222" s="160">
        <f>IF([chambre3]*1='CHAMBRES GARCONS RDC'!$A$47,1,0)</f>
        <v>0</v>
      </c>
      <c r="HG222" s="160">
        <f>IF([Occurrence40]=0,0,SUM($HF$2:HF222))</f>
        <v>0</v>
      </c>
      <c r="HH222" s="160">
        <f>IF([chambre3]*1='CHAMBRES GARCONS RDC'!$A$53,1,0)</f>
        <v>0</v>
      </c>
      <c r="HI222" s="160">
        <f>IF([Occurrence41]=0,0,SUM($HH$2:HH222))</f>
        <v>0</v>
      </c>
      <c r="HJ222" s="160">
        <f>IF([chambre3]*1='CHAMBRES GARCONS RDC'!$A$59,1,0)</f>
        <v>0</v>
      </c>
      <c r="HK222" s="160">
        <f>IF([Occurrence42]=0,0,SUM($HJ$2:HJ222))</f>
        <v>0</v>
      </c>
      <c r="HL222" s="160">
        <f>IF([chambre3]*1='CHAMBRES GARCONS RDC'!$A$65,1,0)</f>
        <v>0</v>
      </c>
      <c r="HM222" s="160">
        <f>IF([Occurrence43]=0,0,SUM($HL$2:HL222))</f>
        <v>0</v>
      </c>
      <c r="HN222" s="160">
        <f>IF([chambre3]*1='CHAMBRES GARCONS RDC'!$A$71,1,0)</f>
        <v>0</v>
      </c>
      <c r="HO222" s="160">
        <f>IF([Occurrence44]=0,0,SUM($HN$2:HN222))</f>
        <v>0</v>
      </c>
      <c r="HP222" s="160">
        <f>IF([chambre3]*1='CHAMBRES GARCONS RDC'!$A$77,1,0)</f>
        <v>0</v>
      </c>
      <c r="HQ222" s="160">
        <f>IF([Occurrence45]=0,0,SUM($HP$2:HP222))</f>
        <v>0</v>
      </c>
      <c r="HR222" s="160">
        <f>IF([chambre3]*1='CHAMBRES GARCONS RDC'!$A$83,1,0)</f>
        <v>0</v>
      </c>
      <c r="HS222" s="160">
        <f>IF([Occurrence46]=0,0,SUM($HR$2:HR222))</f>
        <v>0</v>
      </c>
      <c r="HT222" s="160">
        <f>IF([chambre3]*1='CHAMBRES GARCONS RDC'!$A$89,1,0)</f>
        <v>0</v>
      </c>
      <c r="HU222" s="160">
        <f>IF([Occurrence47]=0,0,SUM($HT$2:HT222))</f>
        <v>0</v>
      </c>
      <c r="HV222" s="160">
        <f>IF([chambre3]*1='CHAMBRES GARCONS RDC'!$A$95,1,0)</f>
        <v>0</v>
      </c>
      <c r="HW222" s="160">
        <f>IF([Occurrence48]=0,0,SUM($HV$2:HV222))</f>
        <v>0</v>
      </c>
      <c r="HX222" s="160"/>
      <c r="HY222" s="160"/>
      <c r="HZ222" s="160">
        <f>IF([Classe]='Liste élève par classes'!$B$5,1,0)</f>
        <v>0</v>
      </c>
      <c r="IA222" s="160">
        <f>IF([Occurrence]=0,0,SUM($HZ$2:HZ222))</f>
        <v>0</v>
      </c>
      <c r="IB22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22" s="208"/>
    </row>
    <row r="223" spans="1:237">
      <c r="A223" t="s">
        <v>609</v>
      </c>
      <c r="B223" t="s">
        <v>516</v>
      </c>
      <c r="C223" s="158">
        <v>36623</v>
      </c>
      <c r="D223" s="62">
        <f t="shared" ca="1" si="3"/>
        <v>17</v>
      </c>
      <c r="E223" t="s">
        <v>8</v>
      </c>
      <c r="F223" s="159" t="s">
        <v>46</v>
      </c>
      <c r="G223" t="s">
        <v>40</v>
      </c>
      <c r="H223" s="160"/>
      <c r="I223" s="62"/>
      <c r="J223" s="62"/>
      <c r="K223" s="62"/>
      <c r="L223" s="61"/>
      <c r="M223">
        <v>111</v>
      </c>
      <c r="N223" s="62"/>
      <c r="O223" s="62"/>
      <c r="P223" s="62"/>
      <c r="Q223" s="62"/>
      <c r="R223" s="62"/>
      <c r="S223" s="62"/>
      <c r="T223" s="62"/>
      <c r="U223" s="61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163"/>
      <c r="AG223" s="163"/>
      <c r="AH223" s="163"/>
      <c r="AI223" s="163"/>
      <c r="AJ223" s="163"/>
      <c r="AK223" s="163"/>
      <c r="AL223" s="163"/>
      <c r="AM223" s="163"/>
      <c r="AN223" s="163"/>
      <c r="AO223" s="163"/>
      <c r="AP223" s="163"/>
      <c r="AQ223" s="163"/>
      <c r="AR223" s="163"/>
      <c r="AS223" s="163"/>
      <c r="AT223" s="163"/>
      <c r="AU223" s="163"/>
      <c r="AV223" s="163"/>
      <c r="AW223" s="163"/>
      <c r="AX223" s="163"/>
      <c r="AY223" s="163"/>
      <c r="AZ223" s="163"/>
      <c r="BA223" s="163"/>
      <c r="BB223" s="163"/>
      <c r="BC223" s="163"/>
      <c r="BD223" s="163"/>
      <c r="BE223" s="163"/>
      <c r="BF223" s="163"/>
      <c r="BG223" s="163"/>
      <c r="BH223" s="163"/>
      <c r="BI223" s="163"/>
      <c r="BJ223" s="163"/>
      <c r="BK223" s="163"/>
      <c r="BL223" s="163"/>
      <c r="BM223" s="163"/>
      <c r="BN223" s="163"/>
      <c r="BO223" s="163"/>
      <c r="BP223" s="163"/>
      <c r="BQ223" s="163"/>
      <c r="BR223" s="163"/>
      <c r="BS223" s="163"/>
      <c r="BT223" s="163"/>
      <c r="BU223" s="163"/>
      <c r="BV223" s="163"/>
      <c r="BW223" s="163"/>
      <c r="BX223" s="163"/>
      <c r="BY223" s="163"/>
      <c r="BZ223" s="163"/>
      <c r="CA223" s="163"/>
      <c r="CB223" s="163"/>
      <c r="CC223" s="163"/>
      <c r="CD223" s="163"/>
      <c r="CE223" s="163"/>
      <c r="CF223" s="163"/>
      <c r="CG223" s="163"/>
      <c r="CH223" s="163"/>
      <c r="CI223" s="163"/>
      <c r="CJ223" s="163"/>
      <c r="CK223" s="163"/>
      <c r="CL223" s="163"/>
      <c r="CM223" s="163"/>
      <c r="CN223" s="163"/>
      <c r="CO223" s="163"/>
      <c r="CP223" s="163"/>
      <c r="CQ223" s="163"/>
      <c r="CR223" s="163"/>
      <c r="CS223" s="163"/>
      <c r="CT223" s="163"/>
      <c r="CU223" s="163"/>
      <c r="CV223" s="163"/>
      <c r="CW223" s="163"/>
      <c r="CX223" s="163"/>
      <c r="CY223" s="163"/>
      <c r="CZ223" s="163"/>
      <c r="DA223" s="163"/>
      <c r="DB223" s="163"/>
      <c r="DC223" s="163"/>
      <c r="DD223" s="163"/>
      <c r="DE223" s="163"/>
      <c r="DF223" s="163"/>
      <c r="DG223" s="163"/>
      <c r="DH223" s="163"/>
      <c r="DI223" s="163"/>
      <c r="DJ223" s="163"/>
      <c r="DK223" s="163"/>
      <c r="DL223" s="163"/>
      <c r="DM223" s="163"/>
      <c r="DN223" s="163"/>
      <c r="DO223" s="163"/>
      <c r="DP223" s="163"/>
      <c r="DQ223" s="163"/>
      <c r="DR223" s="163"/>
      <c r="DS223" s="163"/>
      <c r="DT223" s="163"/>
      <c r="DU223" s="163"/>
      <c r="DV223" s="163"/>
      <c r="DW223" s="163"/>
      <c r="DX223" s="163"/>
      <c r="DY223" s="163"/>
      <c r="DZ223" s="163"/>
      <c r="EA223" s="163"/>
      <c r="EB223" s="163"/>
      <c r="EC223" s="163"/>
      <c r="ED223" s="163"/>
      <c r="EE223" s="163"/>
      <c r="EF223" s="163"/>
      <c r="EG223" s="163"/>
      <c r="EH223" s="160">
        <f>IF([Chambre]*1='CHAMBRES FILLES 2e ETAGE'!$A$5,1,0)</f>
        <v>0</v>
      </c>
      <c r="EI223" s="161">
        <f>IF([Occurrence2]=0,0,SUM($EH$2:EH223))</f>
        <v>0</v>
      </c>
      <c r="EJ223" s="160">
        <f>IF([Chambre]*1='CHAMBRES FILLES 2e ETAGE'!$A$11,1,0)</f>
        <v>0</v>
      </c>
      <c r="EK223" s="160">
        <f>IF([Occurrence3]=0,0,SUM($EJ$2:EJ223))</f>
        <v>0</v>
      </c>
      <c r="EL223" s="160">
        <f>IF([Chambre]*1='CHAMBRES FILLES 2e ETAGE'!$A$17,1,0)</f>
        <v>0</v>
      </c>
      <c r="EM223" s="160">
        <f>IF([Occurrence4]=0,0,SUM($EL$2:EL223))</f>
        <v>0</v>
      </c>
      <c r="EN223" s="160">
        <f>IF([Chambre]*1='CHAMBRES FILLES 2e ETAGE'!$A$23,1,0)</f>
        <v>0</v>
      </c>
      <c r="EO223" s="160">
        <f>IF([Occurrence5]=0,0,SUM($EN$2:EN223))</f>
        <v>0</v>
      </c>
      <c r="EP223" s="160">
        <f>IF([Chambre]*1='CHAMBRES FILLES 2e ETAGE'!$A$29,1,0)</f>
        <v>0</v>
      </c>
      <c r="EQ223" s="160">
        <f>IF([Occurrence6]=0,0,SUM($EP$2:EP223))</f>
        <v>0</v>
      </c>
      <c r="ER223" s="160">
        <f>IF([Chambre]*1='CHAMBRES FILLES 2e ETAGE'!$A$35,1,0)</f>
        <v>0</v>
      </c>
      <c r="ES223" s="160">
        <f>IF([Occurrence7]=0,0,SUM($ER$2:ER223))</f>
        <v>0</v>
      </c>
      <c r="ET223" s="160">
        <f>IF([Chambre]*1='CHAMBRES FILLES 2e ETAGE'!$A$41,1,0)</f>
        <v>0</v>
      </c>
      <c r="EU223" s="160">
        <f>IF([Occurrence8]=0,0,SUM($ET$2:ET223))</f>
        <v>0</v>
      </c>
      <c r="EV223" s="160">
        <f>IF([Chambre]*1='CHAMBRES FILLES 2e ETAGE'!$A$47,1,0)</f>
        <v>0</v>
      </c>
      <c r="EW223" s="160">
        <f>IF([Occurrence9]=0,0,SUM($EV$2:EV223))</f>
        <v>0</v>
      </c>
      <c r="EX223" s="160">
        <f>IF([Chambre]*1='CHAMBRES FILLES 2e ETAGE'!$A$53,1,0)</f>
        <v>0</v>
      </c>
      <c r="EY223" s="160">
        <f>IF([Occurrence10]=0,0,SUM($EX$2:EX223))</f>
        <v>0</v>
      </c>
      <c r="EZ223" s="160">
        <f>IF([Chambre]*1='CHAMBRES FILLES 2e ETAGE'!$A$59,1,0)</f>
        <v>0</v>
      </c>
      <c r="FA223" s="160">
        <f>IF([Occurrence11]=0,0,SUM($EZ$2:EZ223))</f>
        <v>0</v>
      </c>
      <c r="FB223" s="160">
        <f>IF([Chambre]*1='CHAMBRES FILLES 2e ETAGE'!$A$65,1,0)</f>
        <v>0</v>
      </c>
      <c r="FC223" s="160">
        <f>IF([Occurrence12]=0,0,SUM($FB$2:FB223))</f>
        <v>0</v>
      </c>
      <c r="FD223" s="160">
        <f>IF([Chambre]*1='CHAMBRES FILLES 2e ETAGE'!$A$71,1,0)</f>
        <v>0</v>
      </c>
      <c r="FE223" s="160">
        <f>IF([Occurrence13]=0,0,SUM($FD$2:FD223))</f>
        <v>0</v>
      </c>
      <c r="FF223" s="160">
        <f>IF([Chambre]*1='CHAMBRES FILLES 2e ETAGE'!$A$77,1,0)</f>
        <v>0</v>
      </c>
      <c r="FG223" s="160">
        <f>IF([Occurrence14]=0,0,SUM($FF$2:FF223))</f>
        <v>0</v>
      </c>
      <c r="FH223" s="160">
        <f>IF([Chambre]*1='CHAMBRES FILLES 2e ETAGE'!$A$83,1,0)</f>
        <v>0</v>
      </c>
      <c r="FI223" s="160">
        <f>IF([Occurrence15]=0,0,SUM($FH$2:FH223))</f>
        <v>0</v>
      </c>
      <c r="FJ223" s="160">
        <f>IF([Chambre]*1='CHAMBRES FILLES 2e ETAGE'!$A$89,1,0)</f>
        <v>0</v>
      </c>
      <c r="FK223" s="160">
        <f>IF([Occurrence16]=0,0,SUM($FJ$2:FJ223))</f>
        <v>0</v>
      </c>
      <c r="FL223" s="160">
        <f>IF([Chambre]*1='CHAMBRES FILLES 2e ETAGE'!$A$95,1,0)</f>
        <v>0</v>
      </c>
      <c r="FM223" s="160">
        <f>IF([Occurrence17]=0,0,SUM($FL$2:FL223))</f>
        <v>0</v>
      </c>
      <c r="FN223" s="160">
        <f>IF([Chambre2]*1='CHAMBRES FILLES 1e ETAGE'!$A$5,1,0)</f>
        <v>0</v>
      </c>
      <c r="FO223" s="160">
        <f>IF([Occurrence18]=0,0,SUM($FN$2:FN223))</f>
        <v>0</v>
      </c>
      <c r="FP223" s="160">
        <f>IF([Chambre2]*1='CHAMBRES FILLES 1e ETAGE'!$A$11,1,0)</f>
        <v>0</v>
      </c>
      <c r="FQ223" s="160">
        <f>IF([Occurrence19]=0,0,SUM($FP$2:FP223))</f>
        <v>0</v>
      </c>
      <c r="FR223" s="160">
        <f>IF([Chambre2]*1='CHAMBRES FILLES 1e ETAGE'!$A$17,1,0)</f>
        <v>0</v>
      </c>
      <c r="FS223" s="160">
        <f>IF([Occurrence20]=0,0,SUM($FR$2:FR223))</f>
        <v>0</v>
      </c>
      <c r="FT223" s="160">
        <f>IF([Chambre2]*1='CHAMBRES FILLES 1e ETAGE'!$A$23,1,0)</f>
        <v>0</v>
      </c>
      <c r="FU223" s="160">
        <f>IF([Occurrence21]=0,0,SUM($FT$2:FT223))</f>
        <v>0</v>
      </c>
      <c r="FV223" s="160">
        <f>IF([Chambre2]*1='CHAMBRES FILLES 1e ETAGE'!$A$29,1,0)</f>
        <v>0</v>
      </c>
      <c r="FW223" s="160">
        <f>IF([Occurrence22]=0,0,SUM($FV$2:FV223))</f>
        <v>0</v>
      </c>
      <c r="FX223" s="160">
        <f>IF([Chambre2]*1='CHAMBRES FILLES 1e ETAGE'!$A$35,1,0)</f>
        <v>0</v>
      </c>
      <c r="FY223" s="160">
        <f>IF([Occurrence23]=0,0,SUM($FX$2:FX223))</f>
        <v>0</v>
      </c>
      <c r="FZ223" s="160">
        <f>IF([Chambre2]*1='CHAMBRES FILLES 1e ETAGE'!$A$41,1,0)</f>
        <v>0</v>
      </c>
      <c r="GA223" s="160">
        <f>IF([Occurrence24]=0,0,SUM($FZ$2:FZ223))</f>
        <v>0</v>
      </c>
      <c r="GB223" s="160">
        <f>IF([Chambre2]*1='CHAMBRES FILLES 1e ETAGE'!$A$47,1,0)</f>
        <v>0</v>
      </c>
      <c r="GC223" s="160">
        <f>IF([Occurrence25]=0,0,SUM($GB$2:GB223))</f>
        <v>0</v>
      </c>
      <c r="GD223" s="160">
        <f>IF([Chambre2]*1='CHAMBRES FILLES 1e ETAGE'!$A$53,1,0)</f>
        <v>0</v>
      </c>
      <c r="GE223" s="160">
        <f>IF([Occurrence26]=0,0,SUM($GD$2:GD223))</f>
        <v>0</v>
      </c>
      <c r="GF223" s="160">
        <f>IF([chambre4]*1='CHAMBRES GARCONS 1e ETAGE'!$A$5,1,0)</f>
        <v>0</v>
      </c>
      <c r="GG223" s="160">
        <f>IF([Occurrence27]=0,0,SUM($GF$2:GF223))</f>
        <v>0</v>
      </c>
      <c r="GH223" s="160">
        <f>IF([chambre4]*1='CHAMBRES GARCONS 1e ETAGE'!$A$11,1,0)</f>
        <v>0</v>
      </c>
      <c r="GI223" s="160">
        <f>IF([Occurrence28]=0,0,SUM($GH$2:GH223))</f>
        <v>0</v>
      </c>
      <c r="GJ223" s="160">
        <f>IF([chambre4]*1='CHAMBRES GARCONS 1e ETAGE'!$A$17,1,0)</f>
        <v>0</v>
      </c>
      <c r="GK223" s="160">
        <f>IF([Occurrence29]=0,0,SUM($GJ$2:GJ223))</f>
        <v>0</v>
      </c>
      <c r="GL223" s="160">
        <f>IF([chambre4]*1='CHAMBRES GARCONS 1e ETAGE'!$A$23,1,0)</f>
        <v>0</v>
      </c>
      <c r="GM223" s="160">
        <f>IF([Occurrence30]=0,0,SUM($GL$2:GL223))</f>
        <v>0</v>
      </c>
      <c r="GN223" s="160">
        <f>IF([chambre4]*1='CHAMBRES GARCONS 1e ETAGE'!$A$29,1,0)</f>
        <v>0</v>
      </c>
      <c r="GO223" s="160">
        <f>IF([Occurrence31]=0,0,SUM($GN$2:GN223))</f>
        <v>0</v>
      </c>
      <c r="GP223" s="160">
        <f>IF([chambre4]*1='CHAMBRES GARCONS 1e ETAGE'!$A$35,1,0)</f>
        <v>0</v>
      </c>
      <c r="GQ223" s="160">
        <f>IF([Occurrence32]=0,0,SUM($GP$2:GP223))</f>
        <v>0</v>
      </c>
      <c r="GR223" s="160">
        <f>IF([chambre3]*1='CHAMBRES GARCONS RDC'!$A$5,1,0)</f>
        <v>0</v>
      </c>
      <c r="GS223" s="160">
        <f>IF([Occurrence33]=0,0,SUM($GR$2:GR223))</f>
        <v>0</v>
      </c>
      <c r="GT223" s="160">
        <f>IF([chambre3]*1='CHAMBRES GARCONS RDC'!$A$11,1,0)</f>
        <v>0</v>
      </c>
      <c r="GU223" s="160">
        <f>IF([Occurrence34]=0,0,SUM($GT$2:GT223))</f>
        <v>0</v>
      </c>
      <c r="GV223" s="160">
        <f>IF([chambre3]*1='CHAMBRES GARCONS RDC'!$A$17,1,0)</f>
        <v>0</v>
      </c>
      <c r="GW223" s="160">
        <f>IF([Occurrence35]=0,0,SUM($GV$2:GV223))</f>
        <v>0</v>
      </c>
      <c r="GX223" s="160">
        <f>IF([chambre3]*1='CHAMBRES GARCONS RDC'!$A$23,1,0)</f>
        <v>0</v>
      </c>
      <c r="GY223" s="160">
        <f>IF([Occurrence36]=0,0,SUM($GX$2:GX223))</f>
        <v>0</v>
      </c>
      <c r="GZ223" s="160">
        <f>IF([chambre3]*1='CHAMBRES GARCONS RDC'!$A$29,1,0)</f>
        <v>0</v>
      </c>
      <c r="HA223" s="160">
        <f>IF([Occurrence37]=0,0,SUM($GZ$2:GZ223))</f>
        <v>0</v>
      </c>
      <c r="HB223" s="160">
        <f>IF([chambre3]*1='CHAMBRES GARCONS RDC'!$A$35,1,0)</f>
        <v>0</v>
      </c>
      <c r="HC223" s="160">
        <f>IF([Occurrence38]=0,0,SUM($HB$2:HB223))</f>
        <v>0</v>
      </c>
      <c r="HD223" s="160">
        <f>IF([chambre3]*1='CHAMBRES GARCONS RDC'!$A$41,1,0)</f>
        <v>0</v>
      </c>
      <c r="HE223" s="160">
        <f>IF([Occurrence39]=0,0,SUM($HD$2:HD223))</f>
        <v>0</v>
      </c>
      <c r="HF223" s="160">
        <f>IF([chambre3]*1='CHAMBRES GARCONS RDC'!$A$47,1,0)</f>
        <v>0</v>
      </c>
      <c r="HG223" s="160">
        <f>IF([Occurrence40]=0,0,SUM($HF$2:HF223))</f>
        <v>0</v>
      </c>
      <c r="HH223" s="160">
        <f>IF([chambre3]*1='CHAMBRES GARCONS RDC'!$A$53,1,0)</f>
        <v>0</v>
      </c>
      <c r="HI223" s="160">
        <f>IF([Occurrence41]=0,0,SUM($HH$2:HH223))</f>
        <v>0</v>
      </c>
      <c r="HJ223" s="160">
        <f>IF([chambre3]*1='CHAMBRES GARCONS RDC'!$A$59,1,0)</f>
        <v>0</v>
      </c>
      <c r="HK223" s="160">
        <f>IF([Occurrence42]=0,0,SUM($HJ$2:HJ223))</f>
        <v>0</v>
      </c>
      <c r="HL223" s="160">
        <f>IF([chambre3]*1='CHAMBRES GARCONS RDC'!$A$65,1,0)</f>
        <v>0</v>
      </c>
      <c r="HM223" s="160">
        <f>IF([Occurrence43]=0,0,SUM($HL$2:HL223))</f>
        <v>0</v>
      </c>
      <c r="HN223" s="160">
        <f>IF([chambre3]*1='CHAMBRES GARCONS RDC'!$A$71,1,0)</f>
        <v>0</v>
      </c>
      <c r="HO223" s="160">
        <f>IF([Occurrence44]=0,0,SUM($HN$2:HN223))</f>
        <v>0</v>
      </c>
      <c r="HP223" s="160">
        <f>IF([chambre3]*1='CHAMBRES GARCONS RDC'!$A$77,1,0)</f>
        <v>0</v>
      </c>
      <c r="HQ223" s="160">
        <f>IF([Occurrence45]=0,0,SUM($HP$2:HP223))</f>
        <v>0</v>
      </c>
      <c r="HR223" s="160">
        <f>IF([chambre3]*1='CHAMBRES GARCONS RDC'!$A$83,1,0)</f>
        <v>0</v>
      </c>
      <c r="HS223" s="160">
        <f>IF([Occurrence46]=0,0,SUM($HR$2:HR223))</f>
        <v>0</v>
      </c>
      <c r="HT223" s="160">
        <f>IF([chambre3]*1='CHAMBRES GARCONS RDC'!$A$89,1,0)</f>
        <v>0</v>
      </c>
      <c r="HU223" s="160">
        <f>IF([Occurrence47]=0,0,SUM($HT$2:HT223))</f>
        <v>0</v>
      </c>
      <c r="HV223" s="160">
        <f>IF([chambre3]*1='CHAMBRES GARCONS RDC'!$A$95,1,0)</f>
        <v>0</v>
      </c>
      <c r="HW223" s="160">
        <f>IF([Occurrence48]=0,0,SUM($HV$2:HV223))</f>
        <v>0</v>
      </c>
      <c r="HX223" s="160"/>
      <c r="HY223" s="160"/>
      <c r="HZ223" s="160">
        <f>IF([Classe]='Liste élève par classes'!$B$5,1,0)</f>
        <v>1</v>
      </c>
      <c r="IA223" s="160">
        <f>IF([Occurrence]=0,0,SUM($HZ$2:HZ223))</f>
        <v>17</v>
      </c>
      <c r="IB22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23" s="208"/>
    </row>
    <row r="224" spans="1:237">
      <c r="A224" t="s">
        <v>610</v>
      </c>
      <c r="B224" t="s">
        <v>611</v>
      </c>
      <c r="C224" s="158">
        <v>35405</v>
      </c>
      <c r="D224" s="62">
        <f t="shared" ca="1" si="3"/>
        <v>20</v>
      </c>
      <c r="E224" t="s">
        <v>4</v>
      </c>
      <c r="F224" s="159" t="s">
        <v>41</v>
      </c>
      <c r="G224" t="s">
        <v>45</v>
      </c>
      <c r="H224" s="160"/>
      <c r="I224" s="161"/>
      <c r="J224" s="161"/>
      <c r="K224" s="161"/>
      <c r="L224" s="160"/>
      <c r="M224" s="161"/>
      <c r="N224" s="161"/>
      <c r="O224" s="161"/>
      <c r="P224" s="161"/>
      <c r="Q224" s="161"/>
      <c r="R224" s="161"/>
      <c r="S224" s="161"/>
      <c r="T224" s="161"/>
      <c r="U224" s="160"/>
      <c r="V224" s="161"/>
      <c r="W224" s="161"/>
      <c r="X224" s="161"/>
      <c r="Y224" s="161"/>
      <c r="Z224" s="161"/>
      <c r="AA224" s="161"/>
      <c r="AB224" s="161"/>
      <c r="AC224" s="161"/>
      <c r="AD224" s="161"/>
      <c r="AE224" s="161"/>
      <c r="AF224" s="163"/>
      <c r="AG224" s="163"/>
      <c r="AH224" s="163"/>
      <c r="AI224" s="163"/>
      <c r="AJ224" s="163"/>
      <c r="AK224" s="163"/>
      <c r="AL224" s="163"/>
      <c r="AM224" s="163"/>
      <c r="AN224" s="163"/>
      <c r="AO224" s="163"/>
      <c r="AP224" s="163"/>
      <c r="AQ224" s="163"/>
      <c r="AR224" s="163"/>
      <c r="AS224" s="163"/>
      <c r="AT224" s="163"/>
      <c r="AU224" s="163"/>
      <c r="AV224" s="163"/>
      <c r="AW224" s="163"/>
      <c r="AX224" s="163"/>
      <c r="AY224" s="163"/>
      <c r="AZ224" s="163"/>
      <c r="BA224" s="163"/>
      <c r="BB224" s="163"/>
      <c r="BC224" s="163" t="b">
        <v>0</v>
      </c>
      <c r="BD224" s="163" t="b">
        <v>0</v>
      </c>
      <c r="BE224" s="163" t="b">
        <v>0</v>
      </c>
      <c r="BF224" s="163" t="b">
        <v>0</v>
      </c>
      <c r="BG224" s="163" t="b">
        <v>0</v>
      </c>
      <c r="BH224" s="163" t="b">
        <v>0</v>
      </c>
      <c r="BI224" s="163" t="b">
        <v>1</v>
      </c>
      <c r="BJ224" s="163" t="b">
        <v>0</v>
      </c>
      <c r="BK224" s="163" t="b">
        <v>0</v>
      </c>
      <c r="BL224" s="163" t="b">
        <v>0</v>
      </c>
      <c r="BM224" s="163"/>
      <c r="BN224" s="163"/>
      <c r="BO224" s="163"/>
      <c r="BP224" s="163"/>
      <c r="BQ224" s="163"/>
      <c r="BR224" s="163"/>
      <c r="BS224" s="163"/>
      <c r="BT224" s="163"/>
      <c r="BU224" s="163"/>
      <c r="BV224" s="163"/>
      <c r="BW224" s="163"/>
      <c r="BX224" s="163"/>
      <c r="BY224" s="163"/>
      <c r="BZ224" s="163"/>
      <c r="CA224" s="163"/>
      <c r="CB224" s="163"/>
      <c r="CC224" s="163"/>
      <c r="CD224" s="163"/>
      <c r="CE224" s="163"/>
      <c r="CF224" s="163"/>
      <c r="CG224" s="163"/>
      <c r="CH224" s="163"/>
      <c r="CI224" s="163"/>
      <c r="CJ224" s="163"/>
      <c r="CK224" s="163"/>
      <c r="CL224" s="163"/>
      <c r="CM224" s="163"/>
      <c r="CN224" s="163"/>
      <c r="CO224" s="163"/>
      <c r="CP224" s="163"/>
      <c r="CQ224" s="163"/>
      <c r="CR224" s="163"/>
      <c r="CS224" s="163"/>
      <c r="CT224" s="163"/>
      <c r="CU224" s="163"/>
      <c r="CV224" s="163"/>
      <c r="CW224" s="163"/>
      <c r="CX224" s="163"/>
      <c r="CY224" s="163"/>
      <c r="CZ224" s="163"/>
      <c r="DA224" s="163"/>
      <c r="DB224" s="163"/>
      <c r="DC224" s="163"/>
      <c r="DD224" s="163"/>
      <c r="DE224" s="163"/>
      <c r="DF224" s="163"/>
      <c r="DG224" s="163"/>
      <c r="DH224" s="163"/>
      <c r="DI224" s="163"/>
      <c r="DJ224" s="163"/>
      <c r="DK224" s="163"/>
      <c r="DL224" s="163"/>
      <c r="DM224" s="163"/>
      <c r="DN224" s="163"/>
      <c r="DO224" s="163"/>
      <c r="DP224" s="163"/>
      <c r="DQ224" s="163"/>
      <c r="DR224" s="163"/>
      <c r="DS224" s="163"/>
      <c r="DT224" s="163"/>
      <c r="DU224" s="163"/>
      <c r="DV224" s="163"/>
      <c r="DW224" s="163"/>
      <c r="DX224" s="163"/>
      <c r="DY224" s="163"/>
      <c r="DZ224" s="163"/>
      <c r="EA224" s="163"/>
      <c r="EB224" s="163"/>
      <c r="EC224" s="163"/>
      <c r="ED224" s="163"/>
      <c r="EE224" s="163"/>
      <c r="EF224" s="163"/>
      <c r="EG224" s="163"/>
      <c r="EH224" s="160">
        <f>IF([Chambre]*1='CHAMBRES FILLES 2e ETAGE'!$A$5,1,0)</f>
        <v>0</v>
      </c>
      <c r="EI224" s="161">
        <f>IF([Occurrence2]=0,0,SUM($EH$2:EH224))</f>
        <v>0</v>
      </c>
      <c r="EJ224" s="160">
        <f>IF([Chambre]*1='CHAMBRES FILLES 2e ETAGE'!$A$11,1,0)</f>
        <v>0</v>
      </c>
      <c r="EK224" s="160">
        <f>IF([Occurrence3]=0,0,SUM($EJ$2:EJ224))</f>
        <v>0</v>
      </c>
      <c r="EL224" s="160">
        <f>IF([Chambre]*1='CHAMBRES FILLES 2e ETAGE'!$A$17,1,0)</f>
        <v>0</v>
      </c>
      <c r="EM224" s="160">
        <f>IF([Occurrence4]=0,0,SUM($EL$2:EL224))</f>
        <v>0</v>
      </c>
      <c r="EN224" s="160">
        <f>IF([Chambre]*1='CHAMBRES FILLES 2e ETAGE'!$A$23,1,0)</f>
        <v>0</v>
      </c>
      <c r="EO224" s="160">
        <f>IF([Occurrence5]=0,0,SUM($EN$2:EN224))</f>
        <v>0</v>
      </c>
      <c r="EP224" s="160">
        <f>IF([Chambre]*1='CHAMBRES FILLES 2e ETAGE'!$A$29,1,0)</f>
        <v>0</v>
      </c>
      <c r="EQ224" s="160">
        <f>IF([Occurrence6]=0,0,SUM($EP$2:EP224))</f>
        <v>0</v>
      </c>
      <c r="ER224" s="160">
        <f>IF([Chambre]*1='CHAMBRES FILLES 2e ETAGE'!$A$35,1,0)</f>
        <v>0</v>
      </c>
      <c r="ES224" s="160">
        <f>IF([Occurrence7]=0,0,SUM($ER$2:ER224))</f>
        <v>0</v>
      </c>
      <c r="ET224" s="160">
        <f>IF([Chambre]*1='CHAMBRES FILLES 2e ETAGE'!$A$41,1,0)</f>
        <v>0</v>
      </c>
      <c r="EU224" s="160">
        <f>IF([Occurrence8]=0,0,SUM($ET$2:ET224))</f>
        <v>0</v>
      </c>
      <c r="EV224" s="160">
        <f>IF([Chambre]*1='CHAMBRES FILLES 2e ETAGE'!$A$47,1,0)</f>
        <v>0</v>
      </c>
      <c r="EW224" s="160">
        <f>IF([Occurrence9]=0,0,SUM($EV$2:EV224))</f>
        <v>0</v>
      </c>
      <c r="EX224" s="160">
        <f>IF([Chambre]*1='CHAMBRES FILLES 2e ETAGE'!$A$53,1,0)</f>
        <v>0</v>
      </c>
      <c r="EY224" s="160">
        <f>IF([Occurrence10]=0,0,SUM($EX$2:EX224))</f>
        <v>0</v>
      </c>
      <c r="EZ224" s="160">
        <f>IF([Chambre]*1='CHAMBRES FILLES 2e ETAGE'!$A$59,1,0)</f>
        <v>0</v>
      </c>
      <c r="FA224" s="160">
        <f>IF([Occurrence11]=0,0,SUM($EZ$2:EZ224))</f>
        <v>0</v>
      </c>
      <c r="FB224" s="160">
        <f>IF([Chambre]*1='CHAMBRES FILLES 2e ETAGE'!$A$65,1,0)</f>
        <v>0</v>
      </c>
      <c r="FC224" s="160">
        <f>IF([Occurrence12]=0,0,SUM($FB$2:FB224))</f>
        <v>0</v>
      </c>
      <c r="FD224" s="160">
        <f>IF([Chambre]*1='CHAMBRES FILLES 2e ETAGE'!$A$71,1,0)</f>
        <v>0</v>
      </c>
      <c r="FE224" s="160">
        <f>IF([Occurrence13]=0,0,SUM($FD$2:FD224))</f>
        <v>0</v>
      </c>
      <c r="FF224" s="160">
        <f>IF([Chambre]*1='CHAMBRES FILLES 2e ETAGE'!$A$77,1,0)</f>
        <v>0</v>
      </c>
      <c r="FG224" s="160">
        <f>IF([Occurrence14]=0,0,SUM($FF$2:FF224))</f>
        <v>0</v>
      </c>
      <c r="FH224" s="160">
        <f>IF([Chambre]*1='CHAMBRES FILLES 2e ETAGE'!$A$83,1,0)</f>
        <v>0</v>
      </c>
      <c r="FI224" s="160">
        <f>IF([Occurrence15]=0,0,SUM($FH$2:FH224))</f>
        <v>0</v>
      </c>
      <c r="FJ224" s="160">
        <f>IF([Chambre]*1='CHAMBRES FILLES 2e ETAGE'!$A$89,1,0)</f>
        <v>0</v>
      </c>
      <c r="FK224" s="160">
        <f>IF([Occurrence16]=0,0,SUM($FJ$2:FJ224))</f>
        <v>0</v>
      </c>
      <c r="FL224" s="160">
        <f>IF([Chambre]*1='CHAMBRES FILLES 2e ETAGE'!$A$95,1,0)</f>
        <v>0</v>
      </c>
      <c r="FM224" s="160">
        <f>IF([Occurrence17]=0,0,SUM($FL$2:FL224))</f>
        <v>0</v>
      </c>
      <c r="FN224" s="160">
        <f>IF([Chambre2]*1='CHAMBRES FILLES 1e ETAGE'!$A$5,1,0)</f>
        <v>0</v>
      </c>
      <c r="FO224" s="160">
        <f>IF([Occurrence18]=0,0,SUM($FN$2:FN224))</f>
        <v>0</v>
      </c>
      <c r="FP224" s="160">
        <f>IF([Chambre2]*1='CHAMBRES FILLES 1e ETAGE'!$A$11,1,0)</f>
        <v>0</v>
      </c>
      <c r="FQ224" s="160">
        <f>IF([Occurrence19]=0,0,SUM($FP$2:FP224))</f>
        <v>0</v>
      </c>
      <c r="FR224" s="160">
        <f>IF([Chambre2]*1='CHAMBRES FILLES 1e ETAGE'!$A$17,1,0)</f>
        <v>0</v>
      </c>
      <c r="FS224" s="160">
        <f>IF([Occurrence20]=0,0,SUM($FR$2:FR224))</f>
        <v>0</v>
      </c>
      <c r="FT224" s="160">
        <f>IF([Chambre2]*1='CHAMBRES FILLES 1e ETAGE'!$A$23,1,0)</f>
        <v>0</v>
      </c>
      <c r="FU224" s="160">
        <f>IF([Occurrence21]=0,0,SUM($FT$2:FT224))</f>
        <v>0</v>
      </c>
      <c r="FV224" s="160">
        <f>IF([Chambre2]*1='CHAMBRES FILLES 1e ETAGE'!$A$29,1,0)</f>
        <v>0</v>
      </c>
      <c r="FW224" s="160">
        <f>IF([Occurrence22]=0,0,SUM($FV$2:FV224))</f>
        <v>0</v>
      </c>
      <c r="FX224" s="160">
        <f>IF([Chambre2]*1='CHAMBRES FILLES 1e ETAGE'!$A$35,1,0)</f>
        <v>0</v>
      </c>
      <c r="FY224" s="160">
        <f>IF([Occurrence23]=0,0,SUM($FX$2:FX224))</f>
        <v>0</v>
      </c>
      <c r="FZ224" s="160">
        <f>IF([Chambre2]*1='CHAMBRES FILLES 1e ETAGE'!$A$41,1,0)</f>
        <v>0</v>
      </c>
      <c r="GA224" s="160">
        <f>IF([Occurrence24]=0,0,SUM($FZ$2:FZ224))</f>
        <v>0</v>
      </c>
      <c r="GB224" s="160">
        <f>IF([Chambre2]*1='CHAMBRES FILLES 1e ETAGE'!$A$47,1,0)</f>
        <v>0</v>
      </c>
      <c r="GC224" s="160">
        <f>IF([Occurrence25]=0,0,SUM($GB$2:GB224))</f>
        <v>0</v>
      </c>
      <c r="GD224" s="160">
        <f>IF([Chambre2]*1='CHAMBRES FILLES 1e ETAGE'!$A$53,1,0)</f>
        <v>0</v>
      </c>
      <c r="GE224" s="160">
        <f>IF([Occurrence26]=0,0,SUM($GD$2:GD224))</f>
        <v>0</v>
      </c>
      <c r="GF224" s="160">
        <f>IF([chambre4]*1='CHAMBRES GARCONS 1e ETAGE'!$A$5,1,0)</f>
        <v>0</v>
      </c>
      <c r="GG224" s="160">
        <f>IF([Occurrence27]=0,0,SUM($GF$2:GF224))</f>
        <v>0</v>
      </c>
      <c r="GH224" s="160">
        <f>IF([chambre4]*1='CHAMBRES GARCONS 1e ETAGE'!$A$11,1,0)</f>
        <v>0</v>
      </c>
      <c r="GI224" s="160">
        <f>IF([Occurrence28]=0,0,SUM($GH$2:GH224))</f>
        <v>0</v>
      </c>
      <c r="GJ224" s="160">
        <f>IF([chambre4]*1='CHAMBRES GARCONS 1e ETAGE'!$A$17,1,0)</f>
        <v>0</v>
      </c>
      <c r="GK224" s="160">
        <f>IF([Occurrence29]=0,0,SUM($GJ$2:GJ224))</f>
        <v>0</v>
      </c>
      <c r="GL224" s="160">
        <f>IF([chambre4]*1='CHAMBRES GARCONS 1e ETAGE'!$A$23,1,0)</f>
        <v>0</v>
      </c>
      <c r="GM224" s="160">
        <f>IF([Occurrence30]=0,0,SUM($GL$2:GL224))</f>
        <v>0</v>
      </c>
      <c r="GN224" s="160">
        <f>IF([chambre4]*1='CHAMBRES GARCONS 1e ETAGE'!$A$29,1,0)</f>
        <v>0</v>
      </c>
      <c r="GO224" s="160">
        <f>IF([Occurrence31]=0,0,SUM($GN$2:GN224))</f>
        <v>0</v>
      </c>
      <c r="GP224" s="160">
        <f>IF([chambre4]*1='CHAMBRES GARCONS 1e ETAGE'!$A$35,1,0)</f>
        <v>0</v>
      </c>
      <c r="GQ224" s="160">
        <f>IF([Occurrence32]=0,0,SUM($GP$2:GP224))</f>
        <v>0</v>
      </c>
      <c r="GR224" s="160">
        <f>IF([chambre3]*1='CHAMBRES GARCONS RDC'!$A$5,1,0)</f>
        <v>0</v>
      </c>
      <c r="GS224" s="160">
        <f>IF([Occurrence33]=0,0,SUM($GR$2:GR224))</f>
        <v>0</v>
      </c>
      <c r="GT224" s="160">
        <f>IF([chambre3]*1='CHAMBRES GARCONS RDC'!$A$11,1,0)</f>
        <v>0</v>
      </c>
      <c r="GU224" s="160">
        <f>IF([Occurrence34]=0,0,SUM($GT$2:GT224))</f>
        <v>0</v>
      </c>
      <c r="GV224" s="160">
        <f>IF([chambre3]*1='CHAMBRES GARCONS RDC'!$A$17,1,0)</f>
        <v>0</v>
      </c>
      <c r="GW224" s="160">
        <f>IF([Occurrence35]=0,0,SUM($GV$2:GV224))</f>
        <v>0</v>
      </c>
      <c r="GX224" s="160">
        <f>IF([chambre3]*1='CHAMBRES GARCONS RDC'!$A$23,1,0)</f>
        <v>0</v>
      </c>
      <c r="GY224" s="160">
        <f>IF([Occurrence36]=0,0,SUM($GX$2:GX224))</f>
        <v>0</v>
      </c>
      <c r="GZ224" s="160">
        <f>IF([chambre3]*1='CHAMBRES GARCONS RDC'!$A$29,1,0)</f>
        <v>0</v>
      </c>
      <c r="HA224" s="160">
        <f>IF([Occurrence37]=0,0,SUM($GZ$2:GZ224))</f>
        <v>0</v>
      </c>
      <c r="HB224" s="160">
        <f>IF([chambre3]*1='CHAMBRES GARCONS RDC'!$A$35,1,0)</f>
        <v>0</v>
      </c>
      <c r="HC224" s="160">
        <f>IF([Occurrence38]=0,0,SUM($HB$2:HB224))</f>
        <v>0</v>
      </c>
      <c r="HD224" s="160">
        <f>IF([chambre3]*1='CHAMBRES GARCONS RDC'!$A$41,1,0)</f>
        <v>0</v>
      </c>
      <c r="HE224" s="160">
        <f>IF([Occurrence39]=0,0,SUM($HD$2:HD224))</f>
        <v>0</v>
      </c>
      <c r="HF224" s="160">
        <f>IF([chambre3]*1='CHAMBRES GARCONS RDC'!$A$47,1,0)</f>
        <v>0</v>
      </c>
      <c r="HG224" s="160">
        <f>IF([Occurrence40]=0,0,SUM($HF$2:HF224))</f>
        <v>0</v>
      </c>
      <c r="HH224" s="160">
        <f>IF([chambre3]*1='CHAMBRES GARCONS RDC'!$A$53,1,0)</f>
        <v>0</v>
      </c>
      <c r="HI224" s="160">
        <f>IF([Occurrence41]=0,0,SUM($HH$2:HH224))</f>
        <v>0</v>
      </c>
      <c r="HJ224" s="160">
        <f>IF([chambre3]*1='CHAMBRES GARCONS RDC'!$A$59,1,0)</f>
        <v>0</v>
      </c>
      <c r="HK224" s="160">
        <f>IF([Occurrence42]=0,0,SUM($HJ$2:HJ224))</f>
        <v>0</v>
      </c>
      <c r="HL224" s="160">
        <f>IF([chambre3]*1='CHAMBRES GARCONS RDC'!$A$65,1,0)</f>
        <v>0</v>
      </c>
      <c r="HM224" s="160">
        <f>IF([Occurrence43]=0,0,SUM($HL$2:HL224))</f>
        <v>0</v>
      </c>
      <c r="HN224" s="160">
        <f>IF([chambre3]*1='CHAMBRES GARCONS RDC'!$A$71,1,0)</f>
        <v>0</v>
      </c>
      <c r="HO224" s="160">
        <f>IF([Occurrence44]=0,0,SUM($HN$2:HN224))</f>
        <v>0</v>
      </c>
      <c r="HP224" s="160">
        <f>IF([chambre3]*1='CHAMBRES GARCONS RDC'!$A$77,1,0)</f>
        <v>0</v>
      </c>
      <c r="HQ224" s="160">
        <f>IF([Occurrence45]=0,0,SUM($HP$2:HP224))</f>
        <v>0</v>
      </c>
      <c r="HR224" s="160">
        <f>IF([chambre3]*1='CHAMBRES GARCONS RDC'!$A$83,1,0)</f>
        <v>0</v>
      </c>
      <c r="HS224" s="160">
        <f>IF([Occurrence46]=0,0,SUM($HR$2:HR224))</f>
        <v>0</v>
      </c>
      <c r="HT224" s="160">
        <f>IF([chambre3]*1='CHAMBRES GARCONS RDC'!$A$89,1,0)</f>
        <v>0</v>
      </c>
      <c r="HU224" s="160">
        <f>IF([Occurrence47]=0,0,SUM($HT$2:HT224))</f>
        <v>0</v>
      </c>
      <c r="HV224" s="160">
        <f>IF([chambre3]*1='CHAMBRES GARCONS RDC'!$A$95,1,0)</f>
        <v>0</v>
      </c>
      <c r="HW224" s="160">
        <f>IF([Occurrence48]=0,0,SUM($HV$2:HV224))</f>
        <v>0</v>
      </c>
      <c r="HX224" s="160"/>
      <c r="HY224" s="160"/>
      <c r="HZ224" s="160">
        <f>IF([Classe]='Liste élève par classes'!$B$5,1,0)</f>
        <v>0</v>
      </c>
      <c r="IA224" s="160">
        <f>IF([Occurrence]=0,0,SUM($HZ$2:HZ224))</f>
        <v>0</v>
      </c>
      <c r="IB22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24" s="208"/>
    </row>
    <row r="225" spans="1:237">
      <c r="A225" t="s">
        <v>612</v>
      </c>
      <c r="B225" t="s">
        <v>613</v>
      </c>
      <c r="C225" s="158">
        <v>36594</v>
      </c>
      <c r="D225" s="62">
        <f t="shared" ca="1" si="3"/>
        <v>17</v>
      </c>
      <c r="E225" t="s">
        <v>0</v>
      </c>
      <c r="F225" s="159" t="s">
        <v>50</v>
      </c>
      <c r="G225" t="s">
        <v>45</v>
      </c>
      <c r="H225" s="160"/>
      <c r="I225" s="161"/>
      <c r="J225" s="161"/>
      <c r="K225" s="161"/>
      <c r="L225" s="160">
        <v>163</v>
      </c>
      <c r="M225">
        <v>218</v>
      </c>
      <c r="N225" s="161"/>
      <c r="O225" s="161"/>
      <c r="P225" s="161"/>
      <c r="Q225" s="161"/>
      <c r="R225" s="161"/>
      <c r="S225" s="190"/>
      <c r="T225" s="161"/>
      <c r="U225" s="160"/>
      <c r="V225" s="161"/>
      <c r="W225" s="161"/>
      <c r="X225" s="161"/>
      <c r="Y225" s="161"/>
      <c r="Z225" s="161"/>
      <c r="AA225" s="161"/>
      <c r="AB225" s="161"/>
      <c r="AC225" s="161"/>
      <c r="AD225" s="161"/>
      <c r="AE225" s="161"/>
      <c r="AF225" s="163"/>
      <c r="AG225" s="163"/>
      <c r="AH225" s="163"/>
      <c r="AI225" s="163"/>
      <c r="AJ225" s="163"/>
      <c r="AK225" s="163"/>
      <c r="AL225" s="163"/>
      <c r="AM225" s="163"/>
      <c r="AN225" s="163"/>
      <c r="AO225" s="163"/>
      <c r="AP225" s="163"/>
      <c r="AQ225" s="163"/>
      <c r="AR225" s="163"/>
      <c r="AS225" s="163"/>
      <c r="AT225" s="163"/>
      <c r="AU225" s="163"/>
      <c r="AV225" s="163"/>
      <c r="AW225" s="163"/>
      <c r="AX225" s="163"/>
      <c r="AY225" s="163"/>
      <c r="AZ225" s="163"/>
      <c r="BA225" s="163"/>
      <c r="BB225" s="163"/>
      <c r="BC225" s="163" t="b">
        <v>0</v>
      </c>
      <c r="BD225" s="163" t="b">
        <v>1</v>
      </c>
      <c r="BE225" s="163" t="b">
        <v>1</v>
      </c>
      <c r="BF225" s="163" t="b">
        <v>0</v>
      </c>
      <c r="BG225" s="164" t="b">
        <v>0</v>
      </c>
      <c r="BH225" s="163" t="b">
        <v>1</v>
      </c>
      <c r="BI225" s="163"/>
      <c r="BJ225" s="163"/>
      <c r="BK225" s="163"/>
      <c r="BL225" s="163"/>
      <c r="BM225" s="163"/>
      <c r="BN225" s="163"/>
      <c r="BO225" s="163"/>
      <c r="BP225" s="163"/>
      <c r="BQ225" s="163" t="b">
        <v>0</v>
      </c>
      <c r="BR225" s="163"/>
      <c r="BS225" s="163"/>
      <c r="BT225" s="163"/>
      <c r="BU225" s="163"/>
      <c r="BV225" s="163"/>
      <c r="BW225" s="163"/>
      <c r="BX225" s="163"/>
      <c r="BY225" s="163"/>
      <c r="BZ225" s="163"/>
      <c r="CA225" s="163"/>
      <c r="CB225" s="163"/>
      <c r="CC225" s="163"/>
      <c r="CD225" s="163"/>
      <c r="CE225" s="163"/>
      <c r="CF225" s="163"/>
      <c r="CG225" s="163"/>
      <c r="CH225" s="163"/>
      <c r="CI225" s="163"/>
      <c r="CJ225" s="163"/>
      <c r="CK225" s="163"/>
      <c r="CL225" s="163"/>
      <c r="CM225" s="163"/>
      <c r="CN225" s="163"/>
      <c r="CO225" s="163"/>
      <c r="CP225" s="163"/>
      <c r="CQ225" s="163"/>
      <c r="CR225" s="163"/>
      <c r="CS225" s="163"/>
      <c r="CT225" s="163"/>
      <c r="CU225" s="163"/>
      <c r="CV225" s="163"/>
      <c r="CW225" s="163"/>
      <c r="CX225" s="163"/>
      <c r="CY225" s="163"/>
      <c r="CZ225" s="163"/>
      <c r="DA225" s="163"/>
      <c r="DB225" s="163"/>
      <c r="DC225" s="163"/>
      <c r="DD225" s="163"/>
      <c r="DE225" s="163"/>
      <c r="DF225" s="163"/>
      <c r="DG225" s="208"/>
      <c r="DH225" s="163"/>
      <c r="DI225" s="163"/>
      <c r="DJ225" s="163"/>
      <c r="DK225" s="163"/>
      <c r="DL225" s="163"/>
      <c r="DM225" s="163"/>
      <c r="DN225" s="163"/>
      <c r="DO225" s="163"/>
      <c r="DP225" s="163"/>
      <c r="DQ225" s="163"/>
      <c r="DR225" s="163"/>
      <c r="DS225" s="163"/>
      <c r="DT225" s="163"/>
      <c r="DU225" s="163"/>
      <c r="DV225" s="163"/>
      <c r="DW225" s="163"/>
      <c r="DX225" s="163"/>
      <c r="DY225" s="163"/>
      <c r="DZ225" s="163"/>
      <c r="EA225" s="163"/>
      <c r="EB225" s="163"/>
      <c r="EC225" s="163"/>
      <c r="ED225" s="163"/>
      <c r="EE225" s="163"/>
      <c r="EF225" s="163"/>
      <c r="EG225" s="163"/>
      <c r="EH225" s="160">
        <f>IF([Chambre]*1='CHAMBRES FILLES 2e ETAGE'!$A$5,1,0)</f>
        <v>0</v>
      </c>
      <c r="EI225" s="161">
        <f>IF([Occurrence2]=0,0,SUM($EH$2:EH225))</f>
        <v>0</v>
      </c>
      <c r="EJ225" s="160">
        <f>IF([Chambre]*1='CHAMBRES FILLES 2e ETAGE'!$A$11,1,0)</f>
        <v>0</v>
      </c>
      <c r="EK225" s="160">
        <f>IF([Occurrence3]=0,0,SUM($EJ$2:EJ225))</f>
        <v>0</v>
      </c>
      <c r="EL225" s="160">
        <f>IF([Chambre]*1='CHAMBRES FILLES 2e ETAGE'!$A$17,1,0)</f>
        <v>0</v>
      </c>
      <c r="EM225" s="160">
        <f>IF([Occurrence4]=0,0,SUM($EL$2:EL225))</f>
        <v>0</v>
      </c>
      <c r="EN225" s="160">
        <f>IF([Chambre]*1='CHAMBRES FILLES 2e ETAGE'!$A$23,1,0)</f>
        <v>0</v>
      </c>
      <c r="EO225" s="160">
        <f>IF([Occurrence5]=0,0,SUM($EN$2:EN225))</f>
        <v>0</v>
      </c>
      <c r="EP225" s="160">
        <f>IF([Chambre]*1='CHAMBRES FILLES 2e ETAGE'!$A$29,1,0)</f>
        <v>0</v>
      </c>
      <c r="EQ225" s="160">
        <f>IF([Occurrence6]=0,0,SUM($EP$2:EP225))</f>
        <v>0</v>
      </c>
      <c r="ER225" s="160">
        <f>IF([Chambre]*1='CHAMBRES FILLES 2e ETAGE'!$A$35,1,0)</f>
        <v>0</v>
      </c>
      <c r="ES225" s="160">
        <f>IF([Occurrence7]=0,0,SUM($ER$2:ER225))</f>
        <v>0</v>
      </c>
      <c r="ET225" s="160">
        <f>IF([Chambre]*1='CHAMBRES FILLES 2e ETAGE'!$A$41,1,0)</f>
        <v>0</v>
      </c>
      <c r="EU225" s="160">
        <f>IF([Occurrence8]=0,0,SUM($ET$2:ET225))</f>
        <v>0</v>
      </c>
      <c r="EV225" s="160">
        <f>IF([Chambre]*1='CHAMBRES FILLES 2e ETAGE'!$A$47,1,0)</f>
        <v>0</v>
      </c>
      <c r="EW225" s="160">
        <f>IF([Occurrence9]=0,0,SUM($EV$2:EV225))</f>
        <v>0</v>
      </c>
      <c r="EX225" s="160">
        <f>IF([Chambre]*1='CHAMBRES FILLES 2e ETAGE'!$A$53,1,0)</f>
        <v>0</v>
      </c>
      <c r="EY225" s="160">
        <f>IF([Occurrence10]=0,0,SUM($EX$2:EX225))</f>
        <v>0</v>
      </c>
      <c r="EZ225" s="160">
        <f>IF([Chambre]*1='CHAMBRES FILLES 2e ETAGE'!$A$59,1,0)</f>
        <v>1</v>
      </c>
      <c r="FA225" s="160">
        <f>IF([Occurrence11]=0,0,SUM($EZ$2:EZ225))</f>
        <v>3</v>
      </c>
      <c r="FB225" s="160">
        <f>IF([Chambre]*1='CHAMBRES FILLES 2e ETAGE'!$A$65,1,0)</f>
        <v>0</v>
      </c>
      <c r="FC225" s="160">
        <f>IF([Occurrence12]=0,0,SUM($FB$2:FB225))</f>
        <v>0</v>
      </c>
      <c r="FD225" s="160">
        <f>IF([Chambre]*1='CHAMBRES FILLES 2e ETAGE'!$A$71,1,0)</f>
        <v>0</v>
      </c>
      <c r="FE225" s="160">
        <f>IF([Occurrence13]=0,0,SUM($FD$2:FD225))</f>
        <v>0</v>
      </c>
      <c r="FF225" s="160">
        <f>IF([Chambre]*1='CHAMBRES FILLES 2e ETAGE'!$A$77,1,0)</f>
        <v>0</v>
      </c>
      <c r="FG225" s="160">
        <f>IF([Occurrence14]=0,0,SUM($FF$2:FF225))</f>
        <v>0</v>
      </c>
      <c r="FH225" s="160">
        <f>IF([Chambre]*1='CHAMBRES FILLES 2e ETAGE'!$A$83,1,0)</f>
        <v>0</v>
      </c>
      <c r="FI225" s="160">
        <f>IF([Occurrence15]=0,0,SUM($FH$2:FH225))</f>
        <v>0</v>
      </c>
      <c r="FJ225" s="160">
        <f>IF([Chambre]*1='CHAMBRES FILLES 2e ETAGE'!$A$89,1,0)</f>
        <v>0</v>
      </c>
      <c r="FK225" s="160">
        <f>IF([Occurrence16]=0,0,SUM($FJ$2:FJ225))</f>
        <v>0</v>
      </c>
      <c r="FL225" s="160">
        <f>IF([Chambre]*1='CHAMBRES FILLES 2e ETAGE'!$A$95,1,0)</f>
        <v>0</v>
      </c>
      <c r="FM225" s="160">
        <f>IF([Occurrence17]=0,0,SUM($FL$2:FL225))</f>
        <v>0</v>
      </c>
      <c r="FN225" s="160">
        <f>IF([Chambre2]*1='CHAMBRES FILLES 1e ETAGE'!$A$5,1,0)</f>
        <v>0</v>
      </c>
      <c r="FO225" s="160">
        <f>IF([Occurrence18]=0,0,SUM($FN$2:FN225))</f>
        <v>0</v>
      </c>
      <c r="FP225" s="160">
        <f>IF([Chambre2]*1='CHAMBRES FILLES 1e ETAGE'!$A$11,1,0)</f>
        <v>0</v>
      </c>
      <c r="FQ225" s="160">
        <f>IF([Occurrence19]=0,0,SUM($FP$2:FP225))</f>
        <v>0</v>
      </c>
      <c r="FR225" s="160">
        <f>IF([Chambre2]*1='CHAMBRES FILLES 1e ETAGE'!$A$17,1,0)</f>
        <v>0</v>
      </c>
      <c r="FS225" s="160">
        <f>IF([Occurrence20]=0,0,SUM($FR$2:FR225))</f>
        <v>0</v>
      </c>
      <c r="FT225" s="160">
        <f>IF([Chambre2]*1='CHAMBRES FILLES 1e ETAGE'!$A$23,1,0)</f>
        <v>0</v>
      </c>
      <c r="FU225" s="160">
        <f>IF([Occurrence21]=0,0,SUM($FT$2:FT225))</f>
        <v>0</v>
      </c>
      <c r="FV225" s="160">
        <f>IF([Chambre2]*1='CHAMBRES FILLES 1e ETAGE'!$A$29,1,0)</f>
        <v>0</v>
      </c>
      <c r="FW225" s="160">
        <f>IF([Occurrence22]=0,0,SUM($FV$2:FV225))</f>
        <v>0</v>
      </c>
      <c r="FX225" s="160">
        <f>IF([Chambre2]*1='CHAMBRES FILLES 1e ETAGE'!$A$35,1,0)</f>
        <v>0</v>
      </c>
      <c r="FY225" s="160">
        <f>IF([Occurrence23]=0,0,SUM($FX$2:FX225))</f>
        <v>0</v>
      </c>
      <c r="FZ225" s="160">
        <f>IF([Chambre2]*1='CHAMBRES FILLES 1e ETAGE'!$A$41,1,0)</f>
        <v>0</v>
      </c>
      <c r="GA225" s="160">
        <f>IF([Occurrence24]=0,0,SUM($FZ$2:FZ225))</f>
        <v>0</v>
      </c>
      <c r="GB225" s="160">
        <f>IF([Chambre2]*1='CHAMBRES FILLES 1e ETAGE'!$A$47,1,0)</f>
        <v>0</v>
      </c>
      <c r="GC225" s="160">
        <f>IF([Occurrence25]=0,0,SUM($GB$2:GB225))</f>
        <v>0</v>
      </c>
      <c r="GD225" s="160">
        <f>IF([Chambre2]*1='CHAMBRES FILLES 1e ETAGE'!$A$53,1,0)</f>
        <v>0</v>
      </c>
      <c r="GE225" s="160">
        <f>IF([Occurrence26]=0,0,SUM($GD$2:GD225))</f>
        <v>0</v>
      </c>
      <c r="GF225" s="160">
        <f>IF([chambre4]*1='CHAMBRES GARCONS 1e ETAGE'!$A$5,1,0)</f>
        <v>0</v>
      </c>
      <c r="GG225" s="160">
        <f>IF([Occurrence27]=0,0,SUM($GF$2:GF225))</f>
        <v>0</v>
      </c>
      <c r="GH225" s="160">
        <f>IF([chambre4]*1='CHAMBRES GARCONS 1e ETAGE'!$A$11,1,0)</f>
        <v>0</v>
      </c>
      <c r="GI225" s="160">
        <f>IF([Occurrence28]=0,0,SUM($GH$2:GH225))</f>
        <v>0</v>
      </c>
      <c r="GJ225" s="160">
        <f>IF([chambre4]*1='CHAMBRES GARCONS 1e ETAGE'!$A$17,1,0)</f>
        <v>0</v>
      </c>
      <c r="GK225" s="160">
        <f>IF([Occurrence29]=0,0,SUM($GJ$2:GJ225))</f>
        <v>0</v>
      </c>
      <c r="GL225" s="160">
        <f>IF([chambre4]*1='CHAMBRES GARCONS 1e ETAGE'!$A$23,1,0)</f>
        <v>0</v>
      </c>
      <c r="GM225" s="160">
        <f>IF([Occurrence30]=0,0,SUM($GL$2:GL225))</f>
        <v>0</v>
      </c>
      <c r="GN225" s="160">
        <f>IF([chambre4]*1='CHAMBRES GARCONS 1e ETAGE'!$A$29,1,0)</f>
        <v>0</v>
      </c>
      <c r="GO225" s="160">
        <f>IF([Occurrence31]=0,0,SUM($GN$2:GN225))</f>
        <v>0</v>
      </c>
      <c r="GP225" s="160">
        <f>IF([chambre4]*1='CHAMBRES GARCONS 1e ETAGE'!$A$35,1,0)</f>
        <v>0</v>
      </c>
      <c r="GQ225" s="160">
        <f>IF([Occurrence32]=0,0,SUM($GP$2:GP225))</f>
        <v>0</v>
      </c>
      <c r="GR225" s="160">
        <f>IF([chambre3]*1='CHAMBRES GARCONS RDC'!$A$5,1,0)</f>
        <v>0</v>
      </c>
      <c r="GS225" s="160">
        <f>IF([Occurrence33]=0,0,SUM($GR$2:GR225))</f>
        <v>0</v>
      </c>
      <c r="GT225" s="160">
        <f>IF([chambre3]*1='CHAMBRES GARCONS RDC'!$A$11,1,0)</f>
        <v>0</v>
      </c>
      <c r="GU225" s="160">
        <f>IF([Occurrence34]=0,0,SUM($GT$2:GT225))</f>
        <v>0</v>
      </c>
      <c r="GV225" s="160">
        <f>IF([chambre3]*1='CHAMBRES GARCONS RDC'!$A$17,1,0)</f>
        <v>0</v>
      </c>
      <c r="GW225" s="160">
        <f>IF([Occurrence35]=0,0,SUM($GV$2:GV225))</f>
        <v>0</v>
      </c>
      <c r="GX225" s="160">
        <f>IF([chambre3]*1='CHAMBRES GARCONS RDC'!$A$23,1,0)</f>
        <v>0</v>
      </c>
      <c r="GY225" s="160">
        <f>IF([Occurrence36]=0,0,SUM($GX$2:GX225))</f>
        <v>0</v>
      </c>
      <c r="GZ225" s="160">
        <f>IF([chambre3]*1='CHAMBRES GARCONS RDC'!$A$29,1,0)</f>
        <v>0</v>
      </c>
      <c r="HA225" s="160">
        <f>IF([Occurrence37]=0,0,SUM($GZ$2:GZ225))</f>
        <v>0</v>
      </c>
      <c r="HB225" s="160">
        <f>IF([chambre3]*1='CHAMBRES GARCONS RDC'!$A$35,1,0)</f>
        <v>0</v>
      </c>
      <c r="HC225" s="160">
        <f>IF([Occurrence38]=0,0,SUM($HB$2:HB225))</f>
        <v>0</v>
      </c>
      <c r="HD225" s="160">
        <f>IF([chambre3]*1='CHAMBRES GARCONS RDC'!$A$41,1,0)</f>
        <v>0</v>
      </c>
      <c r="HE225" s="160">
        <f>IF([Occurrence39]=0,0,SUM($HD$2:HD225))</f>
        <v>0</v>
      </c>
      <c r="HF225" s="160">
        <f>IF([chambre3]*1='CHAMBRES GARCONS RDC'!$A$47,1,0)</f>
        <v>0</v>
      </c>
      <c r="HG225" s="160">
        <f>IF([Occurrence40]=0,0,SUM($HF$2:HF225))</f>
        <v>0</v>
      </c>
      <c r="HH225" s="160">
        <f>IF([chambre3]*1='CHAMBRES GARCONS RDC'!$A$53,1,0)</f>
        <v>0</v>
      </c>
      <c r="HI225" s="160">
        <f>IF([Occurrence41]=0,0,SUM($HH$2:HH225))</f>
        <v>0</v>
      </c>
      <c r="HJ225" s="160">
        <f>IF([chambre3]*1='CHAMBRES GARCONS RDC'!$A$59,1,0)</f>
        <v>0</v>
      </c>
      <c r="HK225" s="160">
        <f>IF([Occurrence42]=0,0,SUM($HJ$2:HJ225))</f>
        <v>0</v>
      </c>
      <c r="HL225" s="160">
        <f>IF([chambre3]*1='CHAMBRES GARCONS RDC'!$A$65,1,0)</f>
        <v>0</v>
      </c>
      <c r="HM225" s="160">
        <f>IF([Occurrence43]=0,0,SUM($HL$2:HL225))</f>
        <v>0</v>
      </c>
      <c r="HN225" s="160">
        <f>IF([chambre3]*1='CHAMBRES GARCONS RDC'!$A$71,1,0)</f>
        <v>0</v>
      </c>
      <c r="HO225" s="160">
        <f>IF([Occurrence44]=0,0,SUM($HN$2:HN225))</f>
        <v>0</v>
      </c>
      <c r="HP225" s="160">
        <f>IF([chambre3]*1='CHAMBRES GARCONS RDC'!$A$77,1,0)</f>
        <v>0</v>
      </c>
      <c r="HQ225" s="160">
        <f>IF([Occurrence45]=0,0,SUM($HP$2:HP225))</f>
        <v>0</v>
      </c>
      <c r="HR225" s="160">
        <f>IF([chambre3]*1='CHAMBRES GARCONS RDC'!$A$83,1,0)</f>
        <v>0</v>
      </c>
      <c r="HS225" s="160">
        <f>IF([Occurrence46]=0,0,SUM($HR$2:HR225))</f>
        <v>0</v>
      </c>
      <c r="HT225" s="160">
        <f>IF([chambre3]*1='CHAMBRES GARCONS RDC'!$A$89,1,0)</f>
        <v>0</v>
      </c>
      <c r="HU225" s="160">
        <f>IF([Occurrence47]=0,0,SUM($HT$2:HT225))</f>
        <v>0</v>
      </c>
      <c r="HV225" s="160">
        <f>IF([chambre3]*1='CHAMBRES GARCONS RDC'!$A$95,1,0)</f>
        <v>0</v>
      </c>
      <c r="HW225" s="160">
        <f>IF([Occurrence48]=0,0,SUM($HV$2:HV225))</f>
        <v>0</v>
      </c>
      <c r="HX225" s="160"/>
      <c r="HY225" s="160"/>
      <c r="HZ225" s="160">
        <f>IF([Classe]='Liste élève par classes'!$B$5,1,0)</f>
        <v>0</v>
      </c>
      <c r="IA225" s="160">
        <f>IF([Occurrence]=0,0,SUM($HZ$2:HZ225))</f>
        <v>0</v>
      </c>
      <c r="IB22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163</v>
      </c>
      <c r="IC225" s="208"/>
    </row>
    <row r="226" spans="1:237">
      <c r="A226" t="s">
        <v>614</v>
      </c>
      <c r="B226" t="s">
        <v>615</v>
      </c>
      <c r="C226" s="158">
        <v>36466</v>
      </c>
      <c r="D226" s="62">
        <f t="shared" ca="1" si="3"/>
        <v>18</v>
      </c>
      <c r="E226" t="s">
        <v>1</v>
      </c>
      <c r="F226" s="159" t="s">
        <v>50</v>
      </c>
      <c r="G226" t="s">
        <v>45</v>
      </c>
      <c r="H226" s="160"/>
      <c r="I226" s="161"/>
      <c r="J226" s="161"/>
      <c r="K226" s="161"/>
      <c r="L226" s="160">
        <v>163</v>
      </c>
      <c r="M226">
        <v>230</v>
      </c>
      <c r="N226" s="161"/>
      <c r="O226" s="161"/>
      <c r="P226" s="161"/>
      <c r="Q226" s="161"/>
      <c r="R226" s="161"/>
      <c r="S226" s="190"/>
      <c r="T226" s="161"/>
      <c r="U226" s="160"/>
      <c r="V226" s="161"/>
      <c r="W226" s="161"/>
      <c r="X226" s="161"/>
      <c r="Y226" s="161"/>
      <c r="Z226" s="161"/>
      <c r="AA226" s="161"/>
      <c r="AB226" s="161"/>
      <c r="AC226" s="161"/>
      <c r="AD226" s="161"/>
      <c r="AE226" s="161"/>
      <c r="AF226" s="163"/>
      <c r="AG226" s="163"/>
      <c r="AH226" s="163"/>
      <c r="AI226" s="163"/>
      <c r="AJ226" s="163"/>
      <c r="AK226" s="163"/>
      <c r="AL226" s="163"/>
      <c r="AM226" s="163"/>
      <c r="AN226" s="163"/>
      <c r="AO226" s="163"/>
      <c r="AP226" s="163"/>
      <c r="AQ226" s="163"/>
      <c r="AR226" s="163"/>
      <c r="AS226" s="163"/>
      <c r="AT226" s="163"/>
      <c r="AU226" s="163"/>
      <c r="AV226" s="163"/>
      <c r="AW226" s="163"/>
      <c r="AX226" s="163"/>
      <c r="AY226" s="163"/>
      <c r="AZ226" s="163"/>
      <c r="BA226" s="163"/>
      <c r="BB226" s="163"/>
      <c r="BC226" s="163" t="b">
        <v>0</v>
      </c>
      <c r="BD226" s="163" t="b">
        <v>1</v>
      </c>
      <c r="BE226" s="163" t="b">
        <v>1</v>
      </c>
      <c r="BF226" s="163" t="b">
        <v>0</v>
      </c>
      <c r="BG226" s="164" t="b">
        <v>0</v>
      </c>
      <c r="BH226" s="163" t="b">
        <v>1</v>
      </c>
      <c r="BI226" s="163"/>
      <c r="BJ226" s="163"/>
      <c r="BK226" s="163"/>
      <c r="BL226" s="163"/>
      <c r="BM226" s="163"/>
      <c r="BN226" s="163"/>
      <c r="BO226" s="163"/>
      <c r="BP226" s="163"/>
      <c r="BQ226" s="163" t="b">
        <v>1</v>
      </c>
      <c r="BR226" s="163"/>
      <c r="BS226" s="163"/>
      <c r="BT226" s="163"/>
      <c r="BU226" s="163"/>
      <c r="BV226" s="163"/>
      <c r="BW226" s="163"/>
      <c r="BX226" s="163"/>
      <c r="BY226" s="163"/>
      <c r="BZ226" s="163"/>
      <c r="CA226" s="163"/>
      <c r="CB226" s="163"/>
      <c r="CC226" s="163"/>
      <c r="CD226" s="163"/>
      <c r="CE226" s="163"/>
      <c r="CF226" s="163"/>
      <c r="CG226" s="163"/>
      <c r="CH226" s="163"/>
      <c r="CI226" s="163"/>
      <c r="CJ226" s="163"/>
      <c r="CK226" s="163"/>
      <c r="CL226" s="163"/>
      <c r="CM226" s="163"/>
      <c r="CN226" s="163"/>
      <c r="CO226" s="163"/>
      <c r="CP226" s="163"/>
      <c r="CQ226" s="163"/>
      <c r="CR226" s="163"/>
      <c r="CS226" s="163"/>
      <c r="CT226" s="163"/>
      <c r="CU226" s="163"/>
      <c r="CV226" s="163"/>
      <c r="CW226" s="163"/>
      <c r="CX226" s="163"/>
      <c r="CY226" s="163"/>
      <c r="CZ226" s="163"/>
      <c r="DA226" s="163"/>
      <c r="DB226" s="163"/>
      <c r="DC226" s="163"/>
      <c r="DD226" s="163"/>
      <c r="DE226" s="163"/>
      <c r="DF226" s="163"/>
      <c r="DG226" s="208"/>
      <c r="DH226" s="163"/>
      <c r="DI226" s="163"/>
      <c r="DJ226" s="163"/>
      <c r="DK226" s="163"/>
      <c r="DL226" s="163"/>
      <c r="DM226" s="163"/>
      <c r="DN226" s="163"/>
      <c r="DO226" s="163"/>
      <c r="DP226" s="163"/>
      <c r="DQ226" s="163"/>
      <c r="DR226" s="163"/>
      <c r="DS226" s="163"/>
      <c r="DT226" s="163"/>
      <c r="DU226" s="163"/>
      <c r="DV226" s="163"/>
      <c r="DW226" s="163"/>
      <c r="DX226" s="163"/>
      <c r="DY226" s="163"/>
      <c r="DZ226" s="163"/>
      <c r="EA226" s="163"/>
      <c r="EB226" s="163"/>
      <c r="EC226" s="163"/>
      <c r="ED226" s="163"/>
      <c r="EE226" s="163"/>
      <c r="EF226" s="163"/>
      <c r="EG226" s="163"/>
      <c r="EH226" s="160">
        <f>IF([Chambre]*1='CHAMBRES FILLES 2e ETAGE'!$A$5,1,0)</f>
        <v>0</v>
      </c>
      <c r="EI226" s="161">
        <f>IF([Occurrence2]=0,0,SUM($EH$2:EH226))</f>
        <v>0</v>
      </c>
      <c r="EJ226" s="160">
        <f>IF([Chambre]*1='CHAMBRES FILLES 2e ETAGE'!$A$11,1,0)</f>
        <v>0</v>
      </c>
      <c r="EK226" s="160">
        <f>IF([Occurrence3]=0,0,SUM($EJ$2:EJ226))</f>
        <v>0</v>
      </c>
      <c r="EL226" s="160">
        <f>IF([Chambre]*1='CHAMBRES FILLES 2e ETAGE'!$A$17,1,0)</f>
        <v>0</v>
      </c>
      <c r="EM226" s="160">
        <f>IF([Occurrence4]=0,0,SUM($EL$2:EL226))</f>
        <v>0</v>
      </c>
      <c r="EN226" s="160">
        <f>IF([Chambre]*1='CHAMBRES FILLES 2e ETAGE'!$A$23,1,0)</f>
        <v>0</v>
      </c>
      <c r="EO226" s="160">
        <f>IF([Occurrence5]=0,0,SUM($EN$2:EN226))</f>
        <v>0</v>
      </c>
      <c r="EP226" s="160">
        <f>IF([Chambre]*1='CHAMBRES FILLES 2e ETAGE'!$A$29,1,0)</f>
        <v>0</v>
      </c>
      <c r="EQ226" s="160">
        <f>IF([Occurrence6]=0,0,SUM($EP$2:EP226))</f>
        <v>0</v>
      </c>
      <c r="ER226" s="160">
        <f>IF([Chambre]*1='CHAMBRES FILLES 2e ETAGE'!$A$35,1,0)</f>
        <v>0</v>
      </c>
      <c r="ES226" s="160">
        <f>IF([Occurrence7]=0,0,SUM($ER$2:ER226))</f>
        <v>0</v>
      </c>
      <c r="ET226" s="160">
        <f>IF([Chambre]*1='CHAMBRES FILLES 2e ETAGE'!$A$41,1,0)</f>
        <v>0</v>
      </c>
      <c r="EU226" s="160">
        <f>IF([Occurrence8]=0,0,SUM($ET$2:ET226))</f>
        <v>0</v>
      </c>
      <c r="EV226" s="160">
        <f>IF([Chambre]*1='CHAMBRES FILLES 2e ETAGE'!$A$47,1,0)</f>
        <v>0</v>
      </c>
      <c r="EW226" s="160">
        <f>IF([Occurrence9]=0,0,SUM($EV$2:EV226))</f>
        <v>0</v>
      </c>
      <c r="EX226" s="160">
        <f>IF([Chambre]*1='CHAMBRES FILLES 2e ETAGE'!$A$53,1,0)</f>
        <v>0</v>
      </c>
      <c r="EY226" s="160">
        <f>IF([Occurrence10]=0,0,SUM($EX$2:EX226))</f>
        <v>0</v>
      </c>
      <c r="EZ226" s="160">
        <f>IF([Chambre]*1='CHAMBRES FILLES 2e ETAGE'!$A$59,1,0)</f>
        <v>1</v>
      </c>
      <c r="FA226" s="160">
        <f>IF([Occurrence11]=0,0,SUM($EZ$2:EZ226))</f>
        <v>4</v>
      </c>
      <c r="FB226" s="160">
        <f>IF([Chambre]*1='CHAMBRES FILLES 2e ETAGE'!$A$65,1,0)</f>
        <v>0</v>
      </c>
      <c r="FC226" s="160">
        <f>IF([Occurrence12]=0,0,SUM($FB$2:FB226))</f>
        <v>0</v>
      </c>
      <c r="FD226" s="160">
        <f>IF([Chambre]*1='CHAMBRES FILLES 2e ETAGE'!$A$71,1,0)</f>
        <v>0</v>
      </c>
      <c r="FE226" s="160">
        <f>IF([Occurrence13]=0,0,SUM($FD$2:FD226))</f>
        <v>0</v>
      </c>
      <c r="FF226" s="160">
        <f>IF([Chambre]*1='CHAMBRES FILLES 2e ETAGE'!$A$77,1,0)</f>
        <v>0</v>
      </c>
      <c r="FG226" s="160">
        <f>IF([Occurrence14]=0,0,SUM($FF$2:FF226))</f>
        <v>0</v>
      </c>
      <c r="FH226" s="160">
        <f>IF([Chambre]*1='CHAMBRES FILLES 2e ETAGE'!$A$83,1,0)</f>
        <v>0</v>
      </c>
      <c r="FI226" s="160">
        <f>IF([Occurrence15]=0,0,SUM($FH$2:FH226))</f>
        <v>0</v>
      </c>
      <c r="FJ226" s="160">
        <f>IF([Chambre]*1='CHAMBRES FILLES 2e ETAGE'!$A$89,1,0)</f>
        <v>0</v>
      </c>
      <c r="FK226" s="160">
        <f>IF([Occurrence16]=0,0,SUM($FJ$2:FJ226))</f>
        <v>0</v>
      </c>
      <c r="FL226" s="160">
        <f>IF([Chambre]*1='CHAMBRES FILLES 2e ETAGE'!$A$95,1,0)</f>
        <v>0</v>
      </c>
      <c r="FM226" s="160">
        <f>IF([Occurrence17]=0,0,SUM($FL$2:FL226))</f>
        <v>0</v>
      </c>
      <c r="FN226" s="160">
        <f>IF([Chambre2]*1='CHAMBRES FILLES 1e ETAGE'!$A$5,1,0)</f>
        <v>0</v>
      </c>
      <c r="FO226" s="160">
        <f>IF([Occurrence18]=0,0,SUM($FN$2:FN226))</f>
        <v>0</v>
      </c>
      <c r="FP226" s="160">
        <f>IF([Chambre2]*1='CHAMBRES FILLES 1e ETAGE'!$A$11,1,0)</f>
        <v>0</v>
      </c>
      <c r="FQ226" s="160">
        <f>IF([Occurrence19]=0,0,SUM($FP$2:FP226))</f>
        <v>0</v>
      </c>
      <c r="FR226" s="160">
        <f>IF([Chambre2]*1='CHAMBRES FILLES 1e ETAGE'!$A$17,1,0)</f>
        <v>0</v>
      </c>
      <c r="FS226" s="160">
        <f>IF([Occurrence20]=0,0,SUM($FR$2:FR226))</f>
        <v>0</v>
      </c>
      <c r="FT226" s="160">
        <f>IF([Chambre2]*1='CHAMBRES FILLES 1e ETAGE'!$A$23,1,0)</f>
        <v>0</v>
      </c>
      <c r="FU226" s="160">
        <f>IF([Occurrence21]=0,0,SUM($FT$2:FT226))</f>
        <v>0</v>
      </c>
      <c r="FV226" s="160">
        <f>IF([Chambre2]*1='CHAMBRES FILLES 1e ETAGE'!$A$29,1,0)</f>
        <v>0</v>
      </c>
      <c r="FW226" s="160">
        <f>IF([Occurrence22]=0,0,SUM($FV$2:FV226))</f>
        <v>0</v>
      </c>
      <c r="FX226" s="160">
        <f>IF([Chambre2]*1='CHAMBRES FILLES 1e ETAGE'!$A$35,1,0)</f>
        <v>0</v>
      </c>
      <c r="FY226" s="160">
        <f>IF([Occurrence23]=0,0,SUM($FX$2:FX226))</f>
        <v>0</v>
      </c>
      <c r="FZ226" s="160">
        <f>IF([Chambre2]*1='CHAMBRES FILLES 1e ETAGE'!$A$41,1,0)</f>
        <v>0</v>
      </c>
      <c r="GA226" s="160">
        <f>IF([Occurrence24]=0,0,SUM($FZ$2:FZ226))</f>
        <v>0</v>
      </c>
      <c r="GB226" s="160">
        <f>IF([Chambre2]*1='CHAMBRES FILLES 1e ETAGE'!$A$47,1,0)</f>
        <v>0</v>
      </c>
      <c r="GC226" s="160">
        <f>IF([Occurrence25]=0,0,SUM($GB$2:GB226))</f>
        <v>0</v>
      </c>
      <c r="GD226" s="160">
        <f>IF([Chambre2]*1='CHAMBRES FILLES 1e ETAGE'!$A$53,1,0)</f>
        <v>0</v>
      </c>
      <c r="GE226" s="160">
        <f>IF([Occurrence26]=0,0,SUM($GD$2:GD226))</f>
        <v>0</v>
      </c>
      <c r="GF226" s="160">
        <f>IF([chambre4]*1='CHAMBRES GARCONS 1e ETAGE'!$A$5,1,0)</f>
        <v>0</v>
      </c>
      <c r="GG226" s="160">
        <f>IF([Occurrence27]=0,0,SUM($GF$2:GF226))</f>
        <v>0</v>
      </c>
      <c r="GH226" s="160">
        <f>IF([chambre4]*1='CHAMBRES GARCONS 1e ETAGE'!$A$11,1,0)</f>
        <v>0</v>
      </c>
      <c r="GI226" s="160">
        <f>IF([Occurrence28]=0,0,SUM($GH$2:GH226))</f>
        <v>0</v>
      </c>
      <c r="GJ226" s="160">
        <f>IF([chambre4]*1='CHAMBRES GARCONS 1e ETAGE'!$A$17,1,0)</f>
        <v>0</v>
      </c>
      <c r="GK226" s="160">
        <f>IF([Occurrence29]=0,0,SUM($GJ$2:GJ226))</f>
        <v>0</v>
      </c>
      <c r="GL226" s="160">
        <f>IF([chambre4]*1='CHAMBRES GARCONS 1e ETAGE'!$A$23,1,0)</f>
        <v>0</v>
      </c>
      <c r="GM226" s="160">
        <f>IF([Occurrence30]=0,0,SUM($GL$2:GL226))</f>
        <v>0</v>
      </c>
      <c r="GN226" s="160">
        <f>IF([chambre4]*1='CHAMBRES GARCONS 1e ETAGE'!$A$29,1,0)</f>
        <v>0</v>
      </c>
      <c r="GO226" s="160">
        <f>IF([Occurrence31]=0,0,SUM($GN$2:GN226))</f>
        <v>0</v>
      </c>
      <c r="GP226" s="160">
        <f>IF([chambre4]*1='CHAMBRES GARCONS 1e ETAGE'!$A$35,1,0)</f>
        <v>0</v>
      </c>
      <c r="GQ226" s="160">
        <f>IF([Occurrence32]=0,0,SUM($GP$2:GP226))</f>
        <v>0</v>
      </c>
      <c r="GR226" s="160">
        <f>IF([chambre3]*1='CHAMBRES GARCONS RDC'!$A$5,1,0)</f>
        <v>0</v>
      </c>
      <c r="GS226" s="160">
        <f>IF([Occurrence33]=0,0,SUM($GR$2:GR226))</f>
        <v>0</v>
      </c>
      <c r="GT226" s="160">
        <f>IF([chambre3]*1='CHAMBRES GARCONS RDC'!$A$11,1,0)</f>
        <v>0</v>
      </c>
      <c r="GU226" s="160">
        <f>IF([Occurrence34]=0,0,SUM($GT$2:GT226))</f>
        <v>0</v>
      </c>
      <c r="GV226" s="160">
        <f>IF([chambre3]*1='CHAMBRES GARCONS RDC'!$A$17,1,0)</f>
        <v>0</v>
      </c>
      <c r="GW226" s="160">
        <f>IF([Occurrence35]=0,0,SUM($GV$2:GV226))</f>
        <v>0</v>
      </c>
      <c r="GX226" s="160">
        <f>IF([chambre3]*1='CHAMBRES GARCONS RDC'!$A$23,1,0)</f>
        <v>0</v>
      </c>
      <c r="GY226" s="160">
        <f>IF([Occurrence36]=0,0,SUM($GX$2:GX226))</f>
        <v>0</v>
      </c>
      <c r="GZ226" s="160">
        <f>IF([chambre3]*1='CHAMBRES GARCONS RDC'!$A$29,1,0)</f>
        <v>0</v>
      </c>
      <c r="HA226" s="160">
        <f>IF([Occurrence37]=0,0,SUM($GZ$2:GZ226))</f>
        <v>0</v>
      </c>
      <c r="HB226" s="160">
        <f>IF([chambre3]*1='CHAMBRES GARCONS RDC'!$A$35,1,0)</f>
        <v>0</v>
      </c>
      <c r="HC226" s="160">
        <f>IF([Occurrence38]=0,0,SUM($HB$2:HB226))</f>
        <v>0</v>
      </c>
      <c r="HD226" s="160">
        <f>IF([chambre3]*1='CHAMBRES GARCONS RDC'!$A$41,1,0)</f>
        <v>0</v>
      </c>
      <c r="HE226" s="160">
        <f>IF([Occurrence39]=0,0,SUM($HD$2:HD226))</f>
        <v>0</v>
      </c>
      <c r="HF226" s="160">
        <f>IF([chambre3]*1='CHAMBRES GARCONS RDC'!$A$47,1,0)</f>
        <v>0</v>
      </c>
      <c r="HG226" s="160">
        <f>IF([Occurrence40]=0,0,SUM($HF$2:HF226))</f>
        <v>0</v>
      </c>
      <c r="HH226" s="160">
        <f>IF([chambre3]*1='CHAMBRES GARCONS RDC'!$A$53,1,0)</f>
        <v>0</v>
      </c>
      <c r="HI226" s="160">
        <f>IF([Occurrence41]=0,0,SUM($HH$2:HH226))</f>
        <v>0</v>
      </c>
      <c r="HJ226" s="160">
        <f>IF([chambre3]*1='CHAMBRES GARCONS RDC'!$A$59,1,0)</f>
        <v>0</v>
      </c>
      <c r="HK226" s="160">
        <f>IF([Occurrence42]=0,0,SUM($HJ$2:HJ226))</f>
        <v>0</v>
      </c>
      <c r="HL226" s="160">
        <f>IF([chambre3]*1='CHAMBRES GARCONS RDC'!$A$65,1,0)</f>
        <v>0</v>
      </c>
      <c r="HM226" s="160">
        <f>IF([Occurrence43]=0,0,SUM($HL$2:HL226))</f>
        <v>0</v>
      </c>
      <c r="HN226" s="160">
        <f>IF([chambre3]*1='CHAMBRES GARCONS RDC'!$A$71,1,0)</f>
        <v>0</v>
      </c>
      <c r="HO226" s="160">
        <f>IF([Occurrence44]=0,0,SUM($HN$2:HN226))</f>
        <v>0</v>
      </c>
      <c r="HP226" s="160">
        <f>IF([chambre3]*1='CHAMBRES GARCONS RDC'!$A$77,1,0)</f>
        <v>0</v>
      </c>
      <c r="HQ226" s="160">
        <f>IF([Occurrence45]=0,0,SUM($HP$2:HP226))</f>
        <v>0</v>
      </c>
      <c r="HR226" s="160">
        <f>IF([chambre3]*1='CHAMBRES GARCONS RDC'!$A$83,1,0)</f>
        <v>0</v>
      </c>
      <c r="HS226" s="160">
        <f>IF([Occurrence46]=0,0,SUM($HR$2:HR226))</f>
        <v>0</v>
      </c>
      <c r="HT226" s="160">
        <f>IF([chambre3]*1='CHAMBRES GARCONS RDC'!$A$89,1,0)</f>
        <v>0</v>
      </c>
      <c r="HU226" s="160">
        <f>IF([Occurrence47]=0,0,SUM($HT$2:HT226))</f>
        <v>0</v>
      </c>
      <c r="HV226" s="160">
        <f>IF([chambre3]*1='CHAMBRES GARCONS RDC'!$A$95,1,0)</f>
        <v>0</v>
      </c>
      <c r="HW226" s="160">
        <f>IF([Occurrence48]=0,0,SUM($HV$2:HV226))</f>
        <v>0</v>
      </c>
      <c r="HX226" s="160"/>
      <c r="HY226" s="160"/>
      <c r="HZ226" s="160">
        <f>IF([Classe]='Liste élève par classes'!$B$5,1,0)</f>
        <v>0</v>
      </c>
      <c r="IA226" s="160">
        <f>IF([Occurrence]=0,0,SUM($HZ$2:HZ226))</f>
        <v>0</v>
      </c>
      <c r="IB22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163</v>
      </c>
      <c r="IC226" s="208"/>
    </row>
    <row r="227" spans="1:237">
      <c r="A227" t="s">
        <v>616</v>
      </c>
      <c r="B227" t="s">
        <v>471</v>
      </c>
      <c r="C227" s="158">
        <v>36901</v>
      </c>
      <c r="D227" s="62">
        <f t="shared" ca="1" si="3"/>
        <v>16</v>
      </c>
      <c r="E227" t="s">
        <v>10</v>
      </c>
      <c r="F227" s="159" t="s">
        <v>50</v>
      </c>
      <c r="G227" t="s">
        <v>45</v>
      </c>
      <c r="H227" s="160"/>
      <c r="I227" s="62"/>
      <c r="J227" s="62" t="s">
        <v>244</v>
      </c>
      <c r="K227" s="62"/>
      <c r="L227" s="61">
        <v>166</v>
      </c>
      <c r="M227">
        <v>201</v>
      </c>
      <c r="N227" s="62" t="s">
        <v>244</v>
      </c>
      <c r="O227" s="62" t="s">
        <v>244</v>
      </c>
      <c r="P227" s="62" t="s">
        <v>244</v>
      </c>
      <c r="Q227" s="62" t="s">
        <v>244</v>
      </c>
      <c r="R227" s="62" t="s">
        <v>244</v>
      </c>
      <c r="S227" s="191"/>
      <c r="T227" s="62" t="s">
        <v>244</v>
      </c>
      <c r="U227" s="61"/>
      <c r="V227" s="62" t="s">
        <v>244</v>
      </c>
      <c r="W227" s="62" t="s">
        <v>244</v>
      </c>
      <c r="X227" s="62" t="s">
        <v>244</v>
      </c>
      <c r="Y227" s="62" t="s">
        <v>244</v>
      </c>
      <c r="Z227" s="62" t="s">
        <v>244</v>
      </c>
      <c r="AA227" s="62" t="s">
        <v>244</v>
      </c>
      <c r="AB227" s="62" t="s">
        <v>244</v>
      </c>
      <c r="AC227" s="62" t="s">
        <v>244</v>
      </c>
      <c r="AD227" s="62" t="s">
        <v>244</v>
      </c>
      <c r="AE227" s="62" t="s">
        <v>244</v>
      </c>
      <c r="AF227" s="166" t="s">
        <v>244</v>
      </c>
      <c r="AG227" s="166"/>
      <c r="AH227" s="166"/>
      <c r="AI227" s="166"/>
      <c r="AJ227" s="166"/>
      <c r="AK227" s="166"/>
      <c r="AL227" s="166"/>
      <c r="AM227" s="166"/>
      <c r="AN227" s="166"/>
      <c r="AO227" s="166"/>
      <c r="AP227" s="166"/>
      <c r="AQ227" s="166"/>
      <c r="AR227" s="166"/>
      <c r="AS227" s="166"/>
      <c r="AT227" s="166"/>
      <c r="AU227" s="166"/>
      <c r="AV227" s="166"/>
      <c r="AW227" s="166"/>
      <c r="AX227" s="166"/>
      <c r="AY227" s="166"/>
      <c r="AZ227" s="166"/>
      <c r="BA227" s="166"/>
      <c r="BB227" s="166"/>
      <c r="BC227" s="163" t="b">
        <v>0</v>
      </c>
      <c r="BD227" s="163" t="b">
        <v>1</v>
      </c>
      <c r="BE227" s="163" t="b">
        <v>1</v>
      </c>
      <c r="BF227" s="163" t="b">
        <v>0</v>
      </c>
      <c r="BG227" s="164" t="b">
        <v>0</v>
      </c>
      <c r="BH227" s="163" t="b">
        <v>1</v>
      </c>
      <c r="BI227" s="166"/>
      <c r="BJ227" s="166"/>
      <c r="BK227" s="166"/>
      <c r="BL227" s="166"/>
      <c r="BM227" s="166"/>
      <c r="BN227" s="166"/>
      <c r="BO227" s="166"/>
      <c r="BP227" s="166"/>
      <c r="BQ227" s="166" t="b">
        <v>0</v>
      </c>
      <c r="BR227" s="166"/>
      <c r="BS227" s="166"/>
      <c r="BT227" s="166"/>
      <c r="BU227" s="166"/>
      <c r="BV227" s="166"/>
      <c r="BW227" s="166"/>
      <c r="BX227" s="166"/>
      <c r="BY227" s="166"/>
      <c r="BZ227" s="166"/>
      <c r="CA227" s="166"/>
      <c r="CB227" s="166"/>
      <c r="CC227" s="166"/>
      <c r="CD227" s="166"/>
      <c r="CE227" s="166"/>
      <c r="CF227" s="166"/>
      <c r="CG227" s="166"/>
      <c r="CH227" s="166"/>
      <c r="CI227" s="166"/>
      <c r="CJ227" s="166"/>
      <c r="CK227" s="166"/>
      <c r="CL227" s="166"/>
      <c r="CM227" s="166"/>
      <c r="CN227" s="166"/>
      <c r="CO227" s="166"/>
      <c r="CP227" s="166"/>
      <c r="CQ227" s="166"/>
      <c r="CR227" s="166"/>
      <c r="CS227" s="166"/>
      <c r="CT227" s="166"/>
      <c r="CU227" s="166"/>
      <c r="CV227" s="166"/>
      <c r="CW227" s="166"/>
      <c r="CX227" s="166"/>
      <c r="CY227" s="166"/>
      <c r="CZ227" s="166"/>
      <c r="DA227" s="166"/>
      <c r="DB227" s="166"/>
      <c r="DC227" s="166"/>
      <c r="DD227" s="166"/>
      <c r="DE227" s="166"/>
      <c r="DF227" s="166"/>
      <c r="DG227" s="212"/>
      <c r="DH227" s="166"/>
      <c r="DI227" s="166"/>
      <c r="DJ227" s="166"/>
      <c r="DK227" s="166"/>
      <c r="DL227" s="166"/>
      <c r="DM227" s="166"/>
      <c r="DN227" s="166"/>
      <c r="DO227" s="166"/>
      <c r="DP227" s="166"/>
      <c r="DQ227" s="166"/>
      <c r="DR227" s="166"/>
      <c r="DS227" s="166"/>
      <c r="DT227" s="166"/>
      <c r="DU227" s="166"/>
      <c r="DV227" s="166"/>
      <c r="DW227" s="166"/>
      <c r="DX227" s="166"/>
      <c r="DY227" s="166"/>
      <c r="DZ227" s="166"/>
      <c r="EA227" s="166"/>
      <c r="EB227" s="166"/>
      <c r="EC227" s="166"/>
      <c r="ED227" s="166"/>
      <c r="EE227" s="166"/>
      <c r="EF227" s="166"/>
      <c r="EG227" s="166"/>
      <c r="EH227" s="160">
        <f>IF([Chambre]*1='CHAMBRES FILLES 2e ETAGE'!$A$5,1,0)</f>
        <v>0</v>
      </c>
      <c r="EI227" s="161">
        <f>IF([Occurrence2]=0,0,SUM($EH$2:EH227))</f>
        <v>0</v>
      </c>
      <c r="EJ227" s="160">
        <f>IF([Chambre]*1='CHAMBRES FILLES 2e ETAGE'!$A$11,1,0)</f>
        <v>0</v>
      </c>
      <c r="EK227" s="160">
        <f>IF([Occurrence3]=0,0,SUM($EJ$2:EJ227))</f>
        <v>0</v>
      </c>
      <c r="EL227" s="160">
        <f>IF([Chambre]*1='CHAMBRES FILLES 2e ETAGE'!$A$17,1,0)</f>
        <v>0</v>
      </c>
      <c r="EM227" s="160">
        <f>IF([Occurrence4]=0,0,SUM($EL$2:EL227))</f>
        <v>0</v>
      </c>
      <c r="EN227" s="160">
        <f>IF([Chambre]*1='CHAMBRES FILLES 2e ETAGE'!$A$23,1,0)</f>
        <v>0</v>
      </c>
      <c r="EO227" s="160">
        <f>IF([Occurrence5]=0,0,SUM($EN$2:EN227))</f>
        <v>0</v>
      </c>
      <c r="EP227" s="160">
        <f>IF([Chambre]*1='CHAMBRES FILLES 2e ETAGE'!$A$29,1,0)</f>
        <v>0</v>
      </c>
      <c r="EQ227" s="160">
        <f>IF([Occurrence6]=0,0,SUM($EP$2:EP227))</f>
        <v>0</v>
      </c>
      <c r="ER227" s="160">
        <f>IF([Chambre]*1='CHAMBRES FILLES 2e ETAGE'!$A$35,1,0)</f>
        <v>1</v>
      </c>
      <c r="ES227" s="160">
        <f>IF([Occurrence7]=0,0,SUM($ER$2:ER227))</f>
        <v>4</v>
      </c>
      <c r="ET227" s="160">
        <f>IF([Chambre]*1='CHAMBRES FILLES 2e ETAGE'!$A$41,1,0)</f>
        <v>0</v>
      </c>
      <c r="EU227" s="160">
        <f>IF([Occurrence8]=0,0,SUM($ET$2:ET227))</f>
        <v>0</v>
      </c>
      <c r="EV227" s="160">
        <f>IF([Chambre]*1='CHAMBRES FILLES 2e ETAGE'!$A$47,1,0)</f>
        <v>0</v>
      </c>
      <c r="EW227" s="160">
        <f>IF([Occurrence9]=0,0,SUM($EV$2:EV227))</f>
        <v>0</v>
      </c>
      <c r="EX227" s="160">
        <f>IF([Chambre]*1='CHAMBRES FILLES 2e ETAGE'!$A$53,1,0)</f>
        <v>0</v>
      </c>
      <c r="EY227" s="160">
        <f>IF([Occurrence10]=0,0,SUM($EX$2:EX227))</f>
        <v>0</v>
      </c>
      <c r="EZ227" s="160">
        <f>IF([Chambre]*1='CHAMBRES FILLES 2e ETAGE'!$A$59,1,0)</f>
        <v>0</v>
      </c>
      <c r="FA227" s="160">
        <f>IF([Occurrence11]=0,0,SUM($EZ$2:EZ227))</f>
        <v>0</v>
      </c>
      <c r="FB227" s="160">
        <f>IF([Chambre]*1='CHAMBRES FILLES 2e ETAGE'!$A$65,1,0)</f>
        <v>0</v>
      </c>
      <c r="FC227" s="160">
        <f>IF([Occurrence12]=0,0,SUM($FB$2:FB227))</f>
        <v>0</v>
      </c>
      <c r="FD227" s="160">
        <f>IF([Chambre]*1='CHAMBRES FILLES 2e ETAGE'!$A$71,1,0)</f>
        <v>0</v>
      </c>
      <c r="FE227" s="160">
        <f>IF([Occurrence13]=0,0,SUM($FD$2:FD227))</f>
        <v>0</v>
      </c>
      <c r="FF227" s="160">
        <f>IF([Chambre]*1='CHAMBRES FILLES 2e ETAGE'!$A$77,1,0)</f>
        <v>0</v>
      </c>
      <c r="FG227" s="160">
        <f>IF([Occurrence14]=0,0,SUM($FF$2:FF227))</f>
        <v>0</v>
      </c>
      <c r="FH227" s="160">
        <f>IF([Chambre]*1='CHAMBRES FILLES 2e ETAGE'!$A$83,1,0)</f>
        <v>0</v>
      </c>
      <c r="FI227" s="160">
        <f>IF([Occurrence15]=0,0,SUM($FH$2:FH227))</f>
        <v>0</v>
      </c>
      <c r="FJ227" s="160">
        <f>IF([Chambre]*1='CHAMBRES FILLES 2e ETAGE'!$A$89,1,0)</f>
        <v>0</v>
      </c>
      <c r="FK227" s="160">
        <f>IF([Occurrence16]=0,0,SUM($FJ$2:FJ227))</f>
        <v>0</v>
      </c>
      <c r="FL227" s="160">
        <f>IF([Chambre]*1='CHAMBRES FILLES 2e ETAGE'!$A$95,1,0)</f>
        <v>0</v>
      </c>
      <c r="FM227" s="160">
        <f>IF([Occurrence17]=0,0,SUM($FL$2:FL227))</f>
        <v>0</v>
      </c>
      <c r="FN227" s="160">
        <f>IF([Chambre2]*1='CHAMBRES FILLES 1e ETAGE'!$A$5,1,0)</f>
        <v>0</v>
      </c>
      <c r="FO227" s="160">
        <f>IF([Occurrence18]=0,0,SUM($FN$2:FN227))</f>
        <v>0</v>
      </c>
      <c r="FP227" s="160">
        <f>IF([Chambre2]*1='CHAMBRES FILLES 1e ETAGE'!$A$11,1,0)</f>
        <v>0</v>
      </c>
      <c r="FQ227" s="160">
        <f>IF([Occurrence19]=0,0,SUM($FP$2:FP227))</f>
        <v>0</v>
      </c>
      <c r="FR227" s="160">
        <f>IF([Chambre2]*1='CHAMBRES FILLES 1e ETAGE'!$A$17,1,0)</f>
        <v>0</v>
      </c>
      <c r="FS227" s="160">
        <f>IF([Occurrence20]=0,0,SUM($FR$2:FR227))</f>
        <v>0</v>
      </c>
      <c r="FT227" s="160">
        <f>IF([Chambre2]*1='CHAMBRES FILLES 1e ETAGE'!$A$23,1,0)</f>
        <v>0</v>
      </c>
      <c r="FU227" s="160">
        <f>IF([Occurrence21]=0,0,SUM($FT$2:FT227))</f>
        <v>0</v>
      </c>
      <c r="FV227" s="160">
        <f>IF([Chambre2]*1='CHAMBRES FILLES 1e ETAGE'!$A$29,1,0)</f>
        <v>0</v>
      </c>
      <c r="FW227" s="160">
        <f>IF([Occurrence22]=0,0,SUM($FV$2:FV227))</f>
        <v>0</v>
      </c>
      <c r="FX227" s="160">
        <f>IF([Chambre2]*1='CHAMBRES FILLES 1e ETAGE'!$A$35,1,0)</f>
        <v>0</v>
      </c>
      <c r="FY227" s="160">
        <f>IF([Occurrence23]=0,0,SUM($FX$2:FX227))</f>
        <v>0</v>
      </c>
      <c r="FZ227" s="160">
        <f>IF([Chambre2]*1='CHAMBRES FILLES 1e ETAGE'!$A$41,1,0)</f>
        <v>0</v>
      </c>
      <c r="GA227" s="160">
        <f>IF([Occurrence24]=0,0,SUM($FZ$2:FZ227))</f>
        <v>0</v>
      </c>
      <c r="GB227" s="160">
        <f>IF([Chambre2]*1='CHAMBRES FILLES 1e ETAGE'!$A$47,1,0)</f>
        <v>0</v>
      </c>
      <c r="GC227" s="160">
        <f>IF([Occurrence25]=0,0,SUM($GB$2:GB227))</f>
        <v>0</v>
      </c>
      <c r="GD227" s="160">
        <f>IF([Chambre2]*1='CHAMBRES FILLES 1e ETAGE'!$A$53,1,0)</f>
        <v>0</v>
      </c>
      <c r="GE227" s="160">
        <f>IF([Occurrence26]=0,0,SUM($GD$2:GD227))</f>
        <v>0</v>
      </c>
      <c r="GF227" s="160">
        <f>IF([chambre4]*1='CHAMBRES GARCONS 1e ETAGE'!$A$5,1,0)</f>
        <v>0</v>
      </c>
      <c r="GG227" s="160">
        <f>IF([Occurrence27]=0,0,SUM($GF$2:GF227))</f>
        <v>0</v>
      </c>
      <c r="GH227" s="160">
        <f>IF([chambre4]*1='CHAMBRES GARCONS 1e ETAGE'!$A$11,1,0)</f>
        <v>0</v>
      </c>
      <c r="GI227" s="160">
        <f>IF([Occurrence28]=0,0,SUM($GH$2:GH227))</f>
        <v>0</v>
      </c>
      <c r="GJ227" s="160">
        <f>IF([chambre4]*1='CHAMBRES GARCONS 1e ETAGE'!$A$17,1,0)</f>
        <v>0</v>
      </c>
      <c r="GK227" s="160">
        <f>IF([Occurrence29]=0,0,SUM($GJ$2:GJ227))</f>
        <v>0</v>
      </c>
      <c r="GL227" s="160">
        <f>IF([chambre4]*1='CHAMBRES GARCONS 1e ETAGE'!$A$23,1,0)</f>
        <v>0</v>
      </c>
      <c r="GM227" s="160">
        <f>IF([Occurrence30]=0,0,SUM($GL$2:GL227))</f>
        <v>0</v>
      </c>
      <c r="GN227" s="160">
        <f>IF([chambre4]*1='CHAMBRES GARCONS 1e ETAGE'!$A$29,1,0)</f>
        <v>0</v>
      </c>
      <c r="GO227" s="160">
        <f>IF([Occurrence31]=0,0,SUM($GN$2:GN227))</f>
        <v>0</v>
      </c>
      <c r="GP227" s="160">
        <f>IF([chambre4]*1='CHAMBRES GARCONS 1e ETAGE'!$A$35,1,0)</f>
        <v>0</v>
      </c>
      <c r="GQ227" s="160">
        <f>IF([Occurrence32]=0,0,SUM($GP$2:GP227))</f>
        <v>0</v>
      </c>
      <c r="GR227" s="160">
        <f>IF([chambre3]*1='CHAMBRES GARCONS RDC'!$A$5,1,0)</f>
        <v>0</v>
      </c>
      <c r="GS227" s="160">
        <f>IF([Occurrence33]=0,0,SUM($GR$2:GR227))</f>
        <v>0</v>
      </c>
      <c r="GT227" s="160">
        <f>IF([chambre3]*1='CHAMBRES GARCONS RDC'!$A$11,1,0)</f>
        <v>0</v>
      </c>
      <c r="GU227" s="160">
        <f>IF([Occurrence34]=0,0,SUM($GT$2:GT227))</f>
        <v>0</v>
      </c>
      <c r="GV227" s="160">
        <f>IF([chambre3]*1='CHAMBRES GARCONS RDC'!$A$17,1,0)</f>
        <v>0</v>
      </c>
      <c r="GW227" s="160">
        <f>IF([Occurrence35]=0,0,SUM($GV$2:GV227))</f>
        <v>0</v>
      </c>
      <c r="GX227" s="160">
        <f>IF([chambre3]*1='CHAMBRES GARCONS RDC'!$A$23,1,0)</f>
        <v>0</v>
      </c>
      <c r="GY227" s="160">
        <f>IF([Occurrence36]=0,0,SUM($GX$2:GX227))</f>
        <v>0</v>
      </c>
      <c r="GZ227" s="160">
        <f>IF([chambre3]*1='CHAMBRES GARCONS RDC'!$A$29,1,0)</f>
        <v>0</v>
      </c>
      <c r="HA227" s="160">
        <f>IF([Occurrence37]=0,0,SUM($GZ$2:GZ227))</f>
        <v>0</v>
      </c>
      <c r="HB227" s="160">
        <f>IF([chambre3]*1='CHAMBRES GARCONS RDC'!$A$35,1,0)</f>
        <v>0</v>
      </c>
      <c r="HC227" s="160">
        <f>IF([Occurrence38]=0,0,SUM($HB$2:HB227))</f>
        <v>0</v>
      </c>
      <c r="HD227" s="160">
        <f>IF([chambre3]*1='CHAMBRES GARCONS RDC'!$A$41,1,0)</f>
        <v>0</v>
      </c>
      <c r="HE227" s="160">
        <f>IF([Occurrence39]=0,0,SUM($HD$2:HD227))</f>
        <v>0</v>
      </c>
      <c r="HF227" s="160">
        <f>IF([chambre3]*1='CHAMBRES GARCONS RDC'!$A$47,1,0)</f>
        <v>0</v>
      </c>
      <c r="HG227" s="160">
        <f>IF([Occurrence40]=0,0,SUM($HF$2:HF227))</f>
        <v>0</v>
      </c>
      <c r="HH227" s="160">
        <f>IF([chambre3]*1='CHAMBRES GARCONS RDC'!$A$53,1,0)</f>
        <v>0</v>
      </c>
      <c r="HI227" s="160">
        <f>IF([Occurrence41]=0,0,SUM($HH$2:HH227))</f>
        <v>0</v>
      </c>
      <c r="HJ227" s="160">
        <f>IF([chambre3]*1='CHAMBRES GARCONS RDC'!$A$59,1,0)</f>
        <v>0</v>
      </c>
      <c r="HK227" s="160">
        <f>IF([Occurrence42]=0,0,SUM($HJ$2:HJ227))</f>
        <v>0</v>
      </c>
      <c r="HL227" s="160">
        <f>IF([chambre3]*1='CHAMBRES GARCONS RDC'!$A$65,1,0)</f>
        <v>0</v>
      </c>
      <c r="HM227" s="160">
        <f>IF([Occurrence43]=0,0,SUM($HL$2:HL227))</f>
        <v>0</v>
      </c>
      <c r="HN227" s="160">
        <f>IF([chambre3]*1='CHAMBRES GARCONS RDC'!$A$71,1,0)</f>
        <v>0</v>
      </c>
      <c r="HO227" s="160">
        <f>IF([Occurrence44]=0,0,SUM($HN$2:HN227))</f>
        <v>0</v>
      </c>
      <c r="HP227" s="160">
        <f>IF([chambre3]*1='CHAMBRES GARCONS RDC'!$A$77,1,0)</f>
        <v>0</v>
      </c>
      <c r="HQ227" s="160">
        <f>IF([Occurrence45]=0,0,SUM($HP$2:HP227))</f>
        <v>0</v>
      </c>
      <c r="HR227" s="160">
        <f>IF([chambre3]*1='CHAMBRES GARCONS RDC'!$A$83,1,0)</f>
        <v>0</v>
      </c>
      <c r="HS227" s="160">
        <f>IF([Occurrence46]=0,0,SUM($HR$2:HR227))</f>
        <v>0</v>
      </c>
      <c r="HT227" s="160">
        <f>IF([chambre3]*1='CHAMBRES GARCONS RDC'!$A$89,1,0)</f>
        <v>0</v>
      </c>
      <c r="HU227" s="160">
        <f>IF([Occurrence47]=0,0,SUM($HT$2:HT227))</f>
        <v>0</v>
      </c>
      <c r="HV227" s="160">
        <f>IF([chambre3]*1='CHAMBRES GARCONS RDC'!$A$95,1,0)</f>
        <v>0</v>
      </c>
      <c r="HW227" s="160">
        <f>IF([Occurrence48]=0,0,SUM($HV$2:HV227))</f>
        <v>0</v>
      </c>
      <c r="HX227" s="160"/>
      <c r="HY227" s="160"/>
      <c r="HZ227" s="160">
        <f>IF([Classe]='Liste élève par classes'!$B$5,1,0)</f>
        <v>0</v>
      </c>
      <c r="IA227" s="160">
        <f>IF([Occurrence]=0,0,SUM($HZ$2:HZ227))</f>
        <v>0</v>
      </c>
      <c r="IB22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166</v>
      </c>
      <c r="IC227" s="208"/>
    </row>
    <row r="228" spans="1:237">
      <c r="A228" t="s">
        <v>617</v>
      </c>
      <c r="B228" t="s">
        <v>618</v>
      </c>
      <c r="C228" s="158">
        <v>37211</v>
      </c>
      <c r="D228" s="62">
        <f t="shared" ca="1" si="3"/>
        <v>15</v>
      </c>
      <c r="E228" t="s">
        <v>6</v>
      </c>
      <c r="F228" s="159" t="s">
        <v>50</v>
      </c>
      <c r="G228" t="s">
        <v>45</v>
      </c>
      <c r="H228" s="160"/>
      <c r="I228" s="62"/>
      <c r="J228" s="161" t="s">
        <v>244</v>
      </c>
      <c r="K228" s="161"/>
      <c r="L228" s="160"/>
      <c r="M228">
        <v>69</v>
      </c>
      <c r="N228" s="161" t="s">
        <v>244</v>
      </c>
      <c r="O228" s="161" t="s">
        <v>244</v>
      </c>
      <c r="P228" s="161" t="s">
        <v>244</v>
      </c>
      <c r="Q228" s="161" t="s">
        <v>244</v>
      </c>
      <c r="R228" s="161" t="s">
        <v>244</v>
      </c>
      <c r="S228" s="190"/>
      <c r="T228" s="161" t="s">
        <v>244</v>
      </c>
      <c r="U228" s="160">
        <v>134</v>
      </c>
      <c r="V228" s="161" t="s">
        <v>244</v>
      </c>
      <c r="W228" s="161" t="s">
        <v>244</v>
      </c>
      <c r="X228" s="161" t="s">
        <v>244</v>
      </c>
      <c r="Y228" s="161" t="s">
        <v>244</v>
      </c>
      <c r="Z228" s="161" t="s">
        <v>244</v>
      </c>
      <c r="AA228" s="161" t="s">
        <v>244</v>
      </c>
      <c r="AB228" s="161" t="s">
        <v>244</v>
      </c>
      <c r="AC228" s="161" t="s">
        <v>244</v>
      </c>
      <c r="AD228" s="161" t="s">
        <v>244</v>
      </c>
      <c r="AE228" s="161" t="s">
        <v>244</v>
      </c>
      <c r="AF228" s="163" t="s">
        <v>244</v>
      </c>
      <c r="AG228" s="163" t="s">
        <v>244</v>
      </c>
      <c r="AH228" s="163" t="s">
        <v>244</v>
      </c>
      <c r="AI228" s="163"/>
      <c r="AJ228" s="163"/>
      <c r="AK228" s="163"/>
      <c r="AL228" s="163"/>
      <c r="AM228" s="163"/>
      <c r="AN228" s="163"/>
      <c r="AO228" s="163"/>
      <c r="AP228" s="163"/>
      <c r="AQ228" s="163"/>
      <c r="AR228" s="163"/>
      <c r="AS228" s="163"/>
      <c r="AT228" s="163"/>
      <c r="AU228" s="163"/>
      <c r="AV228" s="163"/>
      <c r="AW228" s="163"/>
      <c r="AX228" s="163"/>
      <c r="AY228" s="163"/>
      <c r="AZ228" s="163"/>
      <c r="BA228" s="163"/>
      <c r="BB228" s="163"/>
      <c r="BC228" s="163" t="b">
        <v>0</v>
      </c>
      <c r="BD228" s="163" t="b">
        <v>1</v>
      </c>
      <c r="BE228" s="163" t="b">
        <v>1</v>
      </c>
      <c r="BF228" s="163" t="b">
        <v>0</v>
      </c>
      <c r="BG228" s="164" t="b">
        <v>0</v>
      </c>
      <c r="BH228" s="163" t="b">
        <v>1</v>
      </c>
      <c r="BI228" s="163"/>
      <c r="BJ228" s="163"/>
      <c r="BK228" s="163"/>
      <c r="BL228" s="163"/>
      <c r="BM228" s="163"/>
      <c r="BN228" s="163"/>
      <c r="BO228" s="163"/>
      <c r="BP228" s="163"/>
      <c r="BQ228" s="166" t="b">
        <v>0</v>
      </c>
      <c r="BR228" s="163"/>
      <c r="BS228" s="163"/>
      <c r="BT228" s="163"/>
      <c r="BU228" s="163"/>
      <c r="BV228" s="163"/>
      <c r="BW228" s="163"/>
      <c r="BX228" s="163"/>
      <c r="BY228" s="163"/>
      <c r="BZ228" s="163"/>
      <c r="CA228" s="163"/>
      <c r="CB228" s="163"/>
      <c r="CC228" s="163"/>
      <c r="CD228" s="163"/>
      <c r="CE228" s="163"/>
      <c r="CF228" s="163"/>
      <c r="CG228" s="163"/>
      <c r="CH228" s="163"/>
      <c r="CI228" s="163"/>
      <c r="CJ228" s="163"/>
      <c r="CK228" s="163"/>
      <c r="CL228" s="163"/>
      <c r="CM228" s="163"/>
      <c r="CN228" s="163"/>
      <c r="CO228" s="163"/>
      <c r="CP228" s="163"/>
      <c r="CQ228" s="163"/>
      <c r="CR228" s="163"/>
      <c r="CS228" s="163"/>
      <c r="CT228" s="163"/>
      <c r="CU228" s="163"/>
      <c r="CV228" s="163"/>
      <c r="CW228" s="163"/>
      <c r="CX228" s="163"/>
      <c r="CY228" s="163"/>
      <c r="CZ228" s="163"/>
      <c r="DA228" s="163"/>
      <c r="DB228" s="163"/>
      <c r="DC228" s="163"/>
      <c r="DD228" s="163"/>
      <c r="DE228" s="163"/>
      <c r="DF228" s="163"/>
      <c r="DG228" s="208"/>
      <c r="DH228" s="163"/>
      <c r="DI228" s="163"/>
      <c r="DJ228" s="163"/>
      <c r="DK228" s="163"/>
      <c r="DL228" s="163"/>
      <c r="DM228" s="163"/>
      <c r="DN228" s="163"/>
      <c r="DO228" s="163"/>
      <c r="DP228" s="163"/>
      <c r="DQ228" s="163"/>
      <c r="DR228" s="163"/>
      <c r="DS228" s="163"/>
      <c r="DT228" s="163"/>
      <c r="DU228" s="163"/>
      <c r="DV228" s="163"/>
      <c r="DW228" s="163"/>
      <c r="DX228" s="163"/>
      <c r="DY228" s="163"/>
      <c r="DZ228" s="163"/>
      <c r="EA228" s="163"/>
      <c r="EB228" s="163"/>
      <c r="EC228" s="163"/>
      <c r="ED228" s="163"/>
      <c r="EE228" s="163"/>
      <c r="EF228" s="163"/>
      <c r="EG228" s="163"/>
      <c r="EH228" s="160">
        <f>IF([Chambre]*1='CHAMBRES FILLES 2e ETAGE'!$A$5,1,0)</f>
        <v>0</v>
      </c>
      <c r="EI228" s="161">
        <f>IF([Occurrence2]=0,0,SUM($EH$2:EH228))</f>
        <v>0</v>
      </c>
      <c r="EJ228" s="160">
        <f>IF([Chambre]*1='CHAMBRES FILLES 2e ETAGE'!$A$11,1,0)</f>
        <v>0</v>
      </c>
      <c r="EK228" s="160">
        <f>IF([Occurrence3]=0,0,SUM($EJ$2:EJ228))</f>
        <v>0</v>
      </c>
      <c r="EL228" s="160">
        <f>IF([Chambre]*1='CHAMBRES FILLES 2e ETAGE'!$A$17,1,0)</f>
        <v>0</v>
      </c>
      <c r="EM228" s="160">
        <f>IF([Occurrence4]=0,0,SUM($EL$2:EL228))</f>
        <v>0</v>
      </c>
      <c r="EN228" s="160">
        <f>IF([Chambre]*1='CHAMBRES FILLES 2e ETAGE'!$A$23,1,0)</f>
        <v>0</v>
      </c>
      <c r="EO228" s="160">
        <f>IF([Occurrence5]=0,0,SUM($EN$2:EN228))</f>
        <v>0</v>
      </c>
      <c r="EP228" s="160">
        <f>IF([Chambre]*1='CHAMBRES FILLES 2e ETAGE'!$A$29,1,0)</f>
        <v>0</v>
      </c>
      <c r="EQ228" s="160">
        <f>IF([Occurrence6]=0,0,SUM($EP$2:EP228))</f>
        <v>0</v>
      </c>
      <c r="ER228" s="160">
        <f>IF([Chambre]*1='CHAMBRES FILLES 2e ETAGE'!$A$35,1,0)</f>
        <v>0</v>
      </c>
      <c r="ES228" s="160">
        <f>IF([Occurrence7]=0,0,SUM($ER$2:ER228))</f>
        <v>0</v>
      </c>
      <c r="ET228" s="160">
        <f>IF([Chambre]*1='CHAMBRES FILLES 2e ETAGE'!$A$41,1,0)</f>
        <v>0</v>
      </c>
      <c r="EU228" s="160">
        <f>IF([Occurrence8]=0,0,SUM($ET$2:ET228))</f>
        <v>0</v>
      </c>
      <c r="EV228" s="160">
        <f>IF([Chambre]*1='CHAMBRES FILLES 2e ETAGE'!$A$47,1,0)</f>
        <v>0</v>
      </c>
      <c r="EW228" s="160">
        <f>IF([Occurrence9]=0,0,SUM($EV$2:EV228))</f>
        <v>0</v>
      </c>
      <c r="EX228" s="160">
        <f>IF([Chambre]*1='CHAMBRES FILLES 2e ETAGE'!$A$53,1,0)</f>
        <v>0</v>
      </c>
      <c r="EY228" s="160">
        <f>IF([Occurrence10]=0,0,SUM($EX$2:EX228))</f>
        <v>0</v>
      </c>
      <c r="EZ228" s="160">
        <f>IF([Chambre]*1='CHAMBRES FILLES 2e ETAGE'!$A$59,1,0)</f>
        <v>0</v>
      </c>
      <c r="FA228" s="160">
        <f>IF([Occurrence11]=0,0,SUM($EZ$2:EZ228))</f>
        <v>0</v>
      </c>
      <c r="FB228" s="160">
        <f>IF([Chambre]*1='CHAMBRES FILLES 2e ETAGE'!$A$65,1,0)</f>
        <v>0</v>
      </c>
      <c r="FC228" s="160">
        <f>IF([Occurrence12]=0,0,SUM($FB$2:FB228))</f>
        <v>0</v>
      </c>
      <c r="FD228" s="160">
        <f>IF([Chambre]*1='CHAMBRES FILLES 2e ETAGE'!$A$71,1,0)</f>
        <v>0</v>
      </c>
      <c r="FE228" s="160">
        <f>IF([Occurrence13]=0,0,SUM($FD$2:FD228))</f>
        <v>0</v>
      </c>
      <c r="FF228" s="160">
        <f>IF([Chambre]*1='CHAMBRES FILLES 2e ETAGE'!$A$77,1,0)</f>
        <v>0</v>
      </c>
      <c r="FG228" s="160">
        <f>IF([Occurrence14]=0,0,SUM($FF$2:FF228))</f>
        <v>0</v>
      </c>
      <c r="FH228" s="160">
        <f>IF([Chambre]*1='CHAMBRES FILLES 2e ETAGE'!$A$83,1,0)</f>
        <v>0</v>
      </c>
      <c r="FI228" s="160">
        <f>IF([Occurrence15]=0,0,SUM($FH$2:FH228))</f>
        <v>0</v>
      </c>
      <c r="FJ228" s="160">
        <f>IF([Chambre]*1='CHAMBRES FILLES 2e ETAGE'!$A$89,1,0)</f>
        <v>0</v>
      </c>
      <c r="FK228" s="160">
        <f>IF([Occurrence16]=0,0,SUM($FJ$2:FJ228))</f>
        <v>0</v>
      </c>
      <c r="FL228" s="160">
        <f>IF([Chambre]*1='CHAMBRES FILLES 2e ETAGE'!$A$95,1,0)</f>
        <v>0</v>
      </c>
      <c r="FM228" s="160">
        <f>IF([Occurrence17]=0,0,SUM($FL$2:FL228))</f>
        <v>0</v>
      </c>
      <c r="FN228" s="160">
        <f>IF([Chambre2]*1='CHAMBRES FILLES 1e ETAGE'!$A$5,1,0)</f>
        <v>0</v>
      </c>
      <c r="FO228" s="160">
        <f>IF([Occurrence18]=0,0,SUM($FN$2:FN228))</f>
        <v>0</v>
      </c>
      <c r="FP228" s="160">
        <f>IF([Chambre2]*1='CHAMBRES FILLES 1e ETAGE'!$A$11,1,0)</f>
        <v>0</v>
      </c>
      <c r="FQ228" s="160">
        <f>IF([Occurrence19]=0,0,SUM($FP$2:FP228))</f>
        <v>0</v>
      </c>
      <c r="FR228" s="160">
        <f>IF([Chambre2]*1='CHAMBRES FILLES 1e ETAGE'!$A$17,1,0)</f>
        <v>1</v>
      </c>
      <c r="FS228" s="160">
        <f>IF([Occurrence20]=0,0,SUM($FR$2:FR228))</f>
        <v>4</v>
      </c>
      <c r="FT228" s="160">
        <f>IF([Chambre2]*1='CHAMBRES FILLES 1e ETAGE'!$A$23,1,0)</f>
        <v>0</v>
      </c>
      <c r="FU228" s="160">
        <f>IF([Occurrence21]=0,0,SUM($FT$2:FT228))</f>
        <v>0</v>
      </c>
      <c r="FV228" s="160">
        <f>IF([Chambre2]*1='CHAMBRES FILLES 1e ETAGE'!$A$29,1,0)</f>
        <v>0</v>
      </c>
      <c r="FW228" s="160">
        <f>IF([Occurrence22]=0,0,SUM($FV$2:FV228))</f>
        <v>0</v>
      </c>
      <c r="FX228" s="160">
        <f>IF([Chambre2]*1='CHAMBRES FILLES 1e ETAGE'!$A$35,1,0)</f>
        <v>0</v>
      </c>
      <c r="FY228" s="160">
        <f>IF([Occurrence23]=0,0,SUM($FX$2:FX228))</f>
        <v>0</v>
      </c>
      <c r="FZ228" s="160">
        <f>IF([Chambre2]*1='CHAMBRES FILLES 1e ETAGE'!$A$41,1,0)</f>
        <v>0</v>
      </c>
      <c r="GA228" s="160">
        <f>IF([Occurrence24]=0,0,SUM($FZ$2:FZ228))</f>
        <v>0</v>
      </c>
      <c r="GB228" s="160">
        <f>IF([Chambre2]*1='CHAMBRES FILLES 1e ETAGE'!$A$47,1,0)</f>
        <v>0</v>
      </c>
      <c r="GC228" s="160">
        <f>IF([Occurrence25]=0,0,SUM($GB$2:GB228))</f>
        <v>0</v>
      </c>
      <c r="GD228" s="160">
        <f>IF([Chambre2]*1='CHAMBRES FILLES 1e ETAGE'!$A$53,1,0)</f>
        <v>0</v>
      </c>
      <c r="GE228" s="160">
        <f>IF([Occurrence26]=0,0,SUM($GD$2:GD228))</f>
        <v>0</v>
      </c>
      <c r="GF228" s="160">
        <f>IF([chambre4]*1='CHAMBRES GARCONS 1e ETAGE'!$A$5,1,0)</f>
        <v>0</v>
      </c>
      <c r="GG228" s="160">
        <f>IF([Occurrence27]=0,0,SUM($GF$2:GF228))</f>
        <v>0</v>
      </c>
      <c r="GH228" s="160">
        <f>IF([chambre4]*1='CHAMBRES GARCONS 1e ETAGE'!$A$11,1,0)</f>
        <v>0</v>
      </c>
      <c r="GI228" s="160">
        <f>IF([Occurrence28]=0,0,SUM($GH$2:GH228))</f>
        <v>0</v>
      </c>
      <c r="GJ228" s="160">
        <f>IF([chambre4]*1='CHAMBRES GARCONS 1e ETAGE'!$A$17,1,0)</f>
        <v>0</v>
      </c>
      <c r="GK228" s="160">
        <f>IF([Occurrence29]=0,0,SUM($GJ$2:GJ228))</f>
        <v>0</v>
      </c>
      <c r="GL228" s="160">
        <f>IF([chambre4]*1='CHAMBRES GARCONS 1e ETAGE'!$A$23,1,0)</f>
        <v>0</v>
      </c>
      <c r="GM228" s="160">
        <f>IF([Occurrence30]=0,0,SUM($GL$2:GL228))</f>
        <v>0</v>
      </c>
      <c r="GN228" s="160">
        <f>IF([chambre4]*1='CHAMBRES GARCONS 1e ETAGE'!$A$29,1,0)</f>
        <v>0</v>
      </c>
      <c r="GO228" s="160">
        <f>IF([Occurrence31]=0,0,SUM($GN$2:GN228))</f>
        <v>0</v>
      </c>
      <c r="GP228" s="160">
        <f>IF([chambre4]*1='CHAMBRES GARCONS 1e ETAGE'!$A$35,1,0)</f>
        <v>0</v>
      </c>
      <c r="GQ228" s="160">
        <f>IF([Occurrence32]=0,0,SUM($GP$2:GP228))</f>
        <v>0</v>
      </c>
      <c r="GR228" s="160">
        <f>IF([chambre3]*1='CHAMBRES GARCONS RDC'!$A$5,1,0)</f>
        <v>0</v>
      </c>
      <c r="GS228" s="160">
        <f>IF([Occurrence33]=0,0,SUM($GR$2:GR228))</f>
        <v>0</v>
      </c>
      <c r="GT228" s="160">
        <f>IF([chambre3]*1='CHAMBRES GARCONS RDC'!$A$11,1,0)</f>
        <v>0</v>
      </c>
      <c r="GU228" s="160">
        <f>IF([Occurrence34]=0,0,SUM($GT$2:GT228))</f>
        <v>0</v>
      </c>
      <c r="GV228" s="160">
        <f>IF([chambre3]*1='CHAMBRES GARCONS RDC'!$A$17,1,0)</f>
        <v>0</v>
      </c>
      <c r="GW228" s="160">
        <f>IF([Occurrence35]=0,0,SUM($GV$2:GV228))</f>
        <v>0</v>
      </c>
      <c r="GX228" s="160">
        <f>IF([chambre3]*1='CHAMBRES GARCONS RDC'!$A$23,1,0)</f>
        <v>0</v>
      </c>
      <c r="GY228" s="160">
        <f>IF([Occurrence36]=0,0,SUM($GX$2:GX228))</f>
        <v>0</v>
      </c>
      <c r="GZ228" s="160">
        <f>IF([chambre3]*1='CHAMBRES GARCONS RDC'!$A$29,1,0)</f>
        <v>0</v>
      </c>
      <c r="HA228" s="160">
        <f>IF([Occurrence37]=0,0,SUM($GZ$2:GZ228))</f>
        <v>0</v>
      </c>
      <c r="HB228" s="160">
        <f>IF([chambre3]*1='CHAMBRES GARCONS RDC'!$A$35,1,0)</f>
        <v>0</v>
      </c>
      <c r="HC228" s="160">
        <f>IF([Occurrence38]=0,0,SUM($HB$2:HB228))</f>
        <v>0</v>
      </c>
      <c r="HD228" s="160">
        <f>IF([chambre3]*1='CHAMBRES GARCONS RDC'!$A$41,1,0)</f>
        <v>0</v>
      </c>
      <c r="HE228" s="160">
        <f>IF([Occurrence39]=0,0,SUM($HD$2:HD228))</f>
        <v>0</v>
      </c>
      <c r="HF228" s="160">
        <f>IF([chambre3]*1='CHAMBRES GARCONS RDC'!$A$47,1,0)</f>
        <v>0</v>
      </c>
      <c r="HG228" s="160">
        <f>IF([Occurrence40]=0,0,SUM($HF$2:HF228))</f>
        <v>0</v>
      </c>
      <c r="HH228" s="160">
        <f>IF([chambre3]*1='CHAMBRES GARCONS RDC'!$A$53,1,0)</f>
        <v>0</v>
      </c>
      <c r="HI228" s="160">
        <f>IF([Occurrence41]=0,0,SUM($HH$2:HH228))</f>
        <v>0</v>
      </c>
      <c r="HJ228" s="160">
        <f>IF([chambre3]*1='CHAMBRES GARCONS RDC'!$A$59,1,0)</f>
        <v>0</v>
      </c>
      <c r="HK228" s="160">
        <f>IF([Occurrence42]=0,0,SUM($HJ$2:HJ228))</f>
        <v>0</v>
      </c>
      <c r="HL228" s="160">
        <f>IF([chambre3]*1='CHAMBRES GARCONS RDC'!$A$65,1,0)</f>
        <v>0</v>
      </c>
      <c r="HM228" s="160">
        <f>IF([Occurrence43]=0,0,SUM($HL$2:HL228))</f>
        <v>0</v>
      </c>
      <c r="HN228" s="160">
        <f>IF([chambre3]*1='CHAMBRES GARCONS RDC'!$A$71,1,0)</f>
        <v>0</v>
      </c>
      <c r="HO228" s="160">
        <f>IF([Occurrence44]=0,0,SUM($HN$2:HN228))</f>
        <v>0</v>
      </c>
      <c r="HP228" s="160">
        <f>IF([chambre3]*1='CHAMBRES GARCONS RDC'!$A$77,1,0)</f>
        <v>0</v>
      </c>
      <c r="HQ228" s="160">
        <f>IF([Occurrence45]=0,0,SUM($HP$2:HP228))</f>
        <v>0</v>
      </c>
      <c r="HR228" s="160">
        <f>IF([chambre3]*1='CHAMBRES GARCONS RDC'!$A$83,1,0)</f>
        <v>0</v>
      </c>
      <c r="HS228" s="160">
        <f>IF([Occurrence46]=0,0,SUM($HR$2:HR228))</f>
        <v>0</v>
      </c>
      <c r="HT228" s="160">
        <f>IF([chambre3]*1='CHAMBRES GARCONS RDC'!$A$89,1,0)</f>
        <v>0</v>
      </c>
      <c r="HU228" s="160">
        <f>IF([Occurrence47]=0,0,SUM($HT$2:HT228))</f>
        <v>0</v>
      </c>
      <c r="HV228" s="160">
        <f>IF([chambre3]*1='CHAMBRES GARCONS RDC'!$A$95,1,0)</f>
        <v>0</v>
      </c>
      <c r="HW228" s="160">
        <f>IF([Occurrence48]=0,0,SUM($HV$2:HV228))</f>
        <v>0</v>
      </c>
      <c r="HX228" s="160"/>
      <c r="HY228" s="160"/>
      <c r="HZ228" s="160">
        <f>IF([Classe]='Liste élève par classes'!$B$5,1,0)</f>
        <v>0</v>
      </c>
      <c r="IA228" s="160">
        <f>IF([Occurrence]=0,0,SUM($HZ$2:HZ228))</f>
        <v>0</v>
      </c>
      <c r="IB22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134</v>
      </c>
      <c r="IC228" s="208"/>
    </row>
    <row r="229" spans="1:237">
      <c r="A229" t="s">
        <v>619</v>
      </c>
      <c r="B229" t="s">
        <v>620</v>
      </c>
      <c r="C229" s="158">
        <v>34776</v>
      </c>
      <c r="D229" s="62">
        <f t="shared" ca="1" si="3"/>
        <v>22</v>
      </c>
      <c r="E229" t="s">
        <v>4</v>
      </c>
      <c r="F229" s="159" t="s">
        <v>41</v>
      </c>
      <c r="G229" t="s">
        <v>45</v>
      </c>
      <c r="H229" s="160"/>
      <c r="I229" s="161"/>
      <c r="J229" s="161"/>
      <c r="K229" s="161"/>
      <c r="L229" s="160"/>
      <c r="M229" s="161"/>
      <c r="N229" s="161"/>
      <c r="O229" s="161"/>
      <c r="P229" s="161"/>
      <c r="Q229" s="161"/>
      <c r="R229" s="161"/>
      <c r="S229" s="161"/>
      <c r="T229" s="161"/>
      <c r="U229" s="160"/>
      <c r="V229" s="161"/>
      <c r="W229" s="161"/>
      <c r="X229" s="161"/>
      <c r="Y229" s="161"/>
      <c r="Z229" s="161"/>
      <c r="AA229" s="161"/>
      <c r="AB229" s="161"/>
      <c r="AC229" s="161"/>
      <c r="AD229" s="161"/>
      <c r="AE229" s="161"/>
      <c r="AF229" s="163"/>
      <c r="AG229" s="163"/>
      <c r="AH229" s="163"/>
      <c r="AI229" s="163"/>
      <c r="AJ229" s="163"/>
      <c r="AK229" s="163"/>
      <c r="AL229" s="163"/>
      <c r="AM229" s="163"/>
      <c r="AN229" s="163"/>
      <c r="AO229" s="163"/>
      <c r="AP229" s="163"/>
      <c r="AQ229" s="163"/>
      <c r="AR229" s="163"/>
      <c r="AS229" s="163"/>
      <c r="AT229" s="163"/>
      <c r="AU229" s="163"/>
      <c r="AV229" s="163"/>
      <c r="AW229" s="163"/>
      <c r="AX229" s="163"/>
      <c r="AY229" s="163"/>
      <c r="AZ229" s="163"/>
      <c r="BA229" s="163"/>
      <c r="BB229" s="163"/>
      <c r="BC229" s="163" t="b">
        <v>0</v>
      </c>
      <c r="BD229" s="163" t="b">
        <v>0</v>
      </c>
      <c r="BE229" s="163" t="b">
        <v>0</v>
      </c>
      <c r="BF229" s="163" t="b">
        <v>0</v>
      </c>
      <c r="BG229" s="163" t="b">
        <v>0</v>
      </c>
      <c r="BH229" s="163" t="b">
        <v>0</v>
      </c>
      <c r="BI229" s="163" t="b">
        <v>1</v>
      </c>
      <c r="BJ229" s="163" t="b">
        <v>0</v>
      </c>
      <c r="BK229" s="163" t="b">
        <v>0</v>
      </c>
      <c r="BL229" s="163" t="b">
        <v>0</v>
      </c>
      <c r="BM229" s="163"/>
      <c r="BN229" s="163"/>
      <c r="BO229" s="163"/>
      <c r="BP229" s="163"/>
      <c r="BQ229" s="163"/>
      <c r="BR229" s="163"/>
      <c r="BS229" s="163"/>
      <c r="BT229" s="163"/>
      <c r="BU229" s="163"/>
      <c r="BV229" s="163"/>
      <c r="BW229" s="163"/>
      <c r="BX229" s="163"/>
      <c r="BY229" s="163"/>
      <c r="BZ229" s="163"/>
      <c r="CA229" s="163"/>
      <c r="CB229" s="163"/>
      <c r="CC229" s="163"/>
      <c r="CD229" s="163"/>
      <c r="CE229" s="163"/>
      <c r="CF229" s="163"/>
      <c r="CG229" s="163"/>
      <c r="CH229" s="163"/>
      <c r="CI229" s="163"/>
      <c r="CJ229" s="163"/>
      <c r="CK229" s="163"/>
      <c r="CL229" s="163"/>
      <c r="CM229" s="163"/>
      <c r="CN229" s="163"/>
      <c r="CO229" s="163"/>
      <c r="CP229" s="163"/>
      <c r="CQ229" s="163"/>
      <c r="CR229" s="163"/>
      <c r="CS229" s="163"/>
      <c r="CT229" s="163"/>
      <c r="CU229" s="163"/>
      <c r="CV229" s="163"/>
      <c r="CW229" s="163"/>
      <c r="CX229" s="163"/>
      <c r="CY229" s="163"/>
      <c r="CZ229" s="163"/>
      <c r="DA229" s="163"/>
      <c r="DB229" s="163"/>
      <c r="DC229" s="163"/>
      <c r="DD229" s="163"/>
      <c r="DE229" s="163"/>
      <c r="DF229" s="163"/>
      <c r="DG229" s="163"/>
      <c r="DH229" s="163"/>
      <c r="DI229" s="163"/>
      <c r="DJ229" s="163"/>
      <c r="DK229" s="163"/>
      <c r="DL229" s="163"/>
      <c r="DM229" s="163"/>
      <c r="DN229" s="163"/>
      <c r="DO229" s="163"/>
      <c r="DP229" s="163"/>
      <c r="DQ229" s="163"/>
      <c r="DR229" s="163"/>
      <c r="DS229" s="163"/>
      <c r="DT229" s="163"/>
      <c r="DU229" s="163"/>
      <c r="DV229" s="163"/>
      <c r="DW229" s="163"/>
      <c r="DX229" s="163"/>
      <c r="DY229" s="163"/>
      <c r="DZ229" s="163"/>
      <c r="EA229" s="163"/>
      <c r="EB229" s="163"/>
      <c r="EC229" s="163"/>
      <c r="ED229" s="163"/>
      <c r="EE229" s="163"/>
      <c r="EF229" s="163"/>
      <c r="EG229" s="163"/>
      <c r="EH229" s="160">
        <f>IF([Chambre]*1='CHAMBRES FILLES 2e ETAGE'!$A$5,1,0)</f>
        <v>0</v>
      </c>
      <c r="EI229" s="161">
        <f>IF([Occurrence2]=0,0,SUM($EH$2:EH229))</f>
        <v>0</v>
      </c>
      <c r="EJ229" s="160">
        <f>IF([Chambre]*1='CHAMBRES FILLES 2e ETAGE'!$A$11,1,0)</f>
        <v>0</v>
      </c>
      <c r="EK229" s="160">
        <f>IF([Occurrence3]=0,0,SUM($EJ$2:EJ229))</f>
        <v>0</v>
      </c>
      <c r="EL229" s="160">
        <f>IF([Chambre]*1='CHAMBRES FILLES 2e ETAGE'!$A$17,1,0)</f>
        <v>0</v>
      </c>
      <c r="EM229" s="160">
        <f>IF([Occurrence4]=0,0,SUM($EL$2:EL229))</f>
        <v>0</v>
      </c>
      <c r="EN229" s="160">
        <f>IF([Chambre]*1='CHAMBRES FILLES 2e ETAGE'!$A$23,1,0)</f>
        <v>0</v>
      </c>
      <c r="EO229" s="160">
        <f>IF([Occurrence5]=0,0,SUM($EN$2:EN229))</f>
        <v>0</v>
      </c>
      <c r="EP229" s="160">
        <f>IF([Chambre]*1='CHAMBRES FILLES 2e ETAGE'!$A$29,1,0)</f>
        <v>0</v>
      </c>
      <c r="EQ229" s="160">
        <f>IF([Occurrence6]=0,0,SUM($EP$2:EP229))</f>
        <v>0</v>
      </c>
      <c r="ER229" s="160">
        <f>IF([Chambre]*1='CHAMBRES FILLES 2e ETAGE'!$A$35,1,0)</f>
        <v>0</v>
      </c>
      <c r="ES229" s="160">
        <f>IF([Occurrence7]=0,0,SUM($ER$2:ER229))</f>
        <v>0</v>
      </c>
      <c r="ET229" s="160">
        <f>IF([Chambre]*1='CHAMBRES FILLES 2e ETAGE'!$A$41,1,0)</f>
        <v>0</v>
      </c>
      <c r="EU229" s="160">
        <f>IF([Occurrence8]=0,0,SUM($ET$2:ET229))</f>
        <v>0</v>
      </c>
      <c r="EV229" s="160">
        <f>IF([Chambre]*1='CHAMBRES FILLES 2e ETAGE'!$A$47,1,0)</f>
        <v>0</v>
      </c>
      <c r="EW229" s="160">
        <f>IF([Occurrence9]=0,0,SUM($EV$2:EV229))</f>
        <v>0</v>
      </c>
      <c r="EX229" s="160">
        <f>IF([Chambre]*1='CHAMBRES FILLES 2e ETAGE'!$A$53,1,0)</f>
        <v>0</v>
      </c>
      <c r="EY229" s="160">
        <f>IF([Occurrence10]=0,0,SUM($EX$2:EX229))</f>
        <v>0</v>
      </c>
      <c r="EZ229" s="160">
        <f>IF([Chambre]*1='CHAMBRES FILLES 2e ETAGE'!$A$59,1,0)</f>
        <v>0</v>
      </c>
      <c r="FA229" s="160">
        <f>IF([Occurrence11]=0,0,SUM($EZ$2:EZ229))</f>
        <v>0</v>
      </c>
      <c r="FB229" s="160">
        <f>IF([Chambre]*1='CHAMBRES FILLES 2e ETAGE'!$A$65,1,0)</f>
        <v>0</v>
      </c>
      <c r="FC229" s="160">
        <f>IF([Occurrence12]=0,0,SUM($FB$2:FB229))</f>
        <v>0</v>
      </c>
      <c r="FD229" s="160">
        <f>IF([Chambre]*1='CHAMBRES FILLES 2e ETAGE'!$A$71,1,0)</f>
        <v>0</v>
      </c>
      <c r="FE229" s="160">
        <f>IF([Occurrence13]=0,0,SUM($FD$2:FD229))</f>
        <v>0</v>
      </c>
      <c r="FF229" s="160">
        <f>IF([Chambre]*1='CHAMBRES FILLES 2e ETAGE'!$A$77,1,0)</f>
        <v>0</v>
      </c>
      <c r="FG229" s="160">
        <f>IF([Occurrence14]=0,0,SUM($FF$2:FF229))</f>
        <v>0</v>
      </c>
      <c r="FH229" s="160">
        <f>IF([Chambre]*1='CHAMBRES FILLES 2e ETAGE'!$A$83,1,0)</f>
        <v>0</v>
      </c>
      <c r="FI229" s="160">
        <f>IF([Occurrence15]=0,0,SUM($FH$2:FH229))</f>
        <v>0</v>
      </c>
      <c r="FJ229" s="160">
        <f>IF([Chambre]*1='CHAMBRES FILLES 2e ETAGE'!$A$89,1,0)</f>
        <v>0</v>
      </c>
      <c r="FK229" s="160">
        <f>IF([Occurrence16]=0,0,SUM($FJ$2:FJ229))</f>
        <v>0</v>
      </c>
      <c r="FL229" s="160">
        <f>IF([Chambre]*1='CHAMBRES FILLES 2e ETAGE'!$A$95,1,0)</f>
        <v>0</v>
      </c>
      <c r="FM229" s="160">
        <f>IF([Occurrence17]=0,0,SUM($FL$2:FL229))</f>
        <v>0</v>
      </c>
      <c r="FN229" s="160">
        <f>IF([Chambre2]*1='CHAMBRES FILLES 1e ETAGE'!$A$5,1,0)</f>
        <v>0</v>
      </c>
      <c r="FO229" s="160">
        <f>IF([Occurrence18]=0,0,SUM($FN$2:FN229))</f>
        <v>0</v>
      </c>
      <c r="FP229" s="160">
        <f>IF([Chambre2]*1='CHAMBRES FILLES 1e ETAGE'!$A$11,1,0)</f>
        <v>0</v>
      </c>
      <c r="FQ229" s="160">
        <f>IF([Occurrence19]=0,0,SUM($FP$2:FP229))</f>
        <v>0</v>
      </c>
      <c r="FR229" s="160">
        <f>IF([Chambre2]*1='CHAMBRES FILLES 1e ETAGE'!$A$17,1,0)</f>
        <v>0</v>
      </c>
      <c r="FS229" s="160">
        <f>IF([Occurrence20]=0,0,SUM($FR$2:FR229))</f>
        <v>0</v>
      </c>
      <c r="FT229" s="160">
        <f>IF([Chambre2]*1='CHAMBRES FILLES 1e ETAGE'!$A$23,1,0)</f>
        <v>0</v>
      </c>
      <c r="FU229" s="160">
        <f>IF([Occurrence21]=0,0,SUM($FT$2:FT229))</f>
        <v>0</v>
      </c>
      <c r="FV229" s="160">
        <f>IF([Chambre2]*1='CHAMBRES FILLES 1e ETAGE'!$A$29,1,0)</f>
        <v>0</v>
      </c>
      <c r="FW229" s="160">
        <f>IF([Occurrence22]=0,0,SUM($FV$2:FV229))</f>
        <v>0</v>
      </c>
      <c r="FX229" s="160">
        <f>IF([Chambre2]*1='CHAMBRES FILLES 1e ETAGE'!$A$35,1,0)</f>
        <v>0</v>
      </c>
      <c r="FY229" s="160">
        <f>IF([Occurrence23]=0,0,SUM($FX$2:FX229))</f>
        <v>0</v>
      </c>
      <c r="FZ229" s="160">
        <f>IF([Chambre2]*1='CHAMBRES FILLES 1e ETAGE'!$A$41,1,0)</f>
        <v>0</v>
      </c>
      <c r="GA229" s="160">
        <f>IF([Occurrence24]=0,0,SUM($FZ$2:FZ229))</f>
        <v>0</v>
      </c>
      <c r="GB229" s="160">
        <f>IF([Chambre2]*1='CHAMBRES FILLES 1e ETAGE'!$A$47,1,0)</f>
        <v>0</v>
      </c>
      <c r="GC229" s="160">
        <f>IF([Occurrence25]=0,0,SUM($GB$2:GB229))</f>
        <v>0</v>
      </c>
      <c r="GD229" s="160">
        <f>IF([Chambre2]*1='CHAMBRES FILLES 1e ETAGE'!$A$53,1,0)</f>
        <v>0</v>
      </c>
      <c r="GE229" s="160">
        <f>IF([Occurrence26]=0,0,SUM($GD$2:GD229))</f>
        <v>0</v>
      </c>
      <c r="GF229" s="160">
        <f>IF([chambre4]*1='CHAMBRES GARCONS 1e ETAGE'!$A$5,1,0)</f>
        <v>0</v>
      </c>
      <c r="GG229" s="160">
        <f>IF([Occurrence27]=0,0,SUM($GF$2:GF229))</f>
        <v>0</v>
      </c>
      <c r="GH229" s="160">
        <f>IF([chambre4]*1='CHAMBRES GARCONS 1e ETAGE'!$A$11,1,0)</f>
        <v>0</v>
      </c>
      <c r="GI229" s="160">
        <f>IF([Occurrence28]=0,0,SUM($GH$2:GH229))</f>
        <v>0</v>
      </c>
      <c r="GJ229" s="160">
        <f>IF([chambre4]*1='CHAMBRES GARCONS 1e ETAGE'!$A$17,1,0)</f>
        <v>0</v>
      </c>
      <c r="GK229" s="160">
        <f>IF([Occurrence29]=0,0,SUM($GJ$2:GJ229))</f>
        <v>0</v>
      </c>
      <c r="GL229" s="160">
        <f>IF([chambre4]*1='CHAMBRES GARCONS 1e ETAGE'!$A$23,1,0)</f>
        <v>0</v>
      </c>
      <c r="GM229" s="160">
        <f>IF([Occurrence30]=0,0,SUM($GL$2:GL229))</f>
        <v>0</v>
      </c>
      <c r="GN229" s="160">
        <f>IF([chambre4]*1='CHAMBRES GARCONS 1e ETAGE'!$A$29,1,0)</f>
        <v>0</v>
      </c>
      <c r="GO229" s="160">
        <f>IF([Occurrence31]=0,0,SUM($GN$2:GN229))</f>
        <v>0</v>
      </c>
      <c r="GP229" s="160">
        <f>IF([chambre4]*1='CHAMBRES GARCONS 1e ETAGE'!$A$35,1,0)</f>
        <v>0</v>
      </c>
      <c r="GQ229" s="160">
        <f>IF([Occurrence32]=0,0,SUM($GP$2:GP229))</f>
        <v>0</v>
      </c>
      <c r="GR229" s="160">
        <f>IF([chambre3]*1='CHAMBRES GARCONS RDC'!$A$5,1,0)</f>
        <v>0</v>
      </c>
      <c r="GS229" s="160">
        <f>IF([Occurrence33]=0,0,SUM($GR$2:GR229))</f>
        <v>0</v>
      </c>
      <c r="GT229" s="160">
        <f>IF([chambre3]*1='CHAMBRES GARCONS RDC'!$A$11,1,0)</f>
        <v>0</v>
      </c>
      <c r="GU229" s="160">
        <f>IF([Occurrence34]=0,0,SUM($GT$2:GT229))</f>
        <v>0</v>
      </c>
      <c r="GV229" s="160">
        <f>IF([chambre3]*1='CHAMBRES GARCONS RDC'!$A$17,1,0)</f>
        <v>0</v>
      </c>
      <c r="GW229" s="160">
        <f>IF([Occurrence35]=0,0,SUM($GV$2:GV229))</f>
        <v>0</v>
      </c>
      <c r="GX229" s="160">
        <f>IF([chambre3]*1='CHAMBRES GARCONS RDC'!$A$23,1,0)</f>
        <v>0</v>
      </c>
      <c r="GY229" s="160">
        <f>IF([Occurrence36]=0,0,SUM($GX$2:GX229))</f>
        <v>0</v>
      </c>
      <c r="GZ229" s="160">
        <f>IF([chambre3]*1='CHAMBRES GARCONS RDC'!$A$29,1,0)</f>
        <v>0</v>
      </c>
      <c r="HA229" s="160">
        <f>IF([Occurrence37]=0,0,SUM($GZ$2:GZ229))</f>
        <v>0</v>
      </c>
      <c r="HB229" s="160">
        <f>IF([chambre3]*1='CHAMBRES GARCONS RDC'!$A$35,1,0)</f>
        <v>0</v>
      </c>
      <c r="HC229" s="160">
        <f>IF([Occurrence38]=0,0,SUM($HB$2:HB229))</f>
        <v>0</v>
      </c>
      <c r="HD229" s="160">
        <f>IF([chambre3]*1='CHAMBRES GARCONS RDC'!$A$41,1,0)</f>
        <v>0</v>
      </c>
      <c r="HE229" s="160">
        <f>IF([Occurrence39]=0,0,SUM($HD$2:HD229))</f>
        <v>0</v>
      </c>
      <c r="HF229" s="160">
        <f>IF([chambre3]*1='CHAMBRES GARCONS RDC'!$A$47,1,0)</f>
        <v>0</v>
      </c>
      <c r="HG229" s="160">
        <f>IF([Occurrence40]=0,0,SUM($HF$2:HF229))</f>
        <v>0</v>
      </c>
      <c r="HH229" s="160">
        <f>IF([chambre3]*1='CHAMBRES GARCONS RDC'!$A$53,1,0)</f>
        <v>0</v>
      </c>
      <c r="HI229" s="160">
        <f>IF([Occurrence41]=0,0,SUM($HH$2:HH229))</f>
        <v>0</v>
      </c>
      <c r="HJ229" s="160">
        <f>IF([chambre3]*1='CHAMBRES GARCONS RDC'!$A$59,1,0)</f>
        <v>0</v>
      </c>
      <c r="HK229" s="160">
        <f>IF([Occurrence42]=0,0,SUM($HJ$2:HJ229))</f>
        <v>0</v>
      </c>
      <c r="HL229" s="160">
        <f>IF([chambre3]*1='CHAMBRES GARCONS RDC'!$A$65,1,0)</f>
        <v>0</v>
      </c>
      <c r="HM229" s="160">
        <f>IF([Occurrence43]=0,0,SUM($HL$2:HL229))</f>
        <v>0</v>
      </c>
      <c r="HN229" s="160">
        <f>IF([chambre3]*1='CHAMBRES GARCONS RDC'!$A$71,1,0)</f>
        <v>0</v>
      </c>
      <c r="HO229" s="160">
        <f>IF([Occurrence44]=0,0,SUM($HN$2:HN229))</f>
        <v>0</v>
      </c>
      <c r="HP229" s="160">
        <f>IF([chambre3]*1='CHAMBRES GARCONS RDC'!$A$77,1,0)</f>
        <v>0</v>
      </c>
      <c r="HQ229" s="160">
        <f>IF([Occurrence45]=0,0,SUM($HP$2:HP229))</f>
        <v>0</v>
      </c>
      <c r="HR229" s="160">
        <f>IF([chambre3]*1='CHAMBRES GARCONS RDC'!$A$83,1,0)</f>
        <v>0</v>
      </c>
      <c r="HS229" s="160">
        <f>IF([Occurrence46]=0,0,SUM($HR$2:HR229))</f>
        <v>0</v>
      </c>
      <c r="HT229" s="160">
        <f>IF([chambre3]*1='CHAMBRES GARCONS RDC'!$A$89,1,0)</f>
        <v>0</v>
      </c>
      <c r="HU229" s="160">
        <f>IF([Occurrence47]=0,0,SUM($HT$2:HT229))</f>
        <v>0</v>
      </c>
      <c r="HV229" s="160">
        <f>IF([chambre3]*1='CHAMBRES GARCONS RDC'!$A$95,1,0)</f>
        <v>0</v>
      </c>
      <c r="HW229" s="160">
        <f>IF([Occurrence48]=0,0,SUM($HV$2:HV229))</f>
        <v>0</v>
      </c>
      <c r="HX229" s="160"/>
      <c r="HY229" s="160"/>
      <c r="HZ229" s="160">
        <f>IF([Classe]='Liste élève par classes'!$B$5,1,0)</f>
        <v>0</v>
      </c>
      <c r="IA229" s="160">
        <f>IF([Occurrence]=0,0,SUM($HZ$2:HZ229))</f>
        <v>0</v>
      </c>
      <c r="IB22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29" s="208"/>
    </row>
    <row r="230" spans="1:237">
      <c r="A230" t="s">
        <v>621</v>
      </c>
      <c r="B230" t="s">
        <v>486</v>
      </c>
      <c r="C230" s="158">
        <v>36264</v>
      </c>
      <c r="D230" s="62">
        <f t="shared" ca="1" si="3"/>
        <v>18</v>
      </c>
      <c r="E230" t="s">
        <v>13</v>
      </c>
      <c r="F230" s="159" t="s">
        <v>46</v>
      </c>
      <c r="G230" t="s">
        <v>45</v>
      </c>
      <c r="H230" s="160"/>
      <c r="I230" s="161"/>
      <c r="J230" s="161"/>
      <c r="K230" s="161"/>
      <c r="L230" s="160"/>
      <c r="M230">
        <v>129</v>
      </c>
      <c r="N230" s="161"/>
      <c r="O230" s="161"/>
      <c r="P230" s="161"/>
      <c r="Q230" s="161"/>
      <c r="R230" s="161"/>
      <c r="S230" s="161"/>
      <c r="T230" s="161"/>
      <c r="U230" s="160"/>
      <c r="V230" s="161"/>
      <c r="W230" s="161"/>
      <c r="X230" s="161"/>
      <c r="Y230" s="161"/>
      <c r="Z230" s="161"/>
      <c r="AA230" s="161"/>
      <c r="AB230" s="161"/>
      <c r="AC230" s="161"/>
      <c r="AD230" s="161"/>
      <c r="AE230" s="161"/>
      <c r="AF230" s="163"/>
      <c r="AG230" s="163"/>
      <c r="AH230" s="163"/>
      <c r="AI230" s="163"/>
      <c r="AJ230" s="163"/>
      <c r="AK230" s="163"/>
      <c r="AL230" s="163"/>
      <c r="AM230" s="163"/>
      <c r="AN230" s="163"/>
      <c r="AO230" s="163"/>
      <c r="AP230" s="163"/>
      <c r="AQ230" s="163"/>
      <c r="AR230" s="163"/>
      <c r="AS230" s="163"/>
      <c r="AT230" s="163"/>
      <c r="AU230" s="163"/>
      <c r="AV230" s="163"/>
      <c r="AW230" s="163"/>
      <c r="AX230" s="163"/>
      <c r="AY230" s="163"/>
      <c r="AZ230" s="163"/>
      <c r="BA230" s="163"/>
      <c r="BB230" s="163"/>
      <c r="BC230" s="163"/>
      <c r="BD230" s="163"/>
      <c r="BE230" s="163"/>
      <c r="BF230" s="163"/>
      <c r="BG230" s="163"/>
      <c r="BH230" s="163"/>
      <c r="BI230" s="163"/>
      <c r="BJ230" s="163"/>
      <c r="BK230" s="163"/>
      <c r="BL230" s="163"/>
      <c r="BM230" s="163"/>
      <c r="BN230" s="163"/>
      <c r="BO230" s="163"/>
      <c r="BP230" s="163"/>
      <c r="BQ230" s="163"/>
      <c r="BR230" s="163"/>
      <c r="BS230" s="163"/>
      <c r="BT230" s="163"/>
      <c r="BU230" s="163"/>
      <c r="BV230" s="163"/>
      <c r="BW230" s="163"/>
      <c r="BX230" s="163"/>
      <c r="BY230" s="163"/>
      <c r="BZ230" s="163"/>
      <c r="CA230" s="163"/>
      <c r="CB230" s="163"/>
      <c r="CC230" s="163"/>
      <c r="CD230" s="163"/>
      <c r="CE230" s="163"/>
      <c r="CF230" s="163"/>
      <c r="CG230" s="163"/>
      <c r="CH230" s="163"/>
      <c r="CI230" s="163"/>
      <c r="CJ230" s="163"/>
      <c r="CK230" s="163"/>
      <c r="CL230" s="163"/>
      <c r="CM230" s="163"/>
      <c r="CN230" s="163"/>
      <c r="CO230" s="163"/>
      <c r="CP230" s="163"/>
      <c r="CQ230" s="163"/>
      <c r="CR230" s="163"/>
      <c r="CS230" s="163"/>
      <c r="CT230" s="163"/>
      <c r="CU230" s="163"/>
      <c r="CV230" s="163"/>
      <c r="CW230" s="163"/>
      <c r="CX230" s="163"/>
      <c r="CY230" s="163"/>
      <c r="CZ230" s="163"/>
      <c r="DA230" s="163"/>
      <c r="DB230" s="163"/>
      <c r="DC230" s="163"/>
      <c r="DD230" s="163"/>
      <c r="DE230" s="163"/>
      <c r="DF230" s="163"/>
      <c r="DG230" s="163"/>
      <c r="DH230" s="163"/>
      <c r="DI230" s="163"/>
      <c r="DJ230" s="163"/>
      <c r="DK230" s="163"/>
      <c r="DL230" s="163"/>
      <c r="DM230" s="163"/>
      <c r="DN230" s="163"/>
      <c r="DO230" s="163"/>
      <c r="DP230" s="163"/>
      <c r="DQ230" s="163"/>
      <c r="DR230" s="163"/>
      <c r="DS230" s="163"/>
      <c r="DT230" s="163"/>
      <c r="DU230" s="163"/>
      <c r="DV230" s="163"/>
      <c r="DW230" s="163"/>
      <c r="DX230" s="163"/>
      <c r="DY230" s="163"/>
      <c r="DZ230" s="163"/>
      <c r="EA230" s="163"/>
      <c r="EB230" s="163"/>
      <c r="EC230" s="163"/>
      <c r="ED230" s="163"/>
      <c r="EE230" s="163"/>
      <c r="EF230" s="163"/>
      <c r="EG230" s="163"/>
      <c r="EH230" s="160">
        <f>IF([Chambre]*1='CHAMBRES FILLES 2e ETAGE'!$A$5,1,0)</f>
        <v>0</v>
      </c>
      <c r="EI230" s="161">
        <f>IF([Occurrence2]=0,0,SUM($EH$2:EH230))</f>
        <v>0</v>
      </c>
      <c r="EJ230" s="160">
        <f>IF([Chambre]*1='CHAMBRES FILLES 2e ETAGE'!$A$11,1,0)</f>
        <v>0</v>
      </c>
      <c r="EK230" s="160">
        <f>IF([Occurrence3]=0,0,SUM($EJ$2:EJ230))</f>
        <v>0</v>
      </c>
      <c r="EL230" s="160">
        <f>IF([Chambre]*1='CHAMBRES FILLES 2e ETAGE'!$A$17,1,0)</f>
        <v>0</v>
      </c>
      <c r="EM230" s="160">
        <f>IF([Occurrence4]=0,0,SUM($EL$2:EL230))</f>
        <v>0</v>
      </c>
      <c r="EN230" s="160">
        <f>IF([Chambre]*1='CHAMBRES FILLES 2e ETAGE'!$A$23,1,0)</f>
        <v>0</v>
      </c>
      <c r="EO230" s="160">
        <f>IF([Occurrence5]=0,0,SUM($EN$2:EN230))</f>
        <v>0</v>
      </c>
      <c r="EP230" s="160">
        <f>IF([Chambre]*1='CHAMBRES FILLES 2e ETAGE'!$A$29,1,0)</f>
        <v>0</v>
      </c>
      <c r="EQ230" s="160">
        <f>IF([Occurrence6]=0,0,SUM($EP$2:EP230))</f>
        <v>0</v>
      </c>
      <c r="ER230" s="160">
        <f>IF([Chambre]*1='CHAMBRES FILLES 2e ETAGE'!$A$35,1,0)</f>
        <v>0</v>
      </c>
      <c r="ES230" s="160">
        <f>IF([Occurrence7]=0,0,SUM($ER$2:ER230))</f>
        <v>0</v>
      </c>
      <c r="ET230" s="160">
        <f>IF([Chambre]*1='CHAMBRES FILLES 2e ETAGE'!$A$41,1,0)</f>
        <v>0</v>
      </c>
      <c r="EU230" s="160">
        <f>IF([Occurrence8]=0,0,SUM($ET$2:ET230))</f>
        <v>0</v>
      </c>
      <c r="EV230" s="160">
        <f>IF([Chambre]*1='CHAMBRES FILLES 2e ETAGE'!$A$47,1,0)</f>
        <v>0</v>
      </c>
      <c r="EW230" s="160">
        <f>IF([Occurrence9]=0,0,SUM($EV$2:EV230))</f>
        <v>0</v>
      </c>
      <c r="EX230" s="160">
        <f>IF([Chambre]*1='CHAMBRES FILLES 2e ETAGE'!$A$53,1,0)</f>
        <v>0</v>
      </c>
      <c r="EY230" s="160">
        <f>IF([Occurrence10]=0,0,SUM($EX$2:EX230))</f>
        <v>0</v>
      </c>
      <c r="EZ230" s="160">
        <f>IF([Chambre]*1='CHAMBRES FILLES 2e ETAGE'!$A$59,1,0)</f>
        <v>0</v>
      </c>
      <c r="FA230" s="160">
        <f>IF([Occurrence11]=0,0,SUM($EZ$2:EZ230))</f>
        <v>0</v>
      </c>
      <c r="FB230" s="160">
        <f>IF([Chambre]*1='CHAMBRES FILLES 2e ETAGE'!$A$65,1,0)</f>
        <v>0</v>
      </c>
      <c r="FC230" s="160">
        <f>IF([Occurrence12]=0,0,SUM($FB$2:FB230))</f>
        <v>0</v>
      </c>
      <c r="FD230" s="160">
        <f>IF([Chambre]*1='CHAMBRES FILLES 2e ETAGE'!$A$71,1,0)</f>
        <v>0</v>
      </c>
      <c r="FE230" s="160">
        <f>IF([Occurrence13]=0,0,SUM($FD$2:FD230))</f>
        <v>0</v>
      </c>
      <c r="FF230" s="160">
        <f>IF([Chambre]*1='CHAMBRES FILLES 2e ETAGE'!$A$77,1,0)</f>
        <v>0</v>
      </c>
      <c r="FG230" s="160">
        <f>IF([Occurrence14]=0,0,SUM($FF$2:FF230))</f>
        <v>0</v>
      </c>
      <c r="FH230" s="160">
        <f>IF([Chambre]*1='CHAMBRES FILLES 2e ETAGE'!$A$83,1,0)</f>
        <v>0</v>
      </c>
      <c r="FI230" s="160">
        <f>IF([Occurrence15]=0,0,SUM($FH$2:FH230))</f>
        <v>0</v>
      </c>
      <c r="FJ230" s="160">
        <f>IF([Chambre]*1='CHAMBRES FILLES 2e ETAGE'!$A$89,1,0)</f>
        <v>0</v>
      </c>
      <c r="FK230" s="160">
        <f>IF([Occurrence16]=0,0,SUM($FJ$2:FJ230))</f>
        <v>0</v>
      </c>
      <c r="FL230" s="160">
        <f>IF([Chambre]*1='CHAMBRES FILLES 2e ETAGE'!$A$95,1,0)</f>
        <v>0</v>
      </c>
      <c r="FM230" s="160">
        <f>IF([Occurrence17]=0,0,SUM($FL$2:FL230))</f>
        <v>0</v>
      </c>
      <c r="FN230" s="160">
        <f>IF([Chambre2]*1='CHAMBRES FILLES 1e ETAGE'!$A$5,1,0)</f>
        <v>0</v>
      </c>
      <c r="FO230" s="160">
        <f>IF([Occurrence18]=0,0,SUM($FN$2:FN230))</f>
        <v>0</v>
      </c>
      <c r="FP230" s="160">
        <f>IF([Chambre2]*1='CHAMBRES FILLES 1e ETAGE'!$A$11,1,0)</f>
        <v>0</v>
      </c>
      <c r="FQ230" s="160">
        <f>IF([Occurrence19]=0,0,SUM($FP$2:FP230))</f>
        <v>0</v>
      </c>
      <c r="FR230" s="160">
        <f>IF([Chambre2]*1='CHAMBRES FILLES 1e ETAGE'!$A$17,1,0)</f>
        <v>0</v>
      </c>
      <c r="FS230" s="160">
        <f>IF([Occurrence20]=0,0,SUM($FR$2:FR230))</f>
        <v>0</v>
      </c>
      <c r="FT230" s="160">
        <f>IF([Chambre2]*1='CHAMBRES FILLES 1e ETAGE'!$A$23,1,0)</f>
        <v>0</v>
      </c>
      <c r="FU230" s="160">
        <f>IF([Occurrence21]=0,0,SUM($FT$2:FT230))</f>
        <v>0</v>
      </c>
      <c r="FV230" s="160">
        <f>IF([Chambre2]*1='CHAMBRES FILLES 1e ETAGE'!$A$29,1,0)</f>
        <v>0</v>
      </c>
      <c r="FW230" s="160">
        <f>IF([Occurrence22]=0,0,SUM($FV$2:FV230))</f>
        <v>0</v>
      </c>
      <c r="FX230" s="160">
        <f>IF([Chambre2]*1='CHAMBRES FILLES 1e ETAGE'!$A$35,1,0)</f>
        <v>0</v>
      </c>
      <c r="FY230" s="160">
        <f>IF([Occurrence23]=0,0,SUM($FX$2:FX230))</f>
        <v>0</v>
      </c>
      <c r="FZ230" s="160">
        <f>IF([Chambre2]*1='CHAMBRES FILLES 1e ETAGE'!$A$41,1,0)</f>
        <v>0</v>
      </c>
      <c r="GA230" s="160">
        <f>IF([Occurrence24]=0,0,SUM($FZ$2:FZ230))</f>
        <v>0</v>
      </c>
      <c r="GB230" s="160">
        <f>IF([Chambre2]*1='CHAMBRES FILLES 1e ETAGE'!$A$47,1,0)</f>
        <v>0</v>
      </c>
      <c r="GC230" s="160">
        <f>IF([Occurrence25]=0,0,SUM($GB$2:GB230))</f>
        <v>0</v>
      </c>
      <c r="GD230" s="160">
        <f>IF([Chambre2]*1='CHAMBRES FILLES 1e ETAGE'!$A$53,1,0)</f>
        <v>0</v>
      </c>
      <c r="GE230" s="160">
        <f>IF([Occurrence26]=0,0,SUM($GD$2:GD230))</f>
        <v>0</v>
      </c>
      <c r="GF230" s="160">
        <f>IF([chambre4]*1='CHAMBRES GARCONS 1e ETAGE'!$A$5,1,0)</f>
        <v>0</v>
      </c>
      <c r="GG230" s="160">
        <f>IF([Occurrence27]=0,0,SUM($GF$2:GF230))</f>
        <v>0</v>
      </c>
      <c r="GH230" s="160">
        <f>IF([chambre4]*1='CHAMBRES GARCONS 1e ETAGE'!$A$11,1,0)</f>
        <v>0</v>
      </c>
      <c r="GI230" s="160">
        <f>IF([Occurrence28]=0,0,SUM($GH$2:GH230))</f>
        <v>0</v>
      </c>
      <c r="GJ230" s="160">
        <f>IF([chambre4]*1='CHAMBRES GARCONS 1e ETAGE'!$A$17,1,0)</f>
        <v>0</v>
      </c>
      <c r="GK230" s="160">
        <f>IF([Occurrence29]=0,0,SUM($GJ$2:GJ230))</f>
        <v>0</v>
      </c>
      <c r="GL230" s="160">
        <f>IF([chambre4]*1='CHAMBRES GARCONS 1e ETAGE'!$A$23,1,0)</f>
        <v>0</v>
      </c>
      <c r="GM230" s="160">
        <f>IF([Occurrence30]=0,0,SUM($GL$2:GL230))</f>
        <v>0</v>
      </c>
      <c r="GN230" s="160">
        <f>IF([chambre4]*1='CHAMBRES GARCONS 1e ETAGE'!$A$29,1,0)</f>
        <v>0</v>
      </c>
      <c r="GO230" s="160">
        <f>IF([Occurrence31]=0,0,SUM($GN$2:GN230))</f>
        <v>0</v>
      </c>
      <c r="GP230" s="160">
        <f>IF([chambre4]*1='CHAMBRES GARCONS 1e ETAGE'!$A$35,1,0)</f>
        <v>0</v>
      </c>
      <c r="GQ230" s="160">
        <f>IF([Occurrence32]=0,0,SUM($GP$2:GP230))</f>
        <v>0</v>
      </c>
      <c r="GR230" s="160">
        <f>IF([chambre3]*1='CHAMBRES GARCONS RDC'!$A$5,1,0)</f>
        <v>0</v>
      </c>
      <c r="GS230" s="160">
        <f>IF([Occurrence33]=0,0,SUM($GR$2:GR230))</f>
        <v>0</v>
      </c>
      <c r="GT230" s="160">
        <f>IF([chambre3]*1='CHAMBRES GARCONS RDC'!$A$11,1,0)</f>
        <v>0</v>
      </c>
      <c r="GU230" s="160">
        <f>IF([Occurrence34]=0,0,SUM($GT$2:GT230))</f>
        <v>0</v>
      </c>
      <c r="GV230" s="160">
        <f>IF([chambre3]*1='CHAMBRES GARCONS RDC'!$A$17,1,0)</f>
        <v>0</v>
      </c>
      <c r="GW230" s="160">
        <f>IF([Occurrence35]=0,0,SUM($GV$2:GV230))</f>
        <v>0</v>
      </c>
      <c r="GX230" s="160">
        <f>IF([chambre3]*1='CHAMBRES GARCONS RDC'!$A$23,1,0)</f>
        <v>0</v>
      </c>
      <c r="GY230" s="160">
        <f>IF([Occurrence36]=0,0,SUM($GX$2:GX230))</f>
        <v>0</v>
      </c>
      <c r="GZ230" s="160">
        <f>IF([chambre3]*1='CHAMBRES GARCONS RDC'!$A$29,1,0)</f>
        <v>0</v>
      </c>
      <c r="HA230" s="160">
        <f>IF([Occurrence37]=0,0,SUM($GZ$2:GZ230))</f>
        <v>0</v>
      </c>
      <c r="HB230" s="160">
        <f>IF([chambre3]*1='CHAMBRES GARCONS RDC'!$A$35,1,0)</f>
        <v>0</v>
      </c>
      <c r="HC230" s="160">
        <f>IF([Occurrence38]=0,0,SUM($HB$2:HB230))</f>
        <v>0</v>
      </c>
      <c r="HD230" s="160">
        <f>IF([chambre3]*1='CHAMBRES GARCONS RDC'!$A$41,1,0)</f>
        <v>0</v>
      </c>
      <c r="HE230" s="160">
        <f>IF([Occurrence39]=0,0,SUM($HD$2:HD230))</f>
        <v>0</v>
      </c>
      <c r="HF230" s="160">
        <f>IF([chambre3]*1='CHAMBRES GARCONS RDC'!$A$47,1,0)</f>
        <v>0</v>
      </c>
      <c r="HG230" s="160">
        <f>IF([Occurrence40]=0,0,SUM($HF$2:HF230))</f>
        <v>0</v>
      </c>
      <c r="HH230" s="160">
        <f>IF([chambre3]*1='CHAMBRES GARCONS RDC'!$A$53,1,0)</f>
        <v>0</v>
      </c>
      <c r="HI230" s="160">
        <f>IF([Occurrence41]=0,0,SUM($HH$2:HH230))</f>
        <v>0</v>
      </c>
      <c r="HJ230" s="160">
        <f>IF([chambre3]*1='CHAMBRES GARCONS RDC'!$A$59,1,0)</f>
        <v>0</v>
      </c>
      <c r="HK230" s="160">
        <f>IF([Occurrence42]=0,0,SUM($HJ$2:HJ230))</f>
        <v>0</v>
      </c>
      <c r="HL230" s="160">
        <f>IF([chambre3]*1='CHAMBRES GARCONS RDC'!$A$65,1,0)</f>
        <v>0</v>
      </c>
      <c r="HM230" s="160">
        <f>IF([Occurrence43]=0,0,SUM($HL$2:HL230))</f>
        <v>0</v>
      </c>
      <c r="HN230" s="160">
        <f>IF([chambre3]*1='CHAMBRES GARCONS RDC'!$A$71,1,0)</f>
        <v>0</v>
      </c>
      <c r="HO230" s="160">
        <f>IF([Occurrence44]=0,0,SUM($HN$2:HN230))</f>
        <v>0</v>
      </c>
      <c r="HP230" s="160">
        <f>IF([chambre3]*1='CHAMBRES GARCONS RDC'!$A$77,1,0)</f>
        <v>0</v>
      </c>
      <c r="HQ230" s="160">
        <f>IF([Occurrence45]=0,0,SUM($HP$2:HP230))</f>
        <v>0</v>
      </c>
      <c r="HR230" s="160">
        <f>IF([chambre3]*1='CHAMBRES GARCONS RDC'!$A$83,1,0)</f>
        <v>0</v>
      </c>
      <c r="HS230" s="160">
        <f>IF([Occurrence46]=0,0,SUM($HR$2:HR230))</f>
        <v>0</v>
      </c>
      <c r="HT230" s="160">
        <f>IF([chambre3]*1='CHAMBRES GARCONS RDC'!$A$89,1,0)</f>
        <v>0</v>
      </c>
      <c r="HU230" s="160">
        <f>IF([Occurrence47]=0,0,SUM($HT$2:HT230))</f>
        <v>0</v>
      </c>
      <c r="HV230" s="160">
        <f>IF([chambre3]*1='CHAMBRES GARCONS RDC'!$A$95,1,0)</f>
        <v>0</v>
      </c>
      <c r="HW230" s="160">
        <f>IF([Occurrence48]=0,0,SUM($HV$2:HV230))</f>
        <v>0</v>
      </c>
      <c r="HX230" s="160"/>
      <c r="HY230" s="160"/>
      <c r="HZ230" s="160">
        <f>IF([Classe]='Liste élève par classes'!$B$5,1,0)</f>
        <v>0</v>
      </c>
      <c r="IA230" s="160">
        <f>IF([Occurrence]=0,0,SUM($HZ$2:HZ230))</f>
        <v>0</v>
      </c>
      <c r="IB23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30" s="208"/>
    </row>
    <row r="231" spans="1:237">
      <c r="A231" t="s">
        <v>622</v>
      </c>
      <c r="B231" t="s">
        <v>512</v>
      </c>
      <c r="C231" s="158">
        <v>37161</v>
      </c>
      <c r="D231" s="62">
        <f t="shared" ca="1" si="3"/>
        <v>16</v>
      </c>
      <c r="E231" t="s">
        <v>6</v>
      </c>
      <c r="F231" s="159" t="s">
        <v>50</v>
      </c>
      <c r="G231" t="s">
        <v>40</v>
      </c>
      <c r="H231" s="160"/>
      <c r="I231" s="62"/>
      <c r="J231" s="62"/>
      <c r="K231" s="62"/>
      <c r="L231" s="61"/>
      <c r="M231">
        <v>70</v>
      </c>
      <c r="N231" s="62"/>
      <c r="O231" s="62"/>
      <c r="P231" s="62"/>
      <c r="Q231" s="62"/>
      <c r="R231" s="62"/>
      <c r="S231" s="191"/>
      <c r="T231" s="62"/>
      <c r="U231" s="61"/>
      <c r="V231" s="62"/>
      <c r="W231" s="62"/>
      <c r="X231" s="62"/>
      <c r="Y231" s="62"/>
      <c r="Z231" s="62"/>
      <c r="AA231" s="62"/>
      <c r="AB231" s="62"/>
      <c r="AC231" s="62"/>
      <c r="AD231" s="62"/>
      <c r="AE231" s="62"/>
      <c r="AF231" s="163"/>
      <c r="AG231" s="163"/>
      <c r="AH231" s="163"/>
      <c r="AI231" s="163"/>
      <c r="AJ231" s="163"/>
      <c r="AK231" s="163"/>
      <c r="AL231" s="163"/>
      <c r="AM231" s="163"/>
      <c r="AN231" s="163"/>
      <c r="AO231" s="163"/>
      <c r="AP231" s="163"/>
      <c r="AQ231" s="163"/>
      <c r="AR231" s="163"/>
      <c r="AS231" s="163"/>
      <c r="AT231" s="163"/>
      <c r="AU231" s="163"/>
      <c r="AV231" s="163"/>
      <c r="AW231" s="163"/>
      <c r="AX231" s="163"/>
      <c r="AY231" s="163"/>
      <c r="AZ231" s="163"/>
      <c r="BA231" s="163"/>
      <c r="BB231" s="163"/>
      <c r="BC231" s="163" t="b">
        <v>0</v>
      </c>
      <c r="BD231" s="163" t="b">
        <v>1</v>
      </c>
      <c r="BE231" s="163" t="b">
        <v>1</v>
      </c>
      <c r="BF231" s="163" t="b">
        <v>0</v>
      </c>
      <c r="BG231" s="164" t="b">
        <v>0</v>
      </c>
      <c r="BH231" s="163" t="b">
        <v>1</v>
      </c>
      <c r="BI231" s="163"/>
      <c r="BJ231" s="163"/>
      <c r="BK231" s="163"/>
      <c r="BL231" s="163"/>
      <c r="BM231" s="163"/>
      <c r="BN231" s="163"/>
      <c r="BO231" s="163"/>
      <c r="BP231" s="163"/>
      <c r="BQ231" s="166" t="b">
        <v>0</v>
      </c>
      <c r="BR231" s="163"/>
      <c r="BS231" s="163"/>
      <c r="BT231" s="163"/>
      <c r="BU231" s="163"/>
      <c r="BV231" s="163"/>
      <c r="BW231" s="163"/>
      <c r="BX231" s="163"/>
      <c r="BY231" s="163"/>
      <c r="BZ231" s="163"/>
      <c r="CA231" s="163"/>
      <c r="CB231" s="163"/>
      <c r="CC231" s="163"/>
      <c r="CD231" s="163"/>
      <c r="CE231" s="163"/>
      <c r="CF231" s="163"/>
      <c r="CG231" s="163"/>
      <c r="CH231" s="163"/>
      <c r="CI231" s="163"/>
      <c r="CJ231" s="163"/>
      <c r="CK231" s="163"/>
      <c r="CL231" s="163"/>
      <c r="CM231" s="163"/>
      <c r="CN231" s="163"/>
      <c r="CO231" s="163"/>
      <c r="CP231" s="163"/>
      <c r="CQ231" s="163"/>
      <c r="CR231" s="163"/>
      <c r="CS231" s="163"/>
      <c r="CT231" s="163"/>
      <c r="CU231" s="163"/>
      <c r="CV231" s="163"/>
      <c r="CW231" s="163"/>
      <c r="CX231" s="163"/>
      <c r="CY231" s="163"/>
      <c r="CZ231" s="163"/>
      <c r="DA231" s="163"/>
      <c r="DB231" s="163"/>
      <c r="DC231" s="163"/>
      <c r="DD231" s="163"/>
      <c r="DE231" s="163"/>
      <c r="DF231" s="163"/>
      <c r="DG231" s="208">
        <v>153</v>
      </c>
      <c r="DH231" s="163"/>
      <c r="DI231" s="163"/>
      <c r="DJ231" s="163"/>
      <c r="DK231" s="163"/>
      <c r="DL231" s="163"/>
      <c r="DM231" s="163"/>
      <c r="DN231" s="163"/>
      <c r="DO231" s="163"/>
      <c r="DP231" s="163"/>
      <c r="DQ231" s="163"/>
      <c r="DR231" s="163"/>
      <c r="DS231" s="163"/>
      <c r="DT231" s="163"/>
      <c r="DU231" s="163"/>
      <c r="DV231" s="163"/>
      <c r="DW231" s="163"/>
      <c r="DX231" s="163"/>
      <c r="DY231" s="163"/>
      <c r="DZ231" s="163"/>
      <c r="EA231" s="163"/>
      <c r="EB231" s="163"/>
      <c r="EC231" s="163"/>
      <c r="ED231" s="163"/>
      <c r="EE231" s="163"/>
      <c r="EF231" s="163"/>
      <c r="EG231" s="163"/>
      <c r="EH231" s="160">
        <f>IF([Chambre]*1='CHAMBRES FILLES 2e ETAGE'!$A$5,1,0)</f>
        <v>0</v>
      </c>
      <c r="EI231" s="161">
        <f>IF([Occurrence2]=0,0,SUM($EH$2:EH231))</f>
        <v>0</v>
      </c>
      <c r="EJ231" s="160">
        <f>IF([Chambre]*1='CHAMBRES FILLES 2e ETAGE'!$A$11,1,0)</f>
        <v>0</v>
      </c>
      <c r="EK231" s="160">
        <f>IF([Occurrence3]=0,0,SUM($EJ$2:EJ231))</f>
        <v>0</v>
      </c>
      <c r="EL231" s="160">
        <f>IF([Chambre]*1='CHAMBRES FILLES 2e ETAGE'!$A$17,1,0)</f>
        <v>0</v>
      </c>
      <c r="EM231" s="160">
        <f>IF([Occurrence4]=0,0,SUM($EL$2:EL231))</f>
        <v>0</v>
      </c>
      <c r="EN231" s="160">
        <f>IF([Chambre]*1='CHAMBRES FILLES 2e ETAGE'!$A$23,1,0)</f>
        <v>0</v>
      </c>
      <c r="EO231" s="160">
        <f>IF([Occurrence5]=0,0,SUM($EN$2:EN231))</f>
        <v>0</v>
      </c>
      <c r="EP231" s="160">
        <f>IF([Chambre]*1='CHAMBRES FILLES 2e ETAGE'!$A$29,1,0)</f>
        <v>0</v>
      </c>
      <c r="EQ231" s="160">
        <f>IF([Occurrence6]=0,0,SUM($EP$2:EP231))</f>
        <v>0</v>
      </c>
      <c r="ER231" s="160">
        <f>IF([Chambre]*1='CHAMBRES FILLES 2e ETAGE'!$A$35,1,0)</f>
        <v>0</v>
      </c>
      <c r="ES231" s="160">
        <f>IF([Occurrence7]=0,0,SUM($ER$2:ER231))</f>
        <v>0</v>
      </c>
      <c r="ET231" s="160">
        <f>IF([Chambre]*1='CHAMBRES FILLES 2e ETAGE'!$A$41,1,0)</f>
        <v>0</v>
      </c>
      <c r="EU231" s="160">
        <f>IF([Occurrence8]=0,0,SUM($ET$2:ET231))</f>
        <v>0</v>
      </c>
      <c r="EV231" s="160">
        <f>IF([Chambre]*1='CHAMBRES FILLES 2e ETAGE'!$A$47,1,0)</f>
        <v>0</v>
      </c>
      <c r="EW231" s="160">
        <f>IF([Occurrence9]=0,0,SUM($EV$2:EV231))</f>
        <v>0</v>
      </c>
      <c r="EX231" s="160">
        <f>IF([Chambre]*1='CHAMBRES FILLES 2e ETAGE'!$A$53,1,0)</f>
        <v>0</v>
      </c>
      <c r="EY231" s="160">
        <f>IF([Occurrence10]=0,0,SUM($EX$2:EX231))</f>
        <v>0</v>
      </c>
      <c r="EZ231" s="160">
        <f>IF([Chambre]*1='CHAMBRES FILLES 2e ETAGE'!$A$59,1,0)</f>
        <v>0</v>
      </c>
      <c r="FA231" s="160">
        <f>IF([Occurrence11]=0,0,SUM($EZ$2:EZ231))</f>
        <v>0</v>
      </c>
      <c r="FB231" s="160">
        <f>IF([Chambre]*1='CHAMBRES FILLES 2e ETAGE'!$A$65,1,0)</f>
        <v>0</v>
      </c>
      <c r="FC231" s="160">
        <f>IF([Occurrence12]=0,0,SUM($FB$2:FB231))</f>
        <v>0</v>
      </c>
      <c r="FD231" s="160">
        <f>IF([Chambre]*1='CHAMBRES FILLES 2e ETAGE'!$A$71,1,0)</f>
        <v>0</v>
      </c>
      <c r="FE231" s="160">
        <f>IF([Occurrence13]=0,0,SUM($FD$2:FD231))</f>
        <v>0</v>
      </c>
      <c r="FF231" s="160">
        <f>IF([Chambre]*1='CHAMBRES FILLES 2e ETAGE'!$A$77,1,0)</f>
        <v>0</v>
      </c>
      <c r="FG231" s="160">
        <f>IF([Occurrence14]=0,0,SUM($FF$2:FF231))</f>
        <v>0</v>
      </c>
      <c r="FH231" s="160">
        <f>IF([Chambre]*1='CHAMBRES FILLES 2e ETAGE'!$A$83,1,0)</f>
        <v>0</v>
      </c>
      <c r="FI231" s="160">
        <f>IF([Occurrence15]=0,0,SUM($FH$2:FH231))</f>
        <v>0</v>
      </c>
      <c r="FJ231" s="160">
        <f>IF([Chambre]*1='CHAMBRES FILLES 2e ETAGE'!$A$89,1,0)</f>
        <v>0</v>
      </c>
      <c r="FK231" s="160">
        <f>IF([Occurrence16]=0,0,SUM($FJ$2:FJ231))</f>
        <v>0</v>
      </c>
      <c r="FL231" s="160">
        <f>IF([Chambre]*1='CHAMBRES FILLES 2e ETAGE'!$A$95,1,0)</f>
        <v>0</v>
      </c>
      <c r="FM231" s="160">
        <f>IF([Occurrence17]=0,0,SUM($FL$2:FL231))</f>
        <v>0</v>
      </c>
      <c r="FN231" s="160">
        <f>IF([Chambre2]*1='CHAMBRES FILLES 1e ETAGE'!$A$5,1,0)</f>
        <v>0</v>
      </c>
      <c r="FO231" s="160">
        <f>IF([Occurrence18]=0,0,SUM($FN$2:FN231))</f>
        <v>0</v>
      </c>
      <c r="FP231" s="160">
        <f>IF([Chambre2]*1='CHAMBRES FILLES 1e ETAGE'!$A$11,1,0)</f>
        <v>0</v>
      </c>
      <c r="FQ231" s="160">
        <f>IF([Occurrence19]=0,0,SUM($FP$2:FP231))</f>
        <v>0</v>
      </c>
      <c r="FR231" s="160">
        <f>IF([Chambre2]*1='CHAMBRES FILLES 1e ETAGE'!$A$17,1,0)</f>
        <v>0</v>
      </c>
      <c r="FS231" s="160">
        <f>IF([Occurrence20]=0,0,SUM($FR$2:FR231))</f>
        <v>0</v>
      </c>
      <c r="FT231" s="160">
        <f>IF([Chambre2]*1='CHAMBRES FILLES 1e ETAGE'!$A$23,1,0)</f>
        <v>0</v>
      </c>
      <c r="FU231" s="160">
        <f>IF([Occurrence21]=0,0,SUM($FT$2:FT231))</f>
        <v>0</v>
      </c>
      <c r="FV231" s="160">
        <f>IF([Chambre2]*1='CHAMBRES FILLES 1e ETAGE'!$A$29,1,0)</f>
        <v>0</v>
      </c>
      <c r="FW231" s="160">
        <f>IF([Occurrence22]=0,0,SUM($FV$2:FV231))</f>
        <v>0</v>
      </c>
      <c r="FX231" s="160">
        <f>IF([Chambre2]*1='CHAMBRES FILLES 1e ETAGE'!$A$35,1,0)</f>
        <v>0</v>
      </c>
      <c r="FY231" s="160">
        <f>IF([Occurrence23]=0,0,SUM($FX$2:FX231))</f>
        <v>0</v>
      </c>
      <c r="FZ231" s="160">
        <f>IF([Chambre2]*1='CHAMBRES FILLES 1e ETAGE'!$A$41,1,0)</f>
        <v>0</v>
      </c>
      <c r="GA231" s="160">
        <f>IF([Occurrence24]=0,0,SUM($FZ$2:FZ231))</f>
        <v>0</v>
      </c>
      <c r="GB231" s="160">
        <f>IF([Chambre2]*1='CHAMBRES FILLES 1e ETAGE'!$A$47,1,0)</f>
        <v>0</v>
      </c>
      <c r="GC231" s="160">
        <f>IF([Occurrence25]=0,0,SUM($GB$2:GB231))</f>
        <v>0</v>
      </c>
      <c r="GD231" s="160">
        <f>IF([Chambre2]*1='CHAMBRES FILLES 1e ETAGE'!$A$53,1,0)</f>
        <v>0</v>
      </c>
      <c r="GE231" s="160">
        <f>IF([Occurrence26]=0,0,SUM($GD$2:GD231))</f>
        <v>0</v>
      </c>
      <c r="GF231" s="160">
        <f>IF([chambre4]*1='CHAMBRES GARCONS 1e ETAGE'!$A$5,1,0)</f>
        <v>0</v>
      </c>
      <c r="GG231" s="160">
        <f>IF([Occurrence27]=0,0,SUM($GF$2:GF231))</f>
        <v>0</v>
      </c>
      <c r="GH231" s="160">
        <f>IF([chambre4]*1='CHAMBRES GARCONS 1e ETAGE'!$A$11,1,0)</f>
        <v>0</v>
      </c>
      <c r="GI231" s="160">
        <f>IF([Occurrence28]=0,0,SUM($GH$2:GH231))</f>
        <v>0</v>
      </c>
      <c r="GJ231" s="160">
        <f>IF([chambre4]*1='CHAMBRES GARCONS 1e ETAGE'!$A$17,1,0)</f>
        <v>0</v>
      </c>
      <c r="GK231" s="160">
        <f>IF([Occurrence29]=0,0,SUM($GJ$2:GJ231))</f>
        <v>0</v>
      </c>
      <c r="GL231" s="160">
        <f>IF([chambre4]*1='CHAMBRES GARCONS 1e ETAGE'!$A$23,1,0)</f>
        <v>1</v>
      </c>
      <c r="GM231" s="160">
        <f>IF([Occurrence30]=0,0,SUM($GL$2:GL231))</f>
        <v>4</v>
      </c>
      <c r="GN231" s="160">
        <f>IF([chambre4]*1='CHAMBRES GARCONS 1e ETAGE'!$A$29,1,0)</f>
        <v>0</v>
      </c>
      <c r="GO231" s="160">
        <f>IF([Occurrence31]=0,0,SUM($GN$2:GN231))</f>
        <v>0</v>
      </c>
      <c r="GP231" s="160">
        <f>IF([chambre4]*1='CHAMBRES GARCONS 1e ETAGE'!$A$35,1,0)</f>
        <v>0</v>
      </c>
      <c r="GQ231" s="160">
        <f>IF([Occurrence32]=0,0,SUM($GP$2:GP231))</f>
        <v>0</v>
      </c>
      <c r="GR231" s="160">
        <f>IF([chambre3]*1='CHAMBRES GARCONS RDC'!$A$5,1,0)</f>
        <v>0</v>
      </c>
      <c r="GS231" s="160">
        <f>IF([Occurrence33]=0,0,SUM($GR$2:GR231))</f>
        <v>0</v>
      </c>
      <c r="GT231" s="160">
        <f>IF([chambre3]*1='CHAMBRES GARCONS RDC'!$A$11,1,0)</f>
        <v>0</v>
      </c>
      <c r="GU231" s="160">
        <f>IF([Occurrence34]=0,0,SUM($GT$2:GT231))</f>
        <v>0</v>
      </c>
      <c r="GV231" s="160">
        <f>IF([chambre3]*1='CHAMBRES GARCONS RDC'!$A$17,1,0)</f>
        <v>0</v>
      </c>
      <c r="GW231" s="160">
        <f>IF([Occurrence35]=0,0,SUM($GV$2:GV231))</f>
        <v>0</v>
      </c>
      <c r="GX231" s="160">
        <f>IF([chambre3]*1='CHAMBRES GARCONS RDC'!$A$23,1,0)</f>
        <v>0</v>
      </c>
      <c r="GY231" s="160">
        <f>IF([Occurrence36]=0,0,SUM($GX$2:GX231))</f>
        <v>0</v>
      </c>
      <c r="GZ231" s="160">
        <f>IF([chambre3]*1='CHAMBRES GARCONS RDC'!$A$29,1,0)</f>
        <v>0</v>
      </c>
      <c r="HA231" s="160">
        <f>IF([Occurrence37]=0,0,SUM($GZ$2:GZ231))</f>
        <v>0</v>
      </c>
      <c r="HB231" s="160">
        <f>IF([chambre3]*1='CHAMBRES GARCONS RDC'!$A$35,1,0)</f>
        <v>0</v>
      </c>
      <c r="HC231" s="160">
        <f>IF([Occurrence38]=0,0,SUM($HB$2:HB231))</f>
        <v>0</v>
      </c>
      <c r="HD231" s="160">
        <f>IF([chambre3]*1='CHAMBRES GARCONS RDC'!$A$41,1,0)</f>
        <v>0</v>
      </c>
      <c r="HE231" s="160">
        <f>IF([Occurrence39]=0,0,SUM($HD$2:HD231))</f>
        <v>0</v>
      </c>
      <c r="HF231" s="160">
        <f>IF([chambre3]*1='CHAMBRES GARCONS RDC'!$A$47,1,0)</f>
        <v>0</v>
      </c>
      <c r="HG231" s="160">
        <f>IF([Occurrence40]=0,0,SUM($HF$2:HF231))</f>
        <v>0</v>
      </c>
      <c r="HH231" s="160">
        <f>IF([chambre3]*1='CHAMBRES GARCONS RDC'!$A$53,1,0)</f>
        <v>0</v>
      </c>
      <c r="HI231" s="160">
        <f>IF([Occurrence41]=0,0,SUM($HH$2:HH231))</f>
        <v>0</v>
      </c>
      <c r="HJ231" s="160">
        <f>IF([chambre3]*1='CHAMBRES GARCONS RDC'!$A$59,1,0)</f>
        <v>0</v>
      </c>
      <c r="HK231" s="160">
        <f>IF([Occurrence42]=0,0,SUM($HJ$2:HJ231))</f>
        <v>0</v>
      </c>
      <c r="HL231" s="160">
        <f>IF([chambre3]*1='CHAMBRES GARCONS RDC'!$A$65,1,0)</f>
        <v>0</v>
      </c>
      <c r="HM231" s="160">
        <f>IF([Occurrence43]=0,0,SUM($HL$2:HL231))</f>
        <v>0</v>
      </c>
      <c r="HN231" s="160">
        <f>IF([chambre3]*1='CHAMBRES GARCONS RDC'!$A$71,1,0)</f>
        <v>0</v>
      </c>
      <c r="HO231" s="160">
        <f>IF([Occurrence44]=0,0,SUM($HN$2:HN231))</f>
        <v>0</v>
      </c>
      <c r="HP231" s="160">
        <f>IF([chambre3]*1='CHAMBRES GARCONS RDC'!$A$77,1,0)</f>
        <v>0</v>
      </c>
      <c r="HQ231" s="160">
        <f>IF([Occurrence45]=0,0,SUM($HP$2:HP231))</f>
        <v>0</v>
      </c>
      <c r="HR231" s="160">
        <f>IF([chambre3]*1='CHAMBRES GARCONS RDC'!$A$83,1,0)</f>
        <v>0</v>
      </c>
      <c r="HS231" s="160">
        <f>IF([Occurrence46]=0,0,SUM($HR$2:HR231))</f>
        <v>0</v>
      </c>
      <c r="HT231" s="160">
        <f>IF([chambre3]*1='CHAMBRES GARCONS RDC'!$A$89,1,0)</f>
        <v>0</v>
      </c>
      <c r="HU231" s="160">
        <f>IF([Occurrence47]=0,0,SUM($HT$2:HT231))</f>
        <v>0</v>
      </c>
      <c r="HV231" s="160">
        <f>IF([chambre3]*1='CHAMBRES GARCONS RDC'!$A$95,1,0)</f>
        <v>0</v>
      </c>
      <c r="HW231" s="160">
        <f>IF([Occurrence48]=0,0,SUM($HV$2:HV231))</f>
        <v>0</v>
      </c>
      <c r="HX231" s="160"/>
      <c r="HY231" s="160"/>
      <c r="HZ231" s="160">
        <f>IF([Classe]='Liste élève par classes'!$B$5,1,0)</f>
        <v>0</v>
      </c>
      <c r="IA231" s="160">
        <f>IF([Occurrence]=0,0,SUM($HZ$2:HZ231))</f>
        <v>0</v>
      </c>
      <c r="IB23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153</v>
      </c>
      <c r="IC231" s="208"/>
    </row>
    <row r="232" spans="1:237">
      <c r="A232" t="s">
        <v>623</v>
      </c>
      <c r="B232" t="s">
        <v>624</v>
      </c>
      <c r="C232" s="158">
        <v>36458</v>
      </c>
      <c r="D232" s="62">
        <f t="shared" ca="1" si="3"/>
        <v>18</v>
      </c>
      <c r="E232" t="s">
        <v>3</v>
      </c>
      <c r="F232" s="165" t="s">
        <v>46</v>
      </c>
      <c r="G232" t="s">
        <v>45</v>
      </c>
      <c r="H232" s="160"/>
      <c r="I232" s="62"/>
      <c r="J232" s="62" t="s">
        <v>244</v>
      </c>
      <c r="K232" s="62"/>
      <c r="L232" s="61"/>
      <c r="M232" s="62"/>
      <c r="N232" s="62"/>
      <c r="O232" s="62"/>
      <c r="P232" s="62"/>
      <c r="Q232" s="62"/>
      <c r="R232" s="62"/>
      <c r="S232" s="62"/>
      <c r="T232" s="62"/>
      <c r="U232" s="61"/>
      <c r="V232" s="62" t="s">
        <v>244</v>
      </c>
      <c r="W232" s="62" t="s">
        <v>244</v>
      </c>
      <c r="X232" s="62" t="s">
        <v>244</v>
      </c>
      <c r="Y232" s="62" t="s">
        <v>244</v>
      </c>
      <c r="Z232" s="62" t="s">
        <v>244</v>
      </c>
      <c r="AA232" s="62" t="s">
        <v>244</v>
      </c>
      <c r="AB232" s="62" t="s">
        <v>244</v>
      </c>
      <c r="AC232" s="62" t="s">
        <v>244</v>
      </c>
      <c r="AD232" s="62" t="s">
        <v>244</v>
      </c>
      <c r="AE232" s="62" t="s">
        <v>244</v>
      </c>
      <c r="AF232" s="166" t="s">
        <v>244</v>
      </c>
      <c r="AG232" s="166" t="s">
        <v>244</v>
      </c>
      <c r="AH232" s="166" t="s">
        <v>244</v>
      </c>
      <c r="AI232" s="166"/>
      <c r="AJ232" s="166"/>
      <c r="AK232" s="166"/>
      <c r="AL232" s="166"/>
      <c r="AM232" s="166"/>
      <c r="AN232" s="166"/>
      <c r="AO232" s="166"/>
      <c r="AP232" s="166"/>
      <c r="AQ232" s="166"/>
      <c r="AR232" s="166"/>
      <c r="AS232" s="166"/>
      <c r="AT232" s="166"/>
      <c r="AU232" s="166"/>
      <c r="AV232" s="166"/>
      <c r="AW232" s="166"/>
      <c r="AX232" s="166"/>
      <c r="AY232" s="166"/>
      <c r="AZ232" s="166"/>
      <c r="BA232" s="166"/>
      <c r="BB232" s="166"/>
      <c r="BC232" s="163" t="b">
        <v>0</v>
      </c>
      <c r="BD232" s="163" t="b">
        <v>0</v>
      </c>
      <c r="BE232" s="163" t="b">
        <v>0</v>
      </c>
      <c r="BF232" s="163" t="b">
        <v>0</v>
      </c>
      <c r="BG232" s="163" t="b">
        <v>0</v>
      </c>
      <c r="BH232" s="163" t="b">
        <v>0</v>
      </c>
      <c r="BI232" s="163" t="b">
        <v>1</v>
      </c>
      <c r="BJ232" s="163" t="b">
        <v>0</v>
      </c>
      <c r="BK232" s="163" t="b">
        <v>0</v>
      </c>
      <c r="BL232" s="163" t="b">
        <v>0</v>
      </c>
      <c r="BM232" s="166"/>
      <c r="BN232" s="166"/>
      <c r="BO232" s="166"/>
      <c r="BP232" s="166"/>
      <c r="BQ232" s="166"/>
      <c r="BR232" s="166"/>
      <c r="BS232" s="166"/>
      <c r="BT232" s="166"/>
      <c r="BU232" s="166"/>
      <c r="BV232" s="166"/>
      <c r="BW232" s="166"/>
      <c r="BX232" s="166"/>
      <c r="BY232" s="166"/>
      <c r="BZ232" s="166"/>
      <c r="CA232" s="166"/>
      <c r="CB232" s="166"/>
      <c r="CC232" s="166"/>
      <c r="CD232" s="166"/>
      <c r="CE232" s="166"/>
      <c r="CF232" s="166"/>
      <c r="CG232" s="166"/>
      <c r="CH232" s="166"/>
      <c r="CI232" s="166"/>
      <c r="CJ232" s="166"/>
      <c r="CK232" s="166"/>
      <c r="CL232" s="166"/>
      <c r="CM232" s="166"/>
      <c r="CN232" s="166"/>
      <c r="CO232" s="166"/>
      <c r="CP232" s="166"/>
      <c r="CQ232" s="166"/>
      <c r="CR232" s="166"/>
      <c r="CS232" s="166"/>
      <c r="CT232" s="166"/>
      <c r="CU232" s="166"/>
      <c r="CV232" s="166"/>
      <c r="CW232" s="166"/>
      <c r="CX232" s="166"/>
      <c r="CY232" s="166"/>
      <c r="CZ232" s="166"/>
      <c r="DA232" s="166"/>
      <c r="DB232" s="166"/>
      <c r="DC232" s="166"/>
      <c r="DD232" s="166"/>
      <c r="DE232" s="166"/>
      <c r="DF232" s="166"/>
      <c r="DG232" s="166"/>
      <c r="DH232" s="166"/>
      <c r="DI232" s="166"/>
      <c r="DJ232" s="166"/>
      <c r="DK232" s="166"/>
      <c r="DL232" s="166"/>
      <c r="DM232" s="166"/>
      <c r="DN232" s="166"/>
      <c r="DO232" s="166"/>
      <c r="DP232" s="166"/>
      <c r="DQ232" s="166"/>
      <c r="DR232" s="166"/>
      <c r="DS232" s="166"/>
      <c r="DT232" s="166"/>
      <c r="DU232" s="166"/>
      <c r="DV232" s="166"/>
      <c r="DW232" s="166"/>
      <c r="DX232" s="166"/>
      <c r="DY232" s="166"/>
      <c r="DZ232" s="166"/>
      <c r="EA232" s="166"/>
      <c r="EB232" s="166"/>
      <c r="EC232" s="166"/>
      <c r="ED232" s="166"/>
      <c r="EE232" s="166"/>
      <c r="EF232" s="166"/>
      <c r="EG232" s="166"/>
      <c r="EH232" s="160">
        <f>IF([Chambre]*1='CHAMBRES FILLES 2e ETAGE'!$A$5,1,0)</f>
        <v>0</v>
      </c>
      <c r="EI232" s="161">
        <f>IF([Occurrence2]=0,0,SUM($EH$2:EH232))</f>
        <v>0</v>
      </c>
      <c r="EJ232" s="160">
        <f>IF([Chambre]*1='CHAMBRES FILLES 2e ETAGE'!$A$11,1,0)</f>
        <v>0</v>
      </c>
      <c r="EK232" s="160">
        <f>IF([Occurrence3]=0,0,SUM($EJ$2:EJ232))</f>
        <v>0</v>
      </c>
      <c r="EL232" s="160">
        <f>IF([Chambre]*1='CHAMBRES FILLES 2e ETAGE'!$A$17,1,0)</f>
        <v>0</v>
      </c>
      <c r="EM232" s="160">
        <f>IF([Occurrence4]=0,0,SUM($EL$2:EL232))</f>
        <v>0</v>
      </c>
      <c r="EN232" s="160">
        <f>IF([Chambre]*1='CHAMBRES FILLES 2e ETAGE'!$A$23,1,0)</f>
        <v>0</v>
      </c>
      <c r="EO232" s="160">
        <f>IF([Occurrence5]=0,0,SUM($EN$2:EN232))</f>
        <v>0</v>
      </c>
      <c r="EP232" s="160">
        <f>IF([Chambre]*1='CHAMBRES FILLES 2e ETAGE'!$A$29,1,0)</f>
        <v>0</v>
      </c>
      <c r="EQ232" s="160">
        <f>IF([Occurrence6]=0,0,SUM($EP$2:EP232))</f>
        <v>0</v>
      </c>
      <c r="ER232" s="160">
        <f>IF([Chambre]*1='CHAMBRES FILLES 2e ETAGE'!$A$35,1,0)</f>
        <v>0</v>
      </c>
      <c r="ES232" s="160">
        <f>IF([Occurrence7]=0,0,SUM($ER$2:ER232))</f>
        <v>0</v>
      </c>
      <c r="ET232" s="160">
        <f>IF([Chambre]*1='CHAMBRES FILLES 2e ETAGE'!$A$41,1,0)</f>
        <v>0</v>
      </c>
      <c r="EU232" s="160">
        <f>IF([Occurrence8]=0,0,SUM($ET$2:ET232))</f>
        <v>0</v>
      </c>
      <c r="EV232" s="160">
        <f>IF([Chambre]*1='CHAMBRES FILLES 2e ETAGE'!$A$47,1,0)</f>
        <v>0</v>
      </c>
      <c r="EW232" s="160">
        <f>IF([Occurrence9]=0,0,SUM($EV$2:EV232))</f>
        <v>0</v>
      </c>
      <c r="EX232" s="160">
        <f>IF([Chambre]*1='CHAMBRES FILLES 2e ETAGE'!$A$53,1,0)</f>
        <v>0</v>
      </c>
      <c r="EY232" s="160">
        <f>IF([Occurrence10]=0,0,SUM($EX$2:EX232))</f>
        <v>0</v>
      </c>
      <c r="EZ232" s="160">
        <f>IF([Chambre]*1='CHAMBRES FILLES 2e ETAGE'!$A$59,1,0)</f>
        <v>0</v>
      </c>
      <c r="FA232" s="160">
        <f>IF([Occurrence11]=0,0,SUM($EZ$2:EZ232))</f>
        <v>0</v>
      </c>
      <c r="FB232" s="160">
        <f>IF([Chambre]*1='CHAMBRES FILLES 2e ETAGE'!$A$65,1,0)</f>
        <v>0</v>
      </c>
      <c r="FC232" s="160">
        <f>IF([Occurrence12]=0,0,SUM($FB$2:FB232))</f>
        <v>0</v>
      </c>
      <c r="FD232" s="160">
        <f>IF([Chambre]*1='CHAMBRES FILLES 2e ETAGE'!$A$71,1,0)</f>
        <v>0</v>
      </c>
      <c r="FE232" s="160">
        <f>IF([Occurrence13]=0,0,SUM($FD$2:FD232))</f>
        <v>0</v>
      </c>
      <c r="FF232" s="160">
        <f>IF([Chambre]*1='CHAMBRES FILLES 2e ETAGE'!$A$77,1,0)</f>
        <v>0</v>
      </c>
      <c r="FG232" s="160">
        <f>IF([Occurrence14]=0,0,SUM($FF$2:FF232))</f>
        <v>0</v>
      </c>
      <c r="FH232" s="160">
        <f>IF([Chambre]*1='CHAMBRES FILLES 2e ETAGE'!$A$83,1,0)</f>
        <v>0</v>
      </c>
      <c r="FI232" s="160">
        <f>IF([Occurrence15]=0,0,SUM($FH$2:FH232))</f>
        <v>0</v>
      </c>
      <c r="FJ232" s="160">
        <f>IF([Chambre]*1='CHAMBRES FILLES 2e ETAGE'!$A$89,1,0)</f>
        <v>0</v>
      </c>
      <c r="FK232" s="160">
        <f>IF([Occurrence16]=0,0,SUM($FJ$2:FJ232))</f>
        <v>0</v>
      </c>
      <c r="FL232" s="160">
        <f>IF([Chambre]*1='CHAMBRES FILLES 2e ETAGE'!$A$95,1,0)</f>
        <v>0</v>
      </c>
      <c r="FM232" s="160">
        <f>IF([Occurrence17]=0,0,SUM($FL$2:FL232))</f>
        <v>0</v>
      </c>
      <c r="FN232" s="160">
        <f>IF([Chambre2]*1='CHAMBRES FILLES 1e ETAGE'!$A$5,1,0)</f>
        <v>0</v>
      </c>
      <c r="FO232" s="160">
        <f>IF([Occurrence18]=0,0,SUM($FN$2:FN232))</f>
        <v>0</v>
      </c>
      <c r="FP232" s="160">
        <f>IF([Chambre2]*1='CHAMBRES FILLES 1e ETAGE'!$A$11,1,0)</f>
        <v>0</v>
      </c>
      <c r="FQ232" s="160">
        <f>IF([Occurrence19]=0,0,SUM($FP$2:FP232))</f>
        <v>0</v>
      </c>
      <c r="FR232" s="160">
        <f>IF([Chambre2]*1='CHAMBRES FILLES 1e ETAGE'!$A$17,1,0)</f>
        <v>0</v>
      </c>
      <c r="FS232" s="160">
        <f>IF([Occurrence20]=0,0,SUM($FR$2:FR232))</f>
        <v>0</v>
      </c>
      <c r="FT232" s="160">
        <f>IF([Chambre2]*1='CHAMBRES FILLES 1e ETAGE'!$A$23,1,0)</f>
        <v>0</v>
      </c>
      <c r="FU232" s="160">
        <f>IF([Occurrence21]=0,0,SUM($FT$2:FT232))</f>
        <v>0</v>
      </c>
      <c r="FV232" s="160">
        <f>IF([Chambre2]*1='CHAMBRES FILLES 1e ETAGE'!$A$29,1,0)</f>
        <v>0</v>
      </c>
      <c r="FW232" s="160">
        <f>IF([Occurrence22]=0,0,SUM($FV$2:FV232))</f>
        <v>0</v>
      </c>
      <c r="FX232" s="160">
        <f>IF([Chambre2]*1='CHAMBRES FILLES 1e ETAGE'!$A$35,1,0)</f>
        <v>0</v>
      </c>
      <c r="FY232" s="160">
        <f>IF([Occurrence23]=0,0,SUM($FX$2:FX232))</f>
        <v>0</v>
      </c>
      <c r="FZ232" s="160">
        <f>IF([Chambre2]*1='CHAMBRES FILLES 1e ETAGE'!$A$41,1,0)</f>
        <v>0</v>
      </c>
      <c r="GA232" s="160">
        <f>IF([Occurrence24]=0,0,SUM($FZ$2:FZ232))</f>
        <v>0</v>
      </c>
      <c r="GB232" s="160">
        <f>IF([Chambre2]*1='CHAMBRES FILLES 1e ETAGE'!$A$47,1,0)</f>
        <v>0</v>
      </c>
      <c r="GC232" s="160">
        <f>IF([Occurrence25]=0,0,SUM($GB$2:GB232))</f>
        <v>0</v>
      </c>
      <c r="GD232" s="160">
        <f>IF([Chambre2]*1='CHAMBRES FILLES 1e ETAGE'!$A$53,1,0)</f>
        <v>0</v>
      </c>
      <c r="GE232" s="160">
        <f>IF([Occurrence26]=0,0,SUM($GD$2:GD232))</f>
        <v>0</v>
      </c>
      <c r="GF232" s="160">
        <f>IF([chambre4]*1='CHAMBRES GARCONS 1e ETAGE'!$A$5,1,0)</f>
        <v>0</v>
      </c>
      <c r="GG232" s="160">
        <f>IF([Occurrence27]=0,0,SUM($GF$2:GF232))</f>
        <v>0</v>
      </c>
      <c r="GH232" s="160">
        <f>IF([chambre4]*1='CHAMBRES GARCONS 1e ETAGE'!$A$11,1,0)</f>
        <v>0</v>
      </c>
      <c r="GI232" s="160">
        <f>IF([Occurrence28]=0,0,SUM($GH$2:GH232))</f>
        <v>0</v>
      </c>
      <c r="GJ232" s="160">
        <f>IF([chambre4]*1='CHAMBRES GARCONS 1e ETAGE'!$A$17,1,0)</f>
        <v>0</v>
      </c>
      <c r="GK232" s="160">
        <f>IF([Occurrence29]=0,0,SUM($GJ$2:GJ232))</f>
        <v>0</v>
      </c>
      <c r="GL232" s="160">
        <f>IF([chambre4]*1='CHAMBRES GARCONS 1e ETAGE'!$A$23,1,0)</f>
        <v>0</v>
      </c>
      <c r="GM232" s="160">
        <f>IF([Occurrence30]=0,0,SUM($GL$2:GL232))</f>
        <v>0</v>
      </c>
      <c r="GN232" s="160">
        <f>IF([chambre4]*1='CHAMBRES GARCONS 1e ETAGE'!$A$29,1,0)</f>
        <v>0</v>
      </c>
      <c r="GO232" s="160">
        <f>IF([Occurrence31]=0,0,SUM($GN$2:GN232))</f>
        <v>0</v>
      </c>
      <c r="GP232" s="160">
        <f>IF([chambre4]*1='CHAMBRES GARCONS 1e ETAGE'!$A$35,1,0)</f>
        <v>0</v>
      </c>
      <c r="GQ232" s="160">
        <f>IF([Occurrence32]=0,0,SUM($GP$2:GP232))</f>
        <v>0</v>
      </c>
      <c r="GR232" s="160">
        <f>IF([chambre3]*1='CHAMBRES GARCONS RDC'!$A$5,1,0)</f>
        <v>0</v>
      </c>
      <c r="GS232" s="160">
        <f>IF([Occurrence33]=0,0,SUM($GR$2:GR232))</f>
        <v>0</v>
      </c>
      <c r="GT232" s="160">
        <f>IF([chambre3]*1='CHAMBRES GARCONS RDC'!$A$11,1,0)</f>
        <v>0</v>
      </c>
      <c r="GU232" s="160">
        <f>IF([Occurrence34]=0,0,SUM($GT$2:GT232))</f>
        <v>0</v>
      </c>
      <c r="GV232" s="160">
        <f>IF([chambre3]*1='CHAMBRES GARCONS RDC'!$A$17,1,0)</f>
        <v>0</v>
      </c>
      <c r="GW232" s="160">
        <f>IF([Occurrence35]=0,0,SUM($GV$2:GV232))</f>
        <v>0</v>
      </c>
      <c r="GX232" s="160">
        <f>IF([chambre3]*1='CHAMBRES GARCONS RDC'!$A$23,1,0)</f>
        <v>0</v>
      </c>
      <c r="GY232" s="160">
        <f>IF([Occurrence36]=0,0,SUM($GX$2:GX232))</f>
        <v>0</v>
      </c>
      <c r="GZ232" s="160">
        <f>IF([chambre3]*1='CHAMBRES GARCONS RDC'!$A$29,1,0)</f>
        <v>0</v>
      </c>
      <c r="HA232" s="160">
        <f>IF([Occurrence37]=0,0,SUM($GZ$2:GZ232))</f>
        <v>0</v>
      </c>
      <c r="HB232" s="160">
        <f>IF([chambre3]*1='CHAMBRES GARCONS RDC'!$A$35,1,0)</f>
        <v>0</v>
      </c>
      <c r="HC232" s="160">
        <f>IF([Occurrence38]=0,0,SUM($HB$2:HB232))</f>
        <v>0</v>
      </c>
      <c r="HD232" s="160">
        <f>IF([chambre3]*1='CHAMBRES GARCONS RDC'!$A$41,1,0)</f>
        <v>0</v>
      </c>
      <c r="HE232" s="160">
        <f>IF([Occurrence39]=0,0,SUM($HD$2:HD232))</f>
        <v>0</v>
      </c>
      <c r="HF232" s="160">
        <f>IF([chambre3]*1='CHAMBRES GARCONS RDC'!$A$47,1,0)</f>
        <v>0</v>
      </c>
      <c r="HG232" s="160">
        <f>IF([Occurrence40]=0,0,SUM($HF$2:HF232))</f>
        <v>0</v>
      </c>
      <c r="HH232" s="160">
        <f>IF([chambre3]*1='CHAMBRES GARCONS RDC'!$A$53,1,0)</f>
        <v>0</v>
      </c>
      <c r="HI232" s="160">
        <f>IF([Occurrence41]=0,0,SUM($HH$2:HH232))</f>
        <v>0</v>
      </c>
      <c r="HJ232" s="160">
        <f>IF([chambre3]*1='CHAMBRES GARCONS RDC'!$A$59,1,0)</f>
        <v>0</v>
      </c>
      <c r="HK232" s="160">
        <f>IF([Occurrence42]=0,0,SUM($HJ$2:HJ232))</f>
        <v>0</v>
      </c>
      <c r="HL232" s="160">
        <f>IF([chambre3]*1='CHAMBRES GARCONS RDC'!$A$65,1,0)</f>
        <v>0</v>
      </c>
      <c r="HM232" s="160">
        <f>IF([Occurrence43]=0,0,SUM($HL$2:HL232))</f>
        <v>0</v>
      </c>
      <c r="HN232" s="160">
        <f>IF([chambre3]*1='CHAMBRES GARCONS RDC'!$A$71,1,0)</f>
        <v>0</v>
      </c>
      <c r="HO232" s="160">
        <f>IF([Occurrence44]=0,0,SUM($HN$2:HN232))</f>
        <v>0</v>
      </c>
      <c r="HP232" s="160">
        <f>IF([chambre3]*1='CHAMBRES GARCONS RDC'!$A$77,1,0)</f>
        <v>0</v>
      </c>
      <c r="HQ232" s="160">
        <f>IF([Occurrence45]=0,0,SUM($HP$2:HP232))</f>
        <v>0</v>
      </c>
      <c r="HR232" s="160">
        <f>IF([chambre3]*1='CHAMBRES GARCONS RDC'!$A$83,1,0)</f>
        <v>0</v>
      </c>
      <c r="HS232" s="160">
        <f>IF([Occurrence46]=0,0,SUM($HR$2:HR232))</f>
        <v>0</v>
      </c>
      <c r="HT232" s="160">
        <f>IF([chambre3]*1='CHAMBRES GARCONS RDC'!$A$89,1,0)</f>
        <v>0</v>
      </c>
      <c r="HU232" s="160">
        <f>IF([Occurrence47]=0,0,SUM($HT$2:HT232))</f>
        <v>0</v>
      </c>
      <c r="HV232" s="160">
        <f>IF([chambre3]*1='CHAMBRES GARCONS RDC'!$A$95,1,0)</f>
        <v>0</v>
      </c>
      <c r="HW232" s="160">
        <f>IF([Occurrence48]=0,0,SUM($HV$2:HV232))</f>
        <v>0</v>
      </c>
      <c r="HX232" s="160"/>
      <c r="HY232" s="160"/>
      <c r="HZ232" s="160">
        <f>IF([Classe]='Liste élève par classes'!$B$5,1,0)</f>
        <v>0</v>
      </c>
      <c r="IA232" s="160">
        <f>IF([Occurrence]=0,0,SUM($HZ$2:HZ232))</f>
        <v>0</v>
      </c>
      <c r="IB23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32" s="208"/>
    </row>
    <row r="233" spans="1:237">
      <c r="A233" t="s">
        <v>625</v>
      </c>
      <c r="B233" t="s">
        <v>537</v>
      </c>
      <c r="C233" s="158">
        <v>37512</v>
      </c>
      <c r="D233" s="62">
        <f t="shared" ca="1" si="3"/>
        <v>15</v>
      </c>
      <c r="E233" t="s">
        <v>7</v>
      </c>
      <c r="F233" s="159" t="s">
        <v>50</v>
      </c>
      <c r="G233" t="s">
        <v>40</v>
      </c>
      <c r="H233" s="160"/>
      <c r="I233" s="62"/>
      <c r="J233" s="62"/>
      <c r="K233" s="62"/>
      <c r="L233" s="61"/>
      <c r="M233">
        <v>22</v>
      </c>
      <c r="N233" s="62"/>
      <c r="O233" s="62"/>
      <c r="P233" s="62"/>
      <c r="Q233" s="62"/>
      <c r="R233" s="62"/>
      <c r="S233" s="191"/>
      <c r="T233" s="62"/>
      <c r="U233" s="61"/>
      <c r="V233" s="62"/>
      <c r="W233" s="62"/>
      <c r="X233" s="62"/>
      <c r="Y233" s="62"/>
      <c r="Z233" s="62"/>
      <c r="AA233" s="62"/>
      <c r="AB233" s="62"/>
      <c r="AC233" s="62"/>
      <c r="AD233" s="62"/>
      <c r="AE233" s="62"/>
      <c r="AF233" s="163"/>
      <c r="AG233" s="163"/>
      <c r="AH233" s="163"/>
      <c r="AI233" s="163"/>
      <c r="AJ233" s="163"/>
      <c r="AK233" s="163"/>
      <c r="AL233" s="163"/>
      <c r="AM233" s="163"/>
      <c r="AN233" s="163"/>
      <c r="AO233" s="163"/>
      <c r="AP233" s="163"/>
      <c r="AQ233" s="163"/>
      <c r="AR233" s="163"/>
      <c r="AS233" s="163"/>
      <c r="AT233" s="163"/>
      <c r="AU233" s="163"/>
      <c r="AV233" s="163"/>
      <c r="AW233" s="163"/>
      <c r="AX233" s="163"/>
      <c r="AY233" s="163"/>
      <c r="AZ233" s="163"/>
      <c r="BA233" s="163"/>
      <c r="BB233" s="163"/>
      <c r="BC233" s="163" t="b">
        <v>0</v>
      </c>
      <c r="BD233" s="163" t="b">
        <v>1</v>
      </c>
      <c r="BE233" s="163" t="b">
        <v>1</v>
      </c>
      <c r="BF233" s="163" t="b">
        <v>0</v>
      </c>
      <c r="BG233" s="164" t="b">
        <v>0</v>
      </c>
      <c r="BH233" s="163" t="b">
        <v>1</v>
      </c>
      <c r="BI233" s="163"/>
      <c r="BJ233" s="163"/>
      <c r="BK233" s="163"/>
      <c r="BL233" s="163"/>
      <c r="BM233" s="163"/>
      <c r="BN233" s="163"/>
      <c r="BO233" s="163"/>
      <c r="BP233" s="163"/>
      <c r="BQ233" s="166" t="b">
        <v>0</v>
      </c>
      <c r="BR233" s="163"/>
      <c r="BS233" s="163"/>
      <c r="BT233" s="163"/>
      <c r="BU233" s="163"/>
      <c r="BV233" s="163"/>
      <c r="BW233" s="163"/>
      <c r="BX233" s="163"/>
      <c r="BY233" s="163"/>
      <c r="BZ233" s="163"/>
      <c r="CA233" s="163"/>
      <c r="CB233" s="163"/>
      <c r="CC233" s="163"/>
      <c r="CD233" s="163"/>
      <c r="CE233" s="163"/>
      <c r="CF233" s="163"/>
      <c r="CG233" s="163"/>
      <c r="CH233" s="163"/>
      <c r="CI233" s="163"/>
      <c r="CJ233" s="163"/>
      <c r="CK233" s="163"/>
      <c r="CL233" s="163"/>
      <c r="CM233" s="163"/>
      <c r="CN233" s="163"/>
      <c r="CO233" s="163"/>
      <c r="CP233" s="163"/>
      <c r="CQ233" s="163"/>
      <c r="CR233" s="163"/>
      <c r="CS233" s="163"/>
      <c r="CT233" s="163"/>
      <c r="CU233" s="163"/>
      <c r="CV233" s="163"/>
      <c r="CW233" s="163"/>
      <c r="CX233" s="163"/>
      <c r="CY233" s="163"/>
      <c r="CZ233" s="163"/>
      <c r="DA233" s="163"/>
      <c r="DB233" s="163"/>
      <c r="DC233" s="163"/>
      <c r="DD233" s="163"/>
      <c r="DE233" s="163"/>
      <c r="DF233" s="163"/>
      <c r="DG233" s="208">
        <v>152</v>
      </c>
      <c r="DH233" s="163"/>
      <c r="DI233" s="163"/>
      <c r="DJ233" s="163"/>
      <c r="DK233" s="163"/>
      <c r="DL233" s="163"/>
      <c r="DM233" s="163"/>
      <c r="DN233" s="163"/>
      <c r="DO233" s="163"/>
      <c r="DP233" s="163"/>
      <c r="DQ233" s="163"/>
      <c r="DR233" s="163"/>
      <c r="DS233" s="163"/>
      <c r="DT233" s="163"/>
      <c r="DU233" s="163"/>
      <c r="DV233" s="163"/>
      <c r="DW233" s="163"/>
      <c r="DX233" s="163"/>
      <c r="DY233" s="163"/>
      <c r="DZ233" s="163"/>
      <c r="EA233" s="163"/>
      <c r="EB233" s="163"/>
      <c r="EC233" s="163"/>
      <c r="ED233" s="163"/>
      <c r="EE233" s="163"/>
      <c r="EF233" s="163"/>
      <c r="EG233" s="163"/>
      <c r="EH233" s="160">
        <f>IF([Chambre]*1='CHAMBRES FILLES 2e ETAGE'!$A$5,1,0)</f>
        <v>0</v>
      </c>
      <c r="EI233" s="161">
        <f>IF([Occurrence2]=0,0,SUM($EH$2:EH233))</f>
        <v>0</v>
      </c>
      <c r="EJ233" s="160">
        <f>IF([Chambre]*1='CHAMBRES FILLES 2e ETAGE'!$A$11,1,0)</f>
        <v>0</v>
      </c>
      <c r="EK233" s="160">
        <f>IF([Occurrence3]=0,0,SUM($EJ$2:EJ233))</f>
        <v>0</v>
      </c>
      <c r="EL233" s="160">
        <f>IF([Chambre]*1='CHAMBRES FILLES 2e ETAGE'!$A$17,1,0)</f>
        <v>0</v>
      </c>
      <c r="EM233" s="160">
        <f>IF([Occurrence4]=0,0,SUM($EL$2:EL233))</f>
        <v>0</v>
      </c>
      <c r="EN233" s="160">
        <f>IF([Chambre]*1='CHAMBRES FILLES 2e ETAGE'!$A$23,1,0)</f>
        <v>0</v>
      </c>
      <c r="EO233" s="160">
        <f>IF([Occurrence5]=0,0,SUM($EN$2:EN233))</f>
        <v>0</v>
      </c>
      <c r="EP233" s="160">
        <f>IF([Chambre]*1='CHAMBRES FILLES 2e ETAGE'!$A$29,1,0)</f>
        <v>0</v>
      </c>
      <c r="EQ233" s="160">
        <f>IF([Occurrence6]=0,0,SUM($EP$2:EP233))</f>
        <v>0</v>
      </c>
      <c r="ER233" s="160">
        <f>IF([Chambre]*1='CHAMBRES FILLES 2e ETAGE'!$A$35,1,0)</f>
        <v>0</v>
      </c>
      <c r="ES233" s="160">
        <f>IF([Occurrence7]=0,0,SUM($ER$2:ER233))</f>
        <v>0</v>
      </c>
      <c r="ET233" s="160">
        <f>IF([Chambre]*1='CHAMBRES FILLES 2e ETAGE'!$A$41,1,0)</f>
        <v>0</v>
      </c>
      <c r="EU233" s="160">
        <f>IF([Occurrence8]=0,0,SUM($ET$2:ET233))</f>
        <v>0</v>
      </c>
      <c r="EV233" s="160">
        <f>IF([Chambre]*1='CHAMBRES FILLES 2e ETAGE'!$A$47,1,0)</f>
        <v>0</v>
      </c>
      <c r="EW233" s="160">
        <f>IF([Occurrence9]=0,0,SUM($EV$2:EV233))</f>
        <v>0</v>
      </c>
      <c r="EX233" s="160">
        <f>IF([Chambre]*1='CHAMBRES FILLES 2e ETAGE'!$A$53,1,0)</f>
        <v>0</v>
      </c>
      <c r="EY233" s="160">
        <f>IF([Occurrence10]=0,0,SUM($EX$2:EX233))</f>
        <v>0</v>
      </c>
      <c r="EZ233" s="160">
        <f>IF([Chambre]*1='CHAMBRES FILLES 2e ETAGE'!$A$59,1,0)</f>
        <v>0</v>
      </c>
      <c r="FA233" s="160">
        <f>IF([Occurrence11]=0,0,SUM($EZ$2:EZ233))</f>
        <v>0</v>
      </c>
      <c r="FB233" s="160">
        <f>IF([Chambre]*1='CHAMBRES FILLES 2e ETAGE'!$A$65,1,0)</f>
        <v>0</v>
      </c>
      <c r="FC233" s="160">
        <f>IF([Occurrence12]=0,0,SUM($FB$2:FB233))</f>
        <v>0</v>
      </c>
      <c r="FD233" s="160">
        <f>IF([Chambre]*1='CHAMBRES FILLES 2e ETAGE'!$A$71,1,0)</f>
        <v>0</v>
      </c>
      <c r="FE233" s="160">
        <f>IF([Occurrence13]=0,0,SUM($FD$2:FD233))</f>
        <v>0</v>
      </c>
      <c r="FF233" s="160">
        <f>IF([Chambre]*1='CHAMBRES FILLES 2e ETAGE'!$A$77,1,0)</f>
        <v>0</v>
      </c>
      <c r="FG233" s="160">
        <f>IF([Occurrence14]=0,0,SUM($FF$2:FF233))</f>
        <v>0</v>
      </c>
      <c r="FH233" s="160">
        <f>IF([Chambre]*1='CHAMBRES FILLES 2e ETAGE'!$A$83,1,0)</f>
        <v>0</v>
      </c>
      <c r="FI233" s="160">
        <f>IF([Occurrence15]=0,0,SUM($FH$2:FH233))</f>
        <v>0</v>
      </c>
      <c r="FJ233" s="160">
        <f>IF([Chambre]*1='CHAMBRES FILLES 2e ETAGE'!$A$89,1,0)</f>
        <v>0</v>
      </c>
      <c r="FK233" s="160">
        <f>IF([Occurrence16]=0,0,SUM($FJ$2:FJ233))</f>
        <v>0</v>
      </c>
      <c r="FL233" s="160">
        <f>IF([Chambre]*1='CHAMBRES FILLES 2e ETAGE'!$A$95,1,0)</f>
        <v>0</v>
      </c>
      <c r="FM233" s="160">
        <f>IF([Occurrence17]=0,0,SUM($FL$2:FL233))</f>
        <v>0</v>
      </c>
      <c r="FN233" s="160">
        <f>IF([Chambre2]*1='CHAMBRES FILLES 1e ETAGE'!$A$5,1,0)</f>
        <v>0</v>
      </c>
      <c r="FO233" s="160">
        <f>IF([Occurrence18]=0,0,SUM($FN$2:FN233))</f>
        <v>0</v>
      </c>
      <c r="FP233" s="160">
        <f>IF([Chambre2]*1='CHAMBRES FILLES 1e ETAGE'!$A$11,1,0)</f>
        <v>0</v>
      </c>
      <c r="FQ233" s="160">
        <f>IF([Occurrence19]=0,0,SUM($FP$2:FP233))</f>
        <v>0</v>
      </c>
      <c r="FR233" s="160">
        <f>IF([Chambre2]*1='CHAMBRES FILLES 1e ETAGE'!$A$17,1,0)</f>
        <v>0</v>
      </c>
      <c r="FS233" s="160">
        <f>IF([Occurrence20]=0,0,SUM($FR$2:FR233))</f>
        <v>0</v>
      </c>
      <c r="FT233" s="160">
        <f>IF([Chambre2]*1='CHAMBRES FILLES 1e ETAGE'!$A$23,1,0)</f>
        <v>0</v>
      </c>
      <c r="FU233" s="160">
        <f>IF([Occurrence21]=0,0,SUM($FT$2:FT233))</f>
        <v>0</v>
      </c>
      <c r="FV233" s="160">
        <f>IF([Chambre2]*1='CHAMBRES FILLES 1e ETAGE'!$A$29,1,0)</f>
        <v>0</v>
      </c>
      <c r="FW233" s="160">
        <f>IF([Occurrence22]=0,0,SUM($FV$2:FV233))</f>
        <v>0</v>
      </c>
      <c r="FX233" s="160">
        <f>IF([Chambre2]*1='CHAMBRES FILLES 1e ETAGE'!$A$35,1,0)</f>
        <v>0</v>
      </c>
      <c r="FY233" s="160">
        <f>IF([Occurrence23]=0,0,SUM($FX$2:FX233))</f>
        <v>0</v>
      </c>
      <c r="FZ233" s="160">
        <f>IF([Chambre2]*1='CHAMBRES FILLES 1e ETAGE'!$A$41,1,0)</f>
        <v>0</v>
      </c>
      <c r="GA233" s="160">
        <f>IF([Occurrence24]=0,0,SUM($FZ$2:FZ233))</f>
        <v>0</v>
      </c>
      <c r="GB233" s="160">
        <f>IF([Chambre2]*1='CHAMBRES FILLES 1e ETAGE'!$A$47,1,0)</f>
        <v>0</v>
      </c>
      <c r="GC233" s="160">
        <f>IF([Occurrence25]=0,0,SUM($GB$2:GB233))</f>
        <v>0</v>
      </c>
      <c r="GD233" s="160">
        <f>IF([Chambre2]*1='CHAMBRES FILLES 1e ETAGE'!$A$53,1,0)</f>
        <v>0</v>
      </c>
      <c r="GE233" s="160">
        <f>IF([Occurrence26]=0,0,SUM($GD$2:GD233))</f>
        <v>0</v>
      </c>
      <c r="GF233" s="160">
        <f>IF([chambre4]*1='CHAMBRES GARCONS 1e ETAGE'!$A$5,1,0)</f>
        <v>0</v>
      </c>
      <c r="GG233" s="160">
        <f>IF([Occurrence27]=0,0,SUM($GF$2:GF233))</f>
        <v>0</v>
      </c>
      <c r="GH233" s="160">
        <f>IF([chambre4]*1='CHAMBRES GARCONS 1e ETAGE'!$A$11,1,0)</f>
        <v>0</v>
      </c>
      <c r="GI233" s="160">
        <f>IF([Occurrence28]=0,0,SUM($GH$2:GH233))</f>
        <v>0</v>
      </c>
      <c r="GJ233" s="160">
        <f>IF([chambre4]*1='CHAMBRES GARCONS 1e ETAGE'!$A$17,1,0)</f>
        <v>0</v>
      </c>
      <c r="GK233" s="160">
        <f>IF([Occurrence29]=0,0,SUM($GJ$2:GJ233))</f>
        <v>0</v>
      </c>
      <c r="GL233" s="160">
        <f>IF([chambre4]*1='CHAMBRES GARCONS 1e ETAGE'!$A$23,1,0)</f>
        <v>0</v>
      </c>
      <c r="GM233" s="160">
        <f>IF([Occurrence30]=0,0,SUM($GL$2:GL233))</f>
        <v>0</v>
      </c>
      <c r="GN233" s="160">
        <f>IF([chambre4]*1='CHAMBRES GARCONS 1e ETAGE'!$A$29,1,0)</f>
        <v>1</v>
      </c>
      <c r="GO233" s="160">
        <f>IF([Occurrence31]=0,0,SUM($GN$2:GN233))</f>
        <v>3</v>
      </c>
      <c r="GP233" s="160">
        <f>IF([chambre4]*1='CHAMBRES GARCONS 1e ETAGE'!$A$35,1,0)</f>
        <v>0</v>
      </c>
      <c r="GQ233" s="160">
        <f>IF([Occurrence32]=0,0,SUM($GP$2:GP233))</f>
        <v>0</v>
      </c>
      <c r="GR233" s="160">
        <f>IF([chambre3]*1='CHAMBRES GARCONS RDC'!$A$5,1,0)</f>
        <v>0</v>
      </c>
      <c r="GS233" s="160">
        <f>IF([Occurrence33]=0,0,SUM($GR$2:GR233))</f>
        <v>0</v>
      </c>
      <c r="GT233" s="160">
        <f>IF([chambre3]*1='CHAMBRES GARCONS RDC'!$A$11,1,0)</f>
        <v>0</v>
      </c>
      <c r="GU233" s="160">
        <f>IF([Occurrence34]=0,0,SUM($GT$2:GT233))</f>
        <v>0</v>
      </c>
      <c r="GV233" s="160">
        <f>IF([chambre3]*1='CHAMBRES GARCONS RDC'!$A$17,1,0)</f>
        <v>0</v>
      </c>
      <c r="GW233" s="160">
        <f>IF([Occurrence35]=0,0,SUM($GV$2:GV233))</f>
        <v>0</v>
      </c>
      <c r="GX233" s="160">
        <f>IF([chambre3]*1='CHAMBRES GARCONS RDC'!$A$23,1,0)</f>
        <v>0</v>
      </c>
      <c r="GY233" s="160">
        <f>IF([Occurrence36]=0,0,SUM($GX$2:GX233))</f>
        <v>0</v>
      </c>
      <c r="GZ233" s="160">
        <f>IF([chambre3]*1='CHAMBRES GARCONS RDC'!$A$29,1,0)</f>
        <v>0</v>
      </c>
      <c r="HA233" s="160">
        <f>IF([Occurrence37]=0,0,SUM($GZ$2:GZ233))</f>
        <v>0</v>
      </c>
      <c r="HB233" s="160">
        <f>IF([chambre3]*1='CHAMBRES GARCONS RDC'!$A$35,1,0)</f>
        <v>0</v>
      </c>
      <c r="HC233" s="160">
        <f>IF([Occurrence38]=0,0,SUM($HB$2:HB233))</f>
        <v>0</v>
      </c>
      <c r="HD233" s="160">
        <f>IF([chambre3]*1='CHAMBRES GARCONS RDC'!$A$41,1,0)</f>
        <v>0</v>
      </c>
      <c r="HE233" s="160">
        <f>IF([Occurrence39]=0,0,SUM($HD$2:HD233))</f>
        <v>0</v>
      </c>
      <c r="HF233" s="160">
        <f>IF([chambre3]*1='CHAMBRES GARCONS RDC'!$A$47,1,0)</f>
        <v>0</v>
      </c>
      <c r="HG233" s="160">
        <f>IF([Occurrence40]=0,0,SUM($HF$2:HF233))</f>
        <v>0</v>
      </c>
      <c r="HH233" s="160">
        <f>IF([chambre3]*1='CHAMBRES GARCONS RDC'!$A$53,1,0)</f>
        <v>0</v>
      </c>
      <c r="HI233" s="160">
        <f>IF([Occurrence41]=0,0,SUM($HH$2:HH233))</f>
        <v>0</v>
      </c>
      <c r="HJ233" s="160">
        <f>IF([chambre3]*1='CHAMBRES GARCONS RDC'!$A$59,1,0)</f>
        <v>0</v>
      </c>
      <c r="HK233" s="160">
        <f>IF([Occurrence42]=0,0,SUM($HJ$2:HJ233))</f>
        <v>0</v>
      </c>
      <c r="HL233" s="160">
        <f>IF([chambre3]*1='CHAMBRES GARCONS RDC'!$A$65,1,0)</f>
        <v>0</v>
      </c>
      <c r="HM233" s="160">
        <f>IF([Occurrence43]=0,0,SUM($HL$2:HL233))</f>
        <v>0</v>
      </c>
      <c r="HN233" s="160">
        <f>IF([chambre3]*1='CHAMBRES GARCONS RDC'!$A$71,1,0)</f>
        <v>0</v>
      </c>
      <c r="HO233" s="160">
        <f>IF([Occurrence44]=0,0,SUM($HN$2:HN233))</f>
        <v>0</v>
      </c>
      <c r="HP233" s="160">
        <f>IF([chambre3]*1='CHAMBRES GARCONS RDC'!$A$77,1,0)</f>
        <v>0</v>
      </c>
      <c r="HQ233" s="160">
        <f>IF([Occurrence45]=0,0,SUM($HP$2:HP233))</f>
        <v>0</v>
      </c>
      <c r="HR233" s="160">
        <f>IF([chambre3]*1='CHAMBRES GARCONS RDC'!$A$83,1,0)</f>
        <v>0</v>
      </c>
      <c r="HS233" s="160">
        <f>IF([Occurrence46]=0,0,SUM($HR$2:HR233))</f>
        <v>0</v>
      </c>
      <c r="HT233" s="160">
        <f>IF([chambre3]*1='CHAMBRES GARCONS RDC'!$A$89,1,0)</f>
        <v>0</v>
      </c>
      <c r="HU233" s="160">
        <f>IF([Occurrence47]=0,0,SUM($HT$2:HT233))</f>
        <v>0</v>
      </c>
      <c r="HV233" s="160">
        <f>IF([chambre3]*1='CHAMBRES GARCONS RDC'!$A$95,1,0)</f>
        <v>0</v>
      </c>
      <c r="HW233" s="160">
        <f>IF([Occurrence48]=0,0,SUM($HV$2:HV233))</f>
        <v>0</v>
      </c>
      <c r="HX233" s="160"/>
      <c r="HY233" s="160"/>
      <c r="HZ233" s="160">
        <f>IF([Classe]='Liste élève par classes'!$B$5,1,0)</f>
        <v>0</v>
      </c>
      <c r="IA233" s="160">
        <f>IF([Occurrence]=0,0,SUM($HZ$2:HZ233))</f>
        <v>0</v>
      </c>
      <c r="IB23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152</v>
      </c>
      <c r="IC233" s="208"/>
    </row>
    <row r="234" spans="1:237">
      <c r="A234" t="s">
        <v>626</v>
      </c>
      <c r="B234" t="s">
        <v>627</v>
      </c>
      <c r="C234" s="158">
        <v>37081</v>
      </c>
      <c r="D234" s="62">
        <f t="shared" ca="1" si="3"/>
        <v>16</v>
      </c>
      <c r="E234" t="s">
        <v>6</v>
      </c>
      <c r="F234" s="159" t="s">
        <v>50</v>
      </c>
      <c r="G234" t="s">
        <v>45</v>
      </c>
      <c r="H234" s="160"/>
      <c r="I234" s="62"/>
      <c r="J234" s="62"/>
      <c r="K234" s="62"/>
      <c r="L234" s="61"/>
      <c r="M234">
        <v>71</v>
      </c>
      <c r="N234" s="62"/>
      <c r="O234" s="62"/>
      <c r="P234" s="62"/>
      <c r="Q234" s="62"/>
      <c r="R234" s="62"/>
      <c r="S234" s="191"/>
      <c r="T234" s="62"/>
      <c r="U234" s="61">
        <v>142</v>
      </c>
      <c r="V234" s="62"/>
      <c r="W234" s="62"/>
      <c r="X234" s="62"/>
      <c r="Y234" s="62"/>
      <c r="Z234" s="62"/>
      <c r="AA234" s="62"/>
      <c r="AB234" s="62"/>
      <c r="AC234" s="62"/>
      <c r="AD234" s="62"/>
      <c r="AE234" s="62"/>
      <c r="AF234" s="163"/>
      <c r="AG234" s="163"/>
      <c r="AH234" s="163"/>
      <c r="AI234" s="163"/>
      <c r="AJ234" s="163"/>
      <c r="AK234" s="163"/>
      <c r="AL234" s="163"/>
      <c r="AM234" s="163"/>
      <c r="AN234" s="163"/>
      <c r="AO234" s="163"/>
      <c r="AP234" s="163"/>
      <c r="AQ234" s="163"/>
      <c r="AR234" s="163"/>
      <c r="AS234" s="163"/>
      <c r="AT234" s="163"/>
      <c r="AU234" s="163"/>
      <c r="AV234" s="163"/>
      <c r="AW234" s="163"/>
      <c r="AX234" s="163"/>
      <c r="AY234" s="163"/>
      <c r="AZ234" s="163"/>
      <c r="BA234" s="163"/>
      <c r="BB234" s="163"/>
      <c r="BC234" s="163" t="b">
        <v>0</v>
      </c>
      <c r="BD234" s="163" t="b">
        <v>1</v>
      </c>
      <c r="BE234" s="163" t="b">
        <v>1</v>
      </c>
      <c r="BF234" s="163" t="b">
        <v>0</v>
      </c>
      <c r="BG234" s="164" t="b">
        <v>0</v>
      </c>
      <c r="BH234" s="163" t="b">
        <v>1</v>
      </c>
      <c r="BI234" s="163"/>
      <c r="BJ234" s="163"/>
      <c r="BK234" s="163"/>
      <c r="BL234" s="163"/>
      <c r="BM234" s="163"/>
      <c r="BN234" s="163"/>
      <c r="BO234" s="163"/>
      <c r="BP234" s="163"/>
      <c r="BQ234" s="166" t="b">
        <v>0</v>
      </c>
      <c r="BR234" s="163"/>
      <c r="BS234" s="163"/>
      <c r="BT234" s="163"/>
      <c r="BU234" s="163"/>
      <c r="BV234" s="163"/>
      <c r="BW234" s="163"/>
      <c r="BX234" s="163"/>
      <c r="BY234" s="163"/>
      <c r="BZ234" s="163"/>
      <c r="CA234" s="163"/>
      <c r="CB234" s="163"/>
      <c r="CC234" s="163"/>
      <c r="CD234" s="163"/>
      <c r="CE234" s="163"/>
      <c r="CF234" s="163"/>
      <c r="CG234" s="163"/>
      <c r="CH234" s="163"/>
      <c r="CI234" s="163"/>
      <c r="CJ234" s="163"/>
      <c r="CK234" s="163"/>
      <c r="CL234" s="163"/>
      <c r="CM234" s="163"/>
      <c r="CN234" s="163"/>
      <c r="CO234" s="163"/>
      <c r="CP234" s="163"/>
      <c r="CQ234" s="163"/>
      <c r="CR234" s="163"/>
      <c r="CS234" s="163"/>
      <c r="CT234" s="163"/>
      <c r="CU234" s="163"/>
      <c r="CV234" s="163"/>
      <c r="CW234" s="163"/>
      <c r="CX234" s="163"/>
      <c r="CY234" s="163"/>
      <c r="CZ234" s="163"/>
      <c r="DA234" s="163"/>
      <c r="DB234" s="163"/>
      <c r="DC234" s="163"/>
      <c r="DD234" s="163"/>
      <c r="DE234" s="163"/>
      <c r="DF234" s="163"/>
      <c r="DG234" s="208"/>
      <c r="DH234" s="163"/>
      <c r="DI234" s="163"/>
      <c r="DJ234" s="163"/>
      <c r="DK234" s="163"/>
      <c r="DL234" s="163"/>
      <c r="DM234" s="163"/>
      <c r="DN234" s="163"/>
      <c r="DO234" s="163"/>
      <c r="DP234" s="163"/>
      <c r="DQ234" s="163"/>
      <c r="DR234" s="163"/>
      <c r="DS234" s="163"/>
      <c r="DT234" s="163"/>
      <c r="DU234" s="163"/>
      <c r="DV234" s="163"/>
      <c r="DW234" s="163"/>
      <c r="DX234" s="163"/>
      <c r="DY234" s="163"/>
      <c r="DZ234" s="163"/>
      <c r="EA234" s="163"/>
      <c r="EB234" s="163"/>
      <c r="EC234" s="163"/>
      <c r="ED234" s="163"/>
      <c r="EE234" s="163"/>
      <c r="EF234" s="163"/>
      <c r="EG234" s="163"/>
      <c r="EH234" s="160">
        <f>IF([Chambre]*1='CHAMBRES FILLES 2e ETAGE'!$A$5,1,0)</f>
        <v>0</v>
      </c>
      <c r="EI234" s="161">
        <f>IF([Occurrence2]=0,0,SUM($EH$2:EH234))</f>
        <v>0</v>
      </c>
      <c r="EJ234" s="160">
        <f>IF([Chambre]*1='CHAMBRES FILLES 2e ETAGE'!$A$11,1,0)</f>
        <v>0</v>
      </c>
      <c r="EK234" s="160">
        <f>IF([Occurrence3]=0,0,SUM($EJ$2:EJ234))</f>
        <v>0</v>
      </c>
      <c r="EL234" s="160">
        <f>IF([Chambre]*1='CHAMBRES FILLES 2e ETAGE'!$A$17,1,0)</f>
        <v>0</v>
      </c>
      <c r="EM234" s="160">
        <f>IF([Occurrence4]=0,0,SUM($EL$2:EL234))</f>
        <v>0</v>
      </c>
      <c r="EN234" s="160">
        <f>IF([Chambre]*1='CHAMBRES FILLES 2e ETAGE'!$A$23,1,0)</f>
        <v>0</v>
      </c>
      <c r="EO234" s="160">
        <f>IF([Occurrence5]=0,0,SUM($EN$2:EN234))</f>
        <v>0</v>
      </c>
      <c r="EP234" s="160">
        <f>IF([Chambre]*1='CHAMBRES FILLES 2e ETAGE'!$A$29,1,0)</f>
        <v>0</v>
      </c>
      <c r="EQ234" s="160">
        <f>IF([Occurrence6]=0,0,SUM($EP$2:EP234))</f>
        <v>0</v>
      </c>
      <c r="ER234" s="160">
        <f>IF([Chambre]*1='CHAMBRES FILLES 2e ETAGE'!$A$35,1,0)</f>
        <v>0</v>
      </c>
      <c r="ES234" s="160">
        <f>IF([Occurrence7]=0,0,SUM($ER$2:ER234))</f>
        <v>0</v>
      </c>
      <c r="ET234" s="160">
        <f>IF([Chambre]*1='CHAMBRES FILLES 2e ETAGE'!$A$41,1,0)</f>
        <v>0</v>
      </c>
      <c r="EU234" s="160">
        <f>IF([Occurrence8]=0,0,SUM($ET$2:ET234))</f>
        <v>0</v>
      </c>
      <c r="EV234" s="160">
        <f>IF([Chambre]*1='CHAMBRES FILLES 2e ETAGE'!$A$47,1,0)</f>
        <v>0</v>
      </c>
      <c r="EW234" s="160">
        <f>IF([Occurrence9]=0,0,SUM($EV$2:EV234))</f>
        <v>0</v>
      </c>
      <c r="EX234" s="160">
        <f>IF([Chambre]*1='CHAMBRES FILLES 2e ETAGE'!$A$53,1,0)</f>
        <v>0</v>
      </c>
      <c r="EY234" s="160">
        <f>IF([Occurrence10]=0,0,SUM($EX$2:EX234))</f>
        <v>0</v>
      </c>
      <c r="EZ234" s="160">
        <f>IF([Chambre]*1='CHAMBRES FILLES 2e ETAGE'!$A$59,1,0)</f>
        <v>0</v>
      </c>
      <c r="FA234" s="160">
        <f>IF([Occurrence11]=0,0,SUM($EZ$2:EZ234))</f>
        <v>0</v>
      </c>
      <c r="FB234" s="160">
        <f>IF([Chambre]*1='CHAMBRES FILLES 2e ETAGE'!$A$65,1,0)</f>
        <v>0</v>
      </c>
      <c r="FC234" s="160">
        <f>IF([Occurrence12]=0,0,SUM($FB$2:FB234))</f>
        <v>0</v>
      </c>
      <c r="FD234" s="160">
        <f>IF([Chambre]*1='CHAMBRES FILLES 2e ETAGE'!$A$71,1,0)</f>
        <v>0</v>
      </c>
      <c r="FE234" s="160">
        <f>IF([Occurrence13]=0,0,SUM($FD$2:FD234))</f>
        <v>0</v>
      </c>
      <c r="FF234" s="160">
        <f>IF([Chambre]*1='CHAMBRES FILLES 2e ETAGE'!$A$77,1,0)</f>
        <v>0</v>
      </c>
      <c r="FG234" s="160">
        <f>IF([Occurrence14]=0,0,SUM($FF$2:FF234))</f>
        <v>0</v>
      </c>
      <c r="FH234" s="160">
        <f>IF([Chambre]*1='CHAMBRES FILLES 2e ETAGE'!$A$83,1,0)</f>
        <v>0</v>
      </c>
      <c r="FI234" s="160">
        <f>IF([Occurrence15]=0,0,SUM($FH$2:FH234))</f>
        <v>0</v>
      </c>
      <c r="FJ234" s="160">
        <f>IF([Chambre]*1='CHAMBRES FILLES 2e ETAGE'!$A$89,1,0)</f>
        <v>0</v>
      </c>
      <c r="FK234" s="160">
        <f>IF([Occurrence16]=0,0,SUM($FJ$2:FJ234))</f>
        <v>0</v>
      </c>
      <c r="FL234" s="160">
        <f>IF([Chambre]*1='CHAMBRES FILLES 2e ETAGE'!$A$95,1,0)</f>
        <v>0</v>
      </c>
      <c r="FM234" s="160">
        <f>IF([Occurrence17]=0,0,SUM($FL$2:FL234))</f>
        <v>0</v>
      </c>
      <c r="FN234" s="160">
        <f>IF([Chambre2]*1='CHAMBRES FILLES 1e ETAGE'!$A$5,1,0)</f>
        <v>0</v>
      </c>
      <c r="FO234" s="160">
        <f>IF([Occurrence18]=0,0,SUM($FN$2:FN234))</f>
        <v>0</v>
      </c>
      <c r="FP234" s="160">
        <f>IF([Chambre2]*1='CHAMBRES FILLES 1e ETAGE'!$A$11,1,0)</f>
        <v>0</v>
      </c>
      <c r="FQ234" s="160">
        <f>IF([Occurrence19]=0,0,SUM($FP$2:FP234))</f>
        <v>0</v>
      </c>
      <c r="FR234" s="160">
        <f>IF([Chambre2]*1='CHAMBRES FILLES 1e ETAGE'!$A$17,1,0)</f>
        <v>0</v>
      </c>
      <c r="FS234" s="160">
        <f>IF([Occurrence20]=0,0,SUM($FR$2:FR234))</f>
        <v>0</v>
      </c>
      <c r="FT234" s="160">
        <f>IF([Chambre2]*1='CHAMBRES FILLES 1e ETAGE'!$A$23,1,0)</f>
        <v>0</v>
      </c>
      <c r="FU234" s="160">
        <f>IF([Occurrence21]=0,0,SUM($FT$2:FT234))</f>
        <v>0</v>
      </c>
      <c r="FV234" s="160">
        <f>IF([Chambre2]*1='CHAMBRES FILLES 1e ETAGE'!$A$29,1,0)</f>
        <v>0</v>
      </c>
      <c r="FW234" s="160">
        <f>IF([Occurrence22]=0,0,SUM($FV$2:FV234))</f>
        <v>0</v>
      </c>
      <c r="FX234" s="160">
        <f>IF([Chambre2]*1='CHAMBRES FILLES 1e ETAGE'!$A$35,1,0)</f>
        <v>1</v>
      </c>
      <c r="FY234" s="160">
        <f>IF([Occurrence23]=0,0,SUM($FX$2:FX234))</f>
        <v>4</v>
      </c>
      <c r="FZ234" s="160">
        <f>IF([Chambre2]*1='CHAMBRES FILLES 1e ETAGE'!$A$41,1,0)</f>
        <v>0</v>
      </c>
      <c r="GA234" s="160">
        <f>IF([Occurrence24]=0,0,SUM($FZ$2:FZ234))</f>
        <v>0</v>
      </c>
      <c r="GB234" s="160">
        <f>IF([Chambre2]*1='CHAMBRES FILLES 1e ETAGE'!$A$47,1,0)</f>
        <v>0</v>
      </c>
      <c r="GC234" s="160">
        <f>IF([Occurrence25]=0,0,SUM($GB$2:GB234))</f>
        <v>0</v>
      </c>
      <c r="GD234" s="160">
        <f>IF([Chambre2]*1='CHAMBRES FILLES 1e ETAGE'!$A$53,1,0)</f>
        <v>0</v>
      </c>
      <c r="GE234" s="160">
        <f>IF([Occurrence26]=0,0,SUM($GD$2:GD234))</f>
        <v>0</v>
      </c>
      <c r="GF234" s="160">
        <f>IF([chambre4]*1='CHAMBRES GARCONS 1e ETAGE'!$A$5,1,0)</f>
        <v>0</v>
      </c>
      <c r="GG234" s="160">
        <f>IF([Occurrence27]=0,0,SUM($GF$2:GF234))</f>
        <v>0</v>
      </c>
      <c r="GH234" s="160">
        <f>IF([chambre4]*1='CHAMBRES GARCONS 1e ETAGE'!$A$11,1,0)</f>
        <v>0</v>
      </c>
      <c r="GI234" s="160">
        <f>IF([Occurrence28]=0,0,SUM($GH$2:GH234))</f>
        <v>0</v>
      </c>
      <c r="GJ234" s="160">
        <f>IF([chambre4]*1='CHAMBRES GARCONS 1e ETAGE'!$A$17,1,0)</f>
        <v>0</v>
      </c>
      <c r="GK234" s="160">
        <f>IF([Occurrence29]=0,0,SUM($GJ$2:GJ234))</f>
        <v>0</v>
      </c>
      <c r="GL234" s="160">
        <f>IF([chambre4]*1='CHAMBRES GARCONS 1e ETAGE'!$A$23,1,0)</f>
        <v>0</v>
      </c>
      <c r="GM234" s="160">
        <f>IF([Occurrence30]=0,0,SUM($GL$2:GL234))</f>
        <v>0</v>
      </c>
      <c r="GN234" s="160">
        <f>IF([chambre4]*1='CHAMBRES GARCONS 1e ETAGE'!$A$29,1,0)</f>
        <v>0</v>
      </c>
      <c r="GO234" s="160">
        <f>IF([Occurrence31]=0,0,SUM($GN$2:GN234))</f>
        <v>0</v>
      </c>
      <c r="GP234" s="160">
        <f>IF([chambre4]*1='CHAMBRES GARCONS 1e ETAGE'!$A$35,1,0)</f>
        <v>0</v>
      </c>
      <c r="GQ234" s="160">
        <f>IF([Occurrence32]=0,0,SUM($GP$2:GP234))</f>
        <v>0</v>
      </c>
      <c r="GR234" s="160">
        <f>IF([chambre3]*1='CHAMBRES GARCONS RDC'!$A$5,1,0)</f>
        <v>0</v>
      </c>
      <c r="GS234" s="160">
        <f>IF([Occurrence33]=0,0,SUM($GR$2:GR234))</f>
        <v>0</v>
      </c>
      <c r="GT234" s="160">
        <f>IF([chambre3]*1='CHAMBRES GARCONS RDC'!$A$11,1,0)</f>
        <v>0</v>
      </c>
      <c r="GU234" s="160">
        <f>IF([Occurrence34]=0,0,SUM($GT$2:GT234))</f>
        <v>0</v>
      </c>
      <c r="GV234" s="160">
        <f>IF([chambre3]*1='CHAMBRES GARCONS RDC'!$A$17,1,0)</f>
        <v>0</v>
      </c>
      <c r="GW234" s="160">
        <f>IF([Occurrence35]=0,0,SUM($GV$2:GV234))</f>
        <v>0</v>
      </c>
      <c r="GX234" s="160">
        <f>IF([chambre3]*1='CHAMBRES GARCONS RDC'!$A$23,1,0)</f>
        <v>0</v>
      </c>
      <c r="GY234" s="160">
        <f>IF([Occurrence36]=0,0,SUM($GX$2:GX234))</f>
        <v>0</v>
      </c>
      <c r="GZ234" s="160">
        <f>IF([chambre3]*1='CHAMBRES GARCONS RDC'!$A$29,1,0)</f>
        <v>0</v>
      </c>
      <c r="HA234" s="160">
        <f>IF([Occurrence37]=0,0,SUM($GZ$2:GZ234))</f>
        <v>0</v>
      </c>
      <c r="HB234" s="160">
        <f>IF([chambre3]*1='CHAMBRES GARCONS RDC'!$A$35,1,0)</f>
        <v>0</v>
      </c>
      <c r="HC234" s="160">
        <f>IF([Occurrence38]=0,0,SUM($HB$2:HB234))</f>
        <v>0</v>
      </c>
      <c r="HD234" s="160">
        <f>IF([chambre3]*1='CHAMBRES GARCONS RDC'!$A$41,1,0)</f>
        <v>0</v>
      </c>
      <c r="HE234" s="160">
        <f>IF([Occurrence39]=0,0,SUM($HD$2:HD234))</f>
        <v>0</v>
      </c>
      <c r="HF234" s="160">
        <f>IF([chambre3]*1='CHAMBRES GARCONS RDC'!$A$47,1,0)</f>
        <v>0</v>
      </c>
      <c r="HG234" s="160">
        <f>IF([Occurrence40]=0,0,SUM($HF$2:HF234))</f>
        <v>0</v>
      </c>
      <c r="HH234" s="160">
        <f>IF([chambre3]*1='CHAMBRES GARCONS RDC'!$A$53,1,0)</f>
        <v>0</v>
      </c>
      <c r="HI234" s="160">
        <f>IF([Occurrence41]=0,0,SUM($HH$2:HH234))</f>
        <v>0</v>
      </c>
      <c r="HJ234" s="160">
        <f>IF([chambre3]*1='CHAMBRES GARCONS RDC'!$A$59,1,0)</f>
        <v>0</v>
      </c>
      <c r="HK234" s="160">
        <f>IF([Occurrence42]=0,0,SUM($HJ$2:HJ234))</f>
        <v>0</v>
      </c>
      <c r="HL234" s="160">
        <f>IF([chambre3]*1='CHAMBRES GARCONS RDC'!$A$65,1,0)</f>
        <v>0</v>
      </c>
      <c r="HM234" s="160">
        <f>IF([Occurrence43]=0,0,SUM($HL$2:HL234))</f>
        <v>0</v>
      </c>
      <c r="HN234" s="160">
        <f>IF([chambre3]*1='CHAMBRES GARCONS RDC'!$A$71,1,0)</f>
        <v>0</v>
      </c>
      <c r="HO234" s="160">
        <f>IF([Occurrence44]=0,0,SUM($HN$2:HN234))</f>
        <v>0</v>
      </c>
      <c r="HP234" s="160">
        <f>IF([chambre3]*1='CHAMBRES GARCONS RDC'!$A$77,1,0)</f>
        <v>0</v>
      </c>
      <c r="HQ234" s="160">
        <f>IF([Occurrence45]=0,0,SUM($HP$2:HP234))</f>
        <v>0</v>
      </c>
      <c r="HR234" s="160">
        <f>IF([chambre3]*1='CHAMBRES GARCONS RDC'!$A$83,1,0)</f>
        <v>0</v>
      </c>
      <c r="HS234" s="160">
        <f>IF([Occurrence46]=0,0,SUM($HR$2:HR234))</f>
        <v>0</v>
      </c>
      <c r="HT234" s="160">
        <f>IF([chambre3]*1='CHAMBRES GARCONS RDC'!$A$89,1,0)</f>
        <v>0</v>
      </c>
      <c r="HU234" s="160">
        <f>IF([Occurrence47]=0,0,SUM($HT$2:HT234))</f>
        <v>0</v>
      </c>
      <c r="HV234" s="160">
        <f>IF([chambre3]*1='CHAMBRES GARCONS RDC'!$A$95,1,0)</f>
        <v>0</v>
      </c>
      <c r="HW234" s="160">
        <f>IF([Occurrence48]=0,0,SUM($HV$2:HV234))</f>
        <v>0</v>
      </c>
      <c r="HX234" s="160"/>
      <c r="HY234" s="160"/>
      <c r="HZ234" s="160">
        <f>IF([Classe]='Liste élève par classes'!$B$5,1,0)</f>
        <v>0</v>
      </c>
      <c r="IA234" s="160">
        <f>IF([Occurrence]=0,0,SUM($HZ$2:HZ234))</f>
        <v>0</v>
      </c>
      <c r="IB23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142</v>
      </c>
      <c r="IC234" s="208"/>
    </row>
    <row r="235" spans="1:237">
      <c r="A235" t="s">
        <v>628</v>
      </c>
      <c r="B235" t="s">
        <v>629</v>
      </c>
      <c r="C235" s="158">
        <v>36783</v>
      </c>
      <c r="D235" s="62">
        <f t="shared" ca="1" si="3"/>
        <v>17</v>
      </c>
      <c r="E235" t="s">
        <v>6</v>
      </c>
      <c r="F235" s="159" t="s">
        <v>50</v>
      </c>
      <c r="G235" t="s">
        <v>45</v>
      </c>
      <c r="H235" s="160"/>
      <c r="I235" s="62"/>
      <c r="J235" s="62"/>
      <c r="K235" s="62"/>
      <c r="L235" s="61">
        <v>172</v>
      </c>
      <c r="M235">
        <v>72</v>
      </c>
      <c r="N235" s="62"/>
      <c r="O235" s="62"/>
      <c r="P235" s="62"/>
      <c r="Q235" s="62"/>
      <c r="R235" s="62"/>
      <c r="S235" s="191"/>
      <c r="T235" s="62"/>
      <c r="U235" s="61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163"/>
      <c r="AG235" s="163"/>
      <c r="AH235" s="163"/>
      <c r="AI235" s="163"/>
      <c r="AJ235" s="163"/>
      <c r="AK235" s="163"/>
      <c r="AL235" s="163"/>
      <c r="AM235" s="163"/>
      <c r="AN235" s="163"/>
      <c r="AO235" s="163"/>
      <c r="AP235" s="163"/>
      <c r="AQ235" s="163"/>
      <c r="AR235" s="163"/>
      <c r="AS235" s="163"/>
      <c r="AT235" s="163"/>
      <c r="AU235" s="163"/>
      <c r="AV235" s="163"/>
      <c r="AW235" s="163"/>
      <c r="AX235" s="163"/>
      <c r="AY235" s="163"/>
      <c r="AZ235" s="163"/>
      <c r="BA235" s="163"/>
      <c r="BB235" s="163"/>
      <c r="BC235" s="163" t="b">
        <v>0</v>
      </c>
      <c r="BD235" s="163" t="b">
        <v>1</v>
      </c>
      <c r="BE235" s="163" t="b">
        <v>1</v>
      </c>
      <c r="BF235" s="163" t="b">
        <v>0</v>
      </c>
      <c r="BG235" s="164" t="b">
        <v>0</v>
      </c>
      <c r="BH235" s="163" t="b">
        <v>1</v>
      </c>
      <c r="BI235" s="163"/>
      <c r="BJ235" s="163"/>
      <c r="BK235" s="163"/>
      <c r="BL235" s="163"/>
      <c r="BM235" s="163"/>
      <c r="BN235" s="163"/>
      <c r="BO235" s="163"/>
      <c r="BP235" s="163"/>
      <c r="BQ235" s="166" t="b">
        <v>0</v>
      </c>
      <c r="BR235" s="163"/>
      <c r="BS235" s="163"/>
      <c r="BT235" s="163"/>
      <c r="BU235" s="163"/>
      <c r="BV235" s="163"/>
      <c r="BW235" s="163"/>
      <c r="BX235" s="163"/>
      <c r="BY235" s="163"/>
      <c r="BZ235" s="163"/>
      <c r="CA235" s="163"/>
      <c r="CB235" s="163"/>
      <c r="CC235" s="163"/>
      <c r="CD235" s="163"/>
      <c r="CE235" s="163"/>
      <c r="CF235" s="163"/>
      <c r="CG235" s="163"/>
      <c r="CH235" s="163"/>
      <c r="CI235" s="163"/>
      <c r="CJ235" s="163"/>
      <c r="CK235" s="163"/>
      <c r="CL235" s="163"/>
      <c r="CM235" s="163"/>
      <c r="CN235" s="163"/>
      <c r="CO235" s="163"/>
      <c r="CP235" s="163"/>
      <c r="CQ235" s="163"/>
      <c r="CR235" s="163"/>
      <c r="CS235" s="163"/>
      <c r="CT235" s="163"/>
      <c r="CU235" s="163"/>
      <c r="CV235" s="163"/>
      <c r="CW235" s="163"/>
      <c r="CX235" s="163"/>
      <c r="CY235" s="163"/>
      <c r="CZ235" s="163"/>
      <c r="DA235" s="163"/>
      <c r="DB235" s="163"/>
      <c r="DC235" s="163"/>
      <c r="DD235" s="163"/>
      <c r="DE235" s="163"/>
      <c r="DF235" s="163"/>
      <c r="DG235" s="208"/>
      <c r="DH235" s="163"/>
      <c r="DI235" s="163"/>
      <c r="DJ235" s="163"/>
      <c r="DK235" s="163"/>
      <c r="DL235" s="163"/>
      <c r="DM235" s="163"/>
      <c r="DN235" s="163"/>
      <c r="DO235" s="163"/>
      <c r="DP235" s="163"/>
      <c r="DQ235" s="163"/>
      <c r="DR235" s="163"/>
      <c r="DS235" s="163"/>
      <c r="DT235" s="163"/>
      <c r="DU235" s="163"/>
      <c r="DV235" s="163"/>
      <c r="DW235" s="163"/>
      <c r="DX235" s="163"/>
      <c r="DY235" s="163"/>
      <c r="DZ235" s="163"/>
      <c r="EA235" s="163"/>
      <c r="EB235" s="163"/>
      <c r="EC235" s="163"/>
      <c r="ED235" s="163"/>
      <c r="EE235" s="163"/>
      <c r="EF235" s="163"/>
      <c r="EG235" s="163"/>
      <c r="EH235" s="160">
        <f>IF([Chambre]*1='CHAMBRES FILLES 2e ETAGE'!$A$5,1,0)</f>
        <v>0</v>
      </c>
      <c r="EI235" s="161">
        <f>IF([Occurrence2]=0,0,SUM($EH$2:EH235))</f>
        <v>0</v>
      </c>
      <c r="EJ235" s="160">
        <f>IF([Chambre]*1='CHAMBRES FILLES 2e ETAGE'!$A$11,1,0)</f>
        <v>0</v>
      </c>
      <c r="EK235" s="160">
        <f>IF([Occurrence3]=0,0,SUM($EJ$2:EJ235))</f>
        <v>0</v>
      </c>
      <c r="EL235" s="160">
        <f>IF([Chambre]*1='CHAMBRES FILLES 2e ETAGE'!$A$17,1,0)</f>
        <v>0</v>
      </c>
      <c r="EM235" s="160">
        <f>IF([Occurrence4]=0,0,SUM($EL$2:EL235))</f>
        <v>0</v>
      </c>
      <c r="EN235" s="160">
        <f>IF([Chambre]*1='CHAMBRES FILLES 2e ETAGE'!$A$23,1,0)</f>
        <v>0</v>
      </c>
      <c r="EO235" s="160">
        <f>IF([Occurrence5]=0,0,SUM($EN$2:EN235))</f>
        <v>0</v>
      </c>
      <c r="EP235" s="160">
        <f>IF([Chambre]*1='CHAMBRES FILLES 2e ETAGE'!$A$29,1,0)</f>
        <v>0</v>
      </c>
      <c r="EQ235" s="160">
        <f>IF([Occurrence6]=0,0,SUM($EP$2:EP235))</f>
        <v>0</v>
      </c>
      <c r="ER235" s="160">
        <f>IF([Chambre]*1='CHAMBRES FILLES 2e ETAGE'!$A$35,1,0)</f>
        <v>0</v>
      </c>
      <c r="ES235" s="160">
        <f>IF([Occurrence7]=0,0,SUM($ER$2:ER235))</f>
        <v>0</v>
      </c>
      <c r="ET235" s="160">
        <f>IF([Chambre]*1='CHAMBRES FILLES 2e ETAGE'!$A$41,1,0)</f>
        <v>0</v>
      </c>
      <c r="EU235" s="160">
        <f>IF([Occurrence8]=0,0,SUM($ET$2:ET235))</f>
        <v>0</v>
      </c>
      <c r="EV235" s="160">
        <f>IF([Chambre]*1='CHAMBRES FILLES 2e ETAGE'!$A$47,1,0)</f>
        <v>0</v>
      </c>
      <c r="EW235" s="160">
        <f>IF([Occurrence9]=0,0,SUM($EV$2:EV235))</f>
        <v>0</v>
      </c>
      <c r="EX235" s="160">
        <f>IF([Chambre]*1='CHAMBRES FILLES 2e ETAGE'!$A$53,1,0)</f>
        <v>0</v>
      </c>
      <c r="EY235" s="160">
        <f>IF([Occurrence10]=0,0,SUM($EX$2:EX235))</f>
        <v>0</v>
      </c>
      <c r="EZ235" s="160">
        <f>IF([Chambre]*1='CHAMBRES FILLES 2e ETAGE'!$A$59,1,0)</f>
        <v>0</v>
      </c>
      <c r="FA235" s="160">
        <f>IF([Occurrence11]=0,0,SUM($EZ$2:EZ235))</f>
        <v>0</v>
      </c>
      <c r="FB235" s="160">
        <f>IF([Chambre]*1='CHAMBRES FILLES 2e ETAGE'!$A$65,1,0)</f>
        <v>1</v>
      </c>
      <c r="FC235" s="160">
        <f>IF([Occurrence12]=0,0,SUM($FB$2:FB235))</f>
        <v>4</v>
      </c>
      <c r="FD235" s="160">
        <f>IF([Chambre]*1='CHAMBRES FILLES 2e ETAGE'!$A$71,1,0)</f>
        <v>0</v>
      </c>
      <c r="FE235" s="160">
        <f>IF([Occurrence13]=0,0,SUM($FD$2:FD235))</f>
        <v>0</v>
      </c>
      <c r="FF235" s="160">
        <f>IF([Chambre]*1='CHAMBRES FILLES 2e ETAGE'!$A$77,1,0)</f>
        <v>0</v>
      </c>
      <c r="FG235" s="160">
        <f>IF([Occurrence14]=0,0,SUM($FF$2:FF235))</f>
        <v>0</v>
      </c>
      <c r="FH235" s="160">
        <f>IF([Chambre]*1='CHAMBRES FILLES 2e ETAGE'!$A$83,1,0)</f>
        <v>0</v>
      </c>
      <c r="FI235" s="160">
        <f>IF([Occurrence15]=0,0,SUM($FH$2:FH235))</f>
        <v>0</v>
      </c>
      <c r="FJ235" s="160">
        <f>IF([Chambre]*1='CHAMBRES FILLES 2e ETAGE'!$A$89,1,0)</f>
        <v>0</v>
      </c>
      <c r="FK235" s="160">
        <f>IF([Occurrence16]=0,0,SUM($FJ$2:FJ235))</f>
        <v>0</v>
      </c>
      <c r="FL235" s="160">
        <f>IF([Chambre]*1='CHAMBRES FILLES 2e ETAGE'!$A$95,1,0)</f>
        <v>0</v>
      </c>
      <c r="FM235" s="160">
        <f>IF([Occurrence17]=0,0,SUM($FL$2:FL235))</f>
        <v>0</v>
      </c>
      <c r="FN235" s="160">
        <f>IF([Chambre2]*1='CHAMBRES FILLES 1e ETAGE'!$A$5,1,0)</f>
        <v>0</v>
      </c>
      <c r="FO235" s="160">
        <f>IF([Occurrence18]=0,0,SUM($FN$2:FN235))</f>
        <v>0</v>
      </c>
      <c r="FP235" s="160">
        <f>IF([Chambre2]*1='CHAMBRES FILLES 1e ETAGE'!$A$11,1,0)</f>
        <v>0</v>
      </c>
      <c r="FQ235" s="160">
        <f>IF([Occurrence19]=0,0,SUM($FP$2:FP235))</f>
        <v>0</v>
      </c>
      <c r="FR235" s="160">
        <f>IF([Chambre2]*1='CHAMBRES FILLES 1e ETAGE'!$A$17,1,0)</f>
        <v>0</v>
      </c>
      <c r="FS235" s="160">
        <f>IF([Occurrence20]=0,0,SUM($FR$2:FR235))</f>
        <v>0</v>
      </c>
      <c r="FT235" s="160">
        <f>IF([Chambre2]*1='CHAMBRES FILLES 1e ETAGE'!$A$23,1,0)</f>
        <v>0</v>
      </c>
      <c r="FU235" s="160">
        <f>IF([Occurrence21]=0,0,SUM($FT$2:FT235))</f>
        <v>0</v>
      </c>
      <c r="FV235" s="160">
        <f>IF([Chambre2]*1='CHAMBRES FILLES 1e ETAGE'!$A$29,1,0)</f>
        <v>0</v>
      </c>
      <c r="FW235" s="160">
        <f>IF([Occurrence22]=0,0,SUM($FV$2:FV235))</f>
        <v>0</v>
      </c>
      <c r="FX235" s="160">
        <f>IF([Chambre2]*1='CHAMBRES FILLES 1e ETAGE'!$A$35,1,0)</f>
        <v>0</v>
      </c>
      <c r="FY235" s="160">
        <f>IF([Occurrence23]=0,0,SUM($FX$2:FX235))</f>
        <v>0</v>
      </c>
      <c r="FZ235" s="160">
        <f>IF([Chambre2]*1='CHAMBRES FILLES 1e ETAGE'!$A$41,1,0)</f>
        <v>0</v>
      </c>
      <c r="GA235" s="160">
        <f>IF([Occurrence24]=0,0,SUM($FZ$2:FZ235))</f>
        <v>0</v>
      </c>
      <c r="GB235" s="160">
        <f>IF([Chambre2]*1='CHAMBRES FILLES 1e ETAGE'!$A$47,1,0)</f>
        <v>0</v>
      </c>
      <c r="GC235" s="160">
        <f>IF([Occurrence25]=0,0,SUM($GB$2:GB235))</f>
        <v>0</v>
      </c>
      <c r="GD235" s="160">
        <f>IF([Chambre2]*1='CHAMBRES FILLES 1e ETAGE'!$A$53,1,0)</f>
        <v>0</v>
      </c>
      <c r="GE235" s="160">
        <f>IF([Occurrence26]=0,0,SUM($GD$2:GD235))</f>
        <v>0</v>
      </c>
      <c r="GF235" s="160">
        <f>IF([chambre4]*1='CHAMBRES GARCONS 1e ETAGE'!$A$5,1,0)</f>
        <v>0</v>
      </c>
      <c r="GG235" s="160">
        <f>IF([Occurrence27]=0,0,SUM($GF$2:GF235))</f>
        <v>0</v>
      </c>
      <c r="GH235" s="160">
        <f>IF([chambre4]*1='CHAMBRES GARCONS 1e ETAGE'!$A$11,1,0)</f>
        <v>0</v>
      </c>
      <c r="GI235" s="160">
        <f>IF([Occurrence28]=0,0,SUM($GH$2:GH235))</f>
        <v>0</v>
      </c>
      <c r="GJ235" s="160">
        <f>IF([chambre4]*1='CHAMBRES GARCONS 1e ETAGE'!$A$17,1,0)</f>
        <v>0</v>
      </c>
      <c r="GK235" s="160">
        <f>IF([Occurrence29]=0,0,SUM($GJ$2:GJ235))</f>
        <v>0</v>
      </c>
      <c r="GL235" s="160">
        <f>IF([chambre4]*1='CHAMBRES GARCONS 1e ETAGE'!$A$23,1,0)</f>
        <v>0</v>
      </c>
      <c r="GM235" s="160">
        <f>IF([Occurrence30]=0,0,SUM($GL$2:GL235))</f>
        <v>0</v>
      </c>
      <c r="GN235" s="160">
        <f>IF([chambre4]*1='CHAMBRES GARCONS 1e ETAGE'!$A$29,1,0)</f>
        <v>0</v>
      </c>
      <c r="GO235" s="160">
        <f>IF([Occurrence31]=0,0,SUM($GN$2:GN235))</f>
        <v>0</v>
      </c>
      <c r="GP235" s="160">
        <f>IF([chambre4]*1='CHAMBRES GARCONS 1e ETAGE'!$A$35,1,0)</f>
        <v>0</v>
      </c>
      <c r="GQ235" s="160">
        <f>IF([Occurrence32]=0,0,SUM($GP$2:GP235))</f>
        <v>0</v>
      </c>
      <c r="GR235" s="160">
        <f>IF([chambre3]*1='CHAMBRES GARCONS RDC'!$A$5,1,0)</f>
        <v>0</v>
      </c>
      <c r="GS235" s="160">
        <f>IF([Occurrence33]=0,0,SUM($GR$2:GR235))</f>
        <v>0</v>
      </c>
      <c r="GT235" s="160">
        <f>IF([chambre3]*1='CHAMBRES GARCONS RDC'!$A$11,1,0)</f>
        <v>0</v>
      </c>
      <c r="GU235" s="160">
        <f>IF([Occurrence34]=0,0,SUM($GT$2:GT235))</f>
        <v>0</v>
      </c>
      <c r="GV235" s="160">
        <f>IF([chambre3]*1='CHAMBRES GARCONS RDC'!$A$17,1,0)</f>
        <v>0</v>
      </c>
      <c r="GW235" s="160">
        <f>IF([Occurrence35]=0,0,SUM($GV$2:GV235))</f>
        <v>0</v>
      </c>
      <c r="GX235" s="160">
        <f>IF([chambre3]*1='CHAMBRES GARCONS RDC'!$A$23,1,0)</f>
        <v>0</v>
      </c>
      <c r="GY235" s="160">
        <f>IF([Occurrence36]=0,0,SUM($GX$2:GX235))</f>
        <v>0</v>
      </c>
      <c r="GZ235" s="160">
        <f>IF([chambre3]*1='CHAMBRES GARCONS RDC'!$A$29,1,0)</f>
        <v>0</v>
      </c>
      <c r="HA235" s="160">
        <f>IF([Occurrence37]=0,0,SUM($GZ$2:GZ235))</f>
        <v>0</v>
      </c>
      <c r="HB235" s="160">
        <f>IF([chambre3]*1='CHAMBRES GARCONS RDC'!$A$35,1,0)</f>
        <v>0</v>
      </c>
      <c r="HC235" s="160">
        <f>IF([Occurrence38]=0,0,SUM($HB$2:HB235))</f>
        <v>0</v>
      </c>
      <c r="HD235" s="160">
        <f>IF([chambre3]*1='CHAMBRES GARCONS RDC'!$A$41,1,0)</f>
        <v>0</v>
      </c>
      <c r="HE235" s="160">
        <f>IF([Occurrence39]=0,0,SUM($HD$2:HD235))</f>
        <v>0</v>
      </c>
      <c r="HF235" s="160">
        <f>IF([chambre3]*1='CHAMBRES GARCONS RDC'!$A$47,1,0)</f>
        <v>0</v>
      </c>
      <c r="HG235" s="160">
        <f>IF([Occurrence40]=0,0,SUM($HF$2:HF235))</f>
        <v>0</v>
      </c>
      <c r="HH235" s="160">
        <f>IF([chambre3]*1='CHAMBRES GARCONS RDC'!$A$53,1,0)</f>
        <v>0</v>
      </c>
      <c r="HI235" s="160">
        <f>IF([Occurrence41]=0,0,SUM($HH$2:HH235))</f>
        <v>0</v>
      </c>
      <c r="HJ235" s="160">
        <f>IF([chambre3]*1='CHAMBRES GARCONS RDC'!$A$59,1,0)</f>
        <v>0</v>
      </c>
      <c r="HK235" s="160">
        <f>IF([Occurrence42]=0,0,SUM($HJ$2:HJ235))</f>
        <v>0</v>
      </c>
      <c r="HL235" s="160">
        <f>IF([chambre3]*1='CHAMBRES GARCONS RDC'!$A$65,1,0)</f>
        <v>0</v>
      </c>
      <c r="HM235" s="160">
        <f>IF([Occurrence43]=0,0,SUM($HL$2:HL235))</f>
        <v>0</v>
      </c>
      <c r="HN235" s="160">
        <f>IF([chambre3]*1='CHAMBRES GARCONS RDC'!$A$71,1,0)</f>
        <v>0</v>
      </c>
      <c r="HO235" s="160">
        <f>IF([Occurrence44]=0,0,SUM($HN$2:HN235))</f>
        <v>0</v>
      </c>
      <c r="HP235" s="160">
        <f>IF([chambre3]*1='CHAMBRES GARCONS RDC'!$A$77,1,0)</f>
        <v>0</v>
      </c>
      <c r="HQ235" s="160">
        <f>IF([Occurrence45]=0,0,SUM($HP$2:HP235))</f>
        <v>0</v>
      </c>
      <c r="HR235" s="160">
        <f>IF([chambre3]*1='CHAMBRES GARCONS RDC'!$A$83,1,0)</f>
        <v>0</v>
      </c>
      <c r="HS235" s="160">
        <f>IF([Occurrence46]=0,0,SUM($HR$2:HR235))</f>
        <v>0</v>
      </c>
      <c r="HT235" s="160">
        <f>IF([chambre3]*1='CHAMBRES GARCONS RDC'!$A$89,1,0)</f>
        <v>0</v>
      </c>
      <c r="HU235" s="160">
        <f>IF([Occurrence47]=0,0,SUM($HT$2:HT235))</f>
        <v>0</v>
      </c>
      <c r="HV235" s="160">
        <f>IF([chambre3]*1='CHAMBRES GARCONS RDC'!$A$95,1,0)</f>
        <v>0</v>
      </c>
      <c r="HW235" s="160">
        <f>IF([Occurrence48]=0,0,SUM($HV$2:HV235))</f>
        <v>0</v>
      </c>
      <c r="HX235" s="160"/>
      <c r="HY235" s="160"/>
      <c r="HZ235" s="160">
        <f>IF([Classe]='Liste élève par classes'!$B$5,1,0)</f>
        <v>0</v>
      </c>
      <c r="IA235" s="160">
        <f>IF([Occurrence]=0,0,SUM($HZ$2:HZ235))</f>
        <v>0</v>
      </c>
      <c r="IB23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172</v>
      </c>
      <c r="IC235" s="208"/>
    </row>
    <row r="236" spans="1:237">
      <c r="A236" t="s">
        <v>630</v>
      </c>
      <c r="B236" t="s">
        <v>537</v>
      </c>
      <c r="C236" s="158">
        <v>36662</v>
      </c>
      <c r="D236" s="62">
        <f t="shared" ca="1" si="3"/>
        <v>17</v>
      </c>
      <c r="E236" t="s">
        <v>9</v>
      </c>
      <c r="F236" s="159" t="s">
        <v>50</v>
      </c>
      <c r="G236" t="s">
        <v>40</v>
      </c>
      <c r="H236" s="160"/>
      <c r="I236" s="161"/>
      <c r="J236" s="161"/>
      <c r="K236" s="161"/>
      <c r="L236" s="160"/>
      <c r="M236">
        <v>40</v>
      </c>
      <c r="N236" s="161"/>
      <c r="O236" s="161"/>
      <c r="P236" s="161"/>
      <c r="Q236" s="161"/>
      <c r="R236" s="161"/>
      <c r="S236" s="190"/>
      <c r="T236" s="161"/>
      <c r="U236" s="160"/>
      <c r="V236" s="161"/>
      <c r="W236" s="161"/>
      <c r="X236" s="161"/>
      <c r="Y236" s="161"/>
      <c r="Z236" s="161"/>
      <c r="AA236" s="161"/>
      <c r="AB236" s="161"/>
      <c r="AC236" s="161"/>
      <c r="AD236" s="161"/>
      <c r="AE236" s="161"/>
      <c r="AF236" s="163"/>
      <c r="AG236" s="163"/>
      <c r="AH236" s="163"/>
      <c r="AI236" s="163"/>
      <c r="AJ236" s="163"/>
      <c r="AK236" s="163"/>
      <c r="AL236" s="163"/>
      <c r="AM236" s="163"/>
      <c r="AN236" s="163"/>
      <c r="AO236" s="163"/>
      <c r="AP236" s="163"/>
      <c r="AQ236" s="163"/>
      <c r="AR236" s="163"/>
      <c r="AS236" s="163"/>
      <c r="AT236" s="163"/>
      <c r="AU236" s="163"/>
      <c r="AV236" s="163"/>
      <c r="AW236" s="163"/>
      <c r="AX236" s="163"/>
      <c r="AY236" s="163"/>
      <c r="AZ236" s="163"/>
      <c r="BA236" s="163"/>
      <c r="BB236" s="163"/>
      <c r="BC236" s="163" t="b">
        <v>0</v>
      </c>
      <c r="BD236" s="163" t="b">
        <v>1</v>
      </c>
      <c r="BE236" s="163" t="b">
        <v>1</v>
      </c>
      <c r="BF236" s="163" t="b">
        <v>0</v>
      </c>
      <c r="BG236" s="163" t="b">
        <v>1</v>
      </c>
      <c r="BH236" s="163" t="b">
        <v>0</v>
      </c>
      <c r="BI236" s="163"/>
      <c r="BJ236" s="163"/>
      <c r="BK236" s="163"/>
      <c r="BL236" s="163"/>
      <c r="BM236" s="163"/>
      <c r="BN236" s="163"/>
      <c r="BO236" s="163"/>
      <c r="BP236" s="163"/>
      <c r="BQ236" s="166" t="b">
        <v>0</v>
      </c>
      <c r="BR236" s="163"/>
      <c r="BS236" s="163"/>
      <c r="BT236" s="163"/>
      <c r="BU236" s="163"/>
      <c r="BV236" s="163"/>
      <c r="BW236" s="163"/>
      <c r="BX236" s="163"/>
      <c r="BY236" s="163"/>
      <c r="BZ236" s="163"/>
      <c r="CA236" s="163"/>
      <c r="CB236" s="163"/>
      <c r="CC236" s="163"/>
      <c r="CD236" s="163"/>
      <c r="CE236" s="163"/>
      <c r="CF236" s="163"/>
      <c r="CG236" s="163"/>
      <c r="CH236" s="163"/>
      <c r="CI236" s="163"/>
      <c r="CJ236" s="163"/>
      <c r="CK236" s="163"/>
      <c r="CL236" s="163"/>
      <c r="CM236" s="163"/>
      <c r="CN236" s="163"/>
      <c r="CO236" s="163"/>
      <c r="CP236" s="163"/>
      <c r="CQ236" s="163"/>
      <c r="CR236" s="163"/>
      <c r="CS236" s="163"/>
      <c r="CT236" s="163"/>
      <c r="CU236" s="163"/>
      <c r="CV236" s="163"/>
      <c r="CW236" s="163"/>
      <c r="CX236" s="163"/>
      <c r="CY236" s="163"/>
      <c r="CZ236" s="163"/>
      <c r="DA236" s="163"/>
      <c r="DB236" s="163"/>
      <c r="DC236" s="163"/>
      <c r="DD236" s="163"/>
      <c r="DE236" s="163"/>
      <c r="DF236" s="163"/>
      <c r="DG236" s="208">
        <v>154</v>
      </c>
      <c r="DH236" s="163"/>
      <c r="DI236" s="163"/>
      <c r="DJ236" s="163"/>
      <c r="DK236" s="163"/>
      <c r="DL236" s="163"/>
      <c r="DM236" s="163"/>
      <c r="DN236" s="163"/>
      <c r="DO236" s="163"/>
      <c r="DP236" s="163"/>
      <c r="DQ236" s="163"/>
      <c r="DR236" s="163"/>
      <c r="DS236" s="163"/>
      <c r="DT236" s="163"/>
      <c r="DU236" s="163"/>
      <c r="DV236" s="163"/>
      <c r="DW236" s="163"/>
      <c r="DX236" s="163"/>
      <c r="DY236" s="163"/>
      <c r="DZ236" s="163"/>
      <c r="EA236" s="163"/>
      <c r="EB236" s="163"/>
      <c r="EC236" s="163"/>
      <c r="ED236" s="163"/>
      <c r="EE236" s="163"/>
      <c r="EF236" s="163"/>
      <c r="EG236" s="163"/>
      <c r="EH236" s="160">
        <f>IF([Chambre]*1='CHAMBRES FILLES 2e ETAGE'!$A$5,1,0)</f>
        <v>0</v>
      </c>
      <c r="EI236" s="161">
        <f>IF([Occurrence2]=0,0,SUM($EH$2:EH236))</f>
        <v>0</v>
      </c>
      <c r="EJ236" s="160">
        <f>IF([Chambre]*1='CHAMBRES FILLES 2e ETAGE'!$A$11,1,0)</f>
        <v>0</v>
      </c>
      <c r="EK236" s="160">
        <f>IF([Occurrence3]=0,0,SUM($EJ$2:EJ236))</f>
        <v>0</v>
      </c>
      <c r="EL236" s="160">
        <f>IF([Chambre]*1='CHAMBRES FILLES 2e ETAGE'!$A$17,1,0)</f>
        <v>0</v>
      </c>
      <c r="EM236" s="160">
        <f>IF([Occurrence4]=0,0,SUM($EL$2:EL236))</f>
        <v>0</v>
      </c>
      <c r="EN236" s="160">
        <f>IF([Chambre]*1='CHAMBRES FILLES 2e ETAGE'!$A$23,1,0)</f>
        <v>0</v>
      </c>
      <c r="EO236" s="160">
        <f>IF([Occurrence5]=0,0,SUM($EN$2:EN236))</f>
        <v>0</v>
      </c>
      <c r="EP236" s="160">
        <f>IF([Chambre]*1='CHAMBRES FILLES 2e ETAGE'!$A$29,1,0)</f>
        <v>0</v>
      </c>
      <c r="EQ236" s="160">
        <f>IF([Occurrence6]=0,0,SUM($EP$2:EP236))</f>
        <v>0</v>
      </c>
      <c r="ER236" s="160">
        <f>IF([Chambre]*1='CHAMBRES FILLES 2e ETAGE'!$A$35,1,0)</f>
        <v>0</v>
      </c>
      <c r="ES236" s="160">
        <f>IF([Occurrence7]=0,0,SUM($ER$2:ER236))</f>
        <v>0</v>
      </c>
      <c r="ET236" s="160">
        <f>IF([Chambre]*1='CHAMBRES FILLES 2e ETAGE'!$A$41,1,0)</f>
        <v>0</v>
      </c>
      <c r="EU236" s="160">
        <f>IF([Occurrence8]=0,0,SUM($ET$2:ET236))</f>
        <v>0</v>
      </c>
      <c r="EV236" s="160">
        <f>IF([Chambre]*1='CHAMBRES FILLES 2e ETAGE'!$A$47,1,0)</f>
        <v>0</v>
      </c>
      <c r="EW236" s="160">
        <f>IF([Occurrence9]=0,0,SUM($EV$2:EV236))</f>
        <v>0</v>
      </c>
      <c r="EX236" s="160">
        <f>IF([Chambre]*1='CHAMBRES FILLES 2e ETAGE'!$A$53,1,0)</f>
        <v>0</v>
      </c>
      <c r="EY236" s="160">
        <f>IF([Occurrence10]=0,0,SUM($EX$2:EX236))</f>
        <v>0</v>
      </c>
      <c r="EZ236" s="160">
        <f>IF([Chambre]*1='CHAMBRES FILLES 2e ETAGE'!$A$59,1,0)</f>
        <v>0</v>
      </c>
      <c r="FA236" s="160">
        <f>IF([Occurrence11]=0,0,SUM($EZ$2:EZ236))</f>
        <v>0</v>
      </c>
      <c r="FB236" s="160">
        <f>IF([Chambre]*1='CHAMBRES FILLES 2e ETAGE'!$A$65,1,0)</f>
        <v>0</v>
      </c>
      <c r="FC236" s="160">
        <f>IF([Occurrence12]=0,0,SUM($FB$2:FB236))</f>
        <v>0</v>
      </c>
      <c r="FD236" s="160">
        <f>IF([Chambre]*1='CHAMBRES FILLES 2e ETAGE'!$A$71,1,0)</f>
        <v>0</v>
      </c>
      <c r="FE236" s="160">
        <f>IF([Occurrence13]=0,0,SUM($FD$2:FD236))</f>
        <v>0</v>
      </c>
      <c r="FF236" s="160">
        <f>IF([Chambre]*1='CHAMBRES FILLES 2e ETAGE'!$A$77,1,0)</f>
        <v>0</v>
      </c>
      <c r="FG236" s="160">
        <f>IF([Occurrence14]=0,0,SUM($FF$2:FF236))</f>
        <v>0</v>
      </c>
      <c r="FH236" s="160">
        <f>IF([Chambre]*1='CHAMBRES FILLES 2e ETAGE'!$A$83,1,0)</f>
        <v>0</v>
      </c>
      <c r="FI236" s="160">
        <f>IF([Occurrence15]=0,0,SUM($FH$2:FH236))</f>
        <v>0</v>
      </c>
      <c r="FJ236" s="160">
        <f>IF([Chambre]*1='CHAMBRES FILLES 2e ETAGE'!$A$89,1,0)</f>
        <v>0</v>
      </c>
      <c r="FK236" s="160">
        <f>IF([Occurrence16]=0,0,SUM($FJ$2:FJ236))</f>
        <v>0</v>
      </c>
      <c r="FL236" s="160">
        <f>IF([Chambre]*1='CHAMBRES FILLES 2e ETAGE'!$A$95,1,0)</f>
        <v>0</v>
      </c>
      <c r="FM236" s="160">
        <f>IF([Occurrence17]=0,0,SUM($FL$2:FL236))</f>
        <v>0</v>
      </c>
      <c r="FN236" s="160">
        <f>IF([Chambre2]*1='CHAMBRES FILLES 1e ETAGE'!$A$5,1,0)</f>
        <v>0</v>
      </c>
      <c r="FO236" s="160">
        <f>IF([Occurrence18]=0,0,SUM($FN$2:FN236))</f>
        <v>0</v>
      </c>
      <c r="FP236" s="160">
        <f>IF([Chambre2]*1='CHAMBRES FILLES 1e ETAGE'!$A$11,1,0)</f>
        <v>0</v>
      </c>
      <c r="FQ236" s="160">
        <f>IF([Occurrence19]=0,0,SUM($FP$2:FP236))</f>
        <v>0</v>
      </c>
      <c r="FR236" s="160">
        <f>IF([Chambre2]*1='CHAMBRES FILLES 1e ETAGE'!$A$17,1,0)</f>
        <v>0</v>
      </c>
      <c r="FS236" s="160">
        <f>IF([Occurrence20]=0,0,SUM($FR$2:FR236))</f>
        <v>0</v>
      </c>
      <c r="FT236" s="160">
        <f>IF([Chambre2]*1='CHAMBRES FILLES 1e ETAGE'!$A$23,1,0)</f>
        <v>0</v>
      </c>
      <c r="FU236" s="160">
        <f>IF([Occurrence21]=0,0,SUM($FT$2:FT236))</f>
        <v>0</v>
      </c>
      <c r="FV236" s="160">
        <f>IF([Chambre2]*1='CHAMBRES FILLES 1e ETAGE'!$A$29,1,0)</f>
        <v>0</v>
      </c>
      <c r="FW236" s="160">
        <f>IF([Occurrence22]=0,0,SUM($FV$2:FV236))</f>
        <v>0</v>
      </c>
      <c r="FX236" s="160">
        <f>IF([Chambre2]*1='CHAMBRES FILLES 1e ETAGE'!$A$35,1,0)</f>
        <v>0</v>
      </c>
      <c r="FY236" s="160">
        <f>IF([Occurrence23]=0,0,SUM($FX$2:FX236))</f>
        <v>0</v>
      </c>
      <c r="FZ236" s="160">
        <f>IF([Chambre2]*1='CHAMBRES FILLES 1e ETAGE'!$A$41,1,0)</f>
        <v>0</v>
      </c>
      <c r="GA236" s="160">
        <f>IF([Occurrence24]=0,0,SUM($FZ$2:FZ236))</f>
        <v>0</v>
      </c>
      <c r="GB236" s="160">
        <f>IF([Chambre2]*1='CHAMBRES FILLES 1e ETAGE'!$A$47,1,0)</f>
        <v>0</v>
      </c>
      <c r="GC236" s="160">
        <f>IF([Occurrence25]=0,0,SUM($GB$2:GB236))</f>
        <v>0</v>
      </c>
      <c r="GD236" s="160">
        <f>IF([Chambre2]*1='CHAMBRES FILLES 1e ETAGE'!$A$53,1,0)</f>
        <v>0</v>
      </c>
      <c r="GE236" s="160">
        <f>IF([Occurrence26]=0,0,SUM($GD$2:GD236))</f>
        <v>0</v>
      </c>
      <c r="GF236" s="160">
        <f>IF([chambre4]*1='CHAMBRES GARCONS 1e ETAGE'!$A$5,1,0)</f>
        <v>0</v>
      </c>
      <c r="GG236" s="160">
        <f>IF([Occurrence27]=0,0,SUM($GF$2:GF236))</f>
        <v>0</v>
      </c>
      <c r="GH236" s="160">
        <f>IF([chambre4]*1='CHAMBRES GARCONS 1e ETAGE'!$A$11,1,0)</f>
        <v>0</v>
      </c>
      <c r="GI236" s="160">
        <f>IF([Occurrence28]=0,0,SUM($GH$2:GH236))</f>
        <v>0</v>
      </c>
      <c r="GJ236" s="160">
        <f>IF([chambre4]*1='CHAMBRES GARCONS 1e ETAGE'!$A$17,1,0)</f>
        <v>0</v>
      </c>
      <c r="GK236" s="160">
        <f>IF([Occurrence29]=0,0,SUM($GJ$2:GJ236))</f>
        <v>0</v>
      </c>
      <c r="GL236" s="160">
        <f>IF([chambre4]*1='CHAMBRES GARCONS 1e ETAGE'!$A$23,1,0)</f>
        <v>0</v>
      </c>
      <c r="GM236" s="160">
        <f>IF([Occurrence30]=0,0,SUM($GL$2:GL236))</f>
        <v>0</v>
      </c>
      <c r="GN236" s="160">
        <f>IF([chambre4]*1='CHAMBRES GARCONS 1e ETAGE'!$A$29,1,0)</f>
        <v>0</v>
      </c>
      <c r="GO236" s="160">
        <f>IF([Occurrence31]=0,0,SUM($GN$2:GN236))</f>
        <v>0</v>
      </c>
      <c r="GP236" s="160">
        <f>IF([chambre4]*1='CHAMBRES GARCONS 1e ETAGE'!$A$35,1,0)</f>
        <v>1</v>
      </c>
      <c r="GQ236" s="160">
        <f>IF([Occurrence32]=0,0,SUM($GP$2:GP236))</f>
        <v>4</v>
      </c>
      <c r="GR236" s="160">
        <f>IF([chambre3]*1='CHAMBRES GARCONS RDC'!$A$5,1,0)</f>
        <v>0</v>
      </c>
      <c r="GS236" s="160">
        <f>IF([Occurrence33]=0,0,SUM($GR$2:GR236))</f>
        <v>0</v>
      </c>
      <c r="GT236" s="160">
        <f>IF([chambre3]*1='CHAMBRES GARCONS RDC'!$A$11,1,0)</f>
        <v>0</v>
      </c>
      <c r="GU236" s="160">
        <f>IF([Occurrence34]=0,0,SUM($GT$2:GT236))</f>
        <v>0</v>
      </c>
      <c r="GV236" s="160">
        <f>IF([chambre3]*1='CHAMBRES GARCONS RDC'!$A$17,1,0)</f>
        <v>0</v>
      </c>
      <c r="GW236" s="160">
        <f>IF([Occurrence35]=0,0,SUM($GV$2:GV236))</f>
        <v>0</v>
      </c>
      <c r="GX236" s="160">
        <f>IF([chambre3]*1='CHAMBRES GARCONS RDC'!$A$23,1,0)</f>
        <v>0</v>
      </c>
      <c r="GY236" s="160">
        <f>IF([Occurrence36]=0,0,SUM($GX$2:GX236))</f>
        <v>0</v>
      </c>
      <c r="GZ236" s="160">
        <f>IF([chambre3]*1='CHAMBRES GARCONS RDC'!$A$29,1,0)</f>
        <v>0</v>
      </c>
      <c r="HA236" s="160">
        <f>IF([Occurrence37]=0,0,SUM($GZ$2:GZ236))</f>
        <v>0</v>
      </c>
      <c r="HB236" s="160">
        <f>IF([chambre3]*1='CHAMBRES GARCONS RDC'!$A$35,1,0)</f>
        <v>0</v>
      </c>
      <c r="HC236" s="160">
        <f>IF([Occurrence38]=0,0,SUM($HB$2:HB236))</f>
        <v>0</v>
      </c>
      <c r="HD236" s="160">
        <f>IF([chambre3]*1='CHAMBRES GARCONS RDC'!$A$41,1,0)</f>
        <v>0</v>
      </c>
      <c r="HE236" s="160">
        <f>IF([Occurrence39]=0,0,SUM($HD$2:HD236))</f>
        <v>0</v>
      </c>
      <c r="HF236" s="160">
        <f>IF([chambre3]*1='CHAMBRES GARCONS RDC'!$A$47,1,0)</f>
        <v>0</v>
      </c>
      <c r="HG236" s="160">
        <f>IF([Occurrence40]=0,0,SUM($HF$2:HF236))</f>
        <v>0</v>
      </c>
      <c r="HH236" s="160">
        <f>IF([chambre3]*1='CHAMBRES GARCONS RDC'!$A$53,1,0)</f>
        <v>0</v>
      </c>
      <c r="HI236" s="160">
        <f>IF([Occurrence41]=0,0,SUM($HH$2:HH236))</f>
        <v>0</v>
      </c>
      <c r="HJ236" s="160">
        <f>IF([chambre3]*1='CHAMBRES GARCONS RDC'!$A$59,1,0)</f>
        <v>0</v>
      </c>
      <c r="HK236" s="160">
        <f>IF([Occurrence42]=0,0,SUM($HJ$2:HJ236))</f>
        <v>0</v>
      </c>
      <c r="HL236" s="160">
        <f>IF([chambre3]*1='CHAMBRES GARCONS RDC'!$A$65,1,0)</f>
        <v>0</v>
      </c>
      <c r="HM236" s="160">
        <f>IF([Occurrence43]=0,0,SUM($HL$2:HL236))</f>
        <v>0</v>
      </c>
      <c r="HN236" s="160">
        <f>IF([chambre3]*1='CHAMBRES GARCONS RDC'!$A$71,1,0)</f>
        <v>0</v>
      </c>
      <c r="HO236" s="160">
        <f>IF([Occurrence44]=0,0,SUM($HN$2:HN236))</f>
        <v>0</v>
      </c>
      <c r="HP236" s="160">
        <f>IF([chambre3]*1='CHAMBRES GARCONS RDC'!$A$77,1,0)</f>
        <v>0</v>
      </c>
      <c r="HQ236" s="160">
        <f>IF([Occurrence45]=0,0,SUM($HP$2:HP236))</f>
        <v>0</v>
      </c>
      <c r="HR236" s="160">
        <f>IF([chambre3]*1='CHAMBRES GARCONS RDC'!$A$83,1,0)</f>
        <v>0</v>
      </c>
      <c r="HS236" s="160">
        <f>IF([Occurrence46]=0,0,SUM($HR$2:HR236))</f>
        <v>0</v>
      </c>
      <c r="HT236" s="160">
        <f>IF([chambre3]*1='CHAMBRES GARCONS RDC'!$A$89,1,0)</f>
        <v>0</v>
      </c>
      <c r="HU236" s="160">
        <f>IF([Occurrence47]=0,0,SUM($HT$2:HT236))</f>
        <v>0</v>
      </c>
      <c r="HV236" s="160">
        <f>IF([chambre3]*1='CHAMBRES GARCONS RDC'!$A$95,1,0)</f>
        <v>0</v>
      </c>
      <c r="HW236" s="160">
        <f>IF([Occurrence48]=0,0,SUM($HV$2:HV236))</f>
        <v>0</v>
      </c>
      <c r="HX236" s="160"/>
      <c r="HY236" s="160"/>
      <c r="HZ236" s="160">
        <f>IF([Classe]='Liste élève par classes'!$B$5,1,0)</f>
        <v>0</v>
      </c>
      <c r="IA236" s="160">
        <f>IF([Occurrence]=0,0,SUM($HZ$2:HZ236))</f>
        <v>0</v>
      </c>
      <c r="IB23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154</v>
      </c>
      <c r="IC236" s="208"/>
    </row>
    <row r="237" spans="1:237">
      <c r="A237" t="s">
        <v>631</v>
      </c>
      <c r="B237" t="s">
        <v>632</v>
      </c>
      <c r="C237" s="158" t="s">
        <v>777</v>
      </c>
      <c r="D237" s="62" t="s">
        <v>778</v>
      </c>
      <c r="E237" t="s">
        <v>6</v>
      </c>
      <c r="F237" s="159" t="s">
        <v>50</v>
      </c>
      <c r="G237" t="s">
        <v>40</v>
      </c>
      <c r="H237" s="160"/>
      <c r="I237" s="62"/>
      <c r="J237" s="62"/>
      <c r="K237" s="62"/>
      <c r="L237" s="61"/>
      <c r="M237" t="s">
        <v>779</v>
      </c>
      <c r="N237" s="62"/>
      <c r="O237" s="62"/>
      <c r="P237" s="62"/>
      <c r="Q237" s="62"/>
      <c r="R237" s="62"/>
      <c r="S237" s="191"/>
      <c r="T237" s="62"/>
      <c r="U237" s="61"/>
      <c r="V237" s="62"/>
      <c r="W237" s="62"/>
      <c r="X237" s="62"/>
      <c r="Y237" s="62"/>
      <c r="Z237" s="62"/>
      <c r="AA237" s="62"/>
      <c r="AB237" s="62"/>
      <c r="AC237" s="62"/>
      <c r="AD237" s="62"/>
      <c r="AE237" s="62"/>
      <c r="AF237" s="163"/>
      <c r="AG237" s="163"/>
      <c r="AH237" s="163"/>
      <c r="AI237" s="163" t="b">
        <v>0</v>
      </c>
      <c r="AJ237" s="163" t="b">
        <v>0</v>
      </c>
      <c r="AK237" s="163" t="b">
        <v>0</v>
      </c>
      <c r="AL237" s="163" t="b">
        <v>0</v>
      </c>
      <c r="AM237" s="163" t="b">
        <v>0</v>
      </c>
      <c r="AN237" s="163" t="b">
        <v>0</v>
      </c>
      <c r="AO237" s="163" t="b">
        <v>0</v>
      </c>
      <c r="AP237" s="163" t="b">
        <v>0</v>
      </c>
      <c r="AQ237" s="163" t="b">
        <v>0</v>
      </c>
      <c r="AR237" s="163" t="b">
        <v>0</v>
      </c>
      <c r="AS237" s="163" t="b">
        <v>0</v>
      </c>
      <c r="AT237" s="163" t="b">
        <v>0</v>
      </c>
      <c r="AU237" s="163" t="b">
        <v>0</v>
      </c>
      <c r="AV237" s="163" t="b">
        <v>0</v>
      </c>
      <c r="AW237" s="163" t="b">
        <v>0</v>
      </c>
      <c r="AX237" s="163" t="b">
        <v>0</v>
      </c>
      <c r="AY237" s="163" t="b">
        <v>0</v>
      </c>
      <c r="AZ237" s="163" t="b">
        <v>0</v>
      </c>
      <c r="BA237" s="163" t="b">
        <v>0</v>
      </c>
      <c r="BB237" s="163" t="b">
        <v>0</v>
      </c>
      <c r="BC237" s="163" t="b">
        <v>0</v>
      </c>
      <c r="BD237" s="163" t="b">
        <v>1</v>
      </c>
      <c r="BE237" s="163" t="b">
        <v>1</v>
      </c>
      <c r="BF237" s="163" t="b">
        <v>0</v>
      </c>
      <c r="BG237" s="164" t="b">
        <v>0</v>
      </c>
      <c r="BH237" s="163" t="b">
        <v>1</v>
      </c>
      <c r="BI237" s="163" t="b">
        <v>0</v>
      </c>
      <c r="BJ237" s="163" t="b">
        <v>0</v>
      </c>
      <c r="BK237" s="163" t="b">
        <v>0</v>
      </c>
      <c r="BL237" s="163" t="b">
        <v>0</v>
      </c>
      <c r="BM237" s="163"/>
      <c r="BN237" s="163" t="b">
        <v>0</v>
      </c>
      <c r="BO237" s="163" t="b">
        <v>0</v>
      </c>
      <c r="BP237" s="163"/>
      <c r="BQ237" s="166" t="b">
        <v>0</v>
      </c>
      <c r="BR237" s="163" t="b">
        <v>0</v>
      </c>
      <c r="BS237" s="163"/>
      <c r="BT237" s="163" t="b">
        <v>0</v>
      </c>
      <c r="BU237" s="163" t="b">
        <v>0</v>
      </c>
      <c r="BV237" s="163"/>
      <c r="BW237" s="163" t="b">
        <v>0</v>
      </c>
      <c r="BX237" s="163" t="b">
        <v>0</v>
      </c>
      <c r="BY237" s="163"/>
      <c r="BZ237" s="163" t="b">
        <v>0</v>
      </c>
      <c r="CA237" s="163" t="b">
        <v>0</v>
      </c>
      <c r="CB237" s="163"/>
      <c r="CC237" s="163" t="b">
        <v>0</v>
      </c>
      <c r="CD237" s="163" t="b">
        <v>0</v>
      </c>
      <c r="CE237" s="163"/>
      <c r="CF237" s="163" t="b">
        <v>0</v>
      </c>
      <c r="CG237" s="163" t="b">
        <v>0</v>
      </c>
      <c r="CH237" s="163"/>
      <c r="CI237" s="163" t="b">
        <v>0</v>
      </c>
      <c r="CJ237" s="163" t="b">
        <v>0</v>
      </c>
      <c r="CK237" s="163"/>
      <c r="CL237" s="163" t="b">
        <v>0</v>
      </c>
      <c r="CM237" s="163" t="b">
        <v>0</v>
      </c>
      <c r="CN237" s="163"/>
      <c r="CO237" s="163" t="b">
        <v>0</v>
      </c>
      <c r="CP237" s="163" t="b">
        <v>0</v>
      </c>
      <c r="CQ237" s="163"/>
      <c r="CR237" s="163" t="b">
        <v>0</v>
      </c>
      <c r="CS237" s="163" t="b">
        <v>0</v>
      </c>
      <c r="CT237" s="163" t="b">
        <v>0</v>
      </c>
      <c r="CU237" s="163" t="b">
        <v>0</v>
      </c>
      <c r="CV237" s="163"/>
      <c r="CW237" s="163" t="b">
        <v>0</v>
      </c>
      <c r="CX237" s="163" t="b">
        <v>0</v>
      </c>
      <c r="CY237" s="163" t="b">
        <v>0</v>
      </c>
      <c r="CZ237" s="163" t="b">
        <v>0</v>
      </c>
      <c r="DA237" s="163"/>
      <c r="DB237" s="163"/>
      <c r="DC237" s="163"/>
      <c r="DD237" s="163"/>
      <c r="DE237" s="163"/>
      <c r="DF237" s="163"/>
      <c r="DG237" s="208" t="s">
        <v>776</v>
      </c>
      <c r="DH237" s="163"/>
      <c r="DI237" s="163"/>
      <c r="DJ237" s="163"/>
      <c r="DK237" s="163"/>
      <c r="DL237" s="163"/>
      <c r="DM237" s="163" t="b">
        <v>0</v>
      </c>
      <c r="DN237" s="163" t="b">
        <v>0</v>
      </c>
      <c r="DO237" s="163" t="b">
        <v>0</v>
      </c>
      <c r="DP237" s="163" t="b">
        <v>0</v>
      </c>
      <c r="DQ237" s="163" t="b">
        <v>0</v>
      </c>
      <c r="DR237" s="163" t="b">
        <v>0</v>
      </c>
      <c r="DS237" s="163" t="b">
        <v>0</v>
      </c>
      <c r="DT237" s="163" t="b">
        <v>0</v>
      </c>
      <c r="DU237" s="163" t="b">
        <v>0</v>
      </c>
      <c r="DV237" s="163" t="b">
        <v>0</v>
      </c>
      <c r="DW237" s="163" t="b">
        <v>0</v>
      </c>
      <c r="DX237" s="163" t="b">
        <v>0</v>
      </c>
      <c r="DY237" s="163" t="b">
        <v>0</v>
      </c>
      <c r="DZ237" s="163" t="b">
        <v>0</v>
      </c>
      <c r="EA237" s="163" t="b">
        <v>0</v>
      </c>
      <c r="EB237" s="163" t="b">
        <v>0</v>
      </c>
      <c r="EC237" s="163" t="b">
        <v>0</v>
      </c>
      <c r="ED237" s="163" t="b">
        <v>0</v>
      </c>
      <c r="EE237" s="163" t="b">
        <v>0</v>
      </c>
      <c r="EF237" s="163" t="b">
        <v>0</v>
      </c>
      <c r="EG237" s="163"/>
      <c r="EH237" s="160">
        <f>IF([Chambre]*1='CHAMBRES FILLES 2e ETAGE'!$A$5,1,0)</f>
        <v>0</v>
      </c>
      <c r="EI237" s="161">
        <f>IF([Occurrence2]=0,0,SUM($EH$2:EH237))</f>
        <v>0</v>
      </c>
      <c r="EJ237" s="160">
        <f>IF([Chambre]*1='CHAMBRES FILLES 2e ETAGE'!$A$11,1,0)</f>
        <v>0</v>
      </c>
      <c r="EK237" s="160">
        <f>IF([Occurrence3]=0,0,SUM($EJ$2:EJ237))</f>
        <v>0</v>
      </c>
      <c r="EL237" s="160">
        <f>IF([Chambre]*1='CHAMBRES FILLES 2e ETAGE'!$A$17,1,0)</f>
        <v>0</v>
      </c>
      <c r="EM237" s="160">
        <f>IF([Occurrence4]=0,0,SUM($EL$2:EL237))</f>
        <v>0</v>
      </c>
      <c r="EN237" s="160">
        <f>IF([Chambre]*1='CHAMBRES FILLES 2e ETAGE'!$A$23,1,0)</f>
        <v>0</v>
      </c>
      <c r="EO237" s="160">
        <f>IF([Occurrence5]=0,0,SUM($EN$2:EN237))</f>
        <v>0</v>
      </c>
      <c r="EP237" s="160">
        <f>IF([Chambre]*1='CHAMBRES FILLES 2e ETAGE'!$A$29,1,0)</f>
        <v>0</v>
      </c>
      <c r="EQ237" s="160">
        <f>IF([Occurrence6]=0,0,SUM($EP$2:EP237))</f>
        <v>0</v>
      </c>
      <c r="ER237" s="160">
        <f>IF([Chambre]*1='CHAMBRES FILLES 2e ETAGE'!$A$35,1,0)</f>
        <v>0</v>
      </c>
      <c r="ES237" s="160">
        <f>IF([Occurrence7]=0,0,SUM($ER$2:ER237))</f>
        <v>0</v>
      </c>
      <c r="ET237" s="160">
        <f>IF([Chambre]*1='CHAMBRES FILLES 2e ETAGE'!$A$41,1,0)</f>
        <v>0</v>
      </c>
      <c r="EU237" s="160">
        <f>IF([Occurrence8]=0,0,SUM($ET$2:ET237))</f>
        <v>0</v>
      </c>
      <c r="EV237" s="160">
        <f>IF([Chambre]*1='CHAMBRES FILLES 2e ETAGE'!$A$47,1,0)</f>
        <v>0</v>
      </c>
      <c r="EW237" s="160">
        <f>IF([Occurrence9]=0,0,SUM($EV$2:EV237))</f>
        <v>0</v>
      </c>
      <c r="EX237" s="160">
        <f>IF([Chambre]*1='CHAMBRES FILLES 2e ETAGE'!$A$53,1,0)</f>
        <v>0</v>
      </c>
      <c r="EY237" s="160">
        <f>IF([Occurrence10]=0,0,SUM($EX$2:EX237))</f>
        <v>0</v>
      </c>
      <c r="EZ237" s="160">
        <f>IF([Chambre]*1='CHAMBRES FILLES 2e ETAGE'!$A$59,1,0)</f>
        <v>0</v>
      </c>
      <c r="FA237" s="160">
        <f>IF([Occurrence11]=0,0,SUM($EZ$2:EZ237))</f>
        <v>0</v>
      </c>
      <c r="FB237" s="160">
        <f>IF([Chambre]*1='CHAMBRES FILLES 2e ETAGE'!$A$65,1,0)</f>
        <v>0</v>
      </c>
      <c r="FC237" s="160">
        <f>IF([Occurrence12]=0,0,SUM($FB$2:FB237))</f>
        <v>0</v>
      </c>
      <c r="FD237" s="160">
        <f>IF([Chambre]*1='CHAMBRES FILLES 2e ETAGE'!$A$71,1,0)</f>
        <v>0</v>
      </c>
      <c r="FE237" s="160">
        <f>IF([Occurrence13]=0,0,SUM($FD$2:FD237))</f>
        <v>0</v>
      </c>
      <c r="FF237" s="160">
        <f>IF([Chambre]*1='CHAMBRES FILLES 2e ETAGE'!$A$77,1,0)</f>
        <v>0</v>
      </c>
      <c r="FG237" s="160">
        <f>IF([Occurrence14]=0,0,SUM($FF$2:FF237))</f>
        <v>0</v>
      </c>
      <c r="FH237" s="160">
        <f>IF([Chambre]*1='CHAMBRES FILLES 2e ETAGE'!$A$83,1,0)</f>
        <v>0</v>
      </c>
      <c r="FI237" s="160">
        <f>IF([Occurrence15]=0,0,SUM($FH$2:FH237))</f>
        <v>0</v>
      </c>
      <c r="FJ237" s="160">
        <f>IF([Chambre]*1='CHAMBRES FILLES 2e ETAGE'!$A$89,1,0)</f>
        <v>0</v>
      </c>
      <c r="FK237" s="160">
        <f>IF([Occurrence16]=0,0,SUM($FJ$2:FJ237))</f>
        <v>0</v>
      </c>
      <c r="FL237" s="160">
        <f>IF([Chambre]*1='CHAMBRES FILLES 2e ETAGE'!$A$95,1,0)</f>
        <v>0</v>
      </c>
      <c r="FM237" s="160">
        <f>IF([Occurrence17]=0,0,SUM($FL$2:FL237))</f>
        <v>0</v>
      </c>
      <c r="FN237" s="160">
        <f>IF([Chambre2]*1='CHAMBRES FILLES 1e ETAGE'!$A$5,1,0)</f>
        <v>0</v>
      </c>
      <c r="FO237" s="160">
        <f>IF([Occurrence18]=0,0,SUM($FN$2:FN237))</f>
        <v>0</v>
      </c>
      <c r="FP237" s="160">
        <f>IF([Chambre2]*1='CHAMBRES FILLES 1e ETAGE'!$A$11,1,0)</f>
        <v>0</v>
      </c>
      <c r="FQ237" s="160">
        <f>IF([Occurrence19]=0,0,SUM($FP$2:FP237))</f>
        <v>0</v>
      </c>
      <c r="FR237" s="160">
        <f>IF([Chambre2]*1='CHAMBRES FILLES 1e ETAGE'!$A$17,1,0)</f>
        <v>0</v>
      </c>
      <c r="FS237" s="160">
        <f>IF([Occurrence20]=0,0,SUM($FR$2:FR237))</f>
        <v>0</v>
      </c>
      <c r="FT237" s="160">
        <f>IF([Chambre2]*1='CHAMBRES FILLES 1e ETAGE'!$A$23,1,0)</f>
        <v>0</v>
      </c>
      <c r="FU237" s="160">
        <f>IF([Occurrence21]=0,0,SUM($FT$2:FT237))</f>
        <v>0</v>
      </c>
      <c r="FV237" s="160">
        <f>IF([Chambre2]*1='CHAMBRES FILLES 1e ETAGE'!$A$29,1,0)</f>
        <v>0</v>
      </c>
      <c r="FW237" s="160">
        <f>IF([Occurrence22]=0,0,SUM($FV$2:FV237))</f>
        <v>0</v>
      </c>
      <c r="FX237" s="160">
        <f>IF([Chambre2]*1='CHAMBRES FILLES 1e ETAGE'!$A$35,1,0)</f>
        <v>0</v>
      </c>
      <c r="FY237" s="160">
        <f>IF([Occurrence23]=0,0,SUM($FX$2:FX237))</f>
        <v>0</v>
      </c>
      <c r="FZ237" s="160">
        <f>IF([Chambre2]*1='CHAMBRES FILLES 1e ETAGE'!$A$41,1,0)</f>
        <v>0</v>
      </c>
      <c r="GA237" s="160">
        <f>IF([Occurrence24]=0,0,SUM($FZ$2:FZ237))</f>
        <v>0</v>
      </c>
      <c r="GB237" s="160">
        <f>IF([Chambre2]*1='CHAMBRES FILLES 1e ETAGE'!$A$47,1,0)</f>
        <v>0</v>
      </c>
      <c r="GC237" s="160">
        <f>IF([Occurrence25]=0,0,SUM($GB$2:GB237))</f>
        <v>0</v>
      </c>
      <c r="GD237" s="160">
        <f>IF([Chambre2]*1='CHAMBRES FILLES 1e ETAGE'!$A$53,1,0)</f>
        <v>0</v>
      </c>
      <c r="GE237" s="160">
        <f>IF([Occurrence26]=0,0,SUM($GD$2:GD237))</f>
        <v>0</v>
      </c>
      <c r="GF237" s="160">
        <f>IF([chambre4]*1='CHAMBRES GARCONS 1e ETAGE'!$A$5,1,0)</f>
        <v>1</v>
      </c>
      <c r="GG237" s="160">
        <f>IF([Occurrence27]=0,0,SUM($GF$2:GF237))</f>
        <v>3</v>
      </c>
      <c r="GH237" s="160">
        <f>IF([chambre4]*1='CHAMBRES GARCONS 1e ETAGE'!$A$11,1,0)</f>
        <v>0</v>
      </c>
      <c r="GI237" s="160">
        <f>IF([Occurrence28]=0,0,SUM($GH$2:GH237))</f>
        <v>0</v>
      </c>
      <c r="GJ237" s="160">
        <f>IF([chambre4]*1='CHAMBRES GARCONS 1e ETAGE'!$A$17,1,0)</f>
        <v>0</v>
      </c>
      <c r="GK237" s="160">
        <f>IF([Occurrence29]=0,0,SUM($GJ$2:GJ237))</f>
        <v>0</v>
      </c>
      <c r="GL237" s="160">
        <f>IF([chambre4]*1='CHAMBRES GARCONS 1e ETAGE'!$A$23,1,0)</f>
        <v>0</v>
      </c>
      <c r="GM237" s="160">
        <f>IF([Occurrence30]=0,0,SUM($GL$2:GL237))</f>
        <v>0</v>
      </c>
      <c r="GN237" s="160">
        <f>IF([chambre4]*1='CHAMBRES GARCONS 1e ETAGE'!$A$29,1,0)</f>
        <v>0</v>
      </c>
      <c r="GO237" s="160">
        <f>IF([Occurrence31]=0,0,SUM($GN$2:GN237))</f>
        <v>0</v>
      </c>
      <c r="GP237" s="160">
        <f>IF([chambre4]*1='CHAMBRES GARCONS 1e ETAGE'!$A$35,1,0)</f>
        <v>0</v>
      </c>
      <c r="GQ237" s="160">
        <f>IF([Occurrence32]=0,0,SUM($GP$2:GP237))</f>
        <v>0</v>
      </c>
      <c r="GR237" s="160">
        <f>IF([chambre3]*1='CHAMBRES GARCONS RDC'!$A$5,1,0)</f>
        <v>0</v>
      </c>
      <c r="GS237" s="160">
        <f>IF([Occurrence33]=0,0,SUM($GR$2:GR237))</f>
        <v>0</v>
      </c>
      <c r="GT237" s="160">
        <f>IF([chambre3]*1='CHAMBRES GARCONS RDC'!$A$11,1,0)</f>
        <v>0</v>
      </c>
      <c r="GU237" s="160">
        <f>IF([Occurrence34]=0,0,SUM($GT$2:GT237))</f>
        <v>0</v>
      </c>
      <c r="GV237" s="160">
        <f>IF([chambre3]*1='CHAMBRES GARCONS RDC'!$A$17,1,0)</f>
        <v>0</v>
      </c>
      <c r="GW237" s="160">
        <f>IF([Occurrence35]=0,0,SUM($GV$2:GV237))</f>
        <v>0</v>
      </c>
      <c r="GX237" s="160">
        <f>IF([chambre3]*1='CHAMBRES GARCONS RDC'!$A$23,1,0)</f>
        <v>0</v>
      </c>
      <c r="GY237" s="160">
        <f>IF([Occurrence36]=0,0,SUM($GX$2:GX237))</f>
        <v>0</v>
      </c>
      <c r="GZ237" s="160">
        <f>IF([chambre3]*1='CHAMBRES GARCONS RDC'!$A$29,1,0)</f>
        <v>0</v>
      </c>
      <c r="HA237" s="160">
        <f>IF([Occurrence37]=0,0,SUM($GZ$2:GZ237))</f>
        <v>0</v>
      </c>
      <c r="HB237" s="160">
        <f>IF([chambre3]*1='CHAMBRES GARCONS RDC'!$A$35,1,0)</f>
        <v>0</v>
      </c>
      <c r="HC237" s="160">
        <f>IF([Occurrence38]=0,0,SUM($HB$2:HB237))</f>
        <v>0</v>
      </c>
      <c r="HD237" s="160">
        <f>IF([chambre3]*1='CHAMBRES GARCONS RDC'!$A$41,1,0)</f>
        <v>0</v>
      </c>
      <c r="HE237" s="160">
        <f>IF([Occurrence39]=0,0,SUM($HD$2:HD237))</f>
        <v>0</v>
      </c>
      <c r="HF237" s="160">
        <f>IF([chambre3]*1='CHAMBRES GARCONS RDC'!$A$47,1,0)</f>
        <v>0</v>
      </c>
      <c r="HG237" s="160">
        <f>IF([Occurrence40]=0,0,SUM($HF$2:HF237))</f>
        <v>0</v>
      </c>
      <c r="HH237" s="160">
        <f>IF([chambre3]*1='CHAMBRES GARCONS RDC'!$A$53,1,0)</f>
        <v>0</v>
      </c>
      <c r="HI237" s="160">
        <f>IF([Occurrence41]=0,0,SUM($HH$2:HH237))</f>
        <v>0</v>
      </c>
      <c r="HJ237" s="160">
        <f>IF([chambre3]*1='CHAMBRES GARCONS RDC'!$A$59,1,0)</f>
        <v>0</v>
      </c>
      <c r="HK237" s="160">
        <f>IF([Occurrence42]=0,0,SUM($HJ$2:HJ237))</f>
        <v>0</v>
      </c>
      <c r="HL237" s="160">
        <f>IF([chambre3]*1='CHAMBRES GARCONS RDC'!$A$65,1,0)</f>
        <v>0</v>
      </c>
      <c r="HM237" s="160">
        <f>IF([Occurrence43]=0,0,SUM($HL$2:HL237))</f>
        <v>0</v>
      </c>
      <c r="HN237" s="160">
        <f>IF([chambre3]*1='CHAMBRES GARCONS RDC'!$A$71,1,0)</f>
        <v>0</v>
      </c>
      <c r="HO237" s="160">
        <f>IF([Occurrence44]=0,0,SUM($HN$2:HN237))</f>
        <v>0</v>
      </c>
      <c r="HP237" s="160">
        <f>IF([chambre3]*1='CHAMBRES GARCONS RDC'!$A$77,1,0)</f>
        <v>0</v>
      </c>
      <c r="HQ237" s="160">
        <f>IF([Occurrence45]=0,0,SUM($HP$2:HP237))</f>
        <v>0</v>
      </c>
      <c r="HR237" s="160">
        <f>IF([chambre3]*1='CHAMBRES GARCONS RDC'!$A$83,1,0)</f>
        <v>0</v>
      </c>
      <c r="HS237" s="160">
        <f>IF([Occurrence46]=0,0,SUM($HR$2:HR237))</f>
        <v>0</v>
      </c>
      <c r="HT237" s="160">
        <f>IF([chambre3]*1='CHAMBRES GARCONS RDC'!$A$89,1,0)</f>
        <v>0</v>
      </c>
      <c r="HU237" s="160">
        <f>IF([Occurrence47]=0,0,SUM($HT$2:HT237))</f>
        <v>0</v>
      </c>
      <c r="HV237" s="160">
        <f>IF([chambre3]*1='CHAMBRES GARCONS RDC'!$A$95,1,0)</f>
        <v>0</v>
      </c>
      <c r="HW237" s="160">
        <f>IF([Occurrence48]=0,0,SUM($HV$2:HV237))</f>
        <v>0</v>
      </c>
      <c r="HX237" s="160"/>
      <c r="HY237" s="160"/>
      <c r="HZ237" s="160">
        <f>IF([Classe]='Liste élève par classes'!$B$5,1,0)</f>
        <v>0</v>
      </c>
      <c r="IA237" s="160">
        <f>IF([Occurrence]=0,0,SUM($HZ$2:HZ237))</f>
        <v>0</v>
      </c>
      <c r="IB23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145</v>
      </c>
      <c r="IC237" s="208"/>
    </row>
    <row r="238" spans="1:237">
      <c r="A238" t="s">
        <v>633</v>
      </c>
      <c r="B238" t="s">
        <v>634</v>
      </c>
      <c r="C238" s="158">
        <v>36478</v>
      </c>
      <c r="D238" s="62">
        <f t="shared" ca="1" si="3"/>
        <v>17</v>
      </c>
      <c r="E238" t="s">
        <v>0</v>
      </c>
      <c r="F238" s="159" t="s">
        <v>50</v>
      </c>
      <c r="G238" t="s">
        <v>45</v>
      </c>
      <c r="H238" s="160"/>
      <c r="I238" s="161"/>
      <c r="J238" s="161"/>
      <c r="K238" s="161"/>
      <c r="L238" s="160">
        <v>171</v>
      </c>
      <c r="M238">
        <v>219</v>
      </c>
      <c r="N238" s="161"/>
      <c r="O238" s="161"/>
      <c r="P238" s="161"/>
      <c r="Q238" s="161"/>
      <c r="R238" s="161"/>
      <c r="S238" s="190"/>
      <c r="T238" s="161"/>
      <c r="U238" s="160"/>
      <c r="V238" s="161"/>
      <c r="W238" s="161"/>
      <c r="X238" s="161"/>
      <c r="Y238" s="161"/>
      <c r="Z238" s="161"/>
      <c r="AA238" s="161"/>
      <c r="AB238" s="161"/>
      <c r="AC238" s="161"/>
      <c r="AD238" s="161"/>
      <c r="AE238" s="161"/>
      <c r="AF238" s="163"/>
      <c r="AG238" s="163"/>
      <c r="AH238" s="163"/>
      <c r="AI238" s="163"/>
      <c r="AJ238" s="163"/>
      <c r="AK238" s="163"/>
      <c r="AL238" s="163"/>
      <c r="AM238" s="163"/>
      <c r="AN238" s="163"/>
      <c r="AO238" s="163"/>
      <c r="AP238" s="163"/>
      <c r="AQ238" s="163"/>
      <c r="AR238" s="163"/>
      <c r="AS238" s="163"/>
      <c r="AT238" s="163"/>
      <c r="AU238" s="163"/>
      <c r="AV238" s="163"/>
      <c r="AW238" s="163"/>
      <c r="AX238" s="163"/>
      <c r="AY238" s="163"/>
      <c r="AZ238" s="163"/>
      <c r="BA238" s="163"/>
      <c r="BB238" s="163"/>
      <c r="BC238" s="163" t="b">
        <v>0</v>
      </c>
      <c r="BD238" s="163" t="b">
        <v>1</v>
      </c>
      <c r="BE238" s="163" t="b">
        <v>1</v>
      </c>
      <c r="BF238" s="163" t="b">
        <v>0</v>
      </c>
      <c r="BG238" s="164" t="b">
        <v>0</v>
      </c>
      <c r="BH238" s="163" t="b">
        <v>1</v>
      </c>
      <c r="BI238" s="163"/>
      <c r="BJ238" s="163"/>
      <c r="BK238" s="163"/>
      <c r="BL238" s="163"/>
      <c r="BM238" s="163"/>
      <c r="BN238" s="163"/>
      <c r="BO238" s="163"/>
      <c r="BP238" s="163"/>
      <c r="BQ238" s="166" t="b">
        <v>0</v>
      </c>
      <c r="BR238" s="163"/>
      <c r="BS238" s="163"/>
      <c r="BT238" s="163"/>
      <c r="BU238" s="163"/>
      <c r="BV238" s="163"/>
      <c r="BW238" s="163"/>
      <c r="BX238" s="163"/>
      <c r="BY238" s="163"/>
      <c r="BZ238" s="163"/>
      <c r="CA238" s="163"/>
      <c r="CB238" s="163"/>
      <c r="CC238" s="163"/>
      <c r="CD238" s="163"/>
      <c r="CE238" s="163"/>
      <c r="CF238" s="163"/>
      <c r="CG238" s="163"/>
      <c r="CH238" s="163"/>
      <c r="CI238" s="163"/>
      <c r="CJ238" s="163"/>
      <c r="CK238" s="163"/>
      <c r="CL238" s="163"/>
      <c r="CM238" s="163"/>
      <c r="CN238" s="163"/>
      <c r="CO238" s="163"/>
      <c r="CP238" s="163"/>
      <c r="CQ238" s="163"/>
      <c r="CR238" s="163"/>
      <c r="CS238" s="163"/>
      <c r="CT238" s="163"/>
      <c r="CU238" s="163"/>
      <c r="CV238" s="163"/>
      <c r="CW238" s="163"/>
      <c r="CX238" s="163"/>
      <c r="CY238" s="163"/>
      <c r="CZ238" s="163"/>
      <c r="DA238" s="163"/>
      <c r="DB238" s="163"/>
      <c r="DC238" s="163"/>
      <c r="DD238" s="163"/>
      <c r="DE238" s="163"/>
      <c r="DF238" s="163"/>
      <c r="DG238" s="208"/>
      <c r="DH238" s="163"/>
      <c r="DI238" s="163"/>
      <c r="DJ238" s="163"/>
      <c r="DK238" s="163"/>
      <c r="DL238" s="163"/>
      <c r="DM238" s="163"/>
      <c r="DN238" s="163"/>
      <c r="DO238" s="163"/>
      <c r="DP238" s="163"/>
      <c r="DQ238" s="163"/>
      <c r="DR238" s="163"/>
      <c r="DS238" s="163"/>
      <c r="DT238" s="163"/>
      <c r="DU238" s="163"/>
      <c r="DV238" s="163"/>
      <c r="DW238" s="163"/>
      <c r="DX238" s="163"/>
      <c r="DY238" s="163"/>
      <c r="DZ238" s="163"/>
      <c r="EA238" s="163"/>
      <c r="EB238" s="163"/>
      <c r="EC238" s="163"/>
      <c r="ED238" s="163"/>
      <c r="EE238" s="163"/>
      <c r="EF238" s="163"/>
      <c r="EG238" s="163"/>
      <c r="EH238" s="160">
        <f>IF([Chambre]*1='CHAMBRES FILLES 2e ETAGE'!$A$5,1,0)</f>
        <v>0</v>
      </c>
      <c r="EI238" s="161">
        <f>IF([Occurrence2]=0,0,SUM($EH$2:EH238))</f>
        <v>0</v>
      </c>
      <c r="EJ238" s="160">
        <f>IF([Chambre]*1='CHAMBRES FILLES 2e ETAGE'!$A$11,1,0)</f>
        <v>0</v>
      </c>
      <c r="EK238" s="160">
        <f>IF([Occurrence3]=0,0,SUM($EJ$2:EJ238))</f>
        <v>0</v>
      </c>
      <c r="EL238" s="160">
        <f>IF([Chambre]*1='CHAMBRES FILLES 2e ETAGE'!$A$17,1,0)</f>
        <v>0</v>
      </c>
      <c r="EM238" s="160">
        <f>IF([Occurrence4]=0,0,SUM($EL$2:EL238))</f>
        <v>0</v>
      </c>
      <c r="EN238" s="160">
        <f>IF([Chambre]*1='CHAMBRES FILLES 2e ETAGE'!$A$23,1,0)</f>
        <v>0</v>
      </c>
      <c r="EO238" s="160">
        <f>IF([Occurrence5]=0,0,SUM($EN$2:EN238))</f>
        <v>0</v>
      </c>
      <c r="EP238" s="160">
        <f>IF([Chambre]*1='CHAMBRES FILLES 2e ETAGE'!$A$29,1,0)</f>
        <v>0</v>
      </c>
      <c r="EQ238" s="160">
        <f>IF([Occurrence6]=0,0,SUM($EP$2:EP238))</f>
        <v>0</v>
      </c>
      <c r="ER238" s="160">
        <f>IF([Chambre]*1='CHAMBRES FILLES 2e ETAGE'!$A$35,1,0)</f>
        <v>0</v>
      </c>
      <c r="ES238" s="160">
        <f>IF([Occurrence7]=0,0,SUM($ER$2:ER238))</f>
        <v>0</v>
      </c>
      <c r="ET238" s="160">
        <f>IF([Chambre]*1='CHAMBRES FILLES 2e ETAGE'!$A$41,1,0)</f>
        <v>0</v>
      </c>
      <c r="EU238" s="160">
        <f>IF([Occurrence8]=0,0,SUM($ET$2:ET238))</f>
        <v>0</v>
      </c>
      <c r="EV238" s="160">
        <f>IF([Chambre]*1='CHAMBRES FILLES 2e ETAGE'!$A$47,1,0)</f>
        <v>0</v>
      </c>
      <c r="EW238" s="160">
        <f>IF([Occurrence9]=0,0,SUM($EV$2:EV238))</f>
        <v>0</v>
      </c>
      <c r="EX238" s="160">
        <f>IF([Chambre]*1='CHAMBRES FILLES 2e ETAGE'!$A$53,1,0)</f>
        <v>0</v>
      </c>
      <c r="EY238" s="160">
        <f>IF([Occurrence10]=0,0,SUM($EX$2:EX238))</f>
        <v>0</v>
      </c>
      <c r="EZ238" s="160">
        <f>IF([Chambre]*1='CHAMBRES FILLES 2e ETAGE'!$A$59,1,0)</f>
        <v>0</v>
      </c>
      <c r="FA238" s="160">
        <f>IF([Occurrence11]=0,0,SUM($EZ$2:EZ238))</f>
        <v>0</v>
      </c>
      <c r="FB238" s="160">
        <f>IF([Chambre]*1='CHAMBRES FILLES 2e ETAGE'!$A$65,1,0)</f>
        <v>0</v>
      </c>
      <c r="FC238" s="160">
        <f>IF([Occurrence12]=0,0,SUM($FB$2:FB238))</f>
        <v>0</v>
      </c>
      <c r="FD238" s="160">
        <f>IF([Chambre]*1='CHAMBRES FILLES 2e ETAGE'!$A$71,1,0)</f>
        <v>0</v>
      </c>
      <c r="FE238" s="160">
        <f>IF([Occurrence13]=0,0,SUM($FD$2:FD238))</f>
        <v>0</v>
      </c>
      <c r="FF238" s="160">
        <f>IF([Chambre]*1='CHAMBRES FILLES 2e ETAGE'!$A$77,1,0)</f>
        <v>0</v>
      </c>
      <c r="FG238" s="160">
        <f>IF([Occurrence14]=0,0,SUM($FF$2:FF238))</f>
        <v>0</v>
      </c>
      <c r="FH238" s="160">
        <f>IF([Chambre]*1='CHAMBRES FILLES 2e ETAGE'!$A$83,1,0)</f>
        <v>0</v>
      </c>
      <c r="FI238" s="160">
        <f>IF([Occurrence15]=0,0,SUM($FH$2:FH238))</f>
        <v>0</v>
      </c>
      <c r="FJ238" s="160">
        <f>IF([Chambre]*1='CHAMBRES FILLES 2e ETAGE'!$A$89,1,0)</f>
        <v>0</v>
      </c>
      <c r="FK238" s="160">
        <f>IF([Occurrence16]=0,0,SUM($FJ$2:FJ238))</f>
        <v>0</v>
      </c>
      <c r="FL238" s="160">
        <f>IF([Chambre]*1='CHAMBRES FILLES 2e ETAGE'!$A$95,1,0)</f>
        <v>1</v>
      </c>
      <c r="FM238" s="160">
        <f>IF([Occurrence17]=0,0,SUM($FL$2:FL238))</f>
        <v>4</v>
      </c>
      <c r="FN238" s="160">
        <f>IF([Chambre2]*1='CHAMBRES FILLES 1e ETAGE'!$A$5,1,0)</f>
        <v>0</v>
      </c>
      <c r="FO238" s="160">
        <f>IF([Occurrence18]=0,0,SUM($FN$2:FN238))</f>
        <v>0</v>
      </c>
      <c r="FP238" s="160">
        <f>IF([Chambre2]*1='CHAMBRES FILLES 1e ETAGE'!$A$11,1,0)</f>
        <v>0</v>
      </c>
      <c r="FQ238" s="160">
        <f>IF([Occurrence19]=0,0,SUM($FP$2:FP238))</f>
        <v>0</v>
      </c>
      <c r="FR238" s="160">
        <f>IF([Chambre2]*1='CHAMBRES FILLES 1e ETAGE'!$A$17,1,0)</f>
        <v>0</v>
      </c>
      <c r="FS238" s="160">
        <f>IF([Occurrence20]=0,0,SUM($FR$2:FR238))</f>
        <v>0</v>
      </c>
      <c r="FT238" s="160">
        <f>IF([Chambre2]*1='CHAMBRES FILLES 1e ETAGE'!$A$23,1,0)</f>
        <v>0</v>
      </c>
      <c r="FU238" s="160">
        <f>IF([Occurrence21]=0,0,SUM($FT$2:FT238))</f>
        <v>0</v>
      </c>
      <c r="FV238" s="160">
        <f>IF([Chambre2]*1='CHAMBRES FILLES 1e ETAGE'!$A$29,1,0)</f>
        <v>0</v>
      </c>
      <c r="FW238" s="160">
        <f>IF([Occurrence22]=0,0,SUM($FV$2:FV238))</f>
        <v>0</v>
      </c>
      <c r="FX238" s="160">
        <f>IF([Chambre2]*1='CHAMBRES FILLES 1e ETAGE'!$A$35,1,0)</f>
        <v>0</v>
      </c>
      <c r="FY238" s="160">
        <f>IF([Occurrence23]=0,0,SUM($FX$2:FX238))</f>
        <v>0</v>
      </c>
      <c r="FZ238" s="160">
        <f>IF([Chambre2]*1='CHAMBRES FILLES 1e ETAGE'!$A$41,1,0)</f>
        <v>0</v>
      </c>
      <c r="GA238" s="160">
        <f>IF([Occurrence24]=0,0,SUM($FZ$2:FZ238))</f>
        <v>0</v>
      </c>
      <c r="GB238" s="160">
        <f>IF([Chambre2]*1='CHAMBRES FILLES 1e ETAGE'!$A$47,1,0)</f>
        <v>0</v>
      </c>
      <c r="GC238" s="160">
        <f>IF([Occurrence25]=0,0,SUM($GB$2:GB238))</f>
        <v>0</v>
      </c>
      <c r="GD238" s="160">
        <f>IF([Chambre2]*1='CHAMBRES FILLES 1e ETAGE'!$A$53,1,0)</f>
        <v>0</v>
      </c>
      <c r="GE238" s="160">
        <f>IF([Occurrence26]=0,0,SUM($GD$2:GD238))</f>
        <v>0</v>
      </c>
      <c r="GF238" s="160">
        <f>IF([chambre4]*1='CHAMBRES GARCONS 1e ETAGE'!$A$5,1,0)</f>
        <v>0</v>
      </c>
      <c r="GG238" s="160">
        <f>IF([Occurrence27]=0,0,SUM($GF$2:GF238))</f>
        <v>0</v>
      </c>
      <c r="GH238" s="160">
        <f>IF([chambre4]*1='CHAMBRES GARCONS 1e ETAGE'!$A$11,1,0)</f>
        <v>0</v>
      </c>
      <c r="GI238" s="160">
        <f>IF([Occurrence28]=0,0,SUM($GH$2:GH238))</f>
        <v>0</v>
      </c>
      <c r="GJ238" s="160">
        <f>IF([chambre4]*1='CHAMBRES GARCONS 1e ETAGE'!$A$17,1,0)</f>
        <v>0</v>
      </c>
      <c r="GK238" s="160">
        <f>IF([Occurrence29]=0,0,SUM($GJ$2:GJ238))</f>
        <v>0</v>
      </c>
      <c r="GL238" s="160">
        <f>IF([chambre4]*1='CHAMBRES GARCONS 1e ETAGE'!$A$23,1,0)</f>
        <v>0</v>
      </c>
      <c r="GM238" s="160">
        <f>IF([Occurrence30]=0,0,SUM($GL$2:GL238))</f>
        <v>0</v>
      </c>
      <c r="GN238" s="160">
        <f>IF([chambre4]*1='CHAMBRES GARCONS 1e ETAGE'!$A$29,1,0)</f>
        <v>0</v>
      </c>
      <c r="GO238" s="160">
        <f>IF([Occurrence31]=0,0,SUM($GN$2:GN238))</f>
        <v>0</v>
      </c>
      <c r="GP238" s="160">
        <f>IF([chambre4]*1='CHAMBRES GARCONS 1e ETAGE'!$A$35,1,0)</f>
        <v>0</v>
      </c>
      <c r="GQ238" s="160">
        <f>IF([Occurrence32]=0,0,SUM($GP$2:GP238))</f>
        <v>0</v>
      </c>
      <c r="GR238" s="160">
        <f>IF([chambre3]*1='CHAMBRES GARCONS RDC'!$A$5,1,0)</f>
        <v>0</v>
      </c>
      <c r="GS238" s="160">
        <f>IF([Occurrence33]=0,0,SUM($GR$2:GR238))</f>
        <v>0</v>
      </c>
      <c r="GT238" s="160">
        <f>IF([chambre3]*1='CHAMBRES GARCONS RDC'!$A$11,1,0)</f>
        <v>0</v>
      </c>
      <c r="GU238" s="160">
        <f>IF([Occurrence34]=0,0,SUM($GT$2:GT238))</f>
        <v>0</v>
      </c>
      <c r="GV238" s="160">
        <f>IF([chambre3]*1='CHAMBRES GARCONS RDC'!$A$17,1,0)</f>
        <v>0</v>
      </c>
      <c r="GW238" s="160">
        <f>IF([Occurrence35]=0,0,SUM($GV$2:GV238))</f>
        <v>0</v>
      </c>
      <c r="GX238" s="160">
        <f>IF([chambre3]*1='CHAMBRES GARCONS RDC'!$A$23,1,0)</f>
        <v>0</v>
      </c>
      <c r="GY238" s="160">
        <f>IF([Occurrence36]=0,0,SUM($GX$2:GX238))</f>
        <v>0</v>
      </c>
      <c r="GZ238" s="160">
        <f>IF([chambre3]*1='CHAMBRES GARCONS RDC'!$A$29,1,0)</f>
        <v>0</v>
      </c>
      <c r="HA238" s="160">
        <f>IF([Occurrence37]=0,0,SUM($GZ$2:GZ238))</f>
        <v>0</v>
      </c>
      <c r="HB238" s="160">
        <f>IF([chambre3]*1='CHAMBRES GARCONS RDC'!$A$35,1,0)</f>
        <v>0</v>
      </c>
      <c r="HC238" s="160">
        <f>IF([Occurrence38]=0,0,SUM($HB$2:HB238))</f>
        <v>0</v>
      </c>
      <c r="HD238" s="160">
        <f>IF([chambre3]*1='CHAMBRES GARCONS RDC'!$A$41,1,0)</f>
        <v>0</v>
      </c>
      <c r="HE238" s="160">
        <f>IF([Occurrence39]=0,0,SUM($HD$2:HD238))</f>
        <v>0</v>
      </c>
      <c r="HF238" s="160">
        <f>IF([chambre3]*1='CHAMBRES GARCONS RDC'!$A$47,1,0)</f>
        <v>0</v>
      </c>
      <c r="HG238" s="160">
        <f>IF([Occurrence40]=0,0,SUM($HF$2:HF238))</f>
        <v>0</v>
      </c>
      <c r="HH238" s="160">
        <f>IF([chambre3]*1='CHAMBRES GARCONS RDC'!$A$53,1,0)</f>
        <v>0</v>
      </c>
      <c r="HI238" s="160">
        <f>IF([Occurrence41]=0,0,SUM($HH$2:HH238))</f>
        <v>0</v>
      </c>
      <c r="HJ238" s="160">
        <f>IF([chambre3]*1='CHAMBRES GARCONS RDC'!$A$59,1,0)</f>
        <v>0</v>
      </c>
      <c r="HK238" s="160">
        <f>IF([Occurrence42]=0,0,SUM($HJ$2:HJ238))</f>
        <v>0</v>
      </c>
      <c r="HL238" s="160">
        <f>IF([chambre3]*1='CHAMBRES GARCONS RDC'!$A$65,1,0)</f>
        <v>0</v>
      </c>
      <c r="HM238" s="160">
        <f>IF([Occurrence43]=0,0,SUM($HL$2:HL238))</f>
        <v>0</v>
      </c>
      <c r="HN238" s="160">
        <f>IF([chambre3]*1='CHAMBRES GARCONS RDC'!$A$71,1,0)</f>
        <v>0</v>
      </c>
      <c r="HO238" s="160">
        <f>IF([Occurrence44]=0,0,SUM($HN$2:HN238))</f>
        <v>0</v>
      </c>
      <c r="HP238" s="160">
        <f>IF([chambre3]*1='CHAMBRES GARCONS RDC'!$A$77,1,0)</f>
        <v>0</v>
      </c>
      <c r="HQ238" s="160">
        <f>IF([Occurrence45]=0,0,SUM($HP$2:HP238))</f>
        <v>0</v>
      </c>
      <c r="HR238" s="160">
        <f>IF([chambre3]*1='CHAMBRES GARCONS RDC'!$A$83,1,0)</f>
        <v>0</v>
      </c>
      <c r="HS238" s="160">
        <f>IF([Occurrence46]=0,0,SUM($HR$2:HR238))</f>
        <v>0</v>
      </c>
      <c r="HT238" s="160">
        <f>IF([chambre3]*1='CHAMBRES GARCONS RDC'!$A$89,1,0)</f>
        <v>0</v>
      </c>
      <c r="HU238" s="160">
        <f>IF([Occurrence47]=0,0,SUM($HT$2:HT238))</f>
        <v>0</v>
      </c>
      <c r="HV238" s="160">
        <f>IF([chambre3]*1='CHAMBRES GARCONS RDC'!$A$95,1,0)</f>
        <v>0</v>
      </c>
      <c r="HW238" s="160">
        <f>IF([Occurrence48]=0,0,SUM($HV$2:HV238))</f>
        <v>0</v>
      </c>
      <c r="HX238" s="160"/>
      <c r="HY238" s="160"/>
      <c r="HZ238" s="160">
        <f>IF([Classe]='Liste élève par classes'!$B$5,1,0)</f>
        <v>0</v>
      </c>
      <c r="IA238" s="160">
        <f>IF([Occurrence]=0,0,SUM($HZ$2:HZ238))</f>
        <v>0</v>
      </c>
      <c r="IB23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171</v>
      </c>
      <c r="IC238" s="208"/>
    </row>
    <row r="239" spans="1:237">
      <c r="A239" t="s">
        <v>635</v>
      </c>
      <c r="B239" t="s">
        <v>636</v>
      </c>
      <c r="C239" s="158">
        <v>36538</v>
      </c>
      <c r="D239" s="62">
        <f t="shared" ca="1" si="3"/>
        <v>17</v>
      </c>
      <c r="E239" t="s">
        <v>1</v>
      </c>
      <c r="F239" s="159" t="s">
        <v>50</v>
      </c>
      <c r="G239" t="s">
        <v>45</v>
      </c>
      <c r="H239" s="160"/>
      <c r="I239" s="161"/>
      <c r="J239" s="161"/>
      <c r="K239" s="161"/>
      <c r="L239" s="160"/>
      <c r="M239">
        <v>231</v>
      </c>
      <c r="N239" s="161"/>
      <c r="O239" s="161"/>
      <c r="P239" s="161"/>
      <c r="Q239" s="161"/>
      <c r="R239" s="161"/>
      <c r="S239" s="190"/>
      <c r="T239" s="161"/>
      <c r="U239" s="160">
        <v>144</v>
      </c>
      <c r="V239" s="161"/>
      <c r="W239" s="161"/>
      <c r="X239" s="161"/>
      <c r="Y239" s="161"/>
      <c r="Z239" s="161"/>
      <c r="AA239" s="161"/>
      <c r="AB239" s="161"/>
      <c r="AC239" s="161"/>
      <c r="AD239" s="161"/>
      <c r="AE239" s="161"/>
      <c r="AF239" s="163"/>
      <c r="AG239" s="163"/>
      <c r="AH239" s="163"/>
      <c r="AI239" s="163"/>
      <c r="AJ239" s="163"/>
      <c r="AK239" s="163"/>
      <c r="AL239" s="163"/>
      <c r="AM239" s="163"/>
      <c r="AN239" s="163"/>
      <c r="AO239" s="163"/>
      <c r="AP239" s="163"/>
      <c r="AQ239" s="163"/>
      <c r="AR239" s="163"/>
      <c r="AS239" s="163"/>
      <c r="AT239" s="163"/>
      <c r="AU239" s="163"/>
      <c r="AV239" s="163"/>
      <c r="AW239" s="163"/>
      <c r="AX239" s="163"/>
      <c r="AY239" s="163"/>
      <c r="AZ239" s="163"/>
      <c r="BA239" s="163"/>
      <c r="BB239" s="163"/>
      <c r="BC239" s="163" t="b">
        <v>0</v>
      </c>
      <c r="BD239" s="163" t="b">
        <v>1</v>
      </c>
      <c r="BE239" s="163" t="b">
        <v>1</v>
      </c>
      <c r="BF239" s="163" t="b">
        <v>0</v>
      </c>
      <c r="BG239" s="164" t="b">
        <v>0</v>
      </c>
      <c r="BH239" s="163" t="b">
        <v>1</v>
      </c>
      <c r="BI239" s="163"/>
      <c r="BJ239" s="163"/>
      <c r="BK239" s="163"/>
      <c r="BL239" s="163"/>
      <c r="BM239" s="163"/>
      <c r="BN239" s="163"/>
      <c r="BO239" s="163"/>
      <c r="BP239" s="163"/>
      <c r="BQ239" s="166" t="b">
        <v>0</v>
      </c>
      <c r="BR239" s="163"/>
      <c r="BS239" s="163"/>
      <c r="BT239" s="163"/>
      <c r="BU239" s="163"/>
      <c r="BV239" s="163"/>
      <c r="BW239" s="163"/>
      <c r="BX239" s="163"/>
      <c r="BY239" s="163"/>
      <c r="BZ239" s="163"/>
      <c r="CA239" s="163"/>
      <c r="CB239" s="163"/>
      <c r="CC239" s="163"/>
      <c r="CD239" s="163"/>
      <c r="CE239" s="163"/>
      <c r="CF239" s="163"/>
      <c r="CG239" s="163"/>
      <c r="CH239" s="163"/>
      <c r="CI239" s="163"/>
      <c r="CJ239" s="163"/>
      <c r="CK239" s="163"/>
      <c r="CL239" s="163"/>
      <c r="CM239" s="163"/>
      <c r="CN239" s="163"/>
      <c r="CO239" s="163"/>
      <c r="CP239" s="163"/>
      <c r="CQ239" s="163"/>
      <c r="CR239" s="163"/>
      <c r="CS239" s="163"/>
      <c r="CT239" s="163"/>
      <c r="CU239" s="163"/>
      <c r="CV239" s="163"/>
      <c r="CW239" s="163"/>
      <c r="CX239" s="163"/>
      <c r="CY239" s="163"/>
      <c r="CZ239" s="163"/>
      <c r="DA239" s="163"/>
      <c r="DB239" s="163"/>
      <c r="DC239" s="163"/>
      <c r="DD239" s="163"/>
      <c r="DE239" s="163"/>
      <c r="DF239" s="163"/>
      <c r="DG239" s="208"/>
      <c r="DH239" s="163"/>
      <c r="DI239" s="163"/>
      <c r="DJ239" s="163"/>
      <c r="DK239" s="163"/>
      <c r="DL239" s="163"/>
      <c r="DM239" s="163"/>
      <c r="DN239" s="163"/>
      <c r="DO239" s="163"/>
      <c r="DP239" s="163"/>
      <c r="DQ239" s="163"/>
      <c r="DR239" s="163"/>
      <c r="DS239" s="163"/>
      <c r="DT239" s="163"/>
      <c r="DU239" s="163"/>
      <c r="DV239" s="163"/>
      <c r="DW239" s="163"/>
      <c r="DX239" s="163"/>
      <c r="DY239" s="163"/>
      <c r="DZ239" s="163"/>
      <c r="EA239" s="163"/>
      <c r="EB239" s="163"/>
      <c r="EC239" s="163"/>
      <c r="ED239" s="163"/>
      <c r="EE239" s="163"/>
      <c r="EF239" s="163"/>
      <c r="EG239" s="163"/>
      <c r="EH239" s="160">
        <f>IF([Chambre]*1='CHAMBRES FILLES 2e ETAGE'!$A$5,1,0)</f>
        <v>0</v>
      </c>
      <c r="EI239" s="161">
        <f>IF([Occurrence2]=0,0,SUM($EH$2:EH239))</f>
        <v>0</v>
      </c>
      <c r="EJ239" s="160">
        <f>IF([Chambre]*1='CHAMBRES FILLES 2e ETAGE'!$A$11,1,0)</f>
        <v>0</v>
      </c>
      <c r="EK239" s="160">
        <f>IF([Occurrence3]=0,0,SUM($EJ$2:EJ239))</f>
        <v>0</v>
      </c>
      <c r="EL239" s="160">
        <f>IF([Chambre]*1='CHAMBRES FILLES 2e ETAGE'!$A$17,1,0)</f>
        <v>0</v>
      </c>
      <c r="EM239" s="160">
        <f>IF([Occurrence4]=0,0,SUM($EL$2:EL239))</f>
        <v>0</v>
      </c>
      <c r="EN239" s="160">
        <f>IF([Chambre]*1='CHAMBRES FILLES 2e ETAGE'!$A$23,1,0)</f>
        <v>0</v>
      </c>
      <c r="EO239" s="160">
        <f>IF([Occurrence5]=0,0,SUM($EN$2:EN239))</f>
        <v>0</v>
      </c>
      <c r="EP239" s="160">
        <f>IF([Chambre]*1='CHAMBRES FILLES 2e ETAGE'!$A$29,1,0)</f>
        <v>0</v>
      </c>
      <c r="EQ239" s="160">
        <f>IF([Occurrence6]=0,0,SUM($EP$2:EP239))</f>
        <v>0</v>
      </c>
      <c r="ER239" s="160">
        <f>IF([Chambre]*1='CHAMBRES FILLES 2e ETAGE'!$A$35,1,0)</f>
        <v>0</v>
      </c>
      <c r="ES239" s="160">
        <f>IF([Occurrence7]=0,0,SUM($ER$2:ER239))</f>
        <v>0</v>
      </c>
      <c r="ET239" s="160">
        <f>IF([Chambre]*1='CHAMBRES FILLES 2e ETAGE'!$A$41,1,0)</f>
        <v>0</v>
      </c>
      <c r="EU239" s="160">
        <f>IF([Occurrence8]=0,0,SUM($ET$2:ET239))</f>
        <v>0</v>
      </c>
      <c r="EV239" s="160">
        <f>IF([Chambre]*1='CHAMBRES FILLES 2e ETAGE'!$A$47,1,0)</f>
        <v>0</v>
      </c>
      <c r="EW239" s="160">
        <f>IF([Occurrence9]=0,0,SUM($EV$2:EV239))</f>
        <v>0</v>
      </c>
      <c r="EX239" s="160">
        <f>IF([Chambre]*1='CHAMBRES FILLES 2e ETAGE'!$A$53,1,0)</f>
        <v>0</v>
      </c>
      <c r="EY239" s="160">
        <f>IF([Occurrence10]=0,0,SUM($EX$2:EX239))</f>
        <v>0</v>
      </c>
      <c r="EZ239" s="160">
        <f>IF([Chambre]*1='CHAMBRES FILLES 2e ETAGE'!$A$59,1,0)</f>
        <v>0</v>
      </c>
      <c r="FA239" s="160">
        <f>IF([Occurrence11]=0,0,SUM($EZ$2:EZ239))</f>
        <v>0</v>
      </c>
      <c r="FB239" s="160">
        <f>IF([Chambre]*1='CHAMBRES FILLES 2e ETAGE'!$A$65,1,0)</f>
        <v>0</v>
      </c>
      <c r="FC239" s="160">
        <f>IF([Occurrence12]=0,0,SUM($FB$2:FB239))</f>
        <v>0</v>
      </c>
      <c r="FD239" s="160">
        <f>IF([Chambre]*1='CHAMBRES FILLES 2e ETAGE'!$A$71,1,0)</f>
        <v>0</v>
      </c>
      <c r="FE239" s="160">
        <f>IF([Occurrence13]=0,0,SUM($FD$2:FD239))</f>
        <v>0</v>
      </c>
      <c r="FF239" s="160">
        <f>IF([Chambre]*1='CHAMBRES FILLES 2e ETAGE'!$A$77,1,0)</f>
        <v>0</v>
      </c>
      <c r="FG239" s="160">
        <f>IF([Occurrence14]=0,0,SUM($FF$2:FF239))</f>
        <v>0</v>
      </c>
      <c r="FH239" s="160">
        <f>IF([Chambre]*1='CHAMBRES FILLES 2e ETAGE'!$A$83,1,0)</f>
        <v>0</v>
      </c>
      <c r="FI239" s="160">
        <f>IF([Occurrence15]=0,0,SUM($FH$2:FH239))</f>
        <v>0</v>
      </c>
      <c r="FJ239" s="160">
        <f>IF([Chambre]*1='CHAMBRES FILLES 2e ETAGE'!$A$89,1,0)</f>
        <v>0</v>
      </c>
      <c r="FK239" s="160">
        <f>IF([Occurrence16]=0,0,SUM($FJ$2:FJ239))</f>
        <v>0</v>
      </c>
      <c r="FL239" s="160">
        <f>IF([Chambre]*1='CHAMBRES FILLES 2e ETAGE'!$A$95,1,0)</f>
        <v>0</v>
      </c>
      <c r="FM239" s="160">
        <f>IF([Occurrence17]=0,0,SUM($FL$2:FL239))</f>
        <v>0</v>
      </c>
      <c r="FN239" s="160">
        <f>IF([Chambre2]*1='CHAMBRES FILLES 1e ETAGE'!$A$5,1,0)</f>
        <v>0</v>
      </c>
      <c r="FO239" s="160">
        <f>IF([Occurrence18]=0,0,SUM($FN$2:FN239))</f>
        <v>0</v>
      </c>
      <c r="FP239" s="160">
        <f>IF([Chambre2]*1='CHAMBRES FILLES 1e ETAGE'!$A$11,1,0)</f>
        <v>0</v>
      </c>
      <c r="FQ239" s="160">
        <f>IF([Occurrence19]=0,0,SUM($FP$2:FP239))</f>
        <v>0</v>
      </c>
      <c r="FR239" s="160">
        <f>IF([Chambre2]*1='CHAMBRES FILLES 1e ETAGE'!$A$17,1,0)</f>
        <v>0</v>
      </c>
      <c r="FS239" s="160">
        <f>IF([Occurrence20]=0,0,SUM($FR$2:FR239))</f>
        <v>0</v>
      </c>
      <c r="FT239" s="160">
        <f>IF([Chambre2]*1='CHAMBRES FILLES 1e ETAGE'!$A$23,1,0)</f>
        <v>0</v>
      </c>
      <c r="FU239" s="160">
        <f>IF([Occurrence21]=0,0,SUM($FT$2:FT239))</f>
        <v>0</v>
      </c>
      <c r="FV239" s="160">
        <f>IF([Chambre2]*1='CHAMBRES FILLES 1e ETAGE'!$A$29,1,0)</f>
        <v>0</v>
      </c>
      <c r="FW239" s="160">
        <f>IF([Occurrence22]=0,0,SUM($FV$2:FV239))</f>
        <v>0</v>
      </c>
      <c r="FX239" s="160">
        <f>IF([Chambre2]*1='CHAMBRES FILLES 1e ETAGE'!$A$35,1,0)</f>
        <v>0</v>
      </c>
      <c r="FY239" s="160">
        <f>IF([Occurrence23]=0,0,SUM($FX$2:FX239))</f>
        <v>0</v>
      </c>
      <c r="FZ239" s="160">
        <f>IF([Chambre2]*1='CHAMBRES FILLES 1e ETAGE'!$A$41,1,0)</f>
        <v>0</v>
      </c>
      <c r="GA239" s="160">
        <f>IF([Occurrence24]=0,0,SUM($FZ$2:FZ239))</f>
        <v>0</v>
      </c>
      <c r="GB239" s="160">
        <f>IF([Chambre2]*1='CHAMBRES FILLES 1e ETAGE'!$A$47,1,0)</f>
        <v>1</v>
      </c>
      <c r="GC239" s="160">
        <f>IF([Occurrence25]=0,0,SUM($GB$2:GB239))</f>
        <v>3</v>
      </c>
      <c r="GD239" s="160">
        <f>IF([Chambre2]*1='CHAMBRES FILLES 1e ETAGE'!$A$53,1,0)</f>
        <v>0</v>
      </c>
      <c r="GE239" s="160">
        <f>IF([Occurrence26]=0,0,SUM($GD$2:GD239))</f>
        <v>0</v>
      </c>
      <c r="GF239" s="160">
        <f>IF([chambre4]*1='CHAMBRES GARCONS 1e ETAGE'!$A$5,1,0)</f>
        <v>0</v>
      </c>
      <c r="GG239" s="160">
        <f>IF([Occurrence27]=0,0,SUM($GF$2:GF239))</f>
        <v>0</v>
      </c>
      <c r="GH239" s="160">
        <f>IF([chambre4]*1='CHAMBRES GARCONS 1e ETAGE'!$A$11,1,0)</f>
        <v>0</v>
      </c>
      <c r="GI239" s="160">
        <f>IF([Occurrence28]=0,0,SUM($GH$2:GH239))</f>
        <v>0</v>
      </c>
      <c r="GJ239" s="160">
        <f>IF([chambre4]*1='CHAMBRES GARCONS 1e ETAGE'!$A$17,1,0)</f>
        <v>0</v>
      </c>
      <c r="GK239" s="160">
        <f>IF([Occurrence29]=0,0,SUM($GJ$2:GJ239))</f>
        <v>0</v>
      </c>
      <c r="GL239" s="160">
        <f>IF([chambre4]*1='CHAMBRES GARCONS 1e ETAGE'!$A$23,1,0)</f>
        <v>0</v>
      </c>
      <c r="GM239" s="160">
        <f>IF([Occurrence30]=0,0,SUM($GL$2:GL239))</f>
        <v>0</v>
      </c>
      <c r="GN239" s="160">
        <f>IF([chambre4]*1='CHAMBRES GARCONS 1e ETAGE'!$A$29,1,0)</f>
        <v>0</v>
      </c>
      <c r="GO239" s="160">
        <f>IF([Occurrence31]=0,0,SUM($GN$2:GN239))</f>
        <v>0</v>
      </c>
      <c r="GP239" s="160">
        <f>IF([chambre4]*1='CHAMBRES GARCONS 1e ETAGE'!$A$35,1,0)</f>
        <v>0</v>
      </c>
      <c r="GQ239" s="160">
        <f>IF([Occurrence32]=0,0,SUM($GP$2:GP239))</f>
        <v>0</v>
      </c>
      <c r="GR239" s="160">
        <f>IF([chambre3]*1='CHAMBRES GARCONS RDC'!$A$5,1,0)</f>
        <v>0</v>
      </c>
      <c r="GS239" s="160">
        <f>IF([Occurrence33]=0,0,SUM($GR$2:GR239))</f>
        <v>0</v>
      </c>
      <c r="GT239" s="160">
        <f>IF([chambre3]*1='CHAMBRES GARCONS RDC'!$A$11,1,0)</f>
        <v>0</v>
      </c>
      <c r="GU239" s="160">
        <f>IF([Occurrence34]=0,0,SUM($GT$2:GT239))</f>
        <v>0</v>
      </c>
      <c r="GV239" s="160">
        <f>IF([chambre3]*1='CHAMBRES GARCONS RDC'!$A$17,1,0)</f>
        <v>0</v>
      </c>
      <c r="GW239" s="160">
        <f>IF([Occurrence35]=0,0,SUM($GV$2:GV239))</f>
        <v>0</v>
      </c>
      <c r="GX239" s="160">
        <f>IF([chambre3]*1='CHAMBRES GARCONS RDC'!$A$23,1,0)</f>
        <v>0</v>
      </c>
      <c r="GY239" s="160">
        <f>IF([Occurrence36]=0,0,SUM($GX$2:GX239))</f>
        <v>0</v>
      </c>
      <c r="GZ239" s="160">
        <f>IF([chambre3]*1='CHAMBRES GARCONS RDC'!$A$29,1,0)</f>
        <v>0</v>
      </c>
      <c r="HA239" s="160">
        <f>IF([Occurrence37]=0,0,SUM($GZ$2:GZ239))</f>
        <v>0</v>
      </c>
      <c r="HB239" s="160">
        <f>IF([chambre3]*1='CHAMBRES GARCONS RDC'!$A$35,1,0)</f>
        <v>0</v>
      </c>
      <c r="HC239" s="160">
        <f>IF([Occurrence38]=0,0,SUM($HB$2:HB239))</f>
        <v>0</v>
      </c>
      <c r="HD239" s="160">
        <f>IF([chambre3]*1='CHAMBRES GARCONS RDC'!$A$41,1,0)</f>
        <v>0</v>
      </c>
      <c r="HE239" s="160">
        <f>IF([Occurrence39]=0,0,SUM($HD$2:HD239))</f>
        <v>0</v>
      </c>
      <c r="HF239" s="160">
        <f>IF([chambre3]*1='CHAMBRES GARCONS RDC'!$A$47,1,0)</f>
        <v>0</v>
      </c>
      <c r="HG239" s="160">
        <f>IF([Occurrence40]=0,0,SUM($HF$2:HF239))</f>
        <v>0</v>
      </c>
      <c r="HH239" s="160">
        <f>IF([chambre3]*1='CHAMBRES GARCONS RDC'!$A$53,1,0)</f>
        <v>0</v>
      </c>
      <c r="HI239" s="160">
        <f>IF([Occurrence41]=0,0,SUM($HH$2:HH239))</f>
        <v>0</v>
      </c>
      <c r="HJ239" s="160">
        <f>IF([chambre3]*1='CHAMBRES GARCONS RDC'!$A$59,1,0)</f>
        <v>0</v>
      </c>
      <c r="HK239" s="160">
        <f>IF([Occurrence42]=0,0,SUM($HJ$2:HJ239))</f>
        <v>0</v>
      </c>
      <c r="HL239" s="160">
        <f>IF([chambre3]*1='CHAMBRES GARCONS RDC'!$A$65,1,0)</f>
        <v>0</v>
      </c>
      <c r="HM239" s="160">
        <f>IF([Occurrence43]=0,0,SUM($HL$2:HL239))</f>
        <v>0</v>
      </c>
      <c r="HN239" s="160">
        <f>IF([chambre3]*1='CHAMBRES GARCONS RDC'!$A$71,1,0)</f>
        <v>0</v>
      </c>
      <c r="HO239" s="160">
        <f>IF([Occurrence44]=0,0,SUM($HN$2:HN239))</f>
        <v>0</v>
      </c>
      <c r="HP239" s="160">
        <f>IF([chambre3]*1='CHAMBRES GARCONS RDC'!$A$77,1,0)</f>
        <v>0</v>
      </c>
      <c r="HQ239" s="160">
        <f>IF([Occurrence45]=0,0,SUM($HP$2:HP239))</f>
        <v>0</v>
      </c>
      <c r="HR239" s="160">
        <f>IF([chambre3]*1='CHAMBRES GARCONS RDC'!$A$83,1,0)</f>
        <v>0</v>
      </c>
      <c r="HS239" s="160">
        <f>IF([Occurrence46]=0,0,SUM($HR$2:HR239))</f>
        <v>0</v>
      </c>
      <c r="HT239" s="160">
        <f>IF([chambre3]*1='CHAMBRES GARCONS RDC'!$A$89,1,0)</f>
        <v>0</v>
      </c>
      <c r="HU239" s="160">
        <f>IF([Occurrence47]=0,0,SUM($HT$2:HT239))</f>
        <v>0</v>
      </c>
      <c r="HV239" s="160">
        <f>IF([chambre3]*1='CHAMBRES GARCONS RDC'!$A$95,1,0)</f>
        <v>0</v>
      </c>
      <c r="HW239" s="160">
        <f>IF([Occurrence48]=0,0,SUM($HV$2:HV239))</f>
        <v>0</v>
      </c>
      <c r="HX239" s="160"/>
      <c r="HY239" s="160"/>
      <c r="HZ239" s="160">
        <f>IF([Classe]='Liste élève par classes'!$B$5,1,0)</f>
        <v>0</v>
      </c>
      <c r="IA239" s="160">
        <f>IF([Occurrence]=0,0,SUM($HZ$2:HZ239))</f>
        <v>0</v>
      </c>
      <c r="IB23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144</v>
      </c>
      <c r="IC239" s="208"/>
    </row>
    <row r="240" spans="1:237">
      <c r="A240" t="s">
        <v>637</v>
      </c>
      <c r="B240" t="s">
        <v>286</v>
      </c>
      <c r="C240" s="158">
        <v>36649</v>
      </c>
      <c r="D240" s="62">
        <f t="shared" ca="1" si="3"/>
        <v>17</v>
      </c>
      <c r="E240" t="s">
        <v>1</v>
      </c>
      <c r="F240" s="159" t="s">
        <v>50</v>
      </c>
      <c r="G240" t="s">
        <v>40</v>
      </c>
      <c r="H240" s="160"/>
      <c r="I240" s="161"/>
      <c r="J240" s="161"/>
      <c r="K240" s="161"/>
      <c r="L240" s="160"/>
      <c r="M240">
        <v>232</v>
      </c>
      <c r="N240" s="161"/>
      <c r="O240" s="161"/>
      <c r="P240" s="161"/>
      <c r="Q240" s="161"/>
      <c r="R240" s="161"/>
      <c r="S240" s="190"/>
      <c r="T240" s="161"/>
      <c r="U240" s="160"/>
      <c r="V240" s="161"/>
      <c r="W240" s="161"/>
      <c r="X240" s="161"/>
      <c r="Y240" s="161"/>
      <c r="Z240" s="161"/>
      <c r="AA240" s="161"/>
      <c r="AB240" s="161"/>
      <c r="AC240" s="161"/>
      <c r="AD240" s="161"/>
      <c r="AE240" s="161"/>
      <c r="AF240" s="163"/>
      <c r="AG240" s="163"/>
      <c r="AH240" s="163"/>
      <c r="AI240" s="163"/>
      <c r="AJ240" s="163"/>
      <c r="AK240" s="163"/>
      <c r="AL240" s="163"/>
      <c r="AM240" s="163"/>
      <c r="AN240" s="163"/>
      <c r="AO240" s="163"/>
      <c r="AP240" s="163"/>
      <c r="AQ240" s="163"/>
      <c r="AR240" s="163"/>
      <c r="AS240" s="163"/>
      <c r="AT240" s="163"/>
      <c r="AU240" s="163"/>
      <c r="AV240" s="163"/>
      <c r="AW240" s="163"/>
      <c r="AX240" s="163"/>
      <c r="AY240" s="163"/>
      <c r="AZ240" s="163"/>
      <c r="BA240" s="163"/>
      <c r="BB240" s="163"/>
      <c r="BC240" s="163" t="b">
        <v>0</v>
      </c>
      <c r="BD240" s="163" t="b">
        <v>1</v>
      </c>
      <c r="BE240" s="163" t="b">
        <v>1</v>
      </c>
      <c r="BF240" s="163" t="b">
        <v>0</v>
      </c>
      <c r="BG240" s="164" t="b">
        <v>0</v>
      </c>
      <c r="BH240" s="163" t="b">
        <v>1</v>
      </c>
      <c r="BI240" s="163"/>
      <c r="BJ240" s="163"/>
      <c r="BK240" s="163"/>
      <c r="BL240" s="163"/>
      <c r="BM240" s="163"/>
      <c r="BN240" s="163"/>
      <c r="BO240" s="163"/>
      <c r="BP240" s="163"/>
      <c r="BQ240" s="166" t="b">
        <v>0</v>
      </c>
      <c r="BR240" s="163"/>
      <c r="BS240" s="163"/>
      <c r="BT240" s="163"/>
      <c r="BU240" s="163"/>
      <c r="BV240" s="163"/>
      <c r="BW240" s="163"/>
      <c r="BX240" s="163"/>
      <c r="BY240" s="163"/>
      <c r="BZ240" s="163"/>
      <c r="CA240" s="163"/>
      <c r="CB240" s="163"/>
      <c r="CC240" s="163"/>
      <c r="CD240" s="163"/>
      <c r="CE240" s="163"/>
      <c r="CF240" s="163"/>
      <c r="CG240" s="163"/>
      <c r="CH240" s="163"/>
      <c r="CI240" s="163"/>
      <c r="CJ240" s="163"/>
      <c r="CK240" s="163"/>
      <c r="CL240" s="163"/>
      <c r="CM240" s="163"/>
      <c r="CN240" s="163"/>
      <c r="CO240" s="163"/>
      <c r="CP240" s="163"/>
      <c r="CQ240" s="163"/>
      <c r="CR240" s="163"/>
      <c r="CS240" s="163"/>
      <c r="CT240" s="163"/>
      <c r="CU240" s="163"/>
      <c r="CV240" s="163"/>
      <c r="CW240" s="163"/>
      <c r="CX240" s="163"/>
      <c r="CY240" s="163"/>
      <c r="CZ240" s="163"/>
      <c r="DA240" s="163">
        <v>117</v>
      </c>
      <c r="DB240" s="163"/>
      <c r="DC240" s="163"/>
      <c r="DD240" s="163"/>
      <c r="DE240" s="163"/>
      <c r="DF240" s="163"/>
      <c r="DG240" s="208"/>
      <c r="DH240" s="163"/>
      <c r="DI240" s="163"/>
      <c r="DJ240" s="163"/>
      <c r="DK240" s="163"/>
      <c r="DL240" s="163"/>
      <c r="DM240" s="163"/>
      <c r="DN240" s="163"/>
      <c r="DO240" s="163"/>
      <c r="DP240" s="163"/>
      <c r="DQ240" s="163"/>
      <c r="DR240" s="163"/>
      <c r="DS240" s="163"/>
      <c r="DT240" s="163"/>
      <c r="DU240" s="163"/>
      <c r="DV240" s="163"/>
      <c r="DW240" s="163"/>
      <c r="DX240" s="163"/>
      <c r="DY240" s="163"/>
      <c r="DZ240" s="163"/>
      <c r="EA240" s="163"/>
      <c r="EB240" s="163"/>
      <c r="EC240" s="163"/>
      <c r="ED240" s="163"/>
      <c r="EE240" s="163"/>
      <c r="EF240" s="163"/>
      <c r="EG240" s="163"/>
      <c r="EH240" s="160">
        <f>IF([Chambre]*1='CHAMBRES FILLES 2e ETAGE'!$A$5,1,0)</f>
        <v>0</v>
      </c>
      <c r="EI240" s="161">
        <f>IF([Occurrence2]=0,0,SUM($EH$2:EH240))</f>
        <v>0</v>
      </c>
      <c r="EJ240" s="160">
        <f>IF([Chambre]*1='CHAMBRES FILLES 2e ETAGE'!$A$11,1,0)</f>
        <v>0</v>
      </c>
      <c r="EK240" s="160">
        <f>IF([Occurrence3]=0,0,SUM($EJ$2:EJ240))</f>
        <v>0</v>
      </c>
      <c r="EL240" s="160">
        <f>IF([Chambre]*1='CHAMBRES FILLES 2e ETAGE'!$A$17,1,0)</f>
        <v>0</v>
      </c>
      <c r="EM240" s="160">
        <f>IF([Occurrence4]=0,0,SUM($EL$2:EL240))</f>
        <v>0</v>
      </c>
      <c r="EN240" s="160">
        <f>IF([Chambre]*1='CHAMBRES FILLES 2e ETAGE'!$A$23,1,0)</f>
        <v>0</v>
      </c>
      <c r="EO240" s="160">
        <f>IF([Occurrence5]=0,0,SUM($EN$2:EN240))</f>
        <v>0</v>
      </c>
      <c r="EP240" s="160">
        <f>IF([Chambre]*1='CHAMBRES FILLES 2e ETAGE'!$A$29,1,0)</f>
        <v>0</v>
      </c>
      <c r="EQ240" s="160">
        <f>IF([Occurrence6]=0,0,SUM($EP$2:EP240))</f>
        <v>0</v>
      </c>
      <c r="ER240" s="160">
        <f>IF([Chambre]*1='CHAMBRES FILLES 2e ETAGE'!$A$35,1,0)</f>
        <v>0</v>
      </c>
      <c r="ES240" s="160">
        <f>IF([Occurrence7]=0,0,SUM($ER$2:ER240))</f>
        <v>0</v>
      </c>
      <c r="ET240" s="160">
        <f>IF([Chambre]*1='CHAMBRES FILLES 2e ETAGE'!$A$41,1,0)</f>
        <v>0</v>
      </c>
      <c r="EU240" s="160">
        <f>IF([Occurrence8]=0,0,SUM($ET$2:ET240))</f>
        <v>0</v>
      </c>
      <c r="EV240" s="160">
        <f>IF([Chambre]*1='CHAMBRES FILLES 2e ETAGE'!$A$47,1,0)</f>
        <v>0</v>
      </c>
      <c r="EW240" s="160">
        <f>IF([Occurrence9]=0,0,SUM($EV$2:EV240))</f>
        <v>0</v>
      </c>
      <c r="EX240" s="160">
        <f>IF([Chambre]*1='CHAMBRES FILLES 2e ETAGE'!$A$53,1,0)</f>
        <v>0</v>
      </c>
      <c r="EY240" s="160">
        <f>IF([Occurrence10]=0,0,SUM($EX$2:EX240))</f>
        <v>0</v>
      </c>
      <c r="EZ240" s="160">
        <f>IF([Chambre]*1='CHAMBRES FILLES 2e ETAGE'!$A$59,1,0)</f>
        <v>0</v>
      </c>
      <c r="FA240" s="160">
        <f>IF([Occurrence11]=0,0,SUM($EZ$2:EZ240))</f>
        <v>0</v>
      </c>
      <c r="FB240" s="160">
        <f>IF([Chambre]*1='CHAMBRES FILLES 2e ETAGE'!$A$65,1,0)</f>
        <v>0</v>
      </c>
      <c r="FC240" s="160">
        <f>IF([Occurrence12]=0,0,SUM($FB$2:FB240))</f>
        <v>0</v>
      </c>
      <c r="FD240" s="160">
        <f>IF([Chambre]*1='CHAMBRES FILLES 2e ETAGE'!$A$71,1,0)</f>
        <v>0</v>
      </c>
      <c r="FE240" s="160">
        <f>IF([Occurrence13]=0,0,SUM($FD$2:FD240))</f>
        <v>0</v>
      </c>
      <c r="FF240" s="160">
        <f>IF([Chambre]*1='CHAMBRES FILLES 2e ETAGE'!$A$77,1,0)</f>
        <v>0</v>
      </c>
      <c r="FG240" s="160">
        <f>IF([Occurrence14]=0,0,SUM($FF$2:FF240))</f>
        <v>0</v>
      </c>
      <c r="FH240" s="160">
        <f>IF([Chambre]*1='CHAMBRES FILLES 2e ETAGE'!$A$83,1,0)</f>
        <v>0</v>
      </c>
      <c r="FI240" s="160">
        <f>IF([Occurrence15]=0,0,SUM($FH$2:FH240))</f>
        <v>0</v>
      </c>
      <c r="FJ240" s="160">
        <f>IF([Chambre]*1='CHAMBRES FILLES 2e ETAGE'!$A$89,1,0)</f>
        <v>0</v>
      </c>
      <c r="FK240" s="160">
        <f>IF([Occurrence16]=0,0,SUM($FJ$2:FJ240))</f>
        <v>0</v>
      </c>
      <c r="FL240" s="160">
        <f>IF([Chambre]*1='CHAMBRES FILLES 2e ETAGE'!$A$95,1,0)</f>
        <v>0</v>
      </c>
      <c r="FM240" s="160">
        <f>IF([Occurrence17]=0,0,SUM($FL$2:FL240))</f>
        <v>0</v>
      </c>
      <c r="FN240" s="160">
        <f>IF([Chambre2]*1='CHAMBRES FILLES 1e ETAGE'!$A$5,1,0)</f>
        <v>0</v>
      </c>
      <c r="FO240" s="160">
        <f>IF([Occurrence18]=0,0,SUM($FN$2:FN240))</f>
        <v>0</v>
      </c>
      <c r="FP240" s="160">
        <f>IF([Chambre2]*1='CHAMBRES FILLES 1e ETAGE'!$A$11,1,0)</f>
        <v>0</v>
      </c>
      <c r="FQ240" s="160">
        <f>IF([Occurrence19]=0,0,SUM($FP$2:FP240))</f>
        <v>0</v>
      </c>
      <c r="FR240" s="160">
        <f>IF([Chambre2]*1='CHAMBRES FILLES 1e ETAGE'!$A$17,1,0)</f>
        <v>0</v>
      </c>
      <c r="FS240" s="160">
        <f>IF([Occurrence20]=0,0,SUM($FR$2:FR240))</f>
        <v>0</v>
      </c>
      <c r="FT240" s="160">
        <f>IF([Chambre2]*1='CHAMBRES FILLES 1e ETAGE'!$A$23,1,0)</f>
        <v>0</v>
      </c>
      <c r="FU240" s="160">
        <f>IF([Occurrence21]=0,0,SUM($FT$2:FT240))</f>
        <v>0</v>
      </c>
      <c r="FV240" s="160">
        <f>IF([Chambre2]*1='CHAMBRES FILLES 1e ETAGE'!$A$29,1,0)</f>
        <v>0</v>
      </c>
      <c r="FW240" s="160">
        <f>IF([Occurrence22]=0,0,SUM($FV$2:FV240))</f>
        <v>0</v>
      </c>
      <c r="FX240" s="160">
        <f>IF([Chambre2]*1='CHAMBRES FILLES 1e ETAGE'!$A$35,1,0)</f>
        <v>0</v>
      </c>
      <c r="FY240" s="160">
        <f>IF([Occurrence23]=0,0,SUM($FX$2:FX240))</f>
        <v>0</v>
      </c>
      <c r="FZ240" s="160">
        <f>IF([Chambre2]*1='CHAMBRES FILLES 1e ETAGE'!$A$41,1,0)</f>
        <v>0</v>
      </c>
      <c r="GA240" s="160">
        <f>IF([Occurrence24]=0,0,SUM($FZ$2:FZ240))</f>
        <v>0</v>
      </c>
      <c r="GB240" s="160">
        <f>IF([Chambre2]*1='CHAMBRES FILLES 1e ETAGE'!$A$47,1,0)</f>
        <v>0</v>
      </c>
      <c r="GC240" s="160">
        <f>IF([Occurrence25]=0,0,SUM($GB$2:GB240))</f>
        <v>0</v>
      </c>
      <c r="GD240" s="160">
        <f>IF([Chambre2]*1='CHAMBRES FILLES 1e ETAGE'!$A$53,1,0)</f>
        <v>0</v>
      </c>
      <c r="GE240" s="160">
        <f>IF([Occurrence26]=0,0,SUM($GD$2:GD240))</f>
        <v>0</v>
      </c>
      <c r="GF240" s="160">
        <f>IF([chambre4]*1='CHAMBRES GARCONS 1e ETAGE'!$A$5,1,0)</f>
        <v>0</v>
      </c>
      <c r="GG240" s="160">
        <f>IF([Occurrence27]=0,0,SUM($GF$2:GF240))</f>
        <v>0</v>
      </c>
      <c r="GH240" s="160">
        <f>IF([chambre4]*1='CHAMBRES GARCONS 1e ETAGE'!$A$11,1,0)</f>
        <v>0</v>
      </c>
      <c r="GI240" s="160">
        <f>IF([Occurrence28]=0,0,SUM($GH$2:GH240))</f>
        <v>0</v>
      </c>
      <c r="GJ240" s="160">
        <f>IF([chambre4]*1='CHAMBRES GARCONS 1e ETAGE'!$A$17,1,0)</f>
        <v>0</v>
      </c>
      <c r="GK240" s="160">
        <f>IF([Occurrence29]=0,0,SUM($GJ$2:GJ240))</f>
        <v>0</v>
      </c>
      <c r="GL240" s="160">
        <f>IF([chambre4]*1='CHAMBRES GARCONS 1e ETAGE'!$A$23,1,0)</f>
        <v>0</v>
      </c>
      <c r="GM240" s="160">
        <f>IF([Occurrence30]=0,0,SUM($GL$2:GL240))</f>
        <v>0</v>
      </c>
      <c r="GN240" s="160">
        <f>IF([chambre4]*1='CHAMBRES GARCONS 1e ETAGE'!$A$29,1,0)</f>
        <v>0</v>
      </c>
      <c r="GO240" s="160">
        <f>IF([Occurrence31]=0,0,SUM($GN$2:GN240))</f>
        <v>0</v>
      </c>
      <c r="GP240" s="160">
        <f>IF([chambre4]*1='CHAMBRES GARCONS 1e ETAGE'!$A$35,1,0)</f>
        <v>0</v>
      </c>
      <c r="GQ240" s="160">
        <f>IF([Occurrence32]=0,0,SUM($GP$2:GP240))</f>
        <v>0</v>
      </c>
      <c r="GR240" s="160">
        <f>IF([chambre3]*1='CHAMBRES GARCONS RDC'!$A$5,1,0)</f>
        <v>0</v>
      </c>
      <c r="GS240" s="160">
        <f>IF([Occurrence33]=0,0,SUM($GR$2:GR240))</f>
        <v>0</v>
      </c>
      <c r="GT240" s="160">
        <f>IF([chambre3]*1='CHAMBRES GARCONS RDC'!$A$11,1,0)</f>
        <v>0</v>
      </c>
      <c r="GU240" s="160">
        <f>IF([Occurrence34]=0,0,SUM($GT$2:GT240))</f>
        <v>0</v>
      </c>
      <c r="GV240" s="160">
        <f>IF([chambre3]*1='CHAMBRES GARCONS RDC'!$A$17,1,0)</f>
        <v>0</v>
      </c>
      <c r="GW240" s="160">
        <f>IF([Occurrence35]=0,0,SUM($GV$2:GV240))</f>
        <v>0</v>
      </c>
      <c r="GX240" s="160">
        <f>IF([chambre3]*1='CHAMBRES GARCONS RDC'!$A$23,1,0)</f>
        <v>0</v>
      </c>
      <c r="GY240" s="160">
        <f>IF([Occurrence36]=0,0,SUM($GX$2:GX240))</f>
        <v>0</v>
      </c>
      <c r="GZ240" s="160">
        <f>IF([chambre3]*1='CHAMBRES GARCONS RDC'!$A$29,1,0)</f>
        <v>0</v>
      </c>
      <c r="HA240" s="160">
        <f>IF([Occurrence37]=0,0,SUM($GZ$2:GZ240))</f>
        <v>0</v>
      </c>
      <c r="HB240" s="160">
        <f>IF([chambre3]*1='CHAMBRES GARCONS RDC'!$A$35,1,0)</f>
        <v>0</v>
      </c>
      <c r="HC240" s="160">
        <f>IF([Occurrence38]=0,0,SUM($HB$2:HB240))</f>
        <v>0</v>
      </c>
      <c r="HD240" s="160">
        <f>IF([chambre3]*1='CHAMBRES GARCONS RDC'!$A$41,1,0)</f>
        <v>0</v>
      </c>
      <c r="HE240" s="160">
        <f>IF([Occurrence39]=0,0,SUM($HD$2:HD240))</f>
        <v>0</v>
      </c>
      <c r="HF240" s="160">
        <f>IF([chambre3]*1='CHAMBRES GARCONS RDC'!$A$47,1,0)</f>
        <v>0</v>
      </c>
      <c r="HG240" s="160">
        <f>IF([Occurrence40]=0,0,SUM($HF$2:HF240))</f>
        <v>0</v>
      </c>
      <c r="HH240" s="160">
        <f>IF([chambre3]*1='CHAMBRES GARCONS RDC'!$A$53,1,0)</f>
        <v>1</v>
      </c>
      <c r="HI240" s="160">
        <f>IF([Occurrence41]=0,0,SUM($HH$2:HH240))</f>
        <v>4</v>
      </c>
      <c r="HJ240" s="160">
        <f>IF([chambre3]*1='CHAMBRES GARCONS RDC'!$A$59,1,0)</f>
        <v>0</v>
      </c>
      <c r="HK240" s="160">
        <f>IF([Occurrence42]=0,0,SUM($HJ$2:HJ240))</f>
        <v>0</v>
      </c>
      <c r="HL240" s="160">
        <f>IF([chambre3]*1='CHAMBRES GARCONS RDC'!$A$65,1,0)</f>
        <v>0</v>
      </c>
      <c r="HM240" s="160">
        <f>IF([Occurrence43]=0,0,SUM($HL$2:HL240))</f>
        <v>0</v>
      </c>
      <c r="HN240" s="160">
        <f>IF([chambre3]*1='CHAMBRES GARCONS RDC'!$A$71,1,0)</f>
        <v>0</v>
      </c>
      <c r="HO240" s="160">
        <f>IF([Occurrence44]=0,0,SUM($HN$2:HN240))</f>
        <v>0</v>
      </c>
      <c r="HP240" s="160">
        <f>IF([chambre3]*1='CHAMBRES GARCONS RDC'!$A$77,1,0)</f>
        <v>0</v>
      </c>
      <c r="HQ240" s="160">
        <f>IF([Occurrence45]=0,0,SUM($HP$2:HP240))</f>
        <v>0</v>
      </c>
      <c r="HR240" s="160">
        <f>IF([chambre3]*1='CHAMBRES GARCONS RDC'!$A$83,1,0)</f>
        <v>0</v>
      </c>
      <c r="HS240" s="160">
        <f>IF([Occurrence46]=0,0,SUM($HR$2:HR240))</f>
        <v>0</v>
      </c>
      <c r="HT240" s="160">
        <f>IF([chambre3]*1='CHAMBRES GARCONS RDC'!$A$89,1,0)</f>
        <v>0</v>
      </c>
      <c r="HU240" s="160">
        <f>IF([Occurrence47]=0,0,SUM($HT$2:HT240))</f>
        <v>0</v>
      </c>
      <c r="HV240" s="160">
        <f>IF([chambre3]*1='CHAMBRES GARCONS RDC'!$A$95,1,0)</f>
        <v>0</v>
      </c>
      <c r="HW240" s="160">
        <f>IF([Occurrence48]=0,0,SUM($HV$2:HV240))</f>
        <v>0</v>
      </c>
      <c r="HX240" s="160"/>
      <c r="HY240" s="160"/>
      <c r="HZ240" s="160">
        <f>IF([Classe]='Liste élève par classes'!$B$5,1,0)</f>
        <v>0</v>
      </c>
      <c r="IA240" s="160">
        <f>IF([Occurrence]=0,0,SUM($HZ$2:HZ240))</f>
        <v>0</v>
      </c>
      <c r="IB24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117</v>
      </c>
      <c r="IC240" s="208"/>
    </row>
    <row r="241" spans="1:237">
      <c r="A241" t="s">
        <v>638</v>
      </c>
      <c r="B241" t="s">
        <v>639</v>
      </c>
      <c r="C241" s="158" t="s">
        <v>774</v>
      </c>
      <c r="D241" s="62" t="s">
        <v>703</v>
      </c>
      <c r="E241" t="s">
        <v>6</v>
      </c>
      <c r="F241" s="159" t="s">
        <v>50</v>
      </c>
      <c r="G241" t="s">
        <v>40</v>
      </c>
      <c r="H241" s="160"/>
      <c r="I241" s="62"/>
      <c r="J241" s="62"/>
      <c r="K241" s="62"/>
      <c r="L241" s="61"/>
      <c r="M241" t="s">
        <v>775</v>
      </c>
      <c r="N241" s="62"/>
      <c r="O241" s="62"/>
      <c r="P241" s="62"/>
      <c r="Q241" s="62"/>
      <c r="R241" s="62"/>
      <c r="S241" s="191"/>
      <c r="T241" s="62"/>
      <c r="U241" s="61"/>
      <c r="V241" s="62"/>
      <c r="W241" s="62"/>
      <c r="X241" s="62"/>
      <c r="Y241" s="62"/>
      <c r="Z241" s="62"/>
      <c r="AA241" s="62"/>
      <c r="AB241" s="62"/>
      <c r="AC241" s="62"/>
      <c r="AD241" s="62"/>
      <c r="AE241" s="62"/>
      <c r="AF241" s="163"/>
      <c r="AG241" s="163"/>
      <c r="AH241" s="163"/>
      <c r="AI241" s="163" t="b">
        <v>0</v>
      </c>
      <c r="AJ241" s="163" t="b">
        <v>0</v>
      </c>
      <c r="AK241" s="163" t="b">
        <v>0</v>
      </c>
      <c r="AL241" s="163" t="b">
        <v>0</v>
      </c>
      <c r="AM241" s="163" t="b">
        <v>0</v>
      </c>
      <c r="AN241" s="163" t="b">
        <v>0</v>
      </c>
      <c r="AO241" s="163" t="b">
        <v>0</v>
      </c>
      <c r="AP241" s="163" t="b">
        <v>0</v>
      </c>
      <c r="AQ241" s="163" t="b">
        <v>0</v>
      </c>
      <c r="AR241" s="163" t="b">
        <v>0</v>
      </c>
      <c r="AS241" s="163" t="b">
        <v>0</v>
      </c>
      <c r="AT241" s="163" t="b">
        <v>0</v>
      </c>
      <c r="AU241" s="163" t="b">
        <v>0</v>
      </c>
      <c r="AV241" s="163" t="b">
        <v>0</v>
      </c>
      <c r="AW241" s="163" t="b">
        <v>0</v>
      </c>
      <c r="AX241" s="163" t="b">
        <v>0</v>
      </c>
      <c r="AY241" s="163" t="b">
        <v>0</v>
      </c>
      <c r="AZ241" s="163" t="b">
        <v>0</v>
      </c>
      <c r="BA241" s="163" t="b">
        <v>0</v>
      </c>
      <c r="BB241" s="163" t="b">
        <v>0</v>
      </c>
      <c r="BC241" s="163" t="b">
        <v>0</v>
      </c>
      <c r="BD241" s="163" t="b">
        <v>1</v>
      </c>
      <c r="BE241" s="163" t="b">
        <v>1</v>
      </c>
      <c r="BF241" s="163" t="b">
        <v>0</v>
      </c>
      <c r="BG241" s="164" t="b">
        <v>0</v>
      </c>
      <c r="BH241" s="163" t="b">
        <v>1</v>
      </c>
      <c r="BI241" s="163" t="b">
        <v>0</v>
      </c>
      <c r="BJ241" s="163" t="b">
        <v>0</v>
      </c>
      <c r="BK241" s="163" t="b">
        <v>0</v>
      </c>
      <c r="BL241" s="163" t="b">
        <v>0</v>
      </c>
      <c r="BM241" s="163"/>
      <c r="BN241" s="163" t="b">
        <v>0</v>
      </c>
      <c r="BO241" s="163" t="b">
        <v>0</v>
      </c>
      <c r="BP241" s="163"/>
      <c r="BQ241" s="166" t="b">
        <v>0</v>
      </c>
      <c r="BR241" s="163" t="b">
        <v>0</v>
      </c>
      <c r="BS241" s="163"/>
      <c r="BT241" s="163" t="b">
        <v>0</v>
      </c>
      <c r="BU241" s="163" t="b">
        <v>0</v>
      </c>
      <c r="BV241" s="163"/>
      <c r="BW241" s="163" t="b">
        <v>0</v>
      </c>
      <c r="BX241" s="163" t="b">
        <v>0</v>
      </c>
      <c r="BY241" s="163"/>
      <c r="BZ241" s="163" t="b">
        <v>0</v>
      </c>
      <c r="CA241" s="163" t="b">
        <v>0</v>
      </c>
      <c r="CB241" s="163"/>
      <c r="CC241" s="163" t="b">
        <v>0</v>
      </c>
      <c r="CD241" s="163" t="b">
        <v>0</v>
      </c>
      <c r="CE241" s="163"/>
      <c r="CF241" s="163" t="b">
        <v>0</v>
      </c>
      <c r="CG241" s="163" t="b">
        <v>0</v>
      </c>
      <c r="CH241" s="163"/>
      <c r="CI241" s="163" t="b">
        <v>0</v>
      </c>
      <c r="CJ241" s="163" t="b">
        <v>0</v>
      </c>
      <c r="CK241" s="163"/>
      <c r="CL241" s="163" t="b">
        <v>0</v>
      </c>
      <c r="CM241" s="163" t="b">
        <v>0</v>
      </c>
      <c r="CN241" s="163"/>
      <c r="CO241" s="163" t="b">
        <v>0</v>
      </c>
      <c r="CP241" s="163" t="b">
        <v>0</v>
      </c>
      <c r="CQ241" s="163"/>
      <c r="CR241" s="163" t="b">
        <v>0</v>
      </c>
      <c r="CS241" s="163" t="b">
        <v>0</v>
      </c>
      <c r="CT241" s="163" t="b">
        <v>0</v>
      </c>
      <c r="CU241" s="163" t="b">
        <v>0</v>
      </c>
      <c r="CV241" s="163"/>
      <c r="CW241" s="163" t="b">
        <v>0</v>
      </c>
      <c r="CX241" s="163" t="b">
        <v>0</v>
      </c>
      <c r="CY241" s="163" t="b">
        <v>0</v>
      </c>
      <c r="CZ241" s="163" t="b">
        <v>0</v>
      </c>
      <c r="DA241" s="163"/>
      <c r="DB241" s="163"/>
      <c r="DC241" s="163"/>
      <c r="DD241" s="163"/>
      <c r="DE241" s="163"/>
      <c r="DF241" s="163"/>
      <c r="DG241" s="208" t="s">
        <v>776</v>
      </c>
      <c r="DH241" s="163"/>
      <c r="DI241" s="163"/>
      <c r="DJ241" s="163"/>
      <c r="DK241" s="163"/>
      <c r="DL241" s="163"/>
      <c r="DM241" s="163" t="b">
        <v>0</v>
      </c>
      <c r="DN241" s="163" t="b">
        <v>0</v>
      </c>
      <c r="DO241" s="163" t="b">
        <v>0</v>
      </c>
      <c r="DP241" s="163" t="b">
        <v>0</v>
      </c>
      <c r="DQ241" s="163" t="b">
        <v>0</v>
      </c>
      <c r="DR241" s="163" t="b">
        <v>0</v>
      </c>
      <c r="DS241" s="163" t="b">
        <v>0</v>
      </c>
      <c r="DT241" s="163" t="b">
        <v>0</v>
      </c>
      <c r="DU241" s="163" t="b">
        <v>0</v>
      </c>
      <c r="DV241" s="163" t="b">
        <v>0</v>
      </c>
      <c r="DW241" s="163" t="b">
        <v>0</v>
      </c>
      <c r="DX241" s="163" t="b">
        <v>0</v>
      </c>
      <c r="DY241" s="163" t="b">
        <v>0</v>
      </c>
      <c r="DZ241" s="163" t="b">
        <v>0</v>
      </c>
      <c r="EA241" s="163" t="b">
        <v>0</v>
      </c>
      <c r="EB241" s="163" t="b">
        <v>0</v>
      </c>
      <c r="EC241" s="163" t="b">
        <v>0</v>
      </c>
      <c r="ED241" s="163" t="b">
        <v>0</v>
      </c>
      <c r="EE241" s="163" t="b">
        <v>0</v>
      </c>
      <c r="EF241" s="163" t="b">
        <v>0</v>
      </c>
      <c r="EG241" s="163"/>
      <c r="EH241" s="160">
        <f>IF([Chambre]*1='CHAMBRES FILLES 2e ETAGE'!$A$5,1,0)</f>
        <v>0</v>
      </c>
      <c r="EI241" s="161">
        <f>IF([Occurrence2]=0,0,SUM($EH$2:EH241))</f>
        <v>0</v>
      </c>
      <c r="EJ241" s="160">
        <f>IF([Chambre]*1='CHAMBRES FILLES 2e ETAGE'!$A$11,1,0)</f>
        <v>0</v>
      </c>
      <c r="EK241" s="160">
        <f>IF([Occurrence3]=0,0,SUM($EJ$2:EJ241))</f>
        <v>0</v>
      </c>
      <c r="EL241" s="160">
        <f>IF([Chambre]*1='CHAMBRES FILLES 2e ETAGE'!$A$17,1,0)</f>
        <v>0</v>
      </c>
      <c r="EM241" s="160">
        <f>IF([Occurrence4]=0,0,SUM($EL$2:EL241))</f>
        <v>0</v>
      </c>
      <c r="EN241" s="160">
        <f>IF([Chambre]*1='CHAMBRES FILLES 2e ETAGE'!$A$23,1,0)</f>
        <v>0</v>
      </c>
      <c r="EO241" s="160">
        <f>IF([Occurrence5]=0,0,SUM($EN$2:EN241))</f>
        <v>0</v>
      </c>
      <c r="EP241" s="160">
        <f>IF([Chambre]*1='CHAMBRES FILLES 2e ETAGE'!$A$29,1,0)</f>
        <v>0</v>
      </c>
      <c r="EQ241" s="160">
        <f>IF([Occurrence6]=0,0,SUM($EP$2:EP241))</f>
        <v>0</v>
      </c>
      <c r="ER241" s="160">
        <f>IF([Chambre]*1='CHAMBRES FILLES 2e ETAGE'!$A$35,1,0)</f>
        <v>0</v>
      </c>
      <c r="ES241" s="160">
        <f>IF([Occurrence7]=0,0,SUM($ER$2:ER241))</f>
        <v>0</v>
      </c>
      <c r="ET241" s="160">
        <f>IF([Chambre]*1='CHAMBRES FILLES 2e ETAGE'!$A$41,1,0)</f>
        <v>0</v>
      </c>
      <c r="EU241" s="160">
        <f>IF([Occurrence8]=0,0,SUM($ET$2:ET241))</f>
        <v>0</v>
      </c>
      <c r="EV241" s="160">
        <f>IF([Chambre]*1='CHAMBRES FILLES 2e ETAGE'!$A$47,1,0)</f>
        <v>0</v>
      </c>
      <c r="EW241" s="160">
        <f>IF([Occurrence9]=0,0,SUM($EV$2:EV241))</f>
        <v>0</v>
      </c>
      <c r="EX241" s="160">
        <f>IF([Chambre]*1='CHAMBRES FILLES 2e ETAGE'!$A$53,1,0)</f>
        <v>0</v>
      </c>
      <c r="EY241" s="160">
        <f>IF([Occurrence10]=0,0,SUM($EX$2:EX241))</f>
        <v>0</v>
      </c>
      <c r="EZ241" s="160">
        <f>IF([Chambre]*1='CHAMBRES FILLES 2e ETAGE'!$A$59,1,0)</f>
        <v>0</v>
      </c>
      <c r="FA241" s="160">
        <f>IF([Occurrence11]=0,0,SUM($EZ$2:EZ241))</f>
        <v>0</v>
      </c>
      <c r="FB241" s="160">
        <f>IF([Chambre]*1='CHAMBRES FILLES 2e ETAGE'!$A$65,1,0)</f>
        <v>0</v>
      </c>
      <c r="FC241" s="160">
        <f>IF([Occurrence12]=0,0,SUM($FB$2:FB241))</f>
        <v>0</v>
      </c>
      <c r="FD241" s="160">
        <f>IF([Chambre]*1='CHAMBRES FILLES 2e ETAGE'!$A$71,1,0)</f>
        <v>0</v>
      </c>
      <c r="FE241" s="160">
        <f>IF([Occurrence13]=0,0,SUM($FD$2:FD241))</f>
        <v>0</v>
      </c>
      <c r="FF241" s="160">
        <f>IF([Chambre]*1='CHAMBRES FILLES 2e ETAGE'!$A$77,1,0)</f>
        <v>0</v>
      </c>
      <c r="FG241" s="160">
        <f>IF([Occurrence14]=0,0,SUM($FF$2:FF241))</f>
        <v>0</v>
      </c>
      <c r="FH241" s="160">
        <f>IF([Chambre]*1='CHAMBRES FILLES 2e ETAGE'!$A$83,1,0)</f>
        <v>0</v>
      </c>
      <c r="FI241" s="160">
        <f>IF([Occurrence15]=0,0,SUM($FH$2:FH241))</f>
        <v>0</v>
      </c>
      <c r="FJ241" s="160">
        <f>IF([Chambre]*1='CHAMBRES FILLES 2e ETAGE'!$A$89,1,0)</f>
        <v>0</v>
      </c>
      <c r="FK241" s="160">
        <f>IF([Occurrence16]=0,0,SUM($FJ$2:FJ241))</f>
        <v>0</v>
      </c>
      <c r="FL241" s="160">
        <f>IF([Chambre]*1='CHAMBRES FILLES 2e ETAGE'!$A$95,1,0)</f>
        <v>0</v>
      </c>
      <c r="FM241" s="160">
        <f>IF([Occurrence17]=0,0,SUM($FL$2:FL241))</f>
        <v>0</v>
      </c>
      <c r="FN241" s="160">
        <f>IF([Chambre2]*1='CHAMBRES FILLES 1e ETAGE'!$A$5,1,0)</f>
        <v>0</v>
      </c>
      <c r="FO241" s="160">
        <f>IF([Occurrence18]=0,0,SUM($FN$2:FN241))</f>
        <v>0</v>
      </c>
      <c r="FP241" s="160">
        <f>IF([Chambre2]*1='CHAMBRES FILLES 1e ETAGE'!$A$11,1,0)</f>
        <v>0</v>
      </c>
      <c r="FQ241" s="160">
        <f>IF([Occurrence19]=0,0,SUM($FP$2:FP241))</f>
        <v>0</v>
      </c>
      <c r="FR241" s="160">
        <f>IF([Chambre2]*1='CHAMBRES FILLES 1e ETAGE'!$A$17,1,0)</f>
        <v>0</v>
      </c>
      <c r="FS241" s="160">
        <f>IF([Occurrence20]=0,0,SUM($FR$2:FR241))</f>
        <v>0</v>
      </c>
      <c r="FT241" s="160">
        <f>IF([Chambre2]*1='CHAMBRES FILLES 1e ETAGE'!$A$23,1,0)</f>
        <v>0</v>
      </c>
      <c r="FU241" s="160">
        <f>IF([Occurrence21]=0,0,SUM($FT$2:FT241))</f>
        <v>0</v>
      </c>
      <c r="FV241" s="160">
        <f>IF([Chambre2]*1='CHAMBRES FILLES 1e ETAGE'!$A$29,1,0)</f>
        <v>0</v>
      </c>
      <c r="FW241" s="160">
        <f>IF([Occurrence22]=0,0,SUM($FV$2:FV241))</f>
        <v>0</v>
      </c>
      <c r="FX241" s="160">
        <f>IF([Chambre2]*1='CHAMBRES FILLES 1e ETAGE'!$A$35,1,0)</f>
        <v>0</v>
      </c>
      <c r="FY241" s="160">
        <f>IF([Occurrence23]=0,0,SUM($FX$2:FX241))</f>
        <v>0</v>
      </c>
      <c r="FZ241" s="160">
        <f>IF([Chambre2]*1='CHAMBRES FILLES 1e ETAGE'!$A$41,1,0)</f>
        <v>0</v>
      </c>
      <c r="GA241" s="160">
        <f>IF([Occurrence24]=0,0,SUM($FZ$2:FZ241))</f>
        <v>0</v>
      </c>
      <c r="GB241" s="160">
        <f>IF([Chambre2]*1='CHAMBRES FILLES 1e ETAGE'!$A$47,1,0)</f>
        <v>0</v>
      </c>
      <c r="GC241" s="160">
        <f>IF([Occurrence25]=0,0,SUM($GB$2:GB241))</f>
        <v>0</v>
      </c>
      <c r="GD241" s="160">
        <f>IF([Chambre2]*1='CHAMBRES FILLES 1e ETAGE'!$A$53,1,0)</f>
        <v>0</v>
      </c>
      <c r="GE241" s="160">
        <f>IF([Occurrence26]=0,0,SUM($GD$2:GD241))</f>
        <v>0</v>
      </c>
      <c r="GF241" s="160">
        <f>IF([chambre4]*1='CHAMBRES GARCONS 1e ETAGE'!$A$5,1,0)</f>
        <v>1</v>
      </c>
      <c r="GG241" s="160">
        <f>IF([Occurrence27]=0,0,SUM($GF$2:GF241))</f>
        <v>4</v>
      </c>
      <c r="GH241" s="160">
        <f>IF([chambre4]*1='CHAMBRES GARCONS 1e ETAGE'!$A$11,1,0)</f>
        <v>0</v>
      </c>
      <c r="GI241" s="160">
        <f>IF([Occurrence28]=0,0,SUM($GH$2:GH241))</f>
        <v>0</v>
      </c>
      <c r="GJ241" s="160">
        <f>IF([chambre4]*1='CHAMBRES GARCONS 1e ETAGE'!$A$17,1,0)</f>
        <v>0</v>
      </c>
      <c r="GK241" s="160">
        <f>IF([Occurrence29]=0,0,SUM($GJ$2:GJ241))</f>
        <v>0</v>
      </c>
      <c r="GL241" s="160">
        <f>IF([chambre4]*1='CHAMBRES GARCONS 1e ETAGE'!$A$23,1,0)</f>
        <v>0</v>
      </c>
      <c r="GM241" s="160">
        <f>IF([Occurrence30]=0,0,SUM($GL$2:GL241))</f>
        <v>0</v>
      </c>
      <c r="GN241" s="160">
        <f>IF([chambre4]*1='CHAMBRES GARCONS 1e ETAGE'!$A$29,1,0)</f>
        <v>0</v>
      </c>
      <c r="GO241" s="160">
        <f>IF([Occurrence31]=0,0,SUM($GN$2:GN241))</f>
        <v>0</v>
      </c>
      <c r="GP241" s="160">
        <f>IF([chambre4]*1='CHAMBRES GARCONS 1e ETAGE'!$A$35,1,0)</f>
        <v>0</v>
      </c>
      <c r="GQ241" s="160">
        <f>IF([Occurrence32]=0,0,SUM($GP$2:GP241))</f>
        <v>0</v>
      </c>
      <c r="GR241" s="160">
        <f>IF([chambre3]*1='CHAMBRES GARCONS RDC'!$A$5,1,0)</f>
        <v>0</v>
      </c>
      <c r="GS241" s="160">
        <f>IF([Occurrence33]=0,0,SUM($GR$2:GR241))</f>
        <v>0</v>
      </c>
      <c r="GT241" s="160">
        <f>IF([chambre3]*1='CHAMBRES GARCONS RDC'!$A$11,1,0)</f>
        <v>0</v>
      </c>
      <c r="GU241" s="160">
        <f>IF([Occurrence34]=0,0,SUM($GT$2:GT241))</f>
        <v>0</v>
      </c>
      <c r="GV241" s="160">
        <f>IF([chambre3]*1='CHAMBRES GARCONS RDC'!$A$17,1,0)</f>
        <v>0</v>
      </c>
      <c r="GW241" s="160">
        <f>IF([Occurrence35]=0,0,SUM($GV$2:GV241))</f>
        <v>0</v>
      </c>
      <c r="GX241" s="160">
        <f>IF([chambre3]*1='CHAMBRES GARCONS RDC'!$A$23,1,0)</f>
        <v>0</v>
      </c>
      <c r="GY241" s="160">
        <f>IF([Occurrence36]=0,0,SUM($GX$2:GX241))</f>
        <v>0</v>
      </c>
      <c r="GZ241" s="160">
        <f>IF([chambre3]*1='CHAMBRES GARCONS RDC'!$A$29,1,0)</f>
        <v>0</v>
      </c>
      <c r="HA241" s="160">
        <f>IF([Occurrence37]=0,0,SUM($GZ$2:GZ241))</f>
        <v>0</v>
      </c>
      <c r="HB241" s="160">
        <f>IF([chambre3]*1='CHAMBRES GARCONS RDC'!$A$35,1,0)</f>
        <v>0</v>
      </c>
      <c r="HC241" s="160">
        <f>IF([Occurrence38]=0,0,SUM($HB$2:HB241))</f>
        <v>0</v>
      </c>
      <c r="HD241" s="160">
        <f>IF([chambre3]*1='CHAMBRES GARCONS RDC'!$A$41,1,0)</f>
        <v>0</v>
      </c>
      <c r="HE241" s="160">
        <f>IF([Occurrence39]=0,0,SUM($HD$2:HD241))</f>
        <v>0</v>
      </c>
      <c r="HF241" s="160">
        <f>IF([chambre3]*1='CHAMBRES GARCONS RDC'!$A$47,1,0)</f>
        <v>0</v>
      </c>
      <c r="HG241" s="160">
        <f>IF([Occurrence40]=0,0,SUM($HF$2:HF241))</f>
        <v>0</v>
      </c>
      <c r="HH241" s="160">
        <f>IF([chambre3]*1='CHAMBRES GARCONS RDC'!$A$53,1,0)</f>
        <v>0</v>
      </c>
      <c r="HI241" s="160">
        <f>IF([Occurrence41]=0,0,SUM($HH$2:HH241))</f>
        <v>0</v>
      </c>
      <c r="HJ241" s="160">
        <f>IF([chambre3]*1='CHAMBRES GARCONS RDC'!$A$59,1,0)</f>
        <v>0</v>
      </c>
      <c r="HK241" s="160">
        <f>IF([Occurrence42]=0,0,SUM($HJ$2:HJ241))</f>
        <v>0</v>
      </c>
      <c r="HL241" s="160">
        <f>IF([chambre3]*1='CHAMBRES GARCONS RDC'!$A$65,1,0)</f>
        <v>0</v>
      </c>
      <c r="HM241" s="160">
        <f>IF([Occurrence43]=0,0,SUM($HL$2:HL241))</f>
        <v>0</v>
      </c>
      <c r="HN241" s="160">
        <f>IF([chambre3]*1='CHAMBRES GARCONS RDC'!$A$71,1,0)</f>
        <v>0</v>
      </c>
      <c r="HO241" s="160">
        <f>IF([Occurrence44]=0,0,SUM($HN$2:HN241))</f>
        <v>0</v>
      </c>
      <c r="HP241" s="160">
        <f>IF([chambre3]*1='CHAMBRES GARCONS RDC'!$A$77,1,0)</f>
        <v>0</v>
      </c>
      <c r="HQ241" s="160">
        <f>IF([Occurrence45]=0,0,SUM($HP$2:HP241))</f>
        <v>0</v>
      </c>
      <c r="HR241" s="160">
        <f>IF([chambre3]*1='CHAMBRES GARCONS RDC'!$A$83,1,0)</f>
        <v>0</v>
      </c>
      <c r="HS241" s="160">
        <f>IF([Occurrence46]=0,0,SUM($HR$2:HR241))</f>
        <v>0</v>
      </c>
      <c r="HT241" s="160">
        <f>IF([chambre3]*1='CHAMBRES GARCONS RDC'!$A$89,1,0)</f>
        <v>0</v>
      </c>
      <c r="HU241" s="160">
        <f>IF([Occurrence47]=0,0,SUM($HT$2:HT241))</f>
        <v>0</v>
      </c>
      <c r="HV241" s="160">
        <f>IF([chambre3]*1='CHAMBRES GARCONS RDC'!$A$95,1,0)</f>
        <v>0</v>
      </c>
      <c r="HW241" s="160">
        <f>IF([Occurrence48]=0,0,SUM($HV$2:HV241))</f>
        <v>0</v>
      </c>
      <c r="HX241" s="160"/>
      <c r="HY241" s="160"/>
      <c r="HZ241" s="160">
        <f>IF([Classe]='Liste élève par classes'!$B$5,1,0)</f>
        <v>0</v>
      </c>
      <c r="IA241" s="160">
        <f>IF([Occurrence]=0,0,SUM($HZ$2:HZ241))</f>
        <v>0</v>
      </c>
      <c r="IB24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145</v>
      </c>
      <c r="IC241" s="208"/>
    </row>
    <row r="242" spans="1:237">
      <c r="A242" t="s">
        <v>640</v>
      </c>
      <c r="B242" t="s">
        <v>409</v>
      </c>
      <c r="C242" s="158">
        <v>36768</v>
      </c>
      <c r="D242" s="62">
        <f t="shared" ca="1" si="3"/>
        <v>17</v>
      </c>
      <c r="E242" t="s">
        <v>13</v>
      </c>
      <c r="F242" s="159" t="s">
        <v>50</v>
      </c>
      <c r="G242" t="s">
        <v>40</v>
      </c>
      <c r="H242" s="160"/>
      <c r="I242" s="161"/>
      <c r="J242" s="161"/>
      <c r="K242" s="161"/>
      <c r="L242" s="160"/>
      <c r="M242">
        <v>130</v>
      </c>
      <c r="N242" s="161"/>
      <c r="O242" s="161"/>
      <c r="P242" s="161"/>
      <c r="Q242" s="161"/>
      <c r="R242" s="161"/>
      <c r="S242" s="190"/>
      <c r="T242" s="161"/>
      <c r="U242" s="160">
        <v>148</v>
      </c>
      <c r="V242" s="161"/>
      <c r="W242" s="161"/>
      <c r="X242" s="161"/>
      <c r="Y242" s="161"/>
      <c r="Z242" s="161"/>
      <c r="AA242" s="161"/>
      <c r="AB242" s="161"/>
      <c r="AC242" s="161"/>
      <c r="AD242" s="161"/>
      <c r="AE242" s="161"/>
      <c r="AF242" s="163"/>
      <c r="AG242" s="163"/>
      <c r="AH242" s="163"/>
      <c r="AI242" s="163"/>
      <c r="AJ242" s="163"/>
      <c r="AK242" s="163"/>
      <c r="AL242" s="163"/>
      <c r="AM242" s="163"/>
      <c r="AN242" s="163"/>
      <c r="AO242" s="163"/>
      <c r="AP242" s="163"/>
      <c r="AQ242" s="163"/>
      <c r="AR242" s="163"/>
      <c r="AS242" s="163"/>
      <c r="AT242" s="163"/>
      <c r="AU242" s="163"/>
      <c r="AV242" s="163"/>
      <c r="AW242" s="163"/>
      <c r="AX242" s="163"/>
      <c r="AY242" s="163"/>
      <c r="AZ242" s="163"/>
      <c r="BA242" s="163"/>
      <c r="BB242" s="163"/>
      <c r="BC242" s="163" t="b">
        <v>0</v>
      </c>
      <c r="BD242" s="163" t="b">
        <v>1</v>
      </c>
      <c r="BE242" s="163" t="b">
        <v>1</v>
      </c>
      <c r="BF242" s="163" t="b">
        <v>0</v>
      </c>
      <c r="BG242" s="164" t="b">
        <v>0</v>
      </c>
      <c r="BH242" s="163" t="b">
        <v>1</v>
      </c>
      <c r="BI242" s="163"/>
      <c r="BJ242" s="163"/>
      <c r="BK242" s="163"/>
      <c r="BL242" s="163"/>
      <c r="BM242" s="163"/>
      <c r="BN242" s="163"/>
      <c r="BO242" s="163"/>
      <c r="BP242" s="163"/>
      <c r="BQ242" s="166" t="b">
        <v>0</v>
      </c>
      <c r="BR242" s="163"/>
      <c r="BS242" s="163"/>
      <c r="BT242" s="163"/>
      <c r="BU242" s="163"/>
      <c r="BV242" s="163"/>
      <c r="BW242" s="163"/>
      <c r="BX242" s="163"/>
      <c r="BY242" s="163"/>
      <c r="BZ242" s="163"/>
      <c r="CA242" s="163"/>
      <c r="CB242" s="163"/>
      <c r="CC242" s="163"/>
      <c r="CD242" s="163"/>
      <c r="CE242" s="163"/>
      <c r="CF242" s="163"/>
      <c r="CG242" s="163"/>
      <c r="CH242" s="163"/>
      <c r="CI242" s="163"/>
      <c r="CJ242" s="163"/>
      <c r="CK242" s="163"/>
      <c r="CL242" s="163"/>
      <c r="CM242" s="163"/>
      <c r="CN242" s="163"/>
      <c r="CO242" s="163"/>
      <c r="CP242" s="163"/>
      <c r="CQ242" s="163"/>
      <c r="CR242" s="163"/>
      <c r="CS242" s="163"/>
      <c r="CT242" s="163"/>
      <c r="CU242" s="163"/>
      <c r="CV242" s="163"/>
      <c r="CW242" s="163"/>
      <c r="CX242" s="163"/>
      <c r="CY242" s="163"/>
      <c r="CZ242" s="163"/>
      <c r="DA242" s="163"/>
      <c r="DB242" s="163"/>
      <c r="DC242" s="163"/>
      <c r="DD242" s="163"/>
      <c r="DE242" s="163"/>
      <c r="DF242" s="163"/>
      <c r="DG242" s="208"/>
      <c r="DH242" s="163"/>
      <c r="DI242" s="163"/>
      <c r="DJ242" s="163"/>
      <c r="DK242" s="163"/>
      <c r="DL242" s="163"/>
      <c r="DM242" s="163"/>
      <c r="DN242" s="163"/>
      <c r="DO242" s="163"/>
      <c r="DP242" s="163"/>
      <c r="DQ242" s="163"/>
      <c r="DR242" s="163"/>
      <c r="DS242" s="163"/>
      <c r="DT242" s="163"/>
      <c r="DU242" s="163"/>
      <c r="DV242" s="163"/>
      <c r="DW242" s="163"/>
      <c r="DX242" s="163"/>
      <c r="DY242" s="163"/>
      <c r="DZ242" s="163"/>
      <c r="EA242" s="163"/>
      <c r="EB242" s="163"/>
      <c r="EC242" s="163"/>
      <c r="ED242" s="163"/>
      <c r="EE242" s="163"/>
      <c r="EF242" s="163"/>
      <c r="EG242" s="163"/>
      <c r="EH242" s="160">
        <f>IF([Chambre]*1='CHAMBRES FILLES 2e ETAGE'!$A$5,1,0)</f>
        <v>0</v>
      </c>
      <c r="EI242" s="161">
        <f>IF([Occurrence2]=0,0,SUM($EH$2:EH242))</f>
        <v>0</v>
      </c>
      <c r="EJ242" s="160">
        <f>IF([Chambre]*1='CHAMBRES FILLES 2e ETAGE'!$A$11,1,0)</f>
        <v>0</v>
      </c>
      <c r="EK242" s="160">
        <f>IF([Occurrence3]=0,0,SUM($EJ$2:EJ242))</f>
        <v>0</v>
      </c>
      <c r="EL242" s="160">
        <f>IF([Chambre]*1='CHAMBRES FILLES 2e ETAGE'!$A$17,1,0)</f>
        <v>0</v>
      </c>
      <c r="EM242" s="160">
        <f>IF([Occurrence4]=0,0,SUM($EL$2:EL242))</f>
        <v>0</v>
      </c>
      <c r="EN242" s="160">
        <f>IF([Chambre]*1='CHAMBRES FILLES 2e ETAGE'!$A$23,1,0)</f>
        <v>0</v>
      </c>
      <c r="EO242" s="160">
        <f>IF([Occurrence5]=0,0,SUM($EN$2:EN242))</f>
        <v>0</v>
      </c>
      <c r="EP242" s="160">
        <f>IF([Chambre]*1='CHAMBRES FILLES 2e ETAGE'!$A$29,1,0)</f>
        <v>0</v>
      </c>
      <c r="EQ242" s="160">
        <f>IF([Occurrence6]=0,0,SUM($EP$2:EP242))</f>
        <v>0</v>
      </c>
      <c r="ER242" s="160">
        <f>IF([Chambre]*1='CHAMBRES FILLES 2e ETAGE'!$A$35,1,0)</f>
        <v>0</v>
      </c>
      <c r="ES242" s="160">
        <f>IF([Occurrence7]=0,0,SUM($ER$2:ER242))</f>
        <v>0</v>
      </c>
      <c r="ET242" s="160">
        <f>IF([Chambre]*1='CHAMBRES FILLES 2e ETAGE'!$A$41,1,0)</f>
        <v>0</v>
      </c>
      <c r="EU242" s="160">
        <f>IF([Occurrence8]=0,0,SUM($ET$2:ET242))</f>
        <v>0</v>
      </c>
      <c r="EV242" s="160">
        <f>IF([Chambre]*1='CHAMBRES FILLES 2e ETAGE'!$A$47,1,0)</f>
        <v>0</v>
      </c>
      <c r="EW242" s="160">
        <f>IF([Occurrence9]=0,0,SUM($EV$2:EV242))</f>
        <v>0</v>
      </c>
      <c r="EX242" s="160">
        <f>IF([Chambre]*1='CHAMBRES FILLES 2e ETAGE'!$A$53,1,0)</f>
        <v>0</v>
      </c>
      <c r="EY242" s="160">
        <f>IF([Occurrence10]=0,0,SUM($EX$2:EX242))</f>
        <v>0</v>
      </c>
      <c r="EZ242" s="160">
        <f>IF([Chambre]*1='CHAMBRES FILLES 2e ETAGE'!$A$59,1,0)</f>
        <v>0</v>
      </c>
      <c r="FA242" s="160">
        <f>IF([Occurrence11]=0,0,SUM($EZ$2:EZ242))</f>
        <v>0</v>
      </c>
      <c r="FB242" s="160">
        <f>IF([Chambre]*1='CHAMBRES FILLES 2e ETAGE'!$A$65,1,0)</f>
        <v>0</v>
      </c>
      <c r="FC242" s="160">
        <f>IF([Occurrence12]=0,0,SUM($FB$2:FB242))</f>
        <v>0</v>
      </c>
      <c r="FD242" s="160">
        <f>IF([Chambre]*1='CHAMBRES FILLES 2e ETAGE'!$A$71,1,0)</f>
        <v>0</v>
      </c>
      <c r="FE242" s="160">
        <f>IF([Occurrence13]=0,0,SUM($FD$2:FD242))</f>
        <v>0</v>
      </c>
      <c r="FF242" s="160">
        <f>IF([Chambre]*1='CHAMBRES FILLES 2e ETAGE'!$A$77,1,0)</f>
        <v>0</v>
      </c>
      <c r="FG242" s="160">
        <f>IF([Occurrence14]=0,0,SUM($FF$2:FF242))</f>
        <v>0</v>
      </c>
      <c r="FH242" s="160">
        <f>IF([Chambre]*1='CHAMBRES FILLES 2e ETAGE'!$A$83,1,0)</f>
        <v>0</v>
      </c>
      <c r="FI242" s="160">
        <f>IF([Occurrence15]=0,0,SUM($FH$2:FH242))</f>
        <v>0</v>
      </c>
      <c r="FJ242" s="160">
        <f>IF([Chambre]*1='CHAMBRES FILLES 2e ETAGE'!$A$89,1,0)</f>
        <v>0</v>
      </c>
      <c r="FK242" s="160">
        <f>IF([Occurrence16]=0,0,SUM($FJ$2:FJ242))</f>
        <v>0</v>
      </c>
      <c r="FL242" s="160">
        <f>IF([Chambre]*1='CHAMBRES FILLES 2e ETAGE'!$A$95,1,0)</f>
        <v>0</v>
      </c>
      <c r="FM242" s="160">
        <f>IF([Occurrence17]=0,0,SUM($FL$2:FL242))</f>
        <v>0</v>
      </c>
      <c r="FN242" s="160">
        <f>IF([Chambre2]*1='CHAMBRES FILLES 1e ETAGE'!$A$5,1,0)</f>
        <v>0</v>
      </c>
      <c r="FO242" s="160">
        <f>IF([Occurrence18]=0,0,SUM($FN$2:FN242))</f>
        <v>0</v>
      </c>
      <c r="FP242" s="160">
        <f>IF([Chambre2]*1='CHAMBRES FILLES 1e ETAGE'!$A$11,1,0)</f>
        <v>0</v>
      </c>
      <c r="FQ242" s="160">
        <f>IF([Occurrence19]=0,0,SUM($FP$2:FP242))</f>
        <v>0</v>
      </c>
      <c r="FR242" s="160">
        <f>IF([Chambre2]*1='CHAMBRES FILLES 1e ETAGE'!$A$17,1,0)</f>
        <v>0</v>
      </c>
      <c r="FS242" s="160">
        <f>IF([Occurrence20]=0,0,SUM($FR$2:FR242))</f>
        <v>0</v>
      </c>
      <c r="FT242" s="160">
        <f>IF([Chambre2]*1='CHAMBRES FILLES 1e ETAGE'!$A$23,1,0)</f>
        <v>0</v>
      </c>
      <c r="FU242" s="160">
        <f>IF([Occurrence21]=0,0,SUM($FT$2:FT242))</f>
        <v>0</v>
      </c>
      <c r="FV242" s="160">
        <f>IF([Chambre2]*1='CHAMBRES FILLES 1e ETAGE'!$A$29,1,0)</f>
        <v>0</v>
      </c>
      <c r="FW242" s="160">
        <f>IF([Occurrence22]=0,0,SUM($FV$2:FV242))</f>
        <v>0</v>
      </c>
      <c r="FX242" s="160">
        <f>IF([Chambre2]*1='CHAMBRES FILLES 1e ETAGE'!$A$35,1,0)</f>
        <v>0</v>
      </c>
      <c r="FY242" s="160">
        <f>IF([Occurrence23]=0,0,SUM($FX$2:FX242))</f>
        <v>0</v>
      </c>
      <c r="FZ242" s="160">
        <f>IF([Chambre2]*1='CHAMBRES FILLES 1e ETAGE'!$A$41,1,0)</f>
        <v>0</v>
      </c>
      <c r="GA242" s="160">
        <f>IF([Occurrence24]=0,0,SUM($FZ$2:FZ242))</f>
        <v>0</v>
      </c>
      <c r="GB242" s="160">
        <f>IF([Chambre2]*1='CHAMBRES FILLES 1e ETAGE'!$A$47,1,0)</f>
        <v>0</v>
      </c>
      <c r="GC242" s="160">
        <f>IF([Occurrence25]=0,0,SUM($GB$2:GB242))</f>
        <v>0</v>
      </c>
      <c r="GD242" s="160">
        <f>IF([Chambre2]*1='CHAMBRES FILLES 1e ETAGE'!$A$53,1,0)</f>
        <v>1</v>
      </c>
      <c r="GE242" s="160">
        <f>IF([Occurrence26]=0,0,SUM($GD$2:GD242))</f>
        <v>3</v>
      </c>
      <c r="GF242" s="160">
        <f>IF([chambre4]*1='CHAMBRES GARCONS 1e ETAGE'!$A$5,1,0)</f>
        <v>0</v>
      </c>
      <c r="GG242" s="160">
        <f>IF([Occurrence27]=0,0,SUM($GF$2:GF242))</f>
        <v>0</v>
      </c>
      <c r="GH242" s="160">
        <f>IF([chambre4]*1='CHAMBRES GARCONS 1e ETAGE'!$A$11,1,0)</f>
        <v>0</v>
      </c>
      <c r="GI242" s="160">
        <f>IF([Occurrence28]=0,0,SUM($GH$2:GH242))</f>
        <v>0</v>
      </c>
      <c r="GJ242" s="160">
        <f>IF([chambre4]*1='CHAMBRES GARCONS 1e ETAGE'!$A$17,1,0)</f>
        <v>0</v>
      </c>
      <c r="GK242" s="160">
        <f>IF([Occurrence29]=0,0,SUM($GJ$2:GJ242))</f>
        <v>0</v>
      </c>
      <c r="GL242" s="160">
        <f>IF([chambre4]*1='CHAMBRES GARCONS 1e ETAGE'!$A$23,1,0)</f>
        <v>0</v>
      </c>
      <c r="GM242" s="160">
        <f>IF([Occurrence30]=0,0,SUM($GL$2:GL242))</f>
        <v>0</v>
      </c>
      <c r="GN242" s="160">
        <f>IF([chambre4]*1='CHAMBRES GARCONS 1e ETAGE'!$A$29,1,0)</f>
        <v>0</v>
      </c>
      <c r="GO242" s="160">
        <f>IF([Occurrence31]=0,0,SUM($GN$2:GN242))</f>
        <v>0</v>
      </c>
      <c r="GP242" s="160">
        <f>IF([chambre4]*1='CHAMBRES GARCONS 1e ETAGE'!$A$35,1,0)</f>
        <v>0</v>
      </c>
      <c r="GQ242" s="160">
        <f>IF([Occurrence32]=0,0,SUM($GP$2:GP242))</f>
        <v>0</v>
      </c>
      <c r="GR242" s="160">
        <f>IF([chambre3]*1='CHAMBRES GARCONS RDC'!$A$5,1,0)</f>
        <v>0</v>
      </c>
      <c r="GS242" s="160">
        <f>IF([Occurrence33]=0,0,SUM($GR$2:GR242))</f>
        <v>0</v>
      </c>
      <c r="GT242" s="160">
        <f>IF([chambre3]*1='CHAMBRES GARCONS RDC'!$A$11,1,0)</f>
        <v>0</v>
      </c>
      <c r="GU242" s="160">
        <f>IF([Occurrence34]=0,0,SUM($GT$2:GT242))</f>
        <v>0</v>
      </c>
      <c r="GV242" s="160">
        <f>IF([chambre3]*1='CHAMBRES GARCONS RDC'!$A$17,1,0)</f>
        <v>0</v>
      </c>
      <c r="GW242" s="160">
        <f>IF([Occurrence35]=0,0,SUM($GV$2:GV242))</f>
        <v>0</v>
      </c>
      <c r="GX242" s="160">
        <f>IF([chambre3]*1='CHAMBRES GARCONS RDC'!$A$23,1,0)</f>
        <v>0</v>
      </c>
      <c r="GY242" s="160">
        <f>IF([Occurrence36]=0,0,SUM($GX$2:GX242))</f>
        <v>0</v>
      </c>
      <c r="GZ242" s="160">
        <f>IF([chambre3]*1='CHAMBRES GARCONS RDC'!$A$29,1,0)</f>
        <v>0</v>
      </c>
      <c r="HA242" s="160">
        <f>IF([Occurrence37]=0,0,SUM($GZ$2:GZ242))</f>
        <v>0</v>
      </c>
      <c r="HB242" s="160">
        <f>IF([chambre3]*1='CHAMBRES GARCONS RDC'!$A$35,1,0)</f>
        <v>0</v>
      </c>
      <c r="HC242" s="160">
        <f>IF([Occurrence38]=0,0,SUM($HB$2:HB242))</f>
        <v>0</v>
      </c>
      <c r="HD242" s="160">
        <f>IF([chambre3]*1='CHAMBRES GARCONS RDC'!$A$41,1,0)</f>
        <v>0</v>
      </c>
      <c r="HE242" s="160">
        <f>IF([Occurrence39]=0,0,SUM($HD$2:HD242))</f>
        <v>0</v>
      </c>
      <c r="HF242" s="160">
        <f>IF([chambre3]*1='CHAMBRES GARCONS RDC'!$A$47,1,0)</f>
        <v>0</v>
      </c>
      <c r="HG242" s="160">
        <f>IF([Occurrence40]=0,0,SUM($HF$2:HF242))</f>
        <v>0</v>
      </c>
      <c r="HH242" s="160">
        <f>IF([chambre3]*1='CHAMBRES GARCONS RDC'!$A$53,1,0)</f>
        <v>0</v>
      </c>
      <c r="HI242" s="160">
        <f>IF([Occurrence41]=0,0,SUM($HH$2:HH242))</f>
        <v>0</v>
      </c>
      <c r="HJ242" s="160">
        <f>IF([chambre3]*1='CHAMBRES GARCONS RDC'!$A$59,1,0)</f>
        <v>0</v>
      </c>
      <c r="HK242" s="160">
        <f>IF([Occurrence42]=0,0,SUM($HJ$2:HJ242))</f>
        <v>0</v>
      </c>
      <c r="HL242" s="160">
        <f>IF([chambre3]*1='CHAMBRES GARCONS RDC'!$A$65,1,0)</f>
        <v>0</v>
      </c>
      <c r="HM242" s="160">
        <f>IF([Occurrence43]=0,0,SUM($HL$2:HL242))</f>
        <v>0</v>
      </c>
      <c r="HN242" s="160">
        <f>IF([chambre3]*1='CHAMBRES GARCONS RDC'!$A$71,1,0)</f>
        <v>0</v>
      </c>
      <c r="HO242" s="160">
        <f>IF([Occurrence44]=0,0,SUM($HN$2:HN242))</f>
        <v>0</v>
      </c>
      <c r="HP242" s="160">
        <f>IF([chambre3]*1='CHAMBRES GARCONS RDC'!$A$77,1,0)</f>
        <v>0</v>
      </c>
      <c r="HQ242" s="160">
        <f>IF([Occurrence45]=0,0,SUM($HP$2:HP242))</f>
        <v>0</v>
      </c>
      <c r="HR242" s="160">
        <f>IF([chambre3]*1='CHAMBRES GARCONS RDC'!$A$83,1,0)</f>
        <v>0</v>
      </c>
      <c r="HS242" s="160">
        <f>IF([Occurrence46]=0,0,SUM($HR$2:HR242))</f>
        <v>0</v>
      </c>
      <c r="HT242" s="160">
        <f>IF([chambre3]*1='CHAMBRES GARCONS RDC'!$A$89,1,0)</f>
        <v>0</v>
      </c>
      <c r="HU242" s="160">
        <f>IF([Occurrence47]=0,0,SUM($HT$2:HT242))</f>
        <v>0</v>
      </c>
      <c r="HV242" s="160">
        <f>IF([chambre3]*1='CHAMBRES GARCONS RDC'!$A$95,1,0)</f>
        <v>0</v>
      </c>
      <c r="HW242" s="160">
        <f>IF([Occurrence48]=0,0,SUM($HV$2:HV242))</f>
        <v>0</v>
      </c>
      <c r="HX242" s="160"/>
      <c r="HY242" s="160"/>
      <c r="HZ242" s="160">
        <f>IF([Classe]='Liste élève par classes'!$B$5,1,0)</f>
        <v>0</v>
      </c>
      <c r="IA242" s="160">
        <f>IF([Occurrence]=0,0,SUM($HZ$2:HZ242))</f>
        <v>0</v>
      </c>
      <c r="IB24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148</v>
      </c>
      <c r="IC242" s="208"/>
    </row>
    <row r="243" spans="1:237">
      <c r="A243" t="s">
        <v>641</v>
      </c>
      <c r="B243" t="s">
        <v>642</v>
      </c>
      <c r="C243" s="158">
        <v>36144</v>
      </c>
      <c r="D243" s="62">
        <f t="shared" ca="1" si="3"/>
        <v>18</v>
      </c>
      <c r="E243" t="s">
        <v>13</v>
      </c>
      <c r="F243" s="159" t="s">
        <v>50</v>
      </c>
      <c r="G243" t="s">
        <v>45</v>
      </c>
      <c r="H243" s="160"/>
      <c r="I243" s="161"/>
      <c r="J243" s="161"/>
      <c r="K243" s="161"/>
      <c r="L243" s="160">
        <v>177</v>
      </c>
      <c r="M243">
        <v>131</v>
      </c>
      <c r="N243" s="161"/>
      <c r="O243" s="161"/>
      <c r="P243" s="161"/>
      <c r="Q243" s="161"/>
      <c r="R243" s="161"/>
      <c r="S243" s="190"/>
      <c r="T243" s="161"/>
      <c r="U243" s="160"/>
      <c r="V243" s="161"/>
      <c r="W243" s="161"/>
      <c r="X243" s="161"/>
      <c r="Y243" s="161"/>
      <c r="Z243" s="161"/>
      <c r="AA243" s="161"/>
      <c r="AB243" s="161"/>
      <c r="AC243" s="161"/>
      <c r="AD243" s="161"/>
      <c r="AE243" s="161"/>
      <c r="AF243" s="163"/>
      <c r="AG243" s="163"/>
      <c r="AH243" s="163"/>
      <c r="AI243" s="163"/>
      <c r="AJ243" s="163"/>
      <c r="AK243" s="163"/>
      <c r="AL243" s="163"/>
      <c r="AM243" s="163"/>
      <c r="AN243" s="163"/>
      <c r="AO243" s="163"/>
      <c r="AP243" s="163"/>
      <c r="AQ243" s="163"/>
      <c r="AR243" s="163"/>
      <c r="AS243" s="163"/>
      <c r="AT243" s="163"/>
      <c r="AU243" s="163"/>
      <c r="AV243" s="163"/>
      <c r="AW243" s="163"/>
      <c r="AX243" s="163"/>
      <c r="AY243" s="163"/>
      <c r="AZ243" s="163"/>
      <c r="BA243" s="163"/>
      <c r="BB243" s="163"/>
      <c r="BC243" s="163" t="b">
        <v>0</v>
      </c>
      <c r="BD243" s="163" t="b">
        <v>1</v>
      </c>
      <c r="BE243" s="163" t="b">
        <v>1</v>
      </c>
      <c r="BF243" s="163" t="b">
        <v>0</v>
      </c>
      <c r="BG243" s="164" t="b">
        <v>0</v>
      </c>
      <c r="BH243" s="163" t="b">
        <v>1</v>
      </c>
      <c r="BI243" s="163"/>
      <c r="BJ243" s="163"/>
      <c r="BK243" s="163"/>
      <c r="BL243" s="163"/>
      <c r="BM243" s="163"/>
      <c r="BN243" s="163"/>
      <c r="BO243" s="163"/>
      <c r="BP243" s="163"/>
      <c r="BQ243" s="166" t="b">
        <v>0</v>
      </c>
      <c r="BR243" s="163"/>
      <c r="BS243" s="163"/>
      <c r="BT243" s="163"/>
      <c r="BU243" s="163"/>
      <c r="BV243" s="163"/>
      <c r="BW243" s="163"/>
      <c r="BX243" s="163"/>
      <c r="BY243" s="163"/>
      <c r="BZ243" s="163"/>
      <c r="CA243" s="163"/>
      <c r="CB243" s="163"/>
      <c r="CC243" s="163"/>
      <c r="CD243" s="163"/>
      <c r="CE243" s="163"/>
      <c r="CF243" s="163"/>
      <c r="CG243" s="163"/>
      <c r="CH243" s="163"/>
      <c r="CI243" s="163"/>
      <c r="CJ243" s="163"/>
      <c r="CK243" s="163"/>
      <c r="CL243" s="163"/>
      <c r="CM243" s="163"/>
      <c r="CN243" s="163"/>
      <c r="CO243" s="163"/>
      <c r="CP243" s="163"/>
      <c r="CQ243" s="163"/>
      <c r="CR243" s="163"/>
      <c r="CS243" s="163"/>
      <c r="CT243" s="163"/>
      <c r="CU243" s="163"/>
      <c r="CV243" s="163"/>
      <c r="CW243" s="163"/>
      <c r="CX243" s="163"/>
      <c r="CY243" s="163"/>
      <c r="CZ243" s="163"/>
      <c r="DA243" s="163"/>
      <c r="DB243" s="163"/>
      <c r="DC243" s="163"/>
      <c r="DD243" s="163"/>
      <c r="DE243" s="163"/>
      <c r="DF243" s="163"/>
      <c r="DG243" s="208"/>
      <c r="DH243" s="163"/>
      <c r="DI243" s="163"/>
      <c r="DJ243" s="163"/>
      <c r="DK243" s="163"/>
      <c r="DL243" s="163"/>
      <c r="DM243" s="163"/>
      <c r="DN243" s="163"/>
      <c r="DO243" s="163"/>
      <c r="DP243" s="163"/>
      <c r="DQ243" s="163"/>
      <c r="DR243" s="163"/>
      <c r="DS243" s="163"/>
      <c r="DT243" s="163"/>
      <c r="DU243" s="163"/>
      <c r="DV243" s="163"/>
      <c r="DW243" s="163"/>
      <c r="DX243" s="163"/>
      <c r="DY243" s="163"/>
      <c r="DZ243" s="163"/>
      <c r="EA243" s="163"/>
      <c r="EB243" s="163"/>
      <c r="EC243" s="163"/>
      <c r="ED243" s="163"/>
      <c r="EE243" s="163"/>
      <c r="EF243" s="163"/>
      <c r="EG243" s="163"/>
      <c r="EH243" s="160">
        <f>IF([Chambre]*1='CHAMBRES FILLES 2e ETAGE'!$A$5,1,0)</f>
        <v>0</v>
      </c>
      <c r="EI243" s="161">
        <f>IF([Occurrence2]=0,0,SUM($EH$2:EH243))</f>
        <v>0</v>
      </c>
      <c r="EJ243" s="160">
        <f>IF([Chambre]*1='CHAMBRES FILLES 2e ETAGE'!$A$11,1,0)</f>
        <v>0</v>
      </c>
      <c r="EK243" s="160">
        <f>IF([Occurrence3]=0,0,SUM($EJ$2:EJ243))</f>
        <v>0</v>
      </c>
      <c r="EL243" s="160">
        <f>IF([Chambre]*1='CHAMBRES FILLES 2e ETAGE'!$A$17,1,0)</f>
        <v>0</v>
      </c>
      <c r="EM243" s="160">
        <f>IF([Occurrence4]=0,0,SUM($EL$2:EL243))</f>
        <v>0</v>
      </c>
      <c r="EN243" s="160">
        <f>IF([Chambre]*1='CHAMBRES FILLES 2e ETAGE'!$A$23,1,0)</f>
        <v>0</v>
      </c>
      <c r="EO243" s="160">
        <f>IF([Occurrence5]=0,0,SUM($EN$2:EN243))</f>
        <v>0</v>
      </c>
      <c r="EP243" s="160">
        <f>IF([Chambre]*1='CHAMBRES FILLES 2e ETAGE'!$A$29,1,0)</f>
        <v>0</v>
      </c>
      <c r="EQ243" s="160">
        <f>IF([Occurrence6]=0,0,SUM($EP$2:EP243))</f>
        <v>0</v>
      </c>
      <c r="ER243" s="160">
        <f>IF([Chambre]*1='CHAMBRES FILLES 2e ETAGE'!$A$35,1,0)</f>
        <v>0</v>
      </c>
      <c r="ES243" s="160">
        <f>IF([Occurrence7]=0,0,SUM($ER$2:ER243))</f>
        <v>0</v>
      </c>
      <c r="ET243" s="160">
        <f>IF([Chambre]*1='CHAMBRES FILLES 2e ETAGE'!$A$41,1,0)</f>
        <v>0</v>
      </c>
      <c r="EU243" s="160">
        <f>IF([Occurrence8]=0,0,SUM($ET$2:ET243))</f>
        <v>0</v>
      </c>
      <c r="EV243" s="160">
        <f>IF([Chambre]*1='CHAMBRES FILLES 2e ETAGE'!$A$47,1,0)</f>
        <v>0</v>
      </c>
      <c r="EW243" s="160">
        <f>IF([Occurrence9]=0,0,SUM($EV$2:EV243))</f>
        <v>0</v>
      </c>
      <c r="EX243" s="160">
        <f>IF([Chambre]*1='CHAMBRES FILLES 2e ETAGE'!$A$53,1,0)</f>
        <v>0</v>
      </c>
      <c r="EY243" s="160">
        <f>IF([Occurrence10]=0,0,SUM($EX$2:EX243))</f>
        <v>0</v>
      </c>
      <c r="EZ243" s="160">
        <f>IF([Chambre]*1='CHAMBRES FILLES 2e ETAGE'!$A$59,1,0)</f>
        <v>0</v>
      </c>
      <c r="FA243" s="160">
        <f>IF([Occurrence11]=0,0,SUM($EZ$2:EZ243))</f>
        <v>0</v>
      </c>
      <c r="FB243" s="160">
        <f>IF([Chambre]*1='CHAMBRES FILLES 2e ETAGE'!$A$65,1,0)</f>
        <v>0</v>
      </c>
      <c r="FC243" s="160">
        <f>IF([Occurrence12]=0,0,SUM($FB$2:FB243))</f>
        <v>0</v>
      </c>
      <c r="FD243" s="160">
        <f>IF([Chambre]*1='CHAMBRES FILLES 2e ETAGE'!$A$71,1,0)</f>
        <v>0</v>
      </c>
      <c r="FE243" s="160">
        <f>IF([Occurrence13]=0,0,SUM($FD$2:FD243))</f>
        <v>0</v>
      </c>
      <c r="FF243" s="160">
        <f>IF([Chambre]*1='CHAMBRES FILLES 2e ETAGE'!$A$77,1,0)</f>
        <v>0</v>
      </c>
      <c r="FG243" s="160">
        <f>IF([Occurrence14]=0,0,SUM($FF$2:FF243))</f>
        <v>0</v>
      </c>
      <c r="FH243" s="160">
        <f>IF([Chambre]*1='CHAMBRES FILLES 2e ETAGE'!$A$83,1,0)</f>
        <v>1</v>
      </c>
      <c r="FI243" s="160">
        <f>IF([Occurrence15]=0,0,SUM($FH$2:FH243))</f>
        <v>4</v>
      </c>
      <c r="FJ243" s="160">
        <f>IF([Chambre]*1='CHAMBRES FILLES 2e ETAGE'!$A$89,1,0)</f>
        <v>0</v>
      </c>
      <c r="FK243" s="160">
        <f>IF([Occurrence16]=0,0,SUM($FJ$2:FJ243))</f>
        <v>0</v>
      </c>
      <c r="FL243" s="160">
        <f>IF([Chambre]*1='CHAMBRES FILLES 2e ETAGE'!$A$95,1,0)</f>
        <v>0</v>
      </c>
      <c r="FM243" s="160">
        <f>IF([Occurrence17]=0,0,SUM($FL$2:FL243))</f>
        <v>0</v>
      </c>
      <c r="FN243" s="160">
        <f>IF([Chambre2]*1='CHAMBRES FILLES 1e ETAGE'!$A$5,1,0)</f>
        <v>0</v>
      </c>
      <c r="FO243" s="160">
        <f>IF([Occurrence18]=0,0,SUM($FN$2:FN243))</f>
        <v>0</v>
      </c>
      <c r="FP243" s="160">
        <f>IF([Chambre2]*1='CHAMBRES FILLES 1e ETAGE'!$A$11,1,0)</f>
        <v>0</v>
      </c>
      <c r="FQ243" s="160">
        <f>IF([Occurrence19]=0,0,SUM($FP$2:FP243))</f>
        <v>0</v>
      </c>
      <c r="FR243" s="160">
        <f>IF([Chambre2]*1='CHAMBRES FILLES 1e ETAGE'!$A$17,1,0)</f>
        <v>0</v>
      </c>
      <c r="FS243" s="160">
        <f>IF([Occurrence20]=0,0,SUM($FR$2:FR243))</f>
        <v>0</v>
      </c>
      <c r="FT243" s="160">
        <f>IF([Chambre2]*1='CHAMBRES FILLES 1e ETAGE'!$A$23,1,0)</f>
        <v>0</v>
      </c>
      <c r="FU243" s="160">
        <f>IF([Occurrence21]=0,0,SUM($FT$2:FT243))</f>
        <v>0</v>
      </c>
      <c r="FV243" s="160">
        <f>IF([Chambre2]*1='CHAMBRES FILLES 1e ETAGE'!$A$29,1,0)</f>
        <v>0</v>
      </c>
      <c r="FW243" s="160">
        <f>IF([Occurrence22]=0,0,SUM($FV$2:FV243))</f>
        <v>0</v>
      </c>
      <c r="FX243" s="160">
        <f>IF([Chambre2]*1='CHAMBRES FILLES 1e ETAGE'!$A$35,1,0)</f>
        <v>0</v>
      </c>
      <c r="FY243" s="160">
        <f>IF([Occurrence23]=0,0,SUM($FX$2:FX243))</f>
        <v>0</v>
      </c>
      <c r="FZ243" s="160">
        <f>IF([Chambre2]*1='CHAMBRES FILLES 1e ETAGE'!$A$41,1,0)</f>
        <v>0</v>
      </c>
      <c r="GA243" s="160">
        <f>IF([Occurrence24]=0,0,SUM($FZ$2:FZ243))</f>
        <v>0</v>
      </c>
      <c r="GB243" s="160">
        <f>IF([Chambre2]*1='CHAMBRES FILLES 1e ETAGE'!$A$47,1,0)</f>
        <v>0</v>
      </c>
      <c r="GC243" s="160">
        <f>IF([Occurrence25]=0,0,SUM($GB$2:GB243))</f>
        <v>0</v>
      </c>
      <c r="GD243" s="160">
        <f>IF([Chambre2]*1='CHAMBRES FILLES 1e ETAGE'!$A$53,1,0)</f>
        <v>0</v>
      </c>
      <c r="GE243" s="160">
        <f>IF([Occurrence26]=0,0,SUM($GD$2:GD243))</f>
        <v>0</v>
      </c>
      <c r="GF243" s="160">
        <f>IF([chambre4]*1='CHAMBRES GARCONS 1e ETAGE'!$A$5,1,0)</f>
        <v>0</v>
      </c>
      <c r="GG243" s="160">
        <f>IF([Occurrence27]=0,0,SUM($GF$2:GF243))</f>
        <v>0</v>
      </c>
      <c r="GH243" s="160">
        <f>IF([chambre4]*1='CHAMBRES GARCONS 1e ETAGE'!$A$11,1,0)</f>
        <v>0</v>
      </c>
      <c r="GI243" s="160">
        <f>IF([Occurrence28]=0,0,SUM($GH$2:GH243))</f>
        <v>0</v>
      </c>
      <c r="GJ243" s="160">
        <f>IF([chambre4]*1='CHAMBRES GARCONS 1e ETAGE'!$A$17,1,0)</f>
        <v>0</v>
      </c>
      <c r="GK243" s="160">
        <f>IF([Occurrence29]=0,0,SUM($GJ$2:GJ243))</f>
        <v>0</v>
      </c>
      <c r="GL243" s="160">
        <f>IF([chambre4]*1='CHAMBRES GARCONS 1e ETAGE'!$A$23,1,0)</f>
        <v>0</v>
      </c>
      <c r="GM243" s="160">
        <f>IF([Occurrence30]=0,0,SUM($GL$2:GL243))</f>
        <v>0</v>
      </c>
      <c r="GN243" s="160">
        <f>IF([chambre4]*1='CHAMBRES GARCONS 1e ETAGE'!$A$29,1,0)</f>
        <v>0</v>
      </c>
      <c r="GO243" s="160">
        <f>IF([Occurrence31]=0,0,SUM($GN$2:GN243))</f>
        <v>0</v>
      </c>
      <c r="GP243" s="160">
        <f>IF([chambre4]*1='CHAMBRES GARCONS 1e ETAGE'!$A$35,1,0)</f>
        <v>0</v>
      </c>
      <c r="GQ243" s="160">
        <f>IF([Occurrence32]=0,0,SUM($GP$2:GP243))</f>
        <v>0</v>
      </c>
      <c r="GR243" s="160">
        <f>IF([chambre3]*1='CHAMBRES GARCONS RDC'!$A$5,1,0)</f>
        <v>0</v>
      </c>
      <c r="GS243" s="160">
        <f>IF([Occurrence33]=0,0,SUM($GR$2:GR243))</f>
        <v>0</v>
      </c>
      <c r="GT243" s="160">
        <f>IF([chambre3]*1='CHAMBRES GARCONS RDC'!$A$11,1,0)</f>
        <v>0</v>
      </c>
      <c r="GU243" s="160">
        <f>IF([Occurrence34]=0,0,SUM($GT$2:GT243))</f>
        <v>0</v>
      </c>
      <c r="GV243" s="160">
        <f>IF([chambre3]*1='CHAMBRES GARCONS RDC'!$A$17,1,0)</f>
        <v>0</v>
      </c>
      <c r="GW243" s="160">
        <f>IF([Occurrence35]=0,0,SUM($GV$2:GV243))</f>
        <v>0</v>
      </c>
      <c r="GX243" s="160">
        <f>IF([chambre3]*1='CHAMBRES GARCONS RDC'!$A$23,1,0)</f>
        <v>0</v>
      </c>
      <c r="GY243" s="160">
        <f>IF([Occurrence36]=0,0,SUM($GX$2:GX243))</f>
        <v>0</v>
      </c>
      <c r="GZ243" s="160">
        <f>IF([chambre3]*1='CHAMBRES GARCONS RDC'!$A$29,1,0)</f>
        <v>0</v>
      </c>
      <c r="HA243" s="160">
        <f>IF([Occurrence37]=0,0,SUM($GZ$2:GZ243))</f>
        <v>0</v>
      </c>
      <c r="HB243" s="160">
        <f>IF([chambre3]*1='CHAMBRES GARCONS RDC'!$A$35,1,0)</f>
        <v>0</v>
      </c>
      <c r="HC243" s="160">
        <f>IF([Occurrence38]=0,0,SUM($HB$2:HB243))</f>
        <v>0</v>
      </c>
      <c r="HD243" s="160">
        <f>IF([chambre3]*1='CHAMBRES GARCONS RDC'!$A$41,1,0)</f>
        <v>0</v>
      </c>
      <c r="HE243" s="160">
        <f>IF([Occurrence39]=0,0,SUM($HD$2:HD243))</f>
        <v>0</v>
      </c>
      <c r="HF243" s="160">
        <f>IF([chambre3]*1='CHAMBRES GARCONS RDC'!$A$47,1,0)</f>
        <v>0</v>
      </c>
      <c r="HG243" s="160">
        <f>IF([Occurrence40]=0,0,SUM($HF$2:HF243))</f>
        <v>0</v>
      </c>
      <c r="HH243" s="160">
        <f>IF([chambre3]*1='CHAMBRES GARCONS RDC'!$A$53,1,0)</f>
        <v>0</v>
      </c>
      <c r="HI243" s="160">
        <f>IF([Occurrence41]=0,0,SUM($HH$2:HH243))</f>
        <v>0</v>
      </c>
      <c r="HJ243" s="160">
        <f>IF([chambre3]*1='CHAMBRES GARCONS RDC'!$A$59,1,0)</f>
        <v>0</v>
      </c>
      <c r="HK243" s="160">
        <f>IF([Occurrence42]=0,0,SUM($HJ$2:HJ243))</f>
        <v>0</v>
      </c>
      <c r="HL243" s="160">
        <f>IF([chambre3]*1='CHAMBRES GARCONS RDC'!$A$65,1,0)</f>
        <v>0</v>
      </c>
      <c r="HM243" s="160">
        <f>IF([Occurrence43]=0,0,SUM($HL$2:HL243))</f>
        <v>0</v>
      </c>
      <c r="HN243" s="160">
        <f>IF([chambre3]*1='CHAMBRES GARCONS RDC'!$A$71,1,0)</f>
        <v>0</v>
      </c>
      <c r="HO243" s="160">
        <f>IF([Occurrence44]=0,0,SUM($HN$2:HN243))</f>
        <v>0</v>
      </c>
      <c r="HP243" s="160">
        <f>IF([chambre3]*1='CHAMBRES GARCONS RDC'!$A$77,1,0)</f>
        <v>0</v>
      </c>
      <c r="HQ243" s="160">
        <f>IF([Occurrence45]=0,0,SUM($HP$2:HP243))</f>
        <v>0</v>
      </c>
      <c r="HR243" s="160">
        <f>IF([chambre3]*1='CHAMBRES GARCONS RDC'!$A$83,1,0)</f>
        <v>0</v>
      </c>
      <c r="HS243" s="160">
        <f>IF([Occurrence46]=0,0,SUM($HR$2:HR243))</f>
        <v>0</v>
      </c>
      <c r="HT243" s="160">
        <f>IF([chambre3]*1='CHAMBRES GARCONS RDC'!$A$89,1,0)</f>
        <v>0</v>
      </c>
      <c r="HU243" s="160">
        <f>IF([Occurrence47]=0,0,SUM($HT$2:HT243))</f>
        <v>0</v>
      </c>
      <c r="HV243" s="160">
        <f>IF([chambre3]*1='CHAMBRES GARCONS RDC'!$A$95,1,0)</f>
        <v>0</v>
      </c>
      <c r="HW243" s="160">
        <f>IF([Occurrence48]=0,0,SUM($HV$2:HV243))</f>
        <v>0</v>
      </c>
      <c r="HX243" s="160"/>
      <c r="HY243" s="160"/>
      <c r="HZ243" s="160">
        <f>IF([Classe]='Liste élève par classes'!$B$5,1,0)</f>
        <v>0</v>
      </c>
      <c r="IA243" s="160">
        <f>IF([Occurrence]=0,0,SUM($HZ$2:HZ243))</f>
        <v>0</v>
      </c>
      <c r="IB24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177</v>
      </c>
      <c r="IC243" s="208"/>
    </row>
    <row r="244" spans="1:237">
      <c r="A244" t="s">
        <v>643</v>
      </c>
      <c r="B244" t="s">
        <v>644</v>
      </c>
      <c r="C244" s="158" t="s">
        <v>710</v>
      </c>
      <c r="D244" s="62" t="s">
        <v>711</v>
      </c>
      <c r="E244" t="s">
        <v>7</v>
      </c>
      <c r="F244" s="159" t="s">
        <v>50</v>
      </c>
      <c r="G244" t="s">
        <v>40</v>
      </c>
      <c r="H244" s="160" t="s">
        <v>244</v>
      </c>
      <c r="I244" s="62" t="s">
        <v>244</v>
      </c>
      <c r="J244" s="62" t="s">
        <v>244</v>
      </c>
      <c r="K244" s="62" t="s">
        <v>244</v>
      </c>
      <c r="L244" s="61"/>
      <c r="M244" t="s">
        <v>712</v>
      </c>
      <c r="N244" s="62" t="s">
        <v>244</v>
      </c>
      <c r="O244" s="62" t="s">
        <v>244</v>
      </c>
      <c r="P244" s="62" t="s">
        <v>244</v>
      </c>
      <c r="Q244" s="62" t="s">
        <v>244</v>
      </c>
      <c r="R244" s="62" t="s">
        <v>244</v>
      </c>
      <c r="S244" s="191"/>
      <c r="T244" s="62" t="s">
        <v>244</v>
      </c>
      <c r="U244" s="61"/>
      <c r="V244" s="62" t="s">
        <v>244</v>
      </c>
      <c r="W244" s="62" t="s">
        <v>244</v>
      </c>
      <c r="X244" s="62" t="s">
        <v>244</v>
      </c>
      <c r="Y244" s="62" t="s">
        <v>244</v>
      </c>
      <c r="Z244" s="62" t="s">
        <v>244</v>
      </c>
      <c r="AA244" s="62" t="s">
        <v>244</v>
      </c>
      <c r="AB244" s="62" t="s">
        <v>244</v>
      </c>
      <c r="AC244" s="62" t="s">
        <v>244</v>
      </c>
      <c r="AD244" s="62" t="s">
        <v>244</v>
      </c>
      <c r="AE244" s="62" t="s">
        <v>244</v>
      </c>
      <c r="AF244" s="163" t="s">
        <v>244</v>
      </c>
      <c r="AG244" s="163" t="s">
        <v>244</v>
      </c>
      <c r="AH244" s="163" t="s">
        <v>244</v>
      </c>
      <c r="AI244" s="163" t="b">
        <v>0</v>
      </c>
      <c r="AJ244" s="163" t="b">
        <v>0</v>
      </c>
      <c r="AK244" s="163" t="b">
        <v>0</v>
      </c>
      <c r="AL244" s="163" t="b">
        <v>0</v>
      </c>
      <c r="AM244" s="163" t="b">
        <v>0</v>
      </c>
      <c r="AN244" s="163" t="b">
        <v>0</v>
      </c>
      <c r="AO244" s="163" t="b">
        <v>0</v>
      </c>
      <c r="AP244" s="163" t="b">
        <v>0</v>
      </c>
      <c r="AQ244" s="163" t="b">
        <v>0</v>
      </c>
      <c r="AR244" s="163" t="b">
        <v>0</v>
      </c>
      <c r="AS244" s="163" t="b">
        <v>0</v>
      </c>
      <c r="AT244" s="163" t="b">
        <v>0</v>
      </c>
      <c r="AU244" s="163" t="b">
        <v>0</v>
      </c>
      <c r="AV244" s="163" t="b">
        <v>0</v>
      </c>
      <c r="AW244" s="163" t="b">
        <v>0</v>
      </c>
      <c r="AX244" s="163" t="b">
        <v>0</v>
      </c>
      <c r="AY244" s="163" t="b">
        <v>0</v>
      </c>
      <c r="AZ244" s="163" t="b">
        <v>0</v>
      </c>
      <c r="BA244" s="163" t="b">
        <v>0</v>
      </c>
      <c r="BB244" s="163" t="b">
        <v>0</v>
      </c>
      <c r="BC244" s="163" t="b">
        <v>0</v>
      </c>
      <c r="BD244" s="163" t="b">
        <v>1</v>
      </c>
      <c r="BE244" s="163" t="b">
        <v>1</v>
      </c>
      <c r="BF244" s="163" t="b">
        <v>0</v>
      </c>
      <c r="BG244" s="163" t="b">
        <v>1</v>
      </c>
      <c r="BH244" s="163" t="b">
        <v>0</v>
      </c>
      <c r="BI244" s="163" t="b">
        <v>0</v>
      </c>
      <c r="BJ244" s="163" t="b">
        <v>0</v>
      </c>
      <c r="BK244" s="163" t="b">
        <v>0</v>
      </c>
      <c r="BL244" s="163" t="b">
        <v>0</v>
      </c>
      <c r="BM244" s="163" t="s">
        <v>244</v>
      </c>
      <c r="BN244" s="163" t="b">
        <v>0</v>
      </c>
      <c r="BO244" s="163" t="b">
        <v>0</v>
      </c>
      <c r="BP244" s="163" t="s">
        <v>244</v>
      </c>
      <c r="BQ244" s="163" t="b">
        <v>0</v>
      </c>
      <c r="BR244" s="163" t="b">
        <v>0</v>
      </c>
      <c r="BS244" s="163" t="s">
        <v>244</v>
      </c>
      <c r="BT244" s="163" t="b">
        <v>0</v>
      </c>
      <c r="BU244" s="163" t="b">
        <v>0</v>
      </c>
      <c r="BV244" s="163" t="s">
        <v>244</v>
      </c>
      <c r="BW244" s="163" t="b">
        <v>0</v>
      </c>
      <c r="BX244" s="163" t="b">
        <v>0</v>
      </c>
      <c r="BY244" s="163" t="s">
        <v>244</v>
      </c>
      <c r="BZ244" s="163" t="b">
        <v>0</v>
      </c>
      <c r="CA244" s="163" t="b">
        <v>0</v>
      </c>
      <c r="CB244" s="163" t="s">
        <v>244</v>
      </c>
      <c r="CC244" s="163" t="b">
        <v>0</v>
      </c>
      <c r="CD244" s="163" t="b">
        <v>0</v>
      </c>
      <c r="CE244" s="163" t="s">
        <v>244</v>
      </c>
      <c r="CF244" s="163" t="b">
        <v>0</v>
      </c>
      <c r="CG244" s="163" t="b">
        <v>0</v>
      </c>
      <c r="CH244" s="163" t="s">
        <v>244</v>
      </c>
      <c r="CI244" s="163" t="b">
        <v>0</v>
      </c>
      <c r="CJ244" s="163" t="b">
        <v>0</v>
      </c>
      <c r="CK244" s="163" t="s">
        <v>244</v>
      </c>
      <c r="CL244" s="163" t="b">
        <v>0</v>
      </c>
      <c r="CM244" s="163" t="b">
        <v>0</v>
      </c>
      <c r="CN244" s="163" t="s">
        <v>244</v>
      </c>
      <c r="CO244" s="163" t="b">
        <v>0</v>
      </c>
      <c r="CP244" s="163" t="b">
        <v>0</v>
      </c>
      <c r="CQ244" s="163" t="s">
        <v>244</v>
      </c>
      <c r="CR244" s="163" t="b">
        <v>0</v>
      </c>
      <c r="CS244" s="163" t="b">
        <v>0</v>
      </c>
      <c r="CT244" s="163" t="b">
        <v>0</v>
      </c>
      <c r="CU244" s="163" t="b">
        <v>0</v>
      </c>
      <c r="CV244" s="163" t="s">
        <v>244</v>
      </c>
      <c r="CW244" s="163" t="b">
        <v>0</v>
      </c>
      <c r="CX244" s="163" t="b">
        <v>0</v>
      </c>
      <c r="CY244" s="163" t="b">
        <v>0</v>
      </c>
      <c r="CZ244" s="163" t="b">
        <v>0</v>
      </c>
      <c r="DA244" s="163">
        <v>119</v>
      </c>
      <c r="DB244" s="163" t="s">
        <v>244</v>
      </c>
      <c r="DC244" s="163" t="s">
        <v>244</v>
      </c>
      <c r="DD244" s="163" t="s">
        <v>244</v>
      </c>
      <c r="DE244" s="163" t="s">
        <v>244</v>
      </c>
      <c r="DF244" s="163" t="s">
        <v>244</v>
      </c>
      <c r="DG244" s="208"/>
      <c r="DH244" s="163" t="s">
        <v>244</v>
      </c>
      <c r="DI244" s="163" t="s">
        <v>244</v>
      </c>
      <c r="DJ244" s="163" t="s">
        <v>244</v>
      </c>
      <c r="DK244" s="163" t="s">
        <v>244</v>
      </c>
      <c r="DL244" s="163" t="s">
        <v>244</v>
      </c>
      <c r="DM244" s="163" t="b">
        <v>0</v>
      </c>
      <c r="DN244" s="163" t="b">
        <v>0</v>
      </c>
      <c r="DO244" s="163" t="b">
        <v>0</v>
      </c>
      <c r="DP244" s="163" t="b">
        <v>0</v>
      </c>
      <c r="DQ244" s="163" t="b">
        <v>0</v>
      </c>
      <c r="DR244" s="163" t="b">
        <v>0</v>
      </c>
      <c r="DS244" s="163" t="b">
        <v>0</v>
      </c>
      <c r="DT244" s="163" t="b">
        <v>0</v>
      </c>
      <c r="DU244" s="163" t="b">
        <v>0</v>
      </c>
      <c r="DV244" s="163" t="b">
        <v>0</v>
      </c>
      <c r="DW244" s="163" t="b">
        <v>0</v>
      </c>
      <c r="DX244" s="163" t="b">
        <v>0</v>
      </c>
      <c r="DY244" s="163" t="b">
        <v>0</v>
      </c>
      <c r="DZ244" s="163" t="b">
        <v>0</v>
      </c>
      <c r="EA244" s="163" t="b">
        <v>0</v>
      </c>
      <c r="EB244" s="163" t="b">
        <v>0</v>
      </c>
      <c r="EC244" s="163" t="b">
        <v>0</v>
      </c>
      <c r="ED244" s="163" t="b">
        <v>0</v>
      </c>
      <c r="EE244" s="163" t="b">
        <v>0</v>
      </c>
      <c r="EF244" s="163" t="b">
        <v>0</v>
      </c>
      <c r="EG244" s="163" t="s">
        <v>244</v>
      </c>
      <c r="EH244" s="160">
        <f>IF([Chambre]*1='CHAMBRES FILLES 2e ETAGE'!$A$5,1,0)</f>
        <v>0</v>
      </c>
      <c r="EI244" s="161">
        <f>IF([Occurrence2]=0,0,SUM($EH$2:EH244))</f>
        <v>0</v>
      </c>
      <c r="EJ244" s="160">
        <f>IF([Chambre]*1='CHAMBRES FILLES 2e ETAGE'!$A$11,1,0)</f>
        <v>0</v>
      </c>
      <c r="EK244" s="160">
        <f>IF([Occurrence3]=0,0,SUM($EJ$2:EJ244))</f>
        <v>0</v>
      </c>
      <c r="EL244" s="160">
        <f>IF([Chambre]*1='CHAMBRES FILLES 2e ETAGE'!$A$17,1,0)</f>
        <v>0</v>
      </c>
      <c r="EM244" s="160">
        <f>IF([Occurrence4]=0,0,SUM($EL$2:EL244))</f>
        <v>0</v>
      </c>
      <c r="EN244" s="160">
        <f>IF([Chambre]*1='CHAMBRES FILLES 2e ETAGE'!$A$23,1,0)</f>
        <v>0</v>
      </c>
      <c r="EO244" s="160">
        <f>IF([Occurrence5]=0,0,SUM($EN$2:EN244))</f>
        <v>0</v>
      </c>
      <c r="EP244" s="160">
        <f>IF([Chambre]*1='CHAMBRES FILLES 2e ETAGE'!$A$29,1,0)</f>
        <v>0</v>
      </c>
      <c r="EQ244" s="160">
        <f>IF([Occurrence6]=0,0,SUM($EP$2:EP244))</f>
        <v>0</v>
      </c>
      <c r="ER244" s="160">
        <f>IF([Chambre]*1='CHAMBRES FILLES 2e ETAGE'!$A$35,1,0)</f>
        <v>0</v>
      </c>
      <c r="ES244" s="160">
        <f>IF([Occurrence7]=0,0,SUM($ER$2:ER244))</f>
        <v>0</v>
      </c>
      <c r="ET244" s="160">
        <f>IF([Chambre]*1='CHAMBRES FILLES 2e ETAGE'!$A$41,1,0)</f>
        <v>0</v>
      </c>
      <c r="EU244" s="160">
        <f>IF([Occurrence8]=0,0,SUM($ET$2:ET244))</f>
        <v>0</v>
      </c>
      <c r="EV244" s="160">
        <f>IF([Chambre]*1='CHAMBRES FILLES 2e ETAGE'!$A$47,1,0)</f>
        <v>0</v>
      </c>
      <c r="EW244" s="160">
        <f>IF([Occurrence9]=0,0,SUM($EV$2:EV244))</f>
        <v>0</v>
      </c>
      <c r="EX244" s="160">
        <f>IF([Chambre]*1='CHAMBRES FILLES 2e ETAGE'!$A$53,1,0)</f>
        <v>0</v>
      </c>
      <c r="EY244" s="160">
        <f>IF([Occurrence10]=0,0,SUM($EX$2:EX244))</f>
        <v>0</v>
      </c>
      <c r="EZ244" s="160">
        <f>IF([Chambre]*1='CHAMBRES FILLES 2e ETAGE'!$A$59,1,0)</f>
        <v>0</v>
      </c>
      <c r="FA244" s="160">
        <f>IF([Occurrence11]=0,0,SUM($EZ$2:EZ244))</f>
        <v>0</v>
      </c>
      <c r="FB244" s="160">
        <f>IF([Chambre]*1='CHAMBRES FILLES 2e ETAGE'!$A$65,1,0)</f>
        <v>0</v>
      </c>
      <c r="FC244" s="160">
        <f>IF([Occurrence12]=0,0,SUM($FB$2:FB244))</f>
        <v>0</v>
      </c>
      <c r="FD244" s="160">
        <f>IF([Chambre]*1='CHAMBRES FILLES 2e ETAGE'!$A$71,1,0)</f>
        <v>0</v>
      </c>
      <c r="FE244" s="160">
        <f>IF([Occurrence13]=0,0,SUM($FD$2:FD244))</f>
        <v>0</v>
      </c>
      <c r="FF244" s="160">
        <f>IF([Chambre]*1='CHAMBRES FILLES 2e ETAGE'!$A$77,1,0)</f>
        <v>0</v>
      </c>
      <c r="FG244" s="160">
        <f>IF([Occurrence14]=0,0,SUM($FF$2:FF244))</f>
        <v>0</v>
      </c>
      <c r="FH244" s="160">
        <f>IF([Chambre]*1='CHAMBRES FILLES 2e ETAGE'!$A$83,1,0)</f>
        <v>0</v>
      </c>
      <c r="FI244" s="160">
        <f>IF([Occurrence15]=0,0,SUM($FH$2:FH244))</f>
        <v>0</v>
      </c>
      <c r="FJ244" s="160">
        <f>IF([Chambre]*1='CHAMBRES FILLES 2e ETAGE'!$A$89,1,0)</f>
        <v>0</v>
      </c>
      <c r="FK244" s="160">
        <f>IF([Occurrence16]=0,0,SUM($FJ$2:FJ244))</f>
        <v>0</v>
      </c>
      <c r="FL244" s="160">
        <f>IF([Chambre]*1='CHAMBRES FILLES 2e ETAGE'!$A$95,1,0)</f>
        <v>0</v>
      </c>
      <c r="FM244" s="160">
        <f>IF([Occurrence17]=0,0,SUM($FL$2:FL244))</f>
        <v>0</v>
      </c>
      <c r="FN244" s="160">
        <f>IF([Chambre2]*1='CHAMBRES FILLES 1e ETAGE'!$A$5,1,0)</f>
        <v>0</v>
      </c>
      <c r="FO244" s="160">
        <f>IF([Occurrence18]=0,0,SUM($FN$2:FN244))</f>
        <v>0</v>
      </c>
      <c r="FP244" s="160">
        <f>IF([Chambre2]*1='CHAMBRES FILLES 1e ETAGE'!$A$11,1,0)</f>
        <v>0</v>
      </c>
      <c r="FQ244" s="160">
        <f>IF([Occurrence19]=0,0,SUM($FP$2:FP244))</f>
        <v>0</v>
      </c>
      <c r="FR244" s="160">
        <f>IF([Chambre2]*1='CHAMBRES FILLES 1e ETAGE'!$A$17,1,0)</f>
        <v>0</v>
      </c>
      <c r="FS244" s="160">
        <f>IF([Occurrence20]=0,0,SUM($FR$2:FR244))</f>
        <v>0</v>
      </c>
      <c r="FT244" s="160">
        <f>IF([Chambre2]*1='CHAMBRES FILLES 1e ETAGE'!$A$23,1,0)</f>
        <v>0</v>
      </c>
      <c r="FU244" s="160">
        <f>IF([Occurrence21]=0,0,SUM($FT$2:FT244))</f>
        <v>0</v>
      </c>
      <c r="FV244" s="160">
        <f>IF([Chambre2]*1='CHAMBRES FILLES 1e ETAGE'!$A$29,1,0)</f>
        <v>0</v>
      </c>
      <c r="FW244" s="160">
        <f>IF([Occurrence22]=0,0,SUM($FV$2:FV244))</f>
        <v>0</v>
      </c>
      <c r="FX244" s="160">
        <f>IF([Chambre2]*1='CHAMBRES FILLES 1e ETAGE'!$A$35,1,0)</f>
        <v>0</v>
      </c>
      <c r="FY244" s="160">
        <f>IF([Occurrence23]=0,0,SUM($FX$2:FX244))</f>
        <v>0</v>
      </c>
      <c r="FZ244" s="160">
        <f>IF([Chambre2]*1='CHAMBRES FILLES 1e ETAGE'!$A$41,1,0)</f>
        <v>0</v>
      </c>
      <c r="GA244" s="160">
        <f>IF([Occurrence24]=0,0,SUM($FZ$2:FZ244))</f>
        <v>0</v>
      </c>
      <c r="GB244" s="160">
        <f>IF([Chambre2]*1='CHAMBRES FILLES 1e ETAGE'!$A$47,1,0)</f>
        <v>0</v>
      </c>
      <c r="GC244" s="160">
        <f>IF([Occurrence25]=0,0,SUM($GB$2:GB244))</f>
        <v>0</v>
      </c>
      <c r="GD244" s="160">
        <f>IF([Chambre2]*1='CHAMBRES FILLES 1e ETAGE'!$A$53,1,0)</f>
        <v>0</v>
      </c>
      <c r="GE244" s="160">
        <f>IF([Occurrence26]=0,0,SUM($GD$2:GD244))</f>
        <v>0</v>
      </c>
      <c r="GF244" s="160">
        <f>IF([chambre4]*1='CHAMBRES GARCONS 1e ETAGE'!$A$5,1,0)</f>
        <v>0</v>
      </c>
      <c r="GG244" s="160">
        <f>IF([Occurrence27]=0,0,SUM($GF$2:GF244))</f>
        <v>0</v>
      </c>
      <c r="GH244" s="160">
        <f>IF([chambre4]*1='CHAMBRES GARCONS 1e ETAGE'!$A$11,1,0)</f>
        <v>0</v>
      </c>
      <c r="GI244" s="160">
        <f>IF([Occurrence28]=0,0,SUM($GH$2:GH244))</f>
        <v>0</v>
      </c>
      <c r="GJ244" s="160">
        <f>IF([chambre4]*1='CHAMBRES GARCONS 1e ETAGE'!$A$17,1,0)</f>
        <v>0</v>
      </c>
      <c r="GK244" s="160">
        <f>IF([Occurrence29]=0,0,SUM($GJ$2:GJ244))</f>
        <v>0</v>
      </c>
      <c r="GL244" s="160">
        <f>IF([chambre4]*1='CHAMBRES GARCONS 1e ETAGE'!$A$23,1,0)</f>
        <v>0</v>
      </c>
      <c r="GM244" s="160">
        <f>IF([Occurrence30]=0,0,SUM($GL$2:GL244))</f>
        <v>0</v>
      </c>
      <c r="GN244" s="160">
        <f>IF([chambre4]*1='CHAMBRES GARCONS 1e ETAGE'!$A$29,1,0)</f>
        <v>0</v>
      </c>
      <c r="GO244" s="160">
        <f>IF([Occurrence31]=0,0,SUM($GN$2:GN244))</f>
        <v>0</v>
      </c>
      <c r="GP244" s="160">
        <f>IF([chambre4]*1='CHAMBRES GARCONS 1e ETAGE'!$A$35,1,0)</f>
        <v>0</v>
      </c>
      <c r="GQ244" s="160">
        <f>IF([Occurrence32]=0,0,SUM($GP$2:GP244))</f>
        <v>0</v>
      </c>
      <c r="GR244" s="160">
        <f>IF([chambre3]*1='CHAMBRES GARCONS RDC'!$A$5,1,0)</f>
        <v>0</v>
      </c>
      <c r="GS244" s="160">
        <f>IF([Occurrence33]=0,0,SUM($GR$2:GR244))</f>
        <v>0</v>
      </c>
      <c r="GT244" s="160">
        <f>IF([chambre3]*1='CHAMBRES GARCONS RDC'!$A$11,1,0)</f>
        <v>0</v>
      </c>
      <c r="GU244" s="160">
        <f>IF([Occurrence34]=0,0,SUM($GT$2:GT244))</f>
        <v>0</v>
      </c>
      <c r="GV244" s="160">
        <f>IF([chambre3]*1='CHAMBRES GARCONS RDC'!$A$17,1,0)</f>
        <v>0</v>
      </c>
      <c r="GW244" s="160">
        <f>IF([Occurrence35]=0,0,SUM($GV$2:GV244))</f>
        <v>0</v>
      </c>
      <c r="GX244" s="160">
        <f>IF([chambre3]*1='CHAMBRES GARCONS RDC'!$A$23,1,0)</f>
        <v>0</v>
      </c>
      <c r="GY244" s="160">
        <f>IF([Occurrence36]=0,0,SUM($GX$2:GX244))</f>
        <v>0</v>
      </c>
      <c r="GZ244" s="160">
        <f>IF([chambre3]*1='CHAMBRES GARCONS RDC'!$A$29,1,0)</f>
        <v>0</v>
      </c>
      <c r="HA244" s="160">
        <f>IF([Occurrence37]=0,0,SUM($GZ$2:GZ244))</f>
        <v>0</v>
      </c>
      <c r="HB244" s="160">
        <f>IF([chambre3]*1='CHAMBRES GARCONS RDC'!$A$35,1,0)</f>
        <v>0</v>
      </c>
      <c r="HC244" s="160">
        <f>IF([Occurrence38]=0,0,SUM($HB$2:HB244))</f>
        <v>0</v>
      </c>
      <c r="HD244" s="160">
        <f>IF([chambre3]*1='CHAMBRES GARCONS RDC'!$A$41,1,0)</f>
        <v>1</v>
      </c>
      <c r="HE244" s="160">
        <f>IF([Occurrence39]=0,0,SUM($HD$2:HD244))</f>
        <v>2</v>
      </c>
      <c r="HF244" s="160">
        <f>IF([chambre3]*1='CHAMBRES GARCONS RDC'!$A$47,1,0)</f>
        <v>0</v>
      </c>
      <c r="HG244" s="160">
        <f>IF([Occurrence40]=0,0,SUM($HF$2:HF244))</f>
        <v>0</v>
      </c>
      <c r="HH244" s="160">
        <f>IF([chambre3]*1='CHAMBRES GARCONS RDC'!$A$53,1,0)</f>
        <v>0</v>
      </c>
      <c r="HI244" s="160">
        <f>IF([Occurrence41]=0,0,SUM($HH$2:HH244))</f>
        <v>0</v>
      </c>
      <c r="HJ244" s="160">
        <f>IF([chambre3]*1='CHAMBRES GARCONS RDC'!$A$59,1,0)</f>
        <v>0</v>
      </c>
      <c r="HK244" s="160">
        <f>IF([Occurrence42]=0,0,SUM($HJ$2:HJ244))</f>
        <v>0</v>
      </c>
      <c r="HL244" s="160">
        <f>IF([chambre3]*1='CHAMBRES GARCONS RDC'!$A$65,1,0)</f>
        <v>0</v>
      </c>
      <c r="HM244" s="160">
        <f>IF([Occurrence43]=0,0,SUM($HL$2:HL244))</f>
        <v>0</v>
      </c>
      <c r="HN244" s="160">
        <f>IF([chambre3]*1='CHAMBRES GARCONS RDC'!$A$71,1,0)</f>
        <v>0</v>
      </c>
      <c r="HO244" s="160">
        <f>IF([Occurrence44]=0,0,SUM($HN$2:HN244))</f>
        <v>0</v>
      </c>
      <c r="HP244" s="160">
        <f>IF([chambre3]*1='CHAMBRES GARCONS RDC'!$A$77,1,0)</f>
        <v>0</v>
      </c>
      <c r="HQ244" s="160">
        <f>IF([Occurrence45]=0,0,SUM($HP$2:HP244))</f>
        <v>0</v>
      </c>
      <c r="HR244" s="160">
        <f>IF([chambre3]*1='CHAMBRES GARCONS RDC'!$A$83,1,0)</f>
        <v>0</v>
      </c>
      <c r="HS244" s="160">
        <f>IF([Occurrence46]=0,0,SUM($HR$2:HR244))</f>
        <v>0</v>
      </c>
      <c r="HT244" s="160">
        <f>IF([chambre3]*1='CHAMBRES GARCONS RDC'!$A$89,1,0)</f>
        <v>0</v>
      </c>
      <c r="HU244" s="160">
        <f>IF([Occurrence47]=0,0,SUM($HT$2:HT244))</f>
        <v>0</v>
      </c>
      <c r="HV244" s="160">
        <f>IF([chambre3]*1='CHAMBRES GARCONS RDC'!$A$95,1,0)</f>
        <v>0</v>
      </c>
      <c r="HW244" s="160">
        <f>IF([Occurrence48]=0,0,SUM($HV$2:HV244))</f>
        <v>0</v>
      </c>
      <c r="HX244" s="160"/>
      <c r="HY244" s="160"/>
      <c r="HZ244" s="160">
        <f>IF([Classe]='Liste élève par classes'!$B$5,1,0)</f>
        <v>0</v>
      </c>
      <c r="IA244" s="160">
        <f>IF([Occurrence]=0,0,SUM($HZ$2:HZ244))</f>
        <v>0</v>
      </c>
      <c r="IB24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119</v>
      </c>
      <c r="IC244" s="208"/>
    </row>
    <row r="245" spans="1:237">
      <c r="A245" t="s">
        <v>645</v>
      </c>
      <c r="B245" t="s">
        <v>646</v>
      </c>
      <c r="C245" s="158">
        <v>36793</v>
      </c>
      <c r="D245" s="62">
        <f t="shared" ca="1" si="3"/>
        <v>17</v>
      </c>
      <c r="E245" t="s">
        <v>9</v>
      </c>
      <c r="F245" s="159" t="s">
        <v>46</v>
      </c>
      <c r="G245" t="s">
        <v>40</v>
      </c>
      <c r="H245" s="160"/>
      <c r="I245" s="161"/>
      <c r="J245" s="161"/>
      <c r="K245" s="161"/>
      <c r="L245" s="160"/>
      <c r="M245">
        <v>41</v>
      </c>
      <c r="N245" s="161"/>
      <c r="O245" s="161"/>
      <c r="P245" s="161"/>
      <c r="Q245" s="161"/>
      <c r="R245" s="161"/>
      <c r="S245" s="161"/>
      <c r="T245" s="161"/>
      <c r="U245" s="160"/>
      <c r="V245" s="161"/>
      <c r="W245" s="161"/>
      <c r="X245" s="161"/>
      <c r="Y245" s="161"/>
      <c r="Z245" s="161"/>
      <c r="AA245" s="161"/>
      <c r="AB245" s="161"/>
      <c r="AC245" s="161"/>
      <c r="AD245" s="161"/>
      <c r="AE245" s="161"/>
      <c r="AF245" s="163"/>
      <c r="AG245" s="163"/>
      <c r="AH245" s="163"/>
      <c r="AI245" s="163"/>
      <c r="AJ245" s="163"/>
      <c r="AK245" s="163"/>
      <c r="AL245" s="163"/>
      <c r="AM245" s="163"/>
      <c r="AN245" s="163"/>
      <c r="AO245" s="163"/>
      <c r="AP245" s="163"/>
      <c r="AQ245" s="163"/>
      <c r="AR245" s="163"/>
      <c r="AS245" s="163"/>
      <c r="AT245" s="163"/>
      <c r="AU245" s="163"/>
      <c r="AV245" s="163"/>
      <c r="AW245" s="163"/>
      <c r="AX245" s="163"/>
      <c r="AY245" s="163"/>
      <c r="AZ245" s="163"/>
      <c r="BA245" s="163"/>
      <c r="BB245" s="163"/>
      <c r="BC245" s="163"/>
      <c r="BD245" s="163"/>
      <c r="BE245" s="163"/>
      <c r="BF245" s="163"/>
      <c r="BG245" s="163"/>
      <c r="BH245" s="163"/>
      <c r="BI245" s="163"/>
      <c r="BJ245" s="163"/>
      <c r="BK245" s="163"/>
      <c r="BL245" s="163"/>
      <c r="BM245" s="163"/>
      <c r="BN245" s="163"/>
      <c r="BO245" s="163"/>
      <c r="BP245" s="163"/>
      <c r="BQ245" s="163"/>
      <c r="BR245" s="163"/>
      <c r="BS245" s="163"/>
      <c r="BT245" s="163"/>
      <c r="BU245" s="163"/>
      <c r="BV245" s="163"/>
      <c r="BW245" s="163"/>
      <c r="BX245" s="163"/>
      <c r="BY245" s="163"/>
      <c r="BZ245" s="163"/>
      <c r="CA245" s="163"/>
      <c r="CB245" s="163"/>
      <c r="CC245" s="163"/>
      <c r="CD245" s="163"/>
      <c r="CE245" s="163"/>
      <c r="CF245" s="163"/>
      <c r="CG245" s="163"/>
      <c r="CH245" s="163"/>
      <c r="CI245" s="163"/>
      <c r="CJ245" s="163"/>
      <c r="CK245" s="163"/>
      <c r="CL245" s="163"/>
      <c r="CM245" s="163"/>
      <c r="CN245" s="163"/>
      <c r="CO245" s="163"/>
      <c r="CP245" s="163"/>
      <c r="CQ245" s="163"/>
      <c r="CR245" s="163"/>
      <c r="CS245" s="163"/>
      <c r="CT245" s="163"/>
      <c r="CU245" s="163"/>
      <c r="CV245" s="163"/>
      <c r="CW245" s="163"/>
      <c r="CX245" s="163"/>
      <c r="CY245" s="163"/>
      <c r="CZ245" s="163"/>
      <c r="DA245" s="163"/>
      <c r="DB245" s="163"/>
      <c r="DC245" s="163"/>
      <c r="DD245" s="163"/>
      <c r="DE245" s="163"/>
      <c r="DF245" s="163"/>
      <c r="DG245" s="163"/>
      <c r="DH245" s="163"/>
      <c r="DI245" s="163"/>
      <c r="DJ245" s="163"/>
      <c r="DK245" s="163"/>
      <c r="DL245" s="163"/>
      <c r="DM245" s="163"/>
      <c r="DN245" s="163"/>
      <c r="DO245" s="163"/>
      <c r="DP245" s="163"/>
      <c r="DQ245" s="163"/>
      <c r="DR245" s="163"/>
      <c r="DS245" s="163"/>
      <c r="DT245" s="163"/>
      <c r="DU245" s="163"/>
      <c r="DV245" s="163"/>
      <c r="DW245" s="163"/>
      <c r="DX245" s="163"/>
      <c r="DY245" s="163"/>
      <c r="DZ245" s="163"/>
      <c r="EA245" s="163"/>
      <c r="EB245" s="163"/>
      <c r="EC245" s="163"/>
      <c r="ED245" s="163"/>
      <c r="EE245" s="163"/>
      <c r="EF245" s="163"/>
      <c r="EG245" s="163"/>
      <c r="EH245" s="160">
        <f>IF([Chambre]*1='CHAMBRES FILLES 2e ETAGE'!$A$5,1,0)</f>
        <v>0</v>
      </c>
      <c r="EI245" s="161">
        <f>IF([Occurrence2]=0,0,SUM($EH$2:EH245))</f>
        <v>0</v>
      </c>
      <c r="EJ245" s="160">
        <f>IF([Chambre]*1='CHAMBRES FILLES 2e ETAGE'!$A$11,1,0)</f>
        <v>0</v>
      </c>
      <c r="EK245" s="160">
        <f>IF([Occurrence3]=0,0,SUM($EJ$2:EJ245))</f>
        <v>0</v>
      </c>
      <c r="EL245" s="160">
        <f>IF([Chambre]*1='CHAMBRES FILLES 2e ETAGE'!$A$17,1,0)</f>
        <v>0</v>
      </c>
      <c r="EM245" s="160">
        <f>IF([Occurrence4]=0,0,SUM($EL$2:EL245))</f>
        <v>0</v>
      </c>
      <c r="EN245" s="160">
        <f>IF([Chambre]*1='CHAMBRES FILLES 2e ETAGE'!$A$23,1,0)</f>
        <v>0</v>
      </c>
      <c r="EO245" s="160">
        <f>IF([Occurrence5]=0,0,SUM($EN$2:EN245))</f>
        <v>0</v>
      </c>
      <c r="EP245" s="160">
        <f>IF([Chambre]*1='CHAMBRES FILLES 2e ETAGE'!$A$29,1,0)</f>
        <v>0</v>
      </c>
      <c r="EQ245" s="160">
        <f>IF([Occurrence6]=0,0,SUM($EP$2:EP245))</f>
        <v>0</v>
      </c>
      <c r="ER245" s="160">
        <f>IF([Chambre]*1='CHAMBRES FILLES 2e ETAGE'!$A$35,1,0)</f>
        <v>0</v>
      </c>
      <c r="ES245" s="160">
        <f>IF([Occurrence7]=0,0,SUM($ER$2:ER245))</f>
        <v>0</v>
      </c>
      <c r="ET245" s="160">
        <f>IF([Chambre]*1='CHAMBRES FILLES 2e ETAGE'!$A$41,1,0)</f>
        <v>0</v>
      </c>
      <c r="EU245" s="160">
        <f>IF([Occurrence8]=0,0,SUM($ET$2:ET245))</f>
        <v>0</v>
      </c>
      <c r="EV245" s="160">
        <f>IF([Chambre]*1='CHAMBRES FILLES 2e ETAGE'!$A$47,1,0)</f>
        <v>0</v>
      </c>
      <c r="EW245" s="160">
        <f>IF([Occurrence9]=0,0,SUM($EV$2:EV245))</f>
        <v>0</v>
      </c>
      <c r="EX245" s="160">
        <f>IF([Chambre]*1='CHAMBRES FILLES 2e ETAGE'!$A$53,1,0)</f>
        <v>0</v>
      </c>
      <c r="EY245" s="160">
        <f>IF([Occurrence10]=0,0,SUM($EX$2:EX245))</f>
        <v>0</v>
      </c>
      <c r="EZ245" s="160">
        <f>IF([Chambre]*1='CHAMBRES FILLES 2e ETAGE'!$A$59,1,0)</f>
        <v>0</v>
      </c>
      <c r="FA245" s="160">
        <f>IF([Occurrence11]=0,0,SUM($EZ$2:EZ245))</f>
        <v>0</v>
      </c>
      <c r="FB245" s="160">
        <f>IF([Chambre]*1='CHAMBRES FILLES 2e ETAGE'!$A$65,1,0)</f>
        <v>0</v>
      </c>
      <c r="FC245" s="160">
        <f>IF([Occurrence12]=0,0,SUM($FB$2:FB245))</f>
        <v>0</v>
      </c>
      <c r="FD245" s="160">
        <f>IF([Chambre]*1='CHAMBRES FILLES 2e ETAGE'!$A$71,1,0)</f>
        <v>0</v>
      </c>
      <c r="FE245" s="160">
        <f>IF([Occurrence13]=0,0,SUM($FD$2:FD245))</f>
        <v>0</v>
      </c>
      <c r="FF245" s="160">
        <f>IF([Chambre]*1='CHAMBRES FILLES 2e ETAGE'!$A$77,1,0)</f>
        <v>0</v>
      </c>
      <c r="FG245" s="160">
        <f>IF([Occurrence14]=0,0,SUM($FF$2:FF245))</f>
        <v>0</v>
      </c>
      <c r="FH245" s="160">
        <f>IF([Chambre]*1='CHAMBRES FILLES 2e ETAGE'!$A$83,1,0)</f>
        <v>0</v>
      </c>
      <c r="FI245" s="160">
        <f>IF([Occurrence15]=0,0,SUM($FH$2:FH245))</f>
        <v>0</v>
      </c>
      <c r="FJ245" s="160">
        <f>IF([Chambre]*1='CHAMBRES FILLES 2e ETAGE'!$A$89,1,0)</f>
        <v>0</v>
      </c>
      <c r="FK245" s="160">
        <f>IF([Occurrence16]=0,0,SUM($FJ$2:FJ245))</f>
        <v>0</v>
      </c>
      <c r="FL245" s="160">
        <f>IF([Chambre]*1='CHAMBRES FILLES 2e ETAGE'!$A$95,1,0)</f>
        <v>0</v>
      </c>
      <c r="FM245" s="160">
        <f>IF([Occurrence17]=0,0,SUM($FL$2:FL245))</f>
        <v>0</v>
      </c>
      <c r="FN245" s="160">
        <f>IF([Chambre2]*1='CHAMBRES FILLES 1e ETAGE'!$A$5,1,0)</f>
        <v>0</v>
      </c>
      <c r="FO245" s="160">
        <f>IF([Occurrence18]=0,0,SUM($FN$2:FN245))</f>
        <v>0</v>
      </c>
      <c r="FP245" s="160">
        <f>IF([Chambre2]*1='CHAMBRES FILLES 1e ETAGE'!$A$11,1,0)</f>
        <v>0</v>
      </c>
      <c r="FQ245" s="160">
        <f>IF([Occurrence19]=0,0,SUM($FP$2:FP245))</f>
        <v>0</v>
      </c>
      <c r="FR245" s="160">
        <f>IF([Chambre2]*1='CHAMBRES FILLES 1e ETAGE'!$A$17,1,0)</f>
        <v>0</v>
      </c>
      <c r="FS245" s="160">
        <f>IF([Occurrence20]=0,0,SUM($FR$2:FR245))</f>
        <v>0</v>
      </c>
      <c r="FT245" s="160">
        <f>IF([Chambre2]*1='CHAMBRES FILLES 1e ETAGE'!$A$23,1,0)</f>
        <v>0</v>
      </c>
      <c r="FU245" s="160">
        <f>IF([Occurrence21]=0,0,SUM($FT$2:FT245))</f>
        <v>0</v>
      </c>
      <c r="FV245" s="160">
        <f>IF([Chambre2]*1='CHAMBRES FILLES 1e ETAGE'!$A$29,1,0)</f>
        <v>0</v>
      </c>
      <c r="FW245" s="160">
        <f>IF([Occurrence22]=0,0,SUM($FV$2:FV245))</f>
        <v>0</v>
      </c>
      <c r="FX245" s="160">
        <f>IF([Chambre2]*1='CHAMBRES FILLES 1e ETAGE'!$A$35,1,0)</f>
        <v>0</v>
      </c>
      <c r="FY245" s="160">
        <f>IF([Occurrence23]=0,0,SUM($FX$2:FX245))</f>
        <v>0</v>
      </c>
      <c r="FZ245" s="160">
        <f>IF([Chambre2]*1='CHAMBRES FILLES 1e ETAGE'!$A$41,1,0)</f>
        <v>0</v>
      </c>
      <c r="GA245" s="160">
        <f>IF([Occurrence24]=0,0,SUM($FZ$2:FZ245))</f>
        <v>0</v>
      </c>
      <c r="GB245" s="160">
        <f>IF([Chambre2]*1='CHAMBRES FILLES 1e ETAGE'!$A$47,1,0)</f>
        <v>0</v>
      </c>
      <c r="GC245" s="160">
        <f>IF([Occurrence25]=0,0,SUM($GB$2:GB245))</f>
        <v>0</v>
      </c>
      <c r="GD245" s="160">
        <f>IF([Chambre2]*1='CHAMBRES FILLES 1e ETAGE'!$A$53,1,0)</f>
        <v>0</v>
      </c>
      <c r="GE245" s="160">
        <f>IF([Occurrence26]=0,0,SUM($GD$2:GD245))</f>
        <v>0</v>
      </c>
      <c r="GF245" s="160">
        <f>IF([chambre4]*1='CHAMBRES GARCONS 1e ETAGE'!$A$5,1,0)</f>
        <v>0</v>
      </c>
      <c r="GG245" s="160">
        <f>IF([Occurrence27]=0,0,SUM($GF$2:GF245))</f>
        <v>0</v>
      </c>
      <c r="GH245" s="160">
        <f>IF([chambre4]*1='CHAMBRES GARCONS 1e ETAGE'!$A$11,1,0)</f>
        <v>0</v>
      </c>
      <c r="GI245" s="160">
        <f>IF([Occurrence28]=0,0,SUM($GH$2:GH245))</f>
        <v>0</v>
      </c>
      <c r="GJ245" s="160">
        <f>IF([chambre4]*1='CHAMBRES GARCONS 1e ETAGE'!$A$17,1,0)</f>
        <v>0</v>
      </c>
      <c r="GK245" s="160">
        <f>IF([Occurrence29]=0,0,SUM($GJ$2:GJ245))</f>
        <v>0</v>
      </c>
      <c r="GL245" s="160">
        <f>IF([chambre4]*1='CHAMBRES GARCONS 1e ETAGE'!$A$23,1,0)</f>
        <v>0</v>
      </c>
      <c r="GM245" s="160">
        <f>IF([Occurrence30]=0,0,SUM($GL$2:GL245))</f>
        <v>0</v>
      </c>
      <c r="GN245" s="160">
        <f>IF([chambre4]*1='CHAMBRES GARCONS 1e ETAGE'!$A$29,1,0)</f>
        <v>0</v>
      </c>
      <c r="GO245" s="160">
        <f>IF([Occurrence31]=0,0,SUM($GN$2:GN245))</f>
        <v>0</v>
      </c>
      <c r="GP245" s="160">
        <f>IF([chambre4]*1='CHAMBRES GARCONS 1e ETAGE'!$A$35,1,0)</f>
        <v>0</v>
      </c>
      <c r="GQ245" s="160">
        <f>IF([Occurrence32]=0,0,SUM($GP$2:GP245))</f>
        <v>0</v>
      </c>
      <c r="GR245" s="160">
        <f>IF([chambre3]*1='CHAMBRES GARCONS RDC'!$A$5,1,0)</f>
        <v>0</v>
      </c>
      <c r="GS245" s="160">
        <f>IF([Occurrence33]=0,0,SUM($GR$2:GR245))</f>
        <v>0</v>
      </c>
      <c r="GT245" s="160">
        <f>IF([chambre3]*1='CHAMBRES GARCONS RDC'!$A$11,1,0)</f>
        <v>0</v>
      </c>
      <c r="GU245" s="160">
        <f>IF([Occurrence34]=0,0,SUM($GT$2:GT245))</f>
        <v>0</v>
      </c>
      <c r="GV245" s="160">
        <f>IF([chambre3]*1='CHAMBRES GARCONS RDC'!$A$17,1,0)</f>
        <v>0</v>
      </c>
      <c r="GW245" s="160">
        <f>IF([Occurrence35]=0,0,SUM($GV$2:GV245))</f>
        <v>0</v>
      </c>
      <c r="GX245" s="160">
        <f>IF([chambre3]*1='CHAMBRES GARCONS RDC'!$A$23,1,0)</f>
        <v>0</v>
      </c>
      <c r="GY245" s="160">
        <f>IF([Occurrence36]=0,0,SUM($GX$2:GX245))</f>
        <v>0</v>
      </c>
      <c r="GZ245" s="160">
        <f>IF([chambre3]*1='CHAMBRES GARCONS RDC'!$A$29,1,0)</f>
        <v>0</v>
      </c>
      <c r="HA245" s="160">
        <f>IF([Occurrence37]=0,0,SUM($GZ$2:GZ245))</f>
        <v>0</v>
      </c>
      <c r="HB245" s="160">
        <f>IF([chambre3]*1='CHAMBRES GARCONS RDC'!$A$35,1,0)</f>
        <v>0</v>
      </c>
      <c r="HC245" s="160">
        <f>IF([Occurrence38]=0,0,SUM($HB$2:HB245))</f>
        <v>0</v>
      </c>
      <c r="HD245" s="160">
        <f>IF([chambre3]*1='CHAMBRES GARCONS RDC'!$A$41,1,0)</f>
        <v>0</v>
      </c>
      <c r="HE245" s="160">
        <f>IF([Occurrence39]=0,0,SUM($HD$2:HD245))</f>
        <v>0</v>
      </c>
      <c r="HF245" s="160">
        <f>IF([chambre3]*1='CHAMBRES GARCONS RDC'!$A$47,1,0)</f>
        <v>0</v>
      </c>
      <c r="HG245" s="160">
        <f>IF([Occurrence40]=0,0,SUM($HF$2:HF245))</f>
        <v>0</v>
      </c>
      <c r="HH245" s="160">
        <f>IF([chambre3]*1='CHAMBRES GARCONS RDC'!$A$53,1,0)</f>
        <v>0</v>
      </c>
      <c r="HI245" s="160">
        <f>IF([Occurrence41]=0,0,SUM($HH$2:HH245))</f>
        <v>0</v>
      </c>
      <c r="HJ245" s="160">
        <f>IF([chambre3]*1='CHAMBRES GARCONS RDC'!$A$59,1,0)</f>
        <v>0</v>
      </c>
      <c r="HK245" s="160">
        <f>IF([Occurrence42]=0,0,SUM($HJ$2:HJ245))</f>
        <v>0</v>
      </c>
      <c r="HL245" s="160">
        <f>IF([chambre3]*1='CHAMBRES GARCONS RDC'!$A$65,1,0)</f>
        <v>0</v>
      </c>
      <c r="HM245" s="160">
        <f>IF([Occurrence43]=0,0,SUM($HL$2:HL245))</f>
        <v>0</v>
      </c>
      <c r="HN245" s="160">
        <f>IF([chambre3]*1='CHAMBRES GARCONS RDC'!$A$71,1,0)</f>
        <v>0</v>
      </c>
      <c r="HO245" s="160">
        <f>IF([Occurrence44]=0,0,SUM($HN$2:HN245))</f>
        <v>0</v>
      </c>
      <c r="HP245" s="160">
        <f>IF([chambre3]*1='CHAMBRES GARCONS RDC'!$A$77,1,0)</f>
        <v>0</v>
      </c>
      <c r="HQ245" s="160">
        <f>IF([Occurrence45]=0,0,SUM($HP$2:HP245))</f>
        <v>0</v>
      </c>
      <c r="HR245" s="160">
        <f>IF([chambre3]*1='CHAMBRES GARCONS RDC'!$A$83,1,0)</f>
        <v>0</v>
      </c>
      <c r="HS245" s="160">
        <f>IF([Occurrence46]=0,0,SUM($HR$2:HR245))</f>
        <v>0</v>
      </c>
      <c r="HT245" s="160">
        <f>IF([chambre3]*1='CHAMBRES GARCONS RDC'!$A$89,1,0)</f>
        <v>0</v>
      </c>
      <c r="HU245" s="160">
        <f>IF([Occurrence47]=0,0,SUM($HT$2:HT245))</f>
        <v>0</v>
      </c>
      <c r="HV245" s="160">
        <f>IF([chambre3]*1='CHAMBRES GARCONS RDC'!$A$95,1,0)</f>
        <v>0</v>
      </c>
      <c r="HW245" s="160">
        <f>IF([Occurrence48]=0,0,SUM($HV$2:HV245))</f>
        <v>0</v>
      </c>
      <c r="HX245" s="160"/>
      <c r="HY245" s="160"/>
      <c r="HZ245" s="160">
        <f>IF([Classe]='Liste élève par classes'!$B$5,1,0)</f>
        <v>0</v>
      </c>
      <c r="IA245" s="160">
        <f>IF([Occurrence]=0,0,SUM($HZ$2:HZ245))</f>
        <v>0</v>
      </c>
      <c r="IB24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45" s="208"/>
    </row>
    <row r="246" spans="1:237">
      <c r="A246" t="s">
        <v>647</v>
      </c>
      <c r="B246" t="s">
        <v>367</v>
      </c>
      <c r="C246" s="158">
        <v>36595</v>
      </c>
      <c r="D246" s="62">
        <f t="shared" ca="1" si="3"/>
        <v>17</v>
      </c>
      <c r="E246" t="s">
        <v>0</v>
      </c>
      <c r="F246" s="159" t="s">
        <v>41</v>
      </c>
      <c r="G246" t="s">
        <v>45</v>
      </c>
      <c r="H246" s="160"/>
      <c r="I246" s="161"/>
      <c r="J246" s="161"/>
      <c r="K246" s="161"/>
      <c r="L246" s="160"/>
      <c r="M246">
        <v>220</v>
      </c>
      <c r="N246" s="161"/>
      <c r="O246" s="161"/>
      <c r="P246" s="161"/>
      <c r="Q246" s="161"/>
      <c r="R246" s="161"/>
      <c r="S246" s="161"/>
      <c r="T246" s="161"/>
      <c r="U246" s="160"/>
      <c r="V246" s="161"/>
      <c r="W246" s="161"/>
      <c r="X246" s="161"/>
      <c r="Y246" s="161"/>
      <c r="Z246" s="161"/>
      <c r="AA246" s="161"/>
      <c r="AB246" s="161"/>
      <c r="AC246" s="161"/>
      <c r="AD246" s="161"/>
      <c r="AE246" s="161"/>
      <c r="AF246" s="163"/>
      <c r="AG246" s="163"/>
      <c r="AH246" s="163"/>
      <c r="AI246" s="163"/>
      <c r="AJ246" s="163"/>
      <c r="AK246" s="163"/>
      <c r="AL246" s="163"/>
      <c r="AM246" s="163"/>
      <c r="AN246" s="163"/>
      <c r="AO246" s="163"/>
      <c r="AP246" s="163"/>
      <c r="AQ246" s="163"/>
      <c r="AR246" s="163"/>
      <c r="AS246" s="163"/>
      <c r="AT246" s="163"/>
      <c r="AU246" s="163"/>
      <c r="AV246" s="163"/>
      <c r="AW246" s="163"/>
      <c r="AX246" s="163"/>
      <c r="AY246" s="163"/>
      <c r="AZ246" s="163"/>
      <c r="BA246" s="163"/>
      <c r="BB246" s="163"/>
      <c r="BC246" s="163"/>
      <c r="BD246" s="163"/>
      <c r="BE246" s="163"/>
      <c r="BF246" s="163"/>
      <c r="BG246" s="163"/>
      <c r="BH246" s="163"/>
      <c r="BI246" s="163"/>
      <c r="BJ246" s="163"/>
      <c r="BK246" s="163"/>
      <c r="BL246" s="163"/>
      <c r="BM246" s="163"/>
      <c r="BN246" s="163"/>
      <c r="BO246" s="163"/>
      <c r="BP246" s="163"/>
      <c r="BQ246" s="163"/>
      <c r="BR246" s="163"/>
      <c r="BS246" s="163"/>
      <c r="BT246" s="163"/>
      <c r="BU246" s="163"/>
      <c r="BV246" s="163"/>
      <c r="BW246" s="163"/>
      <c r="BX246" s="163"/>
      <c r="BY246" s="163"/>
      <c r="BZ246" s="163"/>
      <c r="CA246" s="163"/>
      <c r="CB246" s="163"/>
      <c r="CC246" s="163"/>
      <c r="CD246" s="163"/>
      <c r="CE246" s="163"/>
      <c r="CF246" s="163"/>
      <c r="CG246" s="163"/>
      <c r="CH246" s="163"/>
      <c r="CI246" s="163"/>
      <c r="CJ246" s="163"/>
      <c r="CK246" s="163"/>
      <c r="CL246" s="163"/>
      <c r="CM246" s="163"/>
      <c r="CN246" s="163"/>
      <c r="CO246" s="163"/>
      <c r="CP246" s="163"/>
      <c r="CQ246" s="163"/>
      <c r="CR246" s="163"/>
      <c r="CS246" s="163"/>
      <c r="CT246" s="163"/>
      <c r="CU246" s="163"/>
      <c r="CV246" s="163"/>
      <c r="CW246" s="163"/>
      <c r="CX246" s="163"/>
      <c r="CY246" s="163"/>
      <c r="CZ246" s="163"/>
      <c r="DA246" s="163"/>
      <c r="DB246" s="163"/>
      <c r="DC246" s="163"/>
      <c r="DD246" s="163"/>
      <c r="DE246" s="163"/>
      <c r="DF246" s="163"/>
      <c r="DG246" s="163"/>
      <c r="DH246" s="163"/>
      <c r="DI246" s="163"/>
      <c r="DJ246" s="163"/>
      <c r="DK246" s="163"/>
      <c r="DL246" s="163"/>
      <c r="DM246" s="163"/>
      <c r="DN246" s="163"/>
      <c r="DO246" s="163"/>
      <c r="DP246" s="163"/>
      <c r="DQ246" s="163"/>
      <c r="DR246" s="163"/>
      <c r="DS246" s="163"/>
      <c r="DT246" s="163"/>
      <c r="DU246" s="163"/>
      <c r="DV246" s="163"/>
      <c r="DW246" s="163"/>
      <c r="DX246" s="163"/>
      <c r="DY246" s="163"/>
      <c r="DZ246" s="163"/>
      <c r="EA246" s="163"/>
      <c r="EB246" s="163"/>
      <c r="EC246" s="163"/>
      <c r="ED246" s="163"/>
      <c r="EE246" s="163"/>
      <c r="EF246" s="163"/>
      <c r="EG246" s="163"/>
      <c r="EH246" s="160">
        <f>IF([Chambre]*1='CHAMBRES FILLES 2e ETAGE'!$A$5,1,0)</f>
        <v>0</v>
      </c>
      <c r="EI246" s="161">
        <f>IF([Occurrence2]=0,0,SUM($EH$2:EH246))</f>
        <v>0</v>
      </c>
      <c r="EJ246" s="160">
        <f>IF([Chambre]*1='CHAMBRES FILLES 2e ETAGE'!$A$11,1,0)</f>
        <v>0</v>
      </c>
      <c r="EK246" s="160">
        <f>IF([Occurrence3]=0,0,SUM($EJ$2:EJ246))</f>
        <v>0</v>
      </c>
      <c r="EL246" s="160">
        <f>IF([Chambre]*1='CHAMBRES FILLES 2e ETAGE'!$A$17,1,0)</f>
        <v>0</v>
      </c>
      <c r="EM246" s="160">
        <f>IF([Occurrence4]=0,0,SUM($EL$2:EL246))</f>
        <v>0</v>
      </c>
      <c r="EN246" s="160">
        <f>IF([Chambre]*1='CHAMBRES FILLES 2e ETAGE'!$A$23,1,0)</f>
        <v>0</v>
      </c>
      <c r="EO246" s="160">
        <f>IF([Occurrence5]=0,0,SUM($EN$2:EN246))</f>
        <v>0</v>
      </c>
      <c r="EP246" s="160">
        <f>IF([Chambre]*1='CHAMBRES FILLES 2e ETAGE'!$A$29,1,0)</f>
        <v>0</v>
      </c>
      <c r="EQ246" s="160">
        <f>IF([Occurrence6]=0,0,SUM($EP$2:EP246))</f>
        <v>0</v>
      </c>
      <c r="ER246" s="160">
        <f>IF([Chambre]*1='CHAMBRES FILLES 2e ETAGE'!$A$35,1,0)</f>
        <v>0</v>
      </c>
      <c r="ES246" s="160">
        <f>IF([Occurrence7]=0,0,SUM($ER$2:ER246))</f>
        <v>0</v>
      </c>
      <c r="ET246" s="160">
        <f>IF([Chambre]*1='CHAMBRES FILLES 2e ETAGE'!$A$41,1,0)</f>
        <v>0</v>
      </c>
      <c r="EU246" s="160">
        <f>IF([Occurrence8]=0,0,SUM($ET$2:ET246))</f>
        <v>0</v>
      </c>
      <c r="EV246" s="160">
        <f>IF([Chambre]*1='CHAMBRES FILLES 2e ETAGE'!$A$47,1,0)</f>
        <v>0</v>
      </c>
      <c r="EW246" s="160">
        <f>IF([Occurrence9]=0,0,SUM($EV$2:EV246))</f>
        <v>0</v>
      </c>
      <c r="EX246" s="160">
        <f>IF([Chambre]*1='CHAMBRES FILLES 2e ETAGE'!$A$53,1,0)</f>
        <v>0</v>
      </c>
      <c r="EY246" s="160">
        <f>IF([Occurrence10]=0,0,SUM($EX$2:EX246))</f>
        <v>0</v>
      </c>
      <c r="EZ246" s="160">
        <f>IF([Chambre]*1='CHAMBRES FILLES 2e ETAGE'!$A$59,1,0)</f>
        <v>0</v>
      </c>
      <c r="FA246" s="160">
        <f>IF([Occurrence11]=0,0,SUM($EZ$2:EZ246))</f>
        <v>0</v>
      </c>
      <c r="FB246" s="160">
        <f>IF([Chambre]*1='CHAMBRES FILLES 2e ETAGE'!$A$65,1,0)</f>
        <v>0</v>
      </c>
      <c r="FC246" s="160">
        <f>IF([Occurrence12]=0,0,SUM($FB$2:FB246))</f>
        <v>0</v>
      </c>
      <c r="FD246" s="160">
        <f>IF([Chambre]*1='CHAMBRES FILLES 2e ETAGE'!$A$71,1,0)</f>
        <v>0</v>
      </c>
      <c r="FE246" s="160">
        <f>IF([Occurrence13]=0,0,SUM($FD$2:FD246))</f>
        <v>0</v>
      </c>
      <c r="FF246" s="160">
        <f>IF([Chambre]*1='CHAMBRES FILLES 2e ETAGE'!$A$77,1,0)</f>
        <v>0</v>
      </c>
      <c r="FG246" s="160">
        <f>IF([Occurrence14]=0,0,SUM($FF$2:FF246))</f>
        <v>0</v>
      </c>
      <c r="FH246" s="160">
        <f>IF([Chambre]*1='CHAMBRES FILLES 2e ETAGE'!$A$83,1,0)</f>
        <v>0</v>
      </c>
      <c r="FI246" s="160">
        <f>IF([Occurrence15]=0,0,SUM($FH$2:FH246))</f>
        <v>0</v>
      </c>
      <c r="FJ246" s="160">
        <f>IF([Chambre]*1='CHAMBRES FILLES 2e ETAGE'!$A$89,1,0)</f>
        <v>0</v>
      </c>
      <c r="FK246" s="160">
        <f>IF([Occurrence16]=0,0,SUM($FJ$2:FJ246))</f>
        <v>0</v>
      </c>
      <c r="FL246" s="160">
        <f>IF([Chambre]*1='CHAMBRES FILLES 2e ETAGE'!$A$95,1,0)</f>
        <v>0</v>
      </c>
      <c r="FM246" s="160">
        <f>IF([Occurrence17]=0,0,SUM($FL$2:FL246))</f>
        <v>0</v>
      </c>
      <c r="FN246" s="160">
        <f>IF([Chambre2]*1='CHAMBRES FILLES 1e ETAGE'!$A$5,1,0)</f>
        <v>0</v>
      </c>
      <c r="FO246" s="160">
        <f>IF([Occurrence18]=0,0,SUM($FN$2:FN246))</f>
        <v>0</v>
      </c>
      <c r="FP246" s="160">
        <f>IF([Chambre2]*1='CHAMBRES FILLES 1e ETAGE'!$A$11,1,0)</f>
        <v>0</v>
      </c>
      <c r="FQ246" s="160">
        <f>IF([Occurrence19]=0,0,SUM($FP$2:FP246))</f>
        <v>0</v>
      </c>
      <c r="FR246" s="160">
        <f>IF([Chambre2]*1='CHAMBRES FILLES 1e ETAGE'!$A$17,1,0)</f>
        <v>0</v>
      </c>
      <c r="FS246" s="160">
        <f>IF([Occurrence20]=0,0,SUM($FR$2:FR246))</f>
        <v>0</v>
      </c>
      <c r="FT246" s="160">
        <f>IF([Chambre2]*1='CHAMBRES FILLES 1e ETAGE'!$A$23,1,0)</f>
        <v>0</v>
      </c>
      <c r="FU246" s="160">
        <f>IF([Occurrence21]=0,0,SUM($FT$2:FT246))</f>
        <v>0</v>
      </c>
      <c r="FV246" s="160">
        <f>IF([Chambre2]*1='CHAMBRES FILLES 1e ETAGE'!$A$29,1,0)</f>
        <v>0</v>
      </c>
      <c r="FW246" s="160">
        <f>IF([Occurrence22]=0,0,SUM($FV$2:FV246))</f>
        <v>0</v>
      </c>
      <c r="FX246" s="160">
        <f>IF([Chambre2]*1='CHAMBRES FILLES 1e ETAGE'!$A$35,1,0)</f>
        <v>0</v>
      </c>
      <c r="FY246" s="160">
        <f>IF([Occurrence23]=0,0,SUM($FX$2:FX246))</f>
        <v>0</v>
      </c>
      <c r="FZ246" s="160">
        <f>IF([Chambre2]*1='CHAMBRES FILLES 1e ETAGE'!$A$41,1,0)</f>
        <v>0</v>
      </c>
      <c r="GA246" s="160">
        <f>IF([Occurrence24]=0,0,SUM($FZ$2:FZ246))</f>
        <v>0</v>
      </c>
      <c r="GB246" s="160">
        <f>IF([Chambre2]*1='CHAMBRES FILLES 1e ETAGE'!$A$47,1,0)</f>
        <v>0</v>
      </c>
      <c r="GC246" s="160">
        <f>IF([Occurrence25]=0,0,SUM($GB$2:GB246))</f>
        <v>0</v>
      </c>
      <c r="GD246" s="160">
        <f>IF([Chambre2]*1='CHAMBRES FILLES 1e ETAGE'!$A$53,1,0)</f>
        <v>0</v>
      </c>
      <c r="GE246" s="160">
        <f>IF([Occurrence26]=0,0,SUM($GD$2:GD246))</f>
        <v>0</v>
      </c>
      <c r="GF246" s="160">
        <f>IF([chambre4]*1='CHAMBRES GARCONS 1e ETAGE'!$A$5,1,0)</f>
        <v>0</v>
      </c>
      <c r="GG246" s="160">
        <f>IF([Occurrence27]=0,0,SUM($GF$2:GF246))</f>
        <v>0</v>
      </c>
      <c r="GH246" s="160">
        <f>IF([chambre4]*1='CHAMBRES GARCONS 1e ETAGE'!$A$11,1,0)</f>
        <v>0</v>
      </c>
      <c r="GI246" s="160">
        <f>IF([Occurrence28]=0,0,SUM($GH$2:GH246))</f>
        <v>0</v>
      </c>
      <c r="GJ246" s="160">
        <f>IF([chambre4]*1='CHAMBRES GARCONS 1e ETAGE'!$A$17,1,0)</f>
        <v>0</v>
      </c>
      <c r="GK246" s="160">
        <f>IF([Occurrence29]=0,0,SUM($GJ$2:GJ246))</f>
        <v>0</v>
      </c>
      <c r="GL246" s="160">
        <f>IF([chambre4]*1='CHAMBRES GARCONS 1e ETAGE'!$A$23,1,0)</f>
        <v>0</v>
      </c>
      <c r="GM246" s="160">
        <f>IF([Occurrence30]=0,0,SUM($GL$2:GL246))</f>
        <v>0</v>
      </c>
      <c r="GN246" s="160">
        <f>IF([chambre4]*1='CHAMBRES GARCONS 1e ETAGE'!$A$29,1,0)</f>
        <v>0</v>
      </c>
      <c r="GO246" s="160">
        <f>IF([Occurrence31]=0,0,SUM($GN$2:GN246))</f>
        <v>0</v>
      </c>
      <c r="GP246" s="160">
        <f>IF([chambre4]*1='CHAMBRES GARCONS 1e ETAGE'!$A$35,1,0)</f>
        <v>0</v>
      </c>
      <c r="GQ246" s="160">
        <f>IF([Occurrence32]=0,0,SUM($GP$2:GP246))</f>
        <v>0</v>
      </c>
      <c r="GR246" s="160">
        <f>IF([chambre3]*1='CHAMBRES GARCONS RDC'!$A$5,1,0)</f>
        <v>0</v>
      </c>
      <c r="GS246" s="160">
        <f>IF([Occurrence33]=0,0,SUM($GR$2:GR246))</f>
        <v>0</v>
      </c>
      <c r="GT246" s="160">
        <f>IF([chambre3]*1='CHAMBRES GARCONS RDC'!$A$11,1,0)</f>
        <v>0</v>
      </c>
      <c r="GU246" s="160">
        <f>IF([Occurrence34]=0,0,SUM($GT$2:GT246))</f>
        <v>0</v>
      </c>
      <c r="GV246" s="160">
        <f>IF([chambre3]*1='CHAMBRES GARCONS RDC'!$A$17,1,0)</f>
        <v>0</v>
      </c>
      <c r="GW246" s="160">
        <f>IF([Occurrence35]=0,0,SUM($GV$2:GV246))</f>
        <v>0</v>
      </c>
      <c r="GX246" s="160">
        <f>IF([chambre3]*1='CHAMBRES GARCONS RDC'!$A$23,1,0)</f>
        <v>0</v>
      </c>
      <c r="GY246" s="160">
        <f>IF([Occurrence36]=0,0,SUM($GX$2:GX246))</f>
        <v>0</v>
      </c>
      <c r="GZ246" s="160">
        <f>IF([chambre3]*1='CHAMBRES GARCONS RDC'!$A$29,1,0)</f>
        <v>0</v>
      </c>
      <c r="HA246" s="160">
        <f>IF([Occurrence37]=0,0,SUM($GZ$2:GZ246))</f>
        <v>0</v>
      </c>
      <c r="HB246" s="160">
        <f>IF([chambre3]*1='CHAMBRES GARCONS RDC'!$A$35,1,0)</f>
        <v>0</v>
      </c>
      <c r="HC246" s="160">
        <f>IF([Occurrence38]=0,0,SUM($HB$2:HB246))</f>
        <v>0</v>
      </c>
      <c r="HD246" s="160">
        <f>IF([chambre3]*1='CHAMBRES GARCONS RDC'!$A$41,1,0)</f>
        <v>0</v>
      </c>
      <c r="HE246" s="160">
        <f>IF([Occurrence39]=0,0,SUM($HD$2:HD246))</f>
        <v>0</v>
      </c>
      <c r="HF246" s="160">
        <f>IF([chambre3]*1='CHAMBRES GARCONS RDC'!$A$47,1,0)</f>
        <v>0</v>
      </c>
      <c r="HG246" s="160">
        <f>IF([Occurrence40]=0,0,SUM($HF$2:HF246))</f>
        <v>0</v>
      </c>
      <c r="HH246" s="160">
        <f>IF([chambre3]*1='CHAMBRES GARCONS RDC'!$A$53,1,0)</f>
        <v>0</v>
      </c>
      <c r="HI246" s="160">
        <f>IF([Occurrence41]=0,0,SUM($HH$2:HH246))</f>
        <v>0</v>
      </c>
      <c r="HJ246" s="160">
        <f>IF([chambre3]*1='CHAMBRES GARCONS RDC'!$A$59,1,0)</f>
        <v>0</v>
      </c>
      <c r="HK246" s="160">
        <f>IF([Occurrence42]=0,0,SUM($HJ$2:HJ246))</f>
        <v>0</v>
      </c>
      <c r="HL246" s="160">
        <f>IF([chambre3]*1='CHAMBRES GARCONS RDC'!$A$65,1,0)</f>
        <v>0</v>
      </c>
      <c r="HM246" s="160">
        <f>IF([Occurrence43]=0,0,SUM($HL$2:HL246))</f>
        <v>0</v>
      </c>
      <c r="HN246" s="160">
        <f>IF([chambre3]*1='CHAMBRES GARCONS RDC'!$A$71,1,0)</f>
        <v>0</v>
      </c>
      <c r="HO246" s="160">
        <f>IF([Occurrence44]=0,0,SUM($HN$2:HN246))</f>
        <v>0</v>
      </c>
      <c r="HP246" s="160">
        <f>IF([chambre3]*1='CHAMBRES GARCONS RDC'!$A$77,1,0)</f>
        <v>0</v>
      </c>
      <c r="HQ246" s="160">
        <f>IF([Occurrence45]=0,0,SUM($HP$2:HP246))</f>
        <v>0</v>
      </c>
      <c r="HR246" s="160">
        <f>IF([chambre3]*1='CHAMBRES GARCONS RDC'!$A$83,1,0)</f>
        <v>0</v>
      </c>
      <c r="HS246" s="160">
        <f>IF([Occurrence46]=0,0,SUM($HR$2:HR246))</f>
        <v>0</v>
      </c>
      <c r="HT246" s="160">
        <f>IF([chambre3]*1='CHAMBRES GARCONS RDC'!$A$89,1,0)</f>
        <v>0</v>
      </c>
      <c r="HU246" s="160">
        <f>IF([Occurrence47]=0,0,SUM($HT$2:HT246))</f>
        <v>0</v>
      </c>
      <c r="HV246" s="160">
        <f>IF([chambre3]*1='CHAMBRES GARCONS RDC'!$A$95,1,0)</f>
        <v>0</v>
      </c>
      <c r="HW246" s="160">
        <f>IF([Occurrence48]=0,0,SUM($HV$2:HV246))</f>
        <v>0</v>
      </c>
      <c r="HX246" s="160"/>
      <c r="HY246" s="160"/>
      <c r="HZ246" s="160">
        <f>IF([Classe]='Liste élève par classes'!$B$5,1,0)</f>
        <v>0</v>
      </c>
      <c r="IA246" s="160">
        <f>IF([Occurrence]=0,0,SUM($HZ$2:HZ246))</f>
        <v>0</v>
      </c>
      <c r="IB24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46" s="208"/>
    </row>
    <row r="247" spans="1:237">
      <c r="A247" t="s">
        <v>648</v>
      </c>
      <c r="B247" t="s">
        <v>649</v>
      </c>
      <c r="C247" s="158">
        <v>36398</v>
      </c>
      <c r="D247" s="62">
        <f t="shared" ca="1" si="3"/>
        <v>18</v>
      </c>
      <c r="E247" t="s">
        <v>3</v>
      </c>
      <c r="F247" s="165" t="s">
        <v>46</v>
      </c>
      <c r="G247" t="s">
        <v>45</v>
      </c>
      <c r="H247" s="160"/>
      <c r="I247" s="62"/>
      <c r="J247" s="62" t="s">
        <v>244</v>
      </c>
      <c r="K247" s="62"/>
      <c r="L247" s="61"/>
      <c r="M247" s="62"/>
      <c r="N247" s="62" t="s">
        <v>244</v>
      </c>
      <c r="O247" s="62" t="s">
        <v>244</v>
      </c>
      <c r="P247" s="62" t="s">
        <v>244</v>
      </c>
      <c r="Q247" s="62" t="s">
        <v>244</v>
      </c>
      <c r="R247" s="62" t="s">
        <v>244</v>
      </c>
      <c r="S247" s="62"/>
      <c r="T247" s="62" t="s">
        <v>244</v>
      </c>
      <c r="U247" s="61"/>
      <c r="V247" s="62" t="s">
        <v>244</v>
      </c>
      <c r="W247" s="62" t="s">
        <v>244</v>
      </c>
      <c r="X247" s="62" t="s">
        <v>244</v>
      </c>
      <c r="Y247" s="62" t="s">
        <v>244</v>
      </c>
      <c r="Z247" s="62" t="s">
        <v>244</v>
      </c>
      <c r="AA247" s="62" t="s">
        <v>244</v>
      </c>
      <c r="AB247" s="62" t="s">
        <v>244</v>
      </c>
      <c r="AC247" s="62" t="s">
        <v>244</v>
      </c>
      <c r="AD247" s="62" t="s">
        <v>244</v>
      </c>
      <c r="AE247" s="62" t="s">
        <v>244</v>
      </c>
      <c r="AF247" s="163" t="s">
        <v>244</v>
      </c>
      <c r="AG247" s="163" t="s">
        <v>244</v>
      </c>
      <c r="AH247" s="163" t="s">
        <v>244</v>
      </c>
      <c r="AI247" s="163"/>
      <c r="AJ247" s="163"/>
      <c r="AK247" s="163"/>
      <c r="AL247" s="163"/>
      <c r="AM247" s="163"/>
      <c r="AN247" s="163"/>
      <c r="AO247" s="163"/>
      <c r="AP247" s="163"/>
      <c r="AQ247" s="163"/>
      <c r="AR247" s="163"/>
      <c r="AS247" s="163"/>
      <c r="AT247" s="163"/>
      <c r="AU247" s="163"/>
      <c r="AV247" s="163"/>
      <c r="AW247" s="163"/>
      <c r="AX247" s="163"/>
      <c r="AY247" s="163"/>
      <c r="AZ247" s="163"/>
      <c r="BA247" s="163"/>
      <c r="BB247" s="163"/>
      <c r="BC247" s="163" t="b">
        <v>0</v>
      </c>
      <c r="BD247" s="163" t="b">
        <v>0</v>
      </c>
      <c r="BE247" s="163" t="b">
        <v>0</v>
      </c>
      <c r="BF247" s="163" t="b">
        <v>0</v>
      </c>
      <c r="BG247" s="163" t="b">
        <v>0</v>
      </c>
      <c r="BH247" s="163" t="b">
        <v>0</v>
      </c>
      <c r="BI247" s="163" t="b">
        <v>1</v>
      </c>
      <c r="BJ247" s="163" t="b">
        <v>0</v>
      </c>
      <c r="BK247" s="163" t="b">
        <v>0</v>
      </c>
      <c r="BL247" s="163" t="b">
        <v>0</v>
      </c>
      <c r="BM247" s="163"/>
      <c r="BN247" s="163"/>
      <c r="BO247" s="163"/>
      <c r="BP247" s="163"/>
      <c r="BQ247" s="163"/>
      <c r="BR247" s="163"/>
      <c r="BS247" s="163"/>
      <c r="BT247" s="163"/>
      <c r="BU247" s="163"/>
      <c r="BV247" s="163"/>
      <c r="BW247" s="163"/>
      <c r="BX247" s="163"/>
      <c r="BY247" s="163"/>
      <c r="BZ247" s="163"/>
      <c r="CA247" s="163"/>
      <c r="CB247" s="163"/>
      <c r="CC247" s="163"/>
      <c r="CD247" s="163"/>
      <c r="CE247" s="163"/>
      <c r="CF247" s="163"/>
      <c r="CG247" s="163"/>
      <c r="CH247" s="163"/>
      <c r="CI247" s="163"/>
      <c r="CJ247" s="163"/>
      <c r="CK247" s="163"/>
      <c r="CL247" s="163"/>
      <c r="CM247" s="163"/>
      <c r="CN247" s="163"/>
      <c r="CO247" s="163"/>
      <c r="CP247" s="163"/>
      <c r="CQ247" s="163"/>
      <c r="CR247" s="163"/>
      <c r="CS247" s="163"/>
      <c r="CT247" s="163"/>
      <c r="CU247" s="163"/>
      <c r="CV247" s="163"/>
      <c r="CW247" s="163"/>
      <c r="CX247" s="163"/>
      <c r="CY247" s="163"/>
      <c r="CZ247" s="163"/>
      <c r="DA247" s="163"/>
      <c r="DB247" s="163"/>
      <c r="DC247" s="163"/>
      <c r="DD247" s="163"/>
      <c r="DE247" s="163"/>
      <c r="DF247" s="163"/>
      <c r="DG247" s="163"/>
      <c r="DH247" s="163"/>
      <c r="DI247" s="163"/>
      <c r="DJ247" s="163"/>
      <c r="DK247" s="163"/>
      <c r="DL247" s="163"/>
      <c r="DM247" s="163"/>
      <c r="DN247" s="163"/>
      <c r="DO247" s="163"/>
      <c r="DP247" s="163"/>
      <c r="DQ247" s="163"/>
      <c r="DR247" s="163"/>
      <c r="DS247" s="163"/>
      <c r="DT247" s="163"/>
      <c r="DU247" s="163"/>
      <c r="DV247" s="163"/>
      <c r="DW247" s="163"/>
      <c r="DX247" s="163"/>
      <c r="DY247" s="163"/>
      <c r="DZ247" s="163"/>
      <c r="EA247" s="163"/>
      <c r="EB247" s="163"/>
      <c r="EC247" s="163"/>
      <c r="ED247" s="163"/>
      <c r="EE247" s="163"/>
      <c r="EF247" s="163"/>
      <c r="EG247" s="163"/>
      <c r="EH247" s="160">
        <f>IF([Chambre]*1='CHAMBRES FILLES 2e ETAGE'!$A$5,1,0)</f>
        <v>0</v>
      </c>
      <c r="EI247" s="161">
        <f>IF([Occurrence2]=0,0,SUM($EH$2:EH247))</f>
        <v>0</v>
      </c>
      <c r="EJ247" s="160">
        <f>IF([Chambre]*1='CHAMBRES FILLES 2e ETAGE'!$A$11,1,0)</f>
        <v>0</v>
      </c>
      <c r="EK247" s="160">
        <f>IF([Occurrence3]=0,0,SUM($EJ$2:EJ247))</f>
        <v>0</v>
      </c>
      <c r="EL247" s="160">
        <f>IF([Chambre]*1='CHAMBRES FILLES 2e ETAGE'!$A$17,1,0)</f>
        <v>0</v>
      </c>
      <c r="EM247" s="160">
        <f>IF([Occurrence4]=0,0,SUM($EL$2:EL247))</f>
        <v>0</v>
      </c>
      <c r="EN247" s="160">
        <f>IF([Chambre]*1='CHAMBRES FILLES 2e ETAGE'!$A$23,1,0)</f>
        <v>0</v>
      </c>
      <c r="EO247" s="160">
        <f>IF([Occurrence5]=0,0,SUM($EN$2:EN247))</f>
        <v>0</v>
      </c>
      <c r="EP247" s="160">
        <f>IF([Chambre]*1='CHAMBRES FILLES 2e ETAGE'!$A$29,1,0)</f>
        <v>0</v>
      </c>
      <c r="EQ247" s="160">
        <f>IF([Occurrence6]=0,0,SUM($EP$2:EP247))</f>
        <v>0</v>
      </c>
      <c r="ER247" s="160">
        <f>IF([Chambre]*1='CHAMBRES FILLES 2e ETAGE'!$A$35,1,0)</f>
        <v>0</v>
      </c>
      <c r="ES247" s="160">
        <f>IF([Occurrence7]=0,0,SUM($ER$2:ER247))</f>
        <v>0</v>
      </c>
      <c r="ET247" s="160">
        <f>IF([Chambre]*1='CHAMBRES FILLES 2e ETAGE'!$A$41,1,0)</f>
        <v>0</v>
      </c>
      <c r="EU247" s="160">
        <f>IF([Occurrence8]=0,0,SUM($ET$2:ET247))</f>
        <v>0</v>
      </c>
      <c r="EV247" s="160">
        <f>IF([Chambre]*1='CHAMBRES FILLES 2e ETAGE'!$A$47,1,0)</f>
        <v>0</v>
      </c>
      <c r="EW247" s="160">
        <f>IF([Occurrence9]=0,0,SUM($EV$2:EV247))</f>
        <v>0</v>
      </c>
      <c r="EX247" s="160">
        <f>IF([Chambre]*1='CHAMBRES FILLES 2e ETAGE'!$A$53,1,0)</f>
        <v>0</v>
      </c>
      <c r="EY247" s="160">
        <f>IF([Occurrence10]=0,0,SUM($EX$2:EX247))</f>
        <v>0</v>
      </c>
      <c r="EZ247" s="160">
        <f>IF([Chambre]*1='CHAMBRES FILLES 2e ETAGE'!$A$59,1,0)</f>
        <v>0</v>
      </c>
      <c r="FA247" s="160">
        <f>IF([Occurrence11]=0,0,SUM($EZ$2:EZ247))</f>
        <v>0</v>
      </c>
      <c r="FB247" s="160">
        <f>IF([Chambre]*1='CHAMBRES FILLES 2e ETAGE'!$A$65,1,0)</f>
        <v>0</v>
      </c>
      <c r="FC247" s="160">
        <f>IF([Occurrence12]=0,0,SUM($FB$2:FB247))</f>
        <v>0</v>
      </c>
      <c r="FD247" s="160">
        <f>IF([Chambre]*1='CHAMBRES FILLES 2e ETAGE'!$A$71,1,0)</f>
        <v>0</v>
      </c>
      <c r="FE247" s="160">
        <f>IF([Occurrence13]=0,0,SUM($FD$2:FD247))</f>
        <v>0</v>
      </c>
      <c r="FF247" s="160">
        <f>IF([Chambre]*1='CHAMBRES FILLES 2e ETAGE'!$A$77,1,0)</f>
        <v>0</v>
      </c>
      <c r="FG247" s="160">
        <f>IF([Occurrence14]=0,0,SUM($FF$2:FF247))</f>
        <v>0</v>
      </c>
      <c r="FH247" s="160">
        <f>IF([Chambre]*1='CHAMBRES FILLES 2e ETAGE'!$A$83,1,0)</f>
        <v>0</v>
      </c>
      <c r="FI247" s="160">
        <f>IF([Occurrence15]=0,0,SUM($FH$2:FH247))</f>
        <v>0</v>
      </c>
      <c r="FJ247" s="160">
        <f>IF([Chambre]*1='CHAMBRES FILLES 2e ETAGE'!$A$89,1,0)</f>
        <v>0</v>
      </c>
      <c r="FK247" s="160">
        <f>IF([Occurrence16]=0,0,SUM($FJ$2:FJ247))</f>
        <v>0</v>
      </c>
      <c r="FL247" s="160">
        <f>IF([Chambre]*1='CHAMBRES FILLES 2e ETAGE'!$A$95,1,0)</f>
        <v>0</v>
      </c>
      <c r="FM247" s="160">
        <f>IF([Occurrence17]=0,0,SUM($FL$2:FL247))</f>
        <v>0</v>
      </c>
      <c r="FN247" s="160">
        <f>IF([Chambre2]*1='CHAMBRES FILLES 1e ETAGE'!$A$5,1,0)</f>
        <v>0</v>
      </c>
      <c r="FO247" s="160">
        <f>IF([Occurrence18]=0,0,SUM($FN$2:FN247))</f>
        <v>0</v>
      </c>
      <c r="FP247" s="160">
        <f>IF([Chambre2]*1='CHAMBRES FILLES 1e ETAGE'!$A$11,1,0)</f>
        <v>0</v>
      </c>
      <c r="FQ247" s="160">
        <f>IF([Occurrence19]=0,0,SUM($FP$2:FP247))</f>
        <v>0</v>
      </c>
      <c r="FR247" s="160">
        <f>IF([Chambre2]*1='CHAMBRES FILLES 1e ETAGE'!$A$17,1,0)</f>
        <v>0</v>
      </c>
      <c r="FS247" s="160">
        <f>IF([Occurrence20]=0,0,SUM($FR$2:FR247))</f>
        <v>0</v>
      </c>
      <c r="FT247" s="160">
        <f>IF([Chambre2]*1='CHAMBRES FILLES 1e ETAGE'!$A$23,1,0)</f>
        <v>0</v>
      </c>
      <c r="FU247" s="160">
        <f>IF([Occurrence21]=0,0,SUM($FT$2:FT247))</f>
        <v>0</v>
      </c>
      <c r="FV247" s="160">
        <f>IF([Chambre2]*1='CHAMBRES FILLES 1e ETAGE'!$A$29,1,0)</f>
        <v>0</v>
      </c>
      <c r="FW247" s="160">
        <f>IF([Occurrence22]=0,0,SUM($FV$2:FV247))</f>
        <v>0</v>
      </c>
      <c r="FX247" s="160">
        <f>IF([Chambre2]*1='CHAMBRES FILLES 1e ETAGE'!$A$35,1,0)</f>
        <v>0</v>
      </c>
      <c r="FY247" s="160">
        <f>IF([Occurrence23]=0,0,SUM($FX$2:FX247))</f>
        <v>0</v>
      </c>
      <c r="FZ247" s="160">
        <f>IF([Chambre2]*1='CHAMBRES FILLES 1e ETAGE'!$A$41,1,0)</f>
        <v>0</v>
      </c>
      <c r="GA247" s="160">
        <f>IF([Occurrence24]=0,0,SUM($FZ$2:FZ247))</f>
        <v>0</v>
      </c>
      <c r="GB247" s="160">
        <f>IF([Chambre2]*1='CHAMBRES FILLES 1e ETAGE'!$A$47,1,0)</f>
        <v>0</v>
      </c>
      <c r="GC247" s="160">
        <f>IF([Occurrence25]=0,0,SUM($GB$2:GB247))</f>
        <v>0</v>
      </c>
      <c r="GD247" s="160">
        <f>IF([Chambre2]*1='CHAMBRES FILLES 1e ETAGE'!$A$53,1,0)</f>
        <v>0</v>
      </c>
      <c r="GE247" s="160">
        <f>IF([Occurrence26]=0,0,SUM($GD$2:GD247))</f>
        <v>0</v>
      </c>
      <c r="GF247" s="160">
        <f>IF([chambre4]*1='CHAMBRES GARCONS 1e ETAGE'!$A$5,1,0)</f>
        <v>0</v>
      </c>
      <c r="GG247" s="160">
        <f>IF([Occurrence27]=0,0,SUM($GF$2:GF247))</f>
        <v>0</v>
      </c>
      <c r="GH247" s="160">
        <f>IF([chambre4]*1='CHAMBRES GARCONS 1e ETAGE'!$A$11,1,0)</f>
        <v>0</v>
      </c>
      <c r="GI247" s="160">
        <f>IF([Occurrence28]=0,0,SUM($GH$2:GH247))</f>
        <v>0</v>
      </c>
      <c r="GJ247" s="160">
        <f>IF([chambre4]*1='CHAMBRES GARCONS 1e ETAGE'!$A$17,1,0)</f>
        <v>0</v>
      </c>
      <c r="GK247" s="160">
        <f>IF([Occurrence29]=0,0,SUM($GJ$2:GJ247))</f>
        <v>0</v>
      </c>
      <c r="GL247" s="160">
        <f>IF([chambre4]*1='CHAMBRES GARCONS 1e ETAGE'!$A$23,1,0)</f>
        <v>0</v>
      </c>
      <c r="GM247" s="160">
        <f>IF([Occurrence30]=0,0,SUM($GL$2:GL247))</f>
        <v>0</v>
      </c>
      <c r="GN247" s="160">
        <f>IF([chambre4]*1='CHAMBRES GARCONS 1e ETAGE'!$A$29,1,0)</f>
        <v>0</v>
      </c>
      <c r="GO247" s="160">
        <f>IF([Occurrence31]=0,0,SUM($GN$2:GN247))</f>
        <v>0</v>
      </c>
      <c r="GP247" s="160">
        <f>IF([chambre4]*1='CHAMBRES GARCONS 1e ETAGE'!$A$35,1,0)</f>
        <v>0</v>
      </c>
      <c r="GQ247" s="160">
        <f>IF([Occurrence32]=0,0,SUM($GP$2:GP247))</f>
        <v>0</v>
      </c>
      <c r="GR247" s="160">
        <f>IF([chambre3]*1='CHAMBRES GARCONS RDC'!$A$5,1,0)</f>
        <v>0</v>
      </c>
      <c r="GS247" s="160">
        <f>IF([Occurrence33]=0,0,SUM($GR$2:GR247))</f>
        <v>0</v>
      </c>
      <c r="GT247" s="160">
        <f>IF([chambre3]*1='CHAMBRES GARCONS RDC'!$A$11,1,0)</f>
        <v>0</v>
      </c>
      <c r="GU247" s="160">
        <f>IF([Occurrence34]=0,0,SUM($GT$2:GT247))</f>
        <v>0</v>
      </c>
      <c r="GV247" s="160">
        <f>IF([chambre3]*1='CHAMBRES GARCONS RDC'!$A$17,1,0)</f>
        <v>0</v>
      </c>
      <c r="GW247" s="160">
        <f>IF([Occurrence35]=0,0,SUM($GV$2:GV247))</f>
        <v>0</v>
      </c>
      <c r="GX247" s="160">
        <f>IF([chambre3]*1='CHAMBRES GARCONS RDC'!$A$23,1,0)</f>
        <v>0</v>
      </c>
      <c r="GY247" s="160">
        <f>IF([Occurrence36]=0,0,SUM($GX$2:GX247))</f>
        <v>0</v>
      </c>
      <c r="GZ247" s="160">
        <f>IF([chambre3]*1='CHAMBRES GARCONS RDC'!$A$29,1,0)</f>
        <v>0</v>
      </c>
      <c r="HA247" s="160">
        <f>IF([Occurrence37]=0,0,SUM($GZ$2:GZ247))</f>
        <v>0</v>
      </c>
      <c r="HB247" s="160">
        <f>IF([chambre3]*1='CHAMBRES GARCONS RDC'!$A$35,1,0)</f>
        <v>0</v>
      </c>
      <c r="HC247" s="160">
        <f>IF([Occurrence38]=0,0,SUM($HB$2:HB247))</f>
        <v>0</v>
      </c>
      <c r="HD247" s="160">
        <f>IF([chambre3]*1='CHAMBRES GARCONS RDC'!$A$41,1,0)</f>
        <v>0</v>
      </c>
      <c r="HE247" s="160">
        <f>IF([Occurrence39]=0,0,SUM($HD$2:HD247))</f>
        <v>0</v>
      </c>
      <c r="HF247" s="160">
        <f>IF([chambre3]*1='CHAMBRES GARCONS RDC'!$A$47,1,0)</f>
        <v>0</v>
      </c>
      <c r="HG247" s="160">
        <f>IF([Occurrence40]=0,0,SUM($HF$2:HF247))</f>
        <v>0</v>
      </c>
      <c r="HH247" s="160">
        <f>IF([chambre3]*1='CHAMBRES GARCONS RDC'!$A$53,1,0)</f>
        <v>0</v>
      </c>
      <c r="HI247" s="160">
        <f>IF([Occurrence41]=0,0,SUM($HH$2:HH247))</f>
        <v>0</v>
      </c>
      <c r="HJ247" s="160">
        <f>IF([chambre3]*1='CHAMBRES GARCONS RDC'!$A$59,1,0)</f>
        <v>0</v>
      </c>
      <c r="HK247" s="160">
        <f>IF([Occurrence42]=0,0,SUM($HJ$2:HJ247))</f>
        <v>0</v>
      </c>
      <c r="HL247" s="160">
        <f>IF([chambre3]*1='CHAMBRES GARCONS RDC'!$A$65,1,0)</f>
        <v>0</v>
      </c>
      <c r="HM247" s="160">
        <f>IF([Occurrence43]=0,0,SUM($HL$2:HL247))</f>
        <v>0</v>
      </c>
      <c r="HN247" s="160">
        <f>IF([chambre3]*1='CHAMBRES GARCONS RDC'!$A$71,1,0)</f>
        <v>0</v>
      </c>
      <c r="HO247" s="160">
        <f>IF([Occurrence44]=0,0,SUM($HN$2:HN247))</f>
        <v>0</v>
      </c>
      <c r="HP247" s="160">
        <f>IF([chambre3]*1='CHAMBRES GARCONS RDC'!$A$77,1,0)</f>
        <v>0</v>
      </c>
      <c r="HQ247" s="160">
        <f>IF([Occurrence45]=0,0,SUM($HP$2:HP247))</f>
        <v>0</v>
      </c>
      <c r="HR247" s="160">
        <f>IF([chambre3]*1='CHAMBRES GARCONS RDC'!$A$83,1,0)</f>
        <v>0</v>
      </c>
      <c r="HS247" s="160">
        <f>IF([Occurrence46]=0,0,SUM($HR$2:HR247))</f>
        <v>0</v>
      </c>
      <c r="HT247" s="160">
        <f>IF([chambre3]*1='CHAMBRES GARCONS RDC'!$A$89,1,0)</f>
        <v>0</v>
      </c>
      <c r="HU247" s="160">
        <f>IF([Occurrence47]=0,0,SUM($HT$2:HT247))</f>
        <v>0</v>
      </c>
      <c r="HV247" s="160">
        <f>IF([chambre3]*1='CHAMBRES GARCONS RDC'!$A$95,1,0)</f>
        <v>0</v>
      </c>
      <c r="HW247" s="160">
        <f>IF([Occurrence48]=0,0,SUM($HV$2:HV247))</f>
        <v>0</v>
      </c>
      <c r="HX247" s="160"/>
      <c r="HY247" s="160"/>
      <c r="HZ247" s="160">
        <f>IF([Classe]='Liste élève par classes'!$B$5,1,0)</f>
        <v>0</v>
      </c>
      <c r="IA247" s="160">
        <f>IF([Occurrence]=0,0,SUM($HZ$2:HZ247))</f>
        <v>0</v>
      </c>
      <c r="IB24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47" s="208"/>
    </row>
    <row r="248" spans="1:237">
      <c r="A248" t="s">
        <v>650</v>
      </c>
      <c r="B248" t="s">
        <v>489</v>
      </c>
      <c r="C248" s="158">
        <v>36280</v>
      </c>
      <c r="D248" s="62">
        <f t="shared" ca="1" si="3"/>
        <v>18</v>
      </c>
      <c r="E248" t="s">
        <v>9</v>
      </c>
      <c r="F248" s="159" t="s">
        <v>46</v>
      </c>
      <c r="G248" t="s">
        <v>40</v>
      </c>
      <c r="H248" s="160"/>
      <c r="I248" s="161"/>
      <c r="J248" s="161"/>
      <c r="K248" s="161"/>
      <c r="L248" s="160"/>
      <c r="M248">
        <v>42</v>
      </c>
      <c r="N248" s="161"/>
      <c r="O248" s="161"/>
      <c r="P248" s="161"/>
      <c r="Q248" s="161"/>
      <c r="R248" s="161"/>
      <c r="S248" s="161"/>
      <c r="T248" s="161"/>
      <c r="U248" s="160"/>
      <c r="V248" s="161"/>
      <c r="W248" s="161"/>
      <c r="X248" s="161"/>
      <c r="Y248" s="161"/>
      <c r="Z248" s="161"/>
      <c r="AA248" s="161"/>
      <c r="AB248" s="161"/>
      <c r="AC248" s="161"/>
      <c r="AD248" s="161"/>
      <c r="AE248" s="161"/>
      <c r="AF248" s="163"/>
      <c r="AG248" s="163"/>
      <c r="AH248" s="163"/>
      <c r="AI248" s="163"/>
      <c r="AJ248" s="163"/>
      <c r="AK248" s="163"/>
      <c r="AL248" s="163"/>
      <c r="AM248" s="163"/>
      <c r="AN248" s="163"/>
      <c r="AO248" s="163"/>
      <c r="AP248" s="163"/>
      <c r="AQ248" s="163"/>
      <c r="AR248" s="163"/>
      <c r="AS248" s="163"/>
      <c r="AT248" s="163"/>
      <c r="AU248" s="163"/>
      <c r="AV248" s="163"/>
      <c r="AW248" s="163"/>
      <c r="AX248" s="163"/>
      <c r="AY248" s="163"/>
      <c r="AZ248" s="163"/>
      <c r="BA248" s="163"/>
      <c r="BB248" s="163"/>
      <c r="BC248" s="163"/>
      <c r="BD248" s="163"/>
      <c r="BE248" s="163"/>
      <c r="BF248" s="163"/>
      <c r="BG248" s="163"/>
      <c r="BH248" s="163"/>
      <c r="BI248" s="163"/>
      <c r="BJ248" s="163"/>
      <c r="BK248" s="163"/>
      <c r="BL248" s="163"/>
      <c r="BM248" s="163"/>
      <c r="BN248" s="163"/>
      <c r="BO248" s="163"/>
      <c r="BP248" s="163"/>
      <c r="BQ248" s="163"/>
      <c r="BR248" s="163"/>
      <c r="BS248" s="163"/>
      <c r="BT248" s="163"/>
      <c r="BU248" s="163"/>
      <c r="BV248" s="163"/>
      <c r="BW248" s="163"/>
      <c r="BX248" s="163"/>
      <c r="BY248" s="163"/>
      <c r="BZ248" s="163"/>
      <c r="CA248" s="163"/>
      <c r="CB248" s="163"/>
      <c r="CC248" s="163"/>
      <c r="CD248" s="163"/>
      <c r="CE248" s="163"/>
      <c r="CF248" s="163"/>
      <c r="CG248" s="163"/>
      <c r="CH248" s="163"/>
      <c r="CI248" s="163"/>
      <c r="CJ248" s="163"/>
      <c r="CK248" s="163"/>
      <c r="CL248" s="163"/>
      <c r="CM248" s="163"/>
      <c r="CN248" s="163"/>
      <c r="CO248" s="163"/>
      <c r="CP248" s="163"/>
      <c r="CQ248" s="163"/>
      <c r="CR248" s="163"/>
      <c r="CS248" s="163"/>
      <c r="CT248" s="163"/>
      <c r="CU248" s="163"/>
      <c r="CV248" s="163"/>
      <c r="CW248" s="163"/>
      <c r="CX248" s="163"/>
      <c r="CY248" s="163"/>
      <c r="CZ248" s="163"/>
      <c r="DA248" s="163"/>
      <c r="DB248" s="163"/>
      <c r="DC248" s="163"/>
      <c r="DD248" s="163"/>
      <c r="DE248" s="163"/>
      <c r="DF248" s="163"/>
      <c r="DG248" s="163"/>
      <c r="DH248" s="163"/>
      <c r="DI248" s="163"/>
      <c r="DJ248" s="163"/>
      <c r="DK248" s="163"/>
      <c r="DL248" s="163"/>
      <c r="DM248" s="163"/>
      <c r="DN248" s="163"/>
      <c r="DO248" s="163"/>
      <c r="DP248" s="163"/>
      <c r="DQ248" s="163"/>
      <c r="DR248" s="163"/>
      <c r="DS248" s="163"/>
      <c r="DT248" s="163"/>
      <c r="DU248" s="163"/>
      <c r="DV248" s="163"/>
      <c r="DW248" s="163"/>
      <c r="DX248" s="163"/>
      <c r="DY248" s="163"/>
      <c r="DZ248" s="163"/>
      <c r="EA248" s="163"/>
      <c r="EB248" s="163"/>
      <c r="EC248" s="163"/>
      <c r="ED248" s="163"/>
      <c r="EE248" s="163"/>
      <c r="EF248" s="163"/>
      <c r="EG248" s="163"/>
      <c r="EH248" s="160">
        <f>IF([Chambre]*1='CHAMBRES FILLES 2e ETAGE'!$A$5,1,0)</f>
        <v>0</v>
      </c>
      <c r="EI248" s="161">
        <f>IF([Occurrence2]=0,0,SUM($EH$2:EH248))</f>
        <v>0</v>
      </c>
      <c r="EJ248" s="160">
        <f>IF([Chambre]*1='CHAMBRES FILLES 2e ETAGE'!$A$11,1,0)</f>
        <v>0</v>
      </c>
      <c r="EK248" s="160">
        <f>IF([Occurrence3]=0,0,SUM($EJ$2:EJ248))</f>
        <v>0</v>
      </c>
      <c r="EL248" s="160">
        <f>IF([Chambre]*1='CHAMBRES FILLES 2e ETAGE'!$A$17,1,0)</f>
        <v>0</v>
      </c>
      <c r="EM248" s="160">
        <f>IF([Occurrence4]=0,0,SUM($EL$2:EL248))</f>
        <v>0</v>
      </c>
      <c r="EN248" s="160">
        <f>IF([Chambre]*1='CHAMBRES FILLES 2e ETAGE'!$A$23,1,0)</f>
        <v>0</v>
      </c>
      <c r="EO248" s="160">
        <f>IF([Occurrence5]=0,0,SUM($EN$2:EN248))</f>
        <v>0</v>
      </c>
      <c r="EP248" s="160">
        <f>IF([Chambre]*1='CHAMBRES FILLES 2e ETAGE'!$A$29,1,0)</f>
        <v>0</v>
      </c>
      <c r="EQ248" s="160">
        <f>IF([Occurrence6]=0,0,SUM($EP$2:EP248))</f>
        <v>0</v>
      </c>
      <c r="ER248" s="160">
        <f>IF([Chambre]*1='CHAMBRES FILLES 2e ETAGE'!$A$35,1,0)</f>
        <v>0</v>
      </c>
      <c r="ES248" s="160">
        <f>IF([Occurrence7]=0,0,SUM($ER$2:ER248))</f>
        <v>0</v>
      </c>
      <c r="ET248" s="160">
        <f>IF([Chambre]*1='CHAMBRES FILLES 2e ETAGE'!$A$41,1,0)</f>
        <v>0</v>
      </c>
      <c r="EU248" s="160">
        <f>IF([Occurrence8]=0,0,SUM($ET$2:ET248))</f>
        <v>0</v>
      </c>
      <c r="EV248" s="160">
        <f>IF([Chambre]*1='CHAMBRES FILLES 2e ETAGE'!$A$47,1,0)</f>
        <v>0</v>
      </c>
      <c r="EW248" s="160">
        <f>IF([Occurrence9]=0,0,SUM($EV$2:EV248))</f>
        <v>0</v>
      </c>
      <c r="EX248" s="160">
        <f>IF([Chambre]*1='CHAMBRES FILLES 2e ETAGE'!$A$53,1,0)</f>
        <v>0</v>
      </c>
      <c r="EY248" s="160">
        <f>IF([Occurrence10]=0,0,SUM($EX$2:EX248))</f>
        <v>0</v>
      </c>
      <c r="EZ248" s="160">
        <f>IF([Chambre]*1='CHAMBRES FILLES 2e ETAGE'!$A$59,1,0)</f>
        <v>0</v>
      </c>
      <c r="FA248" s="160">
        <f>IF([Occurrence11]=0,0,SUM($EZ$2:EZ248))</f>
        <v>0</v>
      </c>
      <c r="FB248" s="160">
        <f>IF([Chambre]*1='CHAMBRES FILLES 2e ETAGE'!$A$65,1,0)</f>
        <v>0</v>
      </c>
      <c r="FC248" s="160">
        <f>IF([Occurrence12]=0,0,SUM($FB$2:FB248))</f>
        <v>0</v>
      </c>
      <c r="FD248" s="160">
        <f>IF([Chambre]*1='CHAMBRES FILLES 2e ETAGE'!$A$71,1,0)</f>
        <v>0</v>
      </c>
      <c r="FE248" s="160">
        <f>IF([Occurrence13]=0,0,SUM($FD$2:FD248))</f>
        <v>0</v>
      </c>
      <c r="FF248" s="160">
        <f>IF([Chambre]*1='CHAMBRES FILLES 2e ETAGE'!$A$77,1,0)</f>
        <v>0</v>
      </c>
      <c r="FG248" s="160">
        <f>IF([Occurrence14]=0,0,SUM($FF$2:FF248))</f>
        <v>0</v>
      </c>
      <c r="FH248" s="160">
        <f>IF([Chambre]*1='CHAMBRES FILLES 2e ETAGE'!$A$83,1,0)</f>
        <v>0</v>
      </c>
      <c r="FI248" s="160">
        <f>IF([Occurrence15]=0,0,SUM($FH$2:FH248))</f>
        <v>0</v>
      </c>
      <c r="FJ248" s="160">
        <f>IF([Chambre]*1='CHAMBRES FILLES 2e ETAGE'!$A$89,1,0)</f>
        <v>0</v>
      </c>
      <c r="FK248" s="160">
        <f>IF([Occurrence16]=0,0,SUM($FJ$2:FJ248))</f>
        <v>0</v>
      </c>
      <c r="FL248" s="160">
        <f>IF([Chambre]*1='CHAMBRES FILLES 2e ETAGE'!$A$95,1,0)</f>
        <v>0</v>
      </c>
      <c r="FM248" s="160">
        <f>IF([Occurrence17]=0,0,SUM($FL$2:FL248))</f>
        <v>0</v>
      </c>
      <c r="FN248" s="160">
        <f>IF([Chambre2]*1='CHAMBRES FILLES 1e ETAGE'!$A$5,1,0)</f>
        <v>0</v>
      </c>
      <c r="FO248" s="160">
        <f>IF([Occurrence18]=0,0,SUM($FN$2:FN248))</f>
        <v>0</v>
      </c>
      <c r="FP248" s="160">
        <f>IF([Chambre2]*1='CHAMBRES FILLES 1e ETAGE'!$A$11,1,0)</f>
        <v>0</v>
      </c>
      <c r="FQ248" s="160">
        <f>IF([Occurrence19]=0,0,SUM($FP$2:FP248))</f>
        <v>0</v>
      </c>
      <c r="FR248" s="160">
        <f>IF([Chambre2]*1='CHAMBRES FILLES 1e ETAGE'!$A$17,1,0)</f>
        <v>0</v>
      </c>
      <c r="FS248" s="160">
        <f>IF([Occurrence20]=0,0,SUM($FR$2:FR248))</f>
        <v>0</v>
      </c>
      <c r="FT248" s="160">
        <f>IF([Chambre2]*1='CHAMBRES FILLES 1e ETAGE'!$A$23,1,0)</f>
        <v>0</v>
      </c>
      <c r="FU248" s="160">
        <f>IF([Occurrence21]=0,0,SUM($FT$2:FT248))</f>
        <v>0</v>
      </c>
      <c r="FV248" s="160">
        <f>IF([Chambre2]*1='CHAMBRES FILLES 1e ETAGE'!$A$29,1,0)</f>
        <v>0</v>
      </c>
      <c r="FW248" s="160">
        <f>IF([Occurrence22]=0,0,SUM($FV$2:FV248))</f>
        <v>0</v>
      </c>
      <c r="FX248" s="160">
        <f>IF([Chambre2]*1='CHAMBRES FILLES 1e ETAGE'!$A$35,1,0)</f>
        <v>0</v>
      </c>
      <c r="FY248" s="160">
        <f>IF([Occurrence23]=0,0,SUM($FX$2:FX248))</f>
        <v>0</v>
      </c>
      <c r="FZ248" s="160">
        <f>IF([Chambre2]*1='CHAMBRES FILLES 1e ETAGE'!$A$41,1,0)</f>
        <v>0</v>
      </c>
      <c r="GA248" s="160">
        <f>IF([Occurrence24]=0,0,SUM($FZ$2:FZ248))</f>
        <v>0</v>
      </c>
      <c r="GB248" s="160">
        <f>IF([Chambre2]*1='CHAMBRES FILLES 1e ETAGE'!$A$47,1,0)</f>
        <v>0</v>
      </c>
      <c r="GC248" s="160">
        <f>IF([Occurrence25]=0,0,SUM($GB$2:GB248))</f>
        <v>0</v>
      </c>
      <c r="GD248" s="160">
        <f>IF([Chambre2]*1='CHAMBRES FILLES 1e ETAGE'!$A$53,1,0)</f>
        <v>0</v>
      </c>
      <c r="GE248" s="160">
        <f>IF([Occurrence26]=0,0,SUM($GD$2:GD248))</f>
        <v>0</v>
      </c>
      <c r="GF248" s="160">
        <f>IF([chambre4]*1='CHAMBRES GARCONS 1e ETAGE'!$A$5,1,0)</f>
        <v>0</v>
      </c>
      <c r="GG248" s="160">
        <f>IF([Occurrence27]=0,0,SUM($GF$2:GF248))</f>
        <v>0</v>
      </c>
      <c r="GH248" s="160">
        <f>IF([chambre4]*1='CHAMBRES GARCONS 1e ETAGE'!$A$11,1,0)</f>
        <v>0</v>
      </c>
      <c r="GI248" s="160">
        <f>IF([Occurrence28]=0,0,SUM($GH$2:GH248))</f>
        <v>0</v>
      </c>
      <c r="GJ248" s="160">
        <f>IF([chambre4]*1='CHAMBRES GARCONS 1e ETAGE'!$A$17,1,0)</f>
        <v>0</v>
      </c>
      <c r="GK248" s="160">
        <f>IF([Occurrence29]=0,0,SUM($GJ$2:GJ248))</f>
        <v>0</v>
      </c>
      <c r="GL248" s="160">
        <f>IF([chambre4]*1='CHAMBRES GARCONS 1e ETAGE'!$A$23,1,0)</f>
        <v>0</v>
      </c>
      <c r="GM248" s="160">
        <f>IF([Occurrence30]=0,0,SUM($GL$2:GL248))</f>
        <v>0</v>
      </c>
      <c r="GN248" s="160">
        <f>IF([chambre4]*1='CHAMBRES GARCONS 1e ETAGE'!$A$29,1,0)</f>
        <v>0</v>
      </c>
      <c r="GO248" s="160">
        <f>IF([Occurrence31]=0,0,SUM($GN$2:GN248))</f>
        <v>0</v>
      </c>
      <c r="GP248" s="160">
        <f>IF([chambre4]*1='CHAMBRES GARCONS 1e ETAGE'!$A$35,1,0)</f>
        <v>0</v>
      </c>
      <c r="GQ248" s="160">
        <f>IF([Occurrence32]=0,0,SUM($GP$2:GP248))</f>
        <v>0</v>
      </c>
      <c r="GR248" s="160">
        <f>IF([chambre3]*1='CHAMBRES GARCONS RDC'!$A$5,1,0)</f>
        <v>0</v>
      </c>
      <c r="GS248" s="160">
        <f>IF([Occurrence33]=0,0,SUM($GR$2:GR248))</f>
        <v>0</v>
      </c>
      <c r="GT248" s="160">
        <f>IF([chambre3]*1='CHAMBRES GARCONS RDC'!$A$11,1,0)</f>
        <v>0</v>
      </c>
      <c r="GU248" s="160">
        <f>IF([Occurrence34]=0,0,SUM($GT$2:GT248))</f>
        <v>0</v>
      </c>
      <c r="GV248" s="160">
        <f>IF([chambre3]*1='CHAMBRES GARCONS RDC'!$A$17,1,0)</f>
        <v>0</v>
      </c>
      <c r="GW248" s="160">
        <f>IF([Occurrence35]=0,0,SUM($GV$2:GV248))</f>
        <v>0</v>
      </c>
      <c r="GX248" s="160">
        <f>IF([chambre3]*1='CHAMBRES GARCONS RDC'!$A$23,1,0)</f>
        <v>0</v>
      </c>
      <c r="GY248" s="160">
        <f>IF([Occurrence36]=0,0,SUM($GX$2:GX248))</f>
        <v>0</v>
      </c>
      <c r="GZ248" s="160">
        <f>IF([chambre3]*1='CHAMBRES GARCONS RDC'!$A$29,1,0)</f>
        <v>0</v>
      </c>
      <c r="HA248" s="160">
        <f>IF([Occurrence37]=0,0,SUM($GZ$2:GZ248))</f>
        <v>0</v>
      </c>
      <c r="HB248" s="160">
        <f>IF([chambre3]*1='CHAMBRES GARCONS RDC'!$A$35,1,0)</f>
        <v>0</v>
      </c>
      <c r="HC248" s="160">
        <f>IF([Occurrence38]=0,0,SUM($HB$2:HB248))</f>
        <v>0</v>
      </c>
      <c r="HD248" s="160">
        <f>IF([chambre3]*1='CHAMBRES GARCONS RDC'!$A$41,1,0)</f>
        <v>0</v>
      </c>
      <c r="HE248" s="160">
        <f>IF([Occurrence39]=0,0,SUM($HD$2:HD248))</f>
        <v>0</v>
      </c>
      <c r="HF248" s="160">
        <f>IF([chambre3]*1='CHAMBRES GARCONS RDC'!$A$47,1,0)</f>
        <v>0</v>
      </c>
      <c r="HG248" s="160">
        <f>IF([Occurrence40]=0,0,SUM($HF$2:HF248))</f>
        <v>0</v>
      </c>
      <c r="HH248" s="160">
        <f>IF([chambre3]*1='CHAMBRES GARCONS RDC'!$A$53,1,0)</f>
        <v>0</v>
      </c>
      <c r="HI248" s="160">
        <f>IF([Occurrence41]=0,0,SUM($HH$2:HH248))</f>
        <v>0</v>
      </c>
      <c r="HJ248" s="160">
        <f>IF([chambre3]*1='CHAMBRES GARCONS RDC'!$A$59,1,0)</f>
        <v>0</v>
      </c>
      <c r="HK248" s="160">
        <f>IF([Occurrence42]=0,0,SUM($HJ$2:HJ248))</f>
        <v>0</v>
      </c>
      <c r="HL248" s="160">
        <f>IF([chambre3]*1='CHAMBRES GARCONS RDC'!$A$65,1,0)</f>
        <v>0</v>
      </c>
      <c r="HM248" s="160">
        <f>IF([Occurrence43]=0,0,SUM($HL$2:HL248))</f>
        <v>0</v>
      </c>
      <c r="HN248" s="160">
        <f>IF([chambre3]*1='CHAMBRES GARCONS RDC'!$A$71,1,0)</f>
        <v>0</v>
      </c>
      <c r="HO248" s="160">
        <f>IF([Occurrence44]=0,0,SUM($HN$2:HN248))</f>
        <v>0</v>
      </c>
      <c r="HP248" s="160">
        <f>IF([chambre3]*1='CHAMBRES GARCONS RDC'!$A$77,1,0)</f>
        <v>0</v>
      </c>
      <c r="HQ248" s="160">
        <f>IF([Occurrence45]=0,0,SUM($HP$2:HP248))</f>
        <v>0</v>
      </c>
      <c r="HR248" s="160">
        <f>IF([chambre3]*1='CHAMBRES GARCONS RDC'!$A$83,1,0)</f>
        <v>0</v>
      </c>
      <c r="HS248" s="160">
        <f>IF([Occurrence46]=0,0,SUM($HR$2:HR248))</f>
        <v>0</v>
      </c>
      <c r="HT248" s="160">
        <f>IF([chambre3]*1='CHAMBRES GARCONS RDC'!$A$89,1,0)</f>
        <v>0</v>
      </c>
      <c r="HU248" s="160">
        <f>IF([Occurrence47]=0,0,SUM($HT$2:HT248))</f>
        <v>0</v>
      </c>
      <c r="HV248" s="160">
        <f>IF([chambre3]*1='CHAMBRES GARCONS RDC'!$A$95,1,0)</f>
        <v>0</v>
      </c>
      <c r="HW248" s="160">
        <f>IF([Occurrence48]=0,0,SUM($HV$2:HV248))</f>
        <v>0</v>
      </c>
      <c r="HX248" s="160"/>
      <c r="HY248" s="160"/>
      <c r="HZ248" s="160">
        <f>IF([Classe]='Liste élève par classes'!$B$5,1,0)</f>
        <v>0</v>
      </c>
      <c r="IA248" s="160">
        <f>IF([Occurrence]=0,0,SUM($HZ$2:HZ248))</f>
        <v>0</v>
      </c>
      <c r="IB24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48" s="208"/>
    </row>
    <row r="249" spans="1:237">
      <c r="A249" t="s">
        <v>651</v>
      </c>
      <c r="B249" t="s">
        <v>652</v>
      </c>
      <c r="C249" s="158">
        <v>36945</v>
      </c>
      <c r="D249" s="62">
        <f t="shared" ca="1" si="3"/>
        <v>16</v>
      </c>
      <c r="E249" t="s">
        <v>13</v>
      </c>
      <c r="F249" s="159" t="s">
        <v>50</v>
      </c>
      <c r="G249" t="s">
        <v>40</v>
      </c>
      <c r="H249" s="160"/>
      <c r="I249" s="161"/>
      <c r="J249" s="161"/>
      <c r="K249" s="161"/>
      <c r="L249" s="160"/>
      <c r="M249">
        <v>132</v>
      </c>
      <c r="N249" s="161"/>
      <c r="O249" s="161"/>
      <c r="P249" s="161"/>
      <c r="Q249" s="161"/>
      <c r="R249" s="161"/>
      <c r="S249" s="190"/>
      <c r="T249" s="161"/>
      <c r="U249" s="160"/>
      <c r="V249" s="161"/>
      <c r="W249" s="161"/>
      <c r="X249" s="161"/>
      <c r="Y249" s="161"/>
      <c r="Z249" s="161"/>
      <c r="AA249" s="161"/>
      <c r="AB249" s="161"/>
      <c r="AC249" s="161"/>
      <c r="AD249" s="161"/>
      <c r="AE249" s="161"/>
      <c r="AF249" s="163"/>
      <c r="AG249" s="163"/>
      <c r="AH249" s="163"/>
      <c r="AI249" s="163"/>
      <c r="AJ249" s="163"/>
      <c r="AK249" s="163"/>
      <c r="AL249" s="163"/>
      <c r="AM249" s="163"/>
      <c r="AN249" s="163"/>
      <c r="AO249" s="163"/>
      <c r="AP249" s="163"/>
      <c r="AQ249" s="163"/>
      <c r="AR249" s="163"/>
      <c r="AS249" s="163"/>
      <c r="AT249" s="163"/>
      <c r="AU249" s="163"/>
      <c r="AV249" s="163"/>
      <c r="AW249" s="163"/>
      <c r="AX249" s="163"/>
      <c r="AY249" s="163"/>
      <c r="AZ249" s="163"/>
      <c r="BA249" s="163"/>
      <c r="BB249" s="163"/>
      <c r="BC249" s="163" t="b">
        <v>0</v>
      </c>
      <c r="BD249" s="163" t="b">
        <v>1</v>
      </c>
      <c r="BE249" s="163" t="b">
        <v>1</v>
      </c>
      <c r="BF249" s="163" t="b">
        <v>0</v>
      </c>
      <c r="BG249" s="164" t="b">
        <v>0</v>
      </c>
      <c r="BH249" s="163" t="b">
        <v>1</v>
      </c>
      <c r="BI249" s="163"/>
      <c r="BJ249" s="163"/>
      <c r="BK249" s="163"/>
      <c r="BL249" s="163"/>
      <c r="BM249" s="163"/>
      <c r="BN249" s="163"/>
      <c r="BO249" s="163"/>
      <c r="BP249" s="163"/>
      <c r="BQ249" s="163" t="b">
        <v>1</v>
      </c>
      <c r="BR249" s="163"/>
      <c r="BS249" s="163"/>
      <c r="BT249" s="163"/>
      <c r="BU249" s="163"/>
      <c r="BV249" s="163"/>
      <c r="BW249" s="163"/>
      <c r="BX249" s="163"/>
      <c r="BY249" s="163"/>
      <c r="BZ249" s="163"/>
      <c r="CA249" s="163"/>
      <c r="CB249" s="163"/>
      <c r="CC249" s="163"/>
      <c r="CD249" s="163"/>
      <c r="CE249" s="163"/>
      <c r="CF249" s="163"/>
      <c r="CG249" s="163"/>
      <c r="CH249" s="163"/>
      <c r="CI249" s="163"/>
      <c r="CJ249" s="163"/>
      <c r="CK249" s="163"/>
      <c r="CL249" s="163"/>
      <c r="CM249" s="163"/>
      <c r="CN249" s="163"/>
      <c r="CO249" s="163"/>
      <c r="CP249" s="163"/>
      <c r="CQ249" s="163"/>
      <c r="CR249" s="163"/>
      <c r="CS249" s="163"/>
      <c r="CT249" s="163"/>
      <c r="CU249" s="163"/>
      <c r="CV249" s="163"/>
      <c r="CW249" s="163"/>
      <c r="CX249" s="163"/>
      <c r="CY249" s="163"/>
      <c r="CZ249" s="163"/>
      <c r="DA249" s="163">
        <v>127</v>
      </c>
      <c r="DB249" s="163"/>
      <c r="DC249" s="163"/>
      <c r="DD249" s="163"/>
      <c r="DE249" s="163"/>
      <c r="DF249" s="163"/>
      <c r="DG249" s="208"/>
      <c r="DH249" s="163"/>
      <c r="DI249" s="163"/>
      <c r="DJ249" s="163"/>
      <c r="DK249" s="163"/>
      <c r="DL249" s="163"/>
      <c r="DM249" s="163"/>
      <c r="DN249" s="163"/>
      <c r="DO249" s="163"/>
      <c r="DP249" s="163"/>
      <c r="DQ249" s="163"/>
      <c r="DR249" s="163"/>
      <c r="DS249" s="163"/>
      <c r="DT249" s="163"/>
      <c r="DU249" s="163"/>
      <c r="DV249" s="163"/>
      <c r="DW249" s="163"/>
      <c r="DX249" s="163"/>
      <c r="DY249" s="163"/>
      <c r="DZ249" s="163"/>
      <c r="EA249" s="163"/>
      <c r="EB249" s="163"/>
      <c r="EC249" s="163"/>
      <c r="ED249" s="163"/>
      <c r="EE249" s="163"/>
      <c r="EF249" s="163"/>
      <c r="EG249" s="163"/>
      <c r="EH249" s="160">
        <f>IF([Chambre]*1='CHAMBRES FILLES 2e ETAGE'!$A$5,1,0)</f>
        <v>0</v>
      </c>
      <c r="EI249" s="161">
        <f>IF([Occurrence2]=0,0,SUM($EH$2:EH249))</f>
        <v>0</v>
      </c>
      <c r="EJ249" s="160">
        <f>IF([Chambre]*1='CHAMBRES FILLES 2e ETAGE'!$A$11,1,0)</f>
        <v>0</v>
      </c>
      <c r="EK249" s="160">
        <f>IF([Occurrence3]=0,0,SUM($EJ$2:EJ249))</f>
        <v>0</v>
      </c>
      <c r="EL249" s="160">
        <f>IF([Chambre]*1='CHAMBRES FILLES 2e ETAGE'!$A$17,1,0)</f>
        <v>0</v>
      </c>
      <c r="EM249" s="160">
        <f>IF([Occurrence4]=0,0,SUM($EL$2:EL249))</f>
        <v>0</v>
      </c>
      <c r="EN249" s="160">
        <f>IF([Chambre]*1='CHAMBRES FILLES 2e ETAGE'!$A$23,1,0)</f>
        <v>0</v>
      </c>
      <c r="EO249" s="160">
        <f>IF([Occurrence5]=0,0,SUM($EN$2:EN249))</f>
        <v>0</v>
      </c>
      <c r="EP249" s="160">
        <f>IF([Chambre]*1='CHAMBRES FILLES 2e ETAGE'!$A$29,1,0)</f>
        <v>0</v>
      </c>
      <c r="EQ249" s="160">
        <f>IF([Occurrence6]=0,0,SUM($EP$2:EP249))</f>
        <v>0</v>
      </c>
      <c r="ER249" s="160">
        <f>IF([Chambre]*1='CHAMBRES FILLES 2e ETAGE'!$A$35,1,0)</f>
        <v>0</v>
      </c>
      <c r="ES249" s="160">
        <f>IF([Occurrence7]=0,0,SUM($ER$2:ER249))</f>
        <v>0</v>
      </c>
      <c r="ET249" s="160">
        <f>IF([Chambre]*1='CHAMBRES FILLES 2e ETAGE'!$A$41,1,0)</f>
        <v>0</v>
      </c>
      <c r="EU249" s="160">
        <f>IF([Occurrence8]=0,0,SUM($ET$2:ET249))</f>
        <v>0</v>
      </c>
      <c r="EV249" s="160">
        <f>IF([Chambre]*1='CHAMBRES FILLES 2e ETAGE'!$A$47,1,0)</f>
        <v>0</v>
      </c>
      <c r="EW249" s="160">
        <f>IF([Occurrence9]=0,0,SUM($EV$2:EV249))</f>
        <v>0</v>
      </c>
      <c r="EX249" s="160">
        <f>IF([Chambre]*1='CHAMBRES FILLES 2e ETAGE'!$A$53,1,0)</f>
        <v>0</v>
      </c>
      <c r="EY249" s="160">
        <f>IF([Occurrence10]=0,0,SUM($EX$2:EX249))</f>
        <v>0</v>
      </c>
      <c r="EZ249" s="160">
        <f>IF([Chambre]*1='CHAMBRES FILLES 2e ETAGE'!$A$59,1,0)</f>
        <v>0</v>
      </c>
      <c r="FA249" s="160">
        <f>IF([Occurrence11]=0,0,SUM($EZ$2:EZ249))</f>
        <v>0</v>
      </c>
      <c r="FB249" s="160">
        <f>IF([Chambre]*1='CHAMBRES FILLES 2e ETAGE'!$A$65,1,0)</f>
        <v>0</v>
      </c>
      <c r="FC249" s="160">
        <f>IF([Occurrence12]=0,0,SUM($FB$2:FB249))</f>
        <v>0</v>
      </c>
      <c r="FD249" s="160">
        <f>IF([Chambre]*1='CHAMBRES FILLES 2e ETAGE'!$A$71,1,0)</f>
        <v>0</v>
      </c>
      <c r="FE249" s="160">
        <f>IF([Occurrence13]=0,0,SUM($FD$2:FD249))</f>
        <v>0</v>
      </c>
      <c r="FF249" s="160">
        <f>IF([Chambre]*1='CHAMBRES FILLES 2e ETAGE'!$A$77,1,0)</f>
        <v>0</v>
      </c>
      <c r="FG249" s="160">
        <f>IF([Occurrence14]=0,0,SUM($FF$2:FF249))</f>
        <v>0</v>
      </c>
      <c r="FH249" s="160">
        <f>IF([Chambre]*1='CHAMBRES FILLES 2e ETAGE'!$A$83,1,0)</f>
        <v>0</v>
      </c>
      <c r="FI249" s="160">
        <f>IF([Occurrence15]=0,0,SUM($FH$2:FH249))</f>
        <v>0</v>
      </c>
      <c r="FJ249" s="160">
        <f>IF([Chambre]*1='CHAMBRES FILLES 2e ETAGE'!$A$89,1,0)</f>
        <v>0</v>
      </c>
      <c r="FK249" s="160">
        <f>IF([Occurrence16]=0,0,SUM($FJ$2:FJ249))</f>
        <v>0</v>
      </c>
      <c r="FL249" s="160">
        <f>IF([Chambre]*1='CHAMBRES FILLES 2e ETAGE'!$A$95,1,0)</f>
        <v>0</v>
      </c>
      <c r="FM249" s="160">
        <f>IF([Occurrence17]=0,0,SUM($FL$2:FL249))</f>
        <v>0</v>
      </c>
      <c r="FN249" s="160">
        <f>IF([Chambre2]*1='CHAMBRES FILLES 1e ETAGE'!$A$5,1,0)</f>
        <v>0</v>
      </c>
      <c r="FO249" s="160">
        <f>IF([Occurrence18]=0,0,SUM($FN$2:FN249))</f>
        <v>0</v>
      </c>
      <c r="FP249" s="160">
        <f>IF([Chambre2]*1='CHAMBRES FILLES 1e ETAGE'!$A$11,1,0)</f>
        <v>0</v>
      </c>
      <c r="FQ249" s="160">
        <f>IF([Occurrence19]=0,0,SUM($FP$2:FP249))</f>
        <v>0</v>
      </c>
      <c r="FR249" s="160">
        <f>IF([Chambre2]*1='CHAMBRES FILLES 1e ETAGE'!$A$17,1,0)</f>
        <v>0</v>
      </c>
      <c r="FS249" s="160">
        <f>IF([Occurrence20]=0,0,SUM($FR$2:FR249))</f>
        <v>0</v>
      </c>
      <c r="FT249" s="160">
        <f>IF([Chambre2]*1='CHAMBRES FILLES 1e ETAGE'!$A$23,1,0)</f>
        <v>0</v>
      </c>
      <c r="FU249" s="160">
        <f>IF([Occurrence21]=0,0,SUM($FT$2:FT249))</f>
        <v>0</v>
      </c>
      <c r="FV249" s="160">
        <f>IF([Chambre2]*1='CHAMBRES FILLES 1e ETAGE'!$A$29,1,0)</f>
        <v>0</v>
      </c>
      <c r="FW249" s="160">
        <f>IF([Occurrence22]=0,0,SUM($FV$2:FV249))</f>
        <v>0</v>
      </c>
      <c r="FX249" s="160">
        <f>IF([Chambre2]*1='CHAMBRES FILLES 1e ETAGE'!$A$35,1,0)</f>
        <v>0</v>
      </c>
      <c r="FY249" s="160">
        <f>IF([Occurrence23]=0,0,SUM($FX$2:FX249))</f>
        <v>0</v>
      </c>
      <c r="FZ249" s="160">
        <f>IF([Chambre2]*1='CHAMBRES FILLES 1e ETAGE'!$A$41,1,0)</f>
        <v>0</v>
      </c>
      <c r="GA249" s="160">
        <f>IF([Occurrence24]=0,0,SUM($FZ$2:FZ249))</f>
        <v>0</v>
      </c>
      <c r="GB249" s="160">
        <f>IF([Chambre2]*1='CHAMBRES FILLES 1e ETAGE'!$A$47,1,0)</f>
        <v>0</v>
      </c>
      <c r="GC249" s="160">
        <f>IF([Occurrence25]=0,0,SUM($GB$2:GB249))</f>
        <v>0</v>
      </c>
      <c r="GD249" s="160">
        <f>IF([Chambre2]*1='CHAMBRES FILLES 1e ETAGE'!$A$53,1,0)</f>
        <v>0</v>
      </c>
      <c r="GE249" s="160">
        <f>IF([Occurrence26]=0,0,SUM($GD$2:GD249))</f>
        <v>0</v>
      </c>
      <c r="GF249" s="160">
        <f>IF([chambre4]*1='CHAMBRES GARCONS 1e ETAGE'!$A$5,1,0)</f>
        <v>0</v>
      </c>
      <c r="GG249" s="160">
        <f>IF([Occurrence27]=0,0,SUM($GF$2:GF249))</f>
        <v>0</v>
      </c>
      <c r="GH249" s="160">
        <f>IF([chambre4]*1='CHAMBRES GARCONS 1e ETAGE'!$A$11,1,0)</f>
        <v>0</v>
      </c>
      <c r="GI249" s="160">
        <f>IF([Occurrence28]=0,0,SUM($GH$2:GH249))</f>
        <v>0</v>
      </c>
      <c r="GJ249" s="160">
        <f>IF([chambre4]*1='CHAMBRES GARCONS 1e ETAGE'!$A$17,1,0)</f>
        <v>0</v>
      </c>
      <c r="GK249" s="160">
        <f>IF([Occurrence29]=0,0,SUM($GJ$2:GJ249))</f>
        <v>0</v>
      </c>
      <c r="GL249" s="160">
        <f>IF([chambre4]*1='CHAMBRES GARCONS 1e ETAGE'!$A$23,1,0)</f>
        <v>0</v>
      </c>
      <c r="GM249" s="160">
        <f>IF([Occurrence30]=0,0,SUM($GL$2:GL249))</f>
        <v>0</v>
      </c>
      <c r="GN249" s="160">
        <f>IF([chambre4]*1='CHAMBRES GARCONS 1e ETAGE'!$A$29,1,0)</f>
        <v>0</v>
      </c>
      <c r="GO249" s="160">
        <f>IF([Occurrence31]=0,0,SUM($GN$2:GN249))</f>
        <v>0</v>
      </c>
      <c r="GP249" s="160">
        <f>IF([chambre4]*1='CHAMBRES GARCONS 1e ETAGE'!$A$35,1,0)</f>
        <v>0</v>
      </c>
      <c r="GQ249" s="160">
        <f>IF([Occurrence32]=0,0,SUM($GP$2:GP249))</f>
        <v>0</v>
      </c>
      <c r="GR249" s="160">
        <f>IF([chambre3]*1='CHAMBRES GARCONS RDC'!$A$5,1,0)</f>
        <v>0</v>
      </c>
      <c r="GS249" s="160">
        <f>IF([Occurrence33]=0,0,SUM($GR$2:GR249))</f>
        <v>0</v>
      </c>
      <c r="GT249" s="160">
        <f>IF([chambre3]*1='CHAMBRES GARCONS RDC'!$A$11,1,0)</f>
        <v>0</v>
      </c>
      <c r="GU249" s="160">
        <f>IF([Occurrence34]=0,0,SUM($GT$2:GT249))</f>
        <v>0</v>
      </c>
      <c r="GV249" s="160">
        <f>IF([chambre3]*1='CHAMBRES GARCONS RDC'!$A$17,1,0)</f>
        <v>0</v>
      </c>
      <c r="GW249" s="160">
        <f>IF([Occurrence35]=0,0,SUM($GV$2:GV249))</f>
        <v>0</v>
      </c>
      <c r="GX249" s="160">
        <f>IF([chambre3]*1='CHAMBRES GARCONS RDC'!$A$23,1,0)</f>
        <v>0</v>
      </c>
      <c r="GY249" s="160">
        <f>IF([Occurrence36]=0,0,SUM($GX$2:GX249))</f>
        <v>0</v>
      </c>
      <c r="GZ249" s="160">
        <f>IF([chambre3]*1='CHAMBRES GARCONS RDC'!$A$29,1,0)</f>
        <v>0</v>
      </c>
      <c r="HA249" s="160">
        <f>IF([Occurrence37]=0,0,SUM($GZ$2:GZ249))</f>
        <v>0</v>
      </c>
      <c r="HB249" s="160">
        <f>IF([chambre3]*1='CHAMBRES GARCONS RDC'!$A$35,1,0)</f>
        <v>0</v>
      </c>
      <c r="HC249" s="160">
        <f>IF([Occurrence38]=0,0,SUM($HB$2:HB249))</f>
        <v>0</v>
      </c>
      <c r="HD249" s="160">
        <f>IF([chambre3]*1='CHAMBRES GARCONS RDC'!$A$41,1,0)</f>
        <v>0</v>
      </c>
      <c r="HE249" s="160">
        <f>IF([Occurrence39]=0,0,SUM($HD$2:HD249))</f>
        <v>0</v>
      </c>
      <c r="HF249" s="160">
        <f>IF([chambre3]*1='CHAMBRES GARCONS RDC'!$A$47,1,0)</f>
        <v>0</v>
      </c>
      <c r="HG249" s="160">
        <f>IF([Occurrence40]=0,0,SUM($HF$2:HF249))</f>
        <v>0</v>
      </c>
      <c r="HH249" s="160">
        <f>IF([chambre3]*1='CHAMBRES GARCONS RDC'!$A$53,1,0)</f>
        <v>0</v>
      </c>
      <c r="HI249" s="160">
        <f>IF([Occurrence41]=0,0,SUM($HH$2:HH249))</f>
        <v>0</v>
      </c>
      <c r="HJ249" s="160">
        <f>IF([chambre3]*1='CHAMBRES GARCONS RDC'!$A$59,1,0)</f>
        <v>0</v>
      </c>
      <c r="HK249" s="160">
        <f>IF([Occurrence42]=0,0,SUM($HJ$2:HJ249))</f>
        <v>0</v>
      </c>
      <c r="HL249" s="160">
        <f>IF([chambre3]*1='CHAMBRES GARCONS RDC'!$A$65,1,0)</f>
        <v>0</v>
      </c>
      <c r="HM249" s="160">
        <f>IF([Occurrence43]=0,0,SUM($HL$2:HL249))</f>
        <v>0</v>
      </c>
      <c r="HN249" s="160">
        <f>IF([chambre3]*1='CHAMBRES GARCONS RDC'!$A$71,1,0)</f>
        <v>0</v>
      </c>
      <c r="HO249" s="160">
        <f>IF([Occurrence44]=0,0,SUM($HN$2:HN249))</f>
        <v>0</v>
      </c>
      <c r="HP249" s="160">
        <f>IF([chambre3]*1='CHAMBRES GARCONS RDC'!$A$77,1,0)</f>
        <v>0</v>
      </c>
      <c r="HQ249" s="160">
        <f>IF([Occurrence45]=0,0,SUM($HP$2:HP249))</f>
        <v>0</v>
      </c>
      <c r="HR249" s="160">
        <f>IF([chambre3]*1='CHAMBRES GARCONS RDC'!$A$83,1,0)</f>
        <v>0</v>
      </c>
      <c r="HS249" s="160">
        <f>IF([Occurrence46]=0,0,SUM($HR$2:HR249))</f>
        <v>0</v>
      </c>
      <c r="HT249" s="160">
        <f>IF([chambre3]*1='CHAMBRES GARCONS RDC'!$A$89,1,0)</f>
        <v>1</v>
      </c>
      <c r="HU249" s="160">
        <f>IF([Occurrence47]=0,0,SUM($HT$2:HT249))</f>
        <v>3</v>
      </c>
      <c r="HV249" s="160">
        <f>IF([chambre3]*1='CHAMBRES GARCONS RDC'!$A$95,1,0)</f>
        <v>0</v>
      </c>
      <c r="HW249" s="160">
        <f>IF([Occurrence48]=0,0,SUM($HV$2:HV249))</f>
        <v>0</v>
      </c>
      <c r="HX249" s="160"/>
      <c r="HY249" s="160"/>
      <c r="HZ249" s="160">
        <f>IF([Classe]='Liste élève par classes'!$B$5,1,0)</f>
        <v>0</v>
      </c>
      <c r="IA249" s="160">
        <f>IF([Occurrence]=0,0,SUM($HZ$2:HZ249))</f>
        <v>0</v>
      </c>
      <c r="IB24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127</v>
      </c>
      <c r="IC249" s="208"/>
    </row>
    <row r="250" spans="1:237" ht="15.75">
      <c r="A250" t="s">
        <v>653</v>
      </c>
      <c r="B250" t="s">
        <v>263</v>
      </c>
      <c r="C250" s="158">
        <v>37053</v>
      </c>
      <c r="D250" s="62">
        <f t="shared" ca="1" si="3"/>
        <v>16</v>
      </c>
      <c r="E250" t="s">
        <v>14</v>
      </c>
      <c r="F250" s="159" t="s">
        <v>46</v>
      </c>
      <c r="G250" t="s">
        <v>40</v>
      </c>
      <c r="H250" s="160"/>
      <c r="I250" s="62"/>
      <c r="J250" s="6"/>
      <c r="K250" s="168"/>
      <c r="L250" s="61"/>
      <c r="M250">
        <v>186</v>
      </c>
      <c r="N250" s="62"/>
      <c r="O250" s="62"/>
      <c r="P250" s="62"/>
      <c r="Q250" s="62"/>
      <c r="R250" s="62"/>
      <c r="S250" s="62"/>
      <c r="T250" s="62"/>
      <c r="U250" s="61"/>
      <c r="V250" s="62"/>
      <c r="W250" s="62"/>
      <c r="X250" s="62"/>
      <c r="Y250" s="62"/>
      <c r="Z250" s="62"/>
      <c r="AA250" s="62"/>
      <c r="AB250" s="62"/>
      <c r="AC250" s="62"/>
      <c r="AD250" s="62"/>
      <c r="AE250" s="62"/>
      <c r="AF250" s="163"/>
      <c r="AG250" s="163"/>
      <c r="AH250" s="163"/>
      <c r="AI250" s="163"/>
      <c r="AJ250" s="163"/>
      <c r="AK250" s="163"/>
      <c r="AL250" s="163"/>
      <c r="AM250" s="163"/>
      <c r="AN250" s="163"/>
      <c r="AO250" s="163"/>
      <c r="AP250" s="163"/>
      <c r="AQ250" s="163"/>
      <c r="AR250" s="163"/>
      <c r="AS250" s="163"/>
      <c r="AT250" s="163"/>
      <c r="AU250" s="163"/>
      <c r="AV250" s="163"/>
      <c r="AW250" s="163"/>
      <c r="AX250" s="163"/>
      <c r="AY250" s="163"/>
      <c r="AZ250" s="163"/>
      <c r="BA250" s="163"/>
      <c r="BB250" s="163"/>
      <c r="BC250" s="163"/>
      <c r="BD250" s="163"/>
      <c r="BE250" s="163"/>
      <c r="BF250" s="163"/>
      <c r="BG250" s="163"/>
      <c r="BH250" s="163"/>
      <c r="BI250" s="163"/>
      <c r="BJ250" s="163"/>
      <c r="BK250" s="163"/>
      <c r="BL250" s="163"/>
      <c r="BM250" s="163"/>
      <c r="BN250" s="163"/>
      <c r="BO250" s="163"/>
      <c r="BP250" s="163"/>
      <c r="BQ250" s="163"/>
      <c r="BR250" s="163"/>
      <c r="BS250" s="163"/>
      <c r="BT250" s="163"/>
      <c r="BU250" s="163"/>
      <c r="BV250" s="163"/>
      <c r="BW250" s="163"/>
      <c r="BX250" s="163"/>
      <c r="BY250" s="163"/>
      <c r="BZ250" s="163"/>
      <c r="CA250" s="163"/>
      <c r="CB250" s="163"/>
      <c r="CC250" s="163"/>
      <c r="CD250" s="163"/>
      <c r="CE250" s="163"/>
      <c r="CF250" s="163"/>
      <c r="CG250" s="163"/>
      <c r="CH250" s="163"/>
      <c r="CI250" s="163"/>
      <c r="CJ250" s="163"/>
      <c r="CK250" s="163"/>
      <c r="CL250" s="163"/>
      <c r="CM250" s="163"/>
      <c r="CN250" s="163"/>
      <c r="CO250" s="163"/>
      <c r="CP250" s="163"/>
      <c r="CQ250" s="163"/>
      <c r="CR250" s="163"/>
      <c r="CS250" s="163"/>
      <c r="CT250" s="163"/>
      <c r="CU250" s="163"/>
      <c r="CV250" s="163"/>
      <c r="CW250" s="163"/>
      <c r="CX250" s="163"/>
      <c r="CY250" s="163"/>
      <c r="CZ250" s="163"/>
      <c r="DA250" s="163"/>
      <c r="DB250" s="163"/>
      <c r="DC250" s="163"/>
      <c r="DD250" s="163"/>
      <c r="DE250" s="163"/>
      <c r="DF250" s="163"/>
      <c r="DG250" s="163"/>
      <c r="DH250" s="163"/>
      <c r="DI250" s="163"/>
      <c r="DJ250" s="163"/>
      <c r="DK250" s="163"/>
      <c r="DL250" s="163"/>
      <c r="DM250" s="163"/>
      <c r="DN250" s="163"/>
      <c r="DO250" s="163"/>
      <c r="DP250" s="163"/>
      <c r="DQ250" s="163"/>
      <c r="DR250" s="163"/>
      <c r="DS250" s="163"/>
      <c r="DT250" s="163"/>
      <c r="DU250" s="163"/>
      <c r="DV250" s="163"/>
      <c r="DW250" s="163"/>
      <c r="DX250" s="163"/>
      <c r="DY250" s="163"/>
      <c r="DZ250" s="163"/>
      <c r="EA250" s="163"/>
      <c r="EB250" s="163"/>
      <c r="EC250" s="163"/>
      <c r="ED250" s="163"/>
      <c r="EE250" s="163"/>
      <c r="EF250" s="163"/>
      <c r="EG250" s="163"/>
      <c r="EH250" s="160">
        <f>IF([Chambre]*1='CHAMBRES FILLES 2e ETAGE'!$A$5,1,0)</f>
        <v>0</v>
      </c>
      <c r="EI250" s="161">
        <f>IF([Occurrence2]=0,0,SUM($EH$2:EH250))</f>
        <v>0</v>
      </c>
      <c r="EJ250" s="160">
        <f>IF([Chambre]*1='CHAMBRES FILLES 2e ETAGE'!$A$11,1,0)</f>
        <v>0</v>
      </c>
      <c r="EK250" s="160">
        <f>IF([Occurrence3]=0,0,SUM($EJ$2:EJ250))</f>
        <v>0</v>
      </c>
      <c r="EL250" s="160">
        <f>IF([Chambre]*1='CHAMBRES FILLES 2e ETAGE'!$A$17,1,0)</f>
        <v>0</v>
      </c>
      <c r="EM250" s="160">
        <f>IF([Occurrence4]=0,0,SUM($EL$2:EL250))</f>
        <v>0</v>
      </c>
      <c r="EN250" s="160">
        <f>IF([Chambre]*1='CHAMBRES FILLES 2e ETAGE'!$A$23,1,0)</f>
        <v>0</v>
      </c>
      <c r="EO250" s="160">
        <f>IF([Occurrence5]=0,0,SUM($EN$2:EN250))</f>
        <v>0</v>
      </c>
      <c r="EP250" s="160">
        <f>IF([Chambre]*1='CHAMBRES FILLES 2e ETAGE'!$A$29,1,0)</f>
        <v>0</v>
      </c>
      <c r="EQ250" s="160">
        <f>IF([Occurrence6]=0,0,SUM($EP$2:EP250))</f>
        <v>0</v>
      </c>
      <c r="ER250" s="160">
        <f>IF([Chambre]*1='CHAMBRES FILLES 2e ETAGE'!$A$35,1,0)</f>
        <v>0</v>
      </c>
      <c r="ES250" s="160">
        <f>IF([Occurrence7]=0,0,SUM($ER$2:ER250))</f>
        <v>0</v>
      </c>
      <c r="ET250" s="160">
        <f>IF([Chambre]*1='CHAMBRES FILLES 2e ETAGE'!$A$41,1,0)</f>
        <v>0</v>
      </c>
      <c r="EU250" s="160">
        <f>IF([Occurrence8]=0,0,SUM($ET$2:ET250))</f>
        <v>0</v>
      </c>
      <c r="EV250" s="160">
        <f>IF([Chambre]*1='CHAMBRES FILLES 2e ETAGE'!$A$47,1,0)</f>
        <v>0</v>
      </c>
      <c r="EW250" s="160">
        <f>IF([Occurrence9]=0,0,SUM($EV$2:EV250))</f>
        <v>0</v>
      </c>
      <c r="EX250" s="160">
        <f>IF([Chambre]*1='CHAMBRES FILLES 2e ETAGE'!$A$53,1,0)</f>
        <v>0</v>
      </c>
      <c r="EY250" s="160">
        <f>IF([Occurrence10]=0,0,SUM($EX$2:EX250))</f>
        <v>0</v>
      </c>
      <c r="EZ250" s="160">
        <f>IF([Chambre]*1='CHAMBRES FILLES 2e ETAGE'!$A$59,1,0)</f>
        <v>0</v>
      </c>
      <c r="FA250" s="160">
        <f>IF([Occurrence11]=0,0,SUM($EZ$2:EZ250))</f>
        <v>0</v>
      </c>
      <c r="FB250" s="160">
        <f>IF([Chambre]*1='CHAMBRES FILLES 2e ETAGE'!$A$65,1,0)</f>
        <v>0</v>
      </c>
      <c r="FC250" s="160">
        <f>IF([Occurrence12]=0,0,SUM($FB$2:FB250))</f>
        <v>0</v>
      </c>
      <c r="FD250" s="160">
        <f>IF([Chambre]*1='CHAMBRES FILLES 2e ETAGE'!$A$71,1,0)</f>
        <v>0</v>
      </c>
      <c r="FE250" s="160">
        <f>IF([Occurrence13]=0,0,SUM($FD$2:FD250))</f>
        <v>0</v>
      </c>
      <c r="FF250" s="160">
        <f>IF([Chambre]*1='CHAMBRES FILLES 2e ETAGE'!$A$77,1,0)</f>
        <v>0</v>
      </c>
      <c r="FG250" s="160">
        <f>IF([Occurrence14]=0,0,SUM($FF$2:FF250))</f>
        <v>0</v>
      </c>
      <c r="FH250" s="160">
        <f>IF([Chambre]*1='CHAMBRES FILLES 2e ETAGE'!$A$83,1,0)</f>
        <v>0</v>
      </c>
      <c r="FI250" s="160">
        <f>IF([Occurrence15]=0,0,SUM($FH$2:FH250))</f>
        <v>0</v>
      </c>
      <c r="FJ250" s="160">
        <f>IF([Chambre]*1='CHAMBRES FILLES 2e ETAGE'!$A$89,1,0)</f>
        <v>0</v>
      </c>
      <c r="FK250" s="160">
        <f>IF([Occurrence16]=0,0,SUM($FJ$2:FJ250))</f>
        <v>0</v>
      </c>
      <c r="FL250" s="160">
        <f>IF([Chambre]*1='CHAMBRES FILLES 2e ETAGE'!$A$95,1,0)</f>
        <v>0</v>
      </c>
      <c r="FM250" s="160">
        <f>IF([Occurrence17]=0,0,SUM($FL$2:FL250))</f>
        <v>0</v>
      </c>
      <c r="FN250" s="160">
        <f>IF([Chambre2]*1='CHAMBRES FILLES 1e ETAGE'!$A$5,1,0)</f>
        <v>0</v>
      </c>
      <c r="FO250" s="160">
        <f>IF([Occurrence18]=0,0,SUM($FN$2:FN250))</f>
        <v>0</v>
      </c>
      <c r="FP250" s="160">
        <f>IF([Chambre2]*1='CHAMBRES FILLES 1e ETAGE'!$A$11,1,0)</f>
        <v>0</v>
      </c>
      <c r="FQ250" s="160">
        <f>IF([Occurrence19]=0,0,SUM($FP$2:FP250))</f>
        <v>0</v>
      </c>
      <c r="FR250" s="160">
        <f>IF([Chambre2]*1='CHAMBRES FILLES 1e ETAGE'!$A$17,1,0)</f>
        <v>0</v>
      </c>
      <c r="FS250" s="160">
        <f>IF([Occurrence20]=0,0,SUM($FR$2:FR250))</f>
        <v>0</v>
      </c>
      <c r="FT250" s="160">
        <f>IF([Chambre2]*1='CHAMBRES FILLES 1e ETAGE'!$A$23,1,0)</f>
        <v>0</v>
      </c>
      <c r="FU250" s="160">
        <f>IF([Occurrence21]=0,0,SUM($FT$2:FT250))</f>
        <v>0</v>
      </c>
      <c r="FV250" s="160">
        <f>IF([Chambre2]*1='CHAMBRES FILLES 1e ETAGE'!$A$29,1,0)</f>
        <v>0</v>
      </c>
      <c r="FW250" s="160">
        <f>IF([Occurrence22]=0,0,SUM($FV$2:FV250))</f>
        <v>0</v>
      </c>
      <c r="FX250" s="160">
        <f>IF([Chambre2]*1='CHAMBRES FILLES 1e ETAGE'!$A$35,1,0)</f>
        <v>0</v>
      </c>
      <c r="FY250" s="160">
        <f>IF([Occurrence23]=0,0,SUM($FX$2:FX250))</f>
        <v>0</v>
      </c>
      <c r="FZ250" s="160">
        <f>IF([Chambre2]*1='CHAMBRES FILLES 1e ETAGE'!$A$41,1,0)</f>
        <v>0</v>
      </c>
      <c r="GA250" s="160">
        <f>IF([Occurrence24]=0,0,SUM($FZ$2:FZ250))</f>
        <v>0</v>
      </c>
      <c r="GB250" s="160">
        <f>IF([Chambre2]*1='CHAMBRES FILLES 1e ETAGE'!$A$47,1,0)</f>
        <v>0</v>
      </c>
      <c r="GC250" s="160">
        <f>IF([Occurrence25]=0,0,SUM($GB$2:GB250))</f>
        <v>0</v>
      </c>
      <c r="GD250" s="160">
        <f>IF([Chambre2]*1='CHAMBRES FILLES 1e ETAGE'!$A$53,1,0)</f>
        <v>0</v>
      </c>
      <c r="GE250" s="160">
        <f>IF([Occurrence26]=0,0,SUM($GD$2:GD250))</f>
        <v>0</v>
      </c>
      <c r="GF250" s="160">
        <f>IF([chambre4]*1='CHAMBRES GARCONS 1e ETAGE'!$A$5,1,0)</f>
        <v>0</v>
      </c>
      <c r="GG250" s="160">
        <f>IF([Occurrence27]=0,0,SUM($GF$2:GF250))</f>
        <v>0</v>
      </c>
      <c r="GH250" s="160">
        <f>IF([chambre4]*1='CHAMBRES GARCONS 1e ETAGE'!$A$11,1,0)</f>
        <v>0</v>
      </c>
      <c r="GI250" s="160">
        <f>IF([Occurrence28]=0,0,SUM($GH$2:GH250))</f>
        <v>0</v>
      </c>
      <c r="GJ250" s="160">
        <f>IF([chambre4]*1='CHAMBRES GARCONS 1e ETAGE'!$A$17,1,0)</f>
        <v>0</v>
      </c>
      <c r="GK250" s="160">
        <f>IF([Occurrence29]=0,0,SUM($GJ$2:GJ250))</f>
        <v>0</v>
      </c>
      <c r="GL250" s="160">
        <f>IF([chambre4]*1='CHAMBRES GARCONS 1e ETAGE'!$A$23,1,0)</f>
        <v>0</v>
      </c>
      <c r="GM250" s="160">
        <f>IF([Occurrence30]=0,0,SUM($GL$2:GL250))</f>
        <v>0</v>
      </c>
      <c r="GN250" s="160">
        <f>IF([chambre4]*1='CHAMBRES GARCONS 1e ETAGE'!$A$29,1,0)</f>
        <v>0</v>
      </c>
      <c r="GO250" s="160">
        <f>IF([Occurrence31]=0,0,SUM($GN$2:GN250))</f>
        <v>0</v>
      </c>
      <c r="GP250" s="160">
        <f>IF([chambre4]*1='CHAMBRES GARCONS 1e ETAGE'!$A$35,1,0)</f>
        <v>0</v>
      </c>
      <c r="GQ250" s="160">
        <f>IF([Occurrence32]=0,0,SUM($GP$2:GP250))</f>
        <v>0</v>
      </c>
      <c r="GR250" s="160">
        <f>IF([chambre3]*1='CHAMBRES GARCONS RDC'!$A$5,1,0)</f>
        <v>0</v>
      </c>
      <c r="GS250" s="160">
        <f>IF([Occurrence33]=0,0,SUM($GR$2:GR250))</f>
        <v>0</v>
      </c>
      <c r="GT250" s="160">
        <f>IF([chambre3]*1='CHAMBRES GARCONS RDC'!$A$11,1,0)</f>
        <v>0</v>
      </c>
      <c r="GU250" s="160">
        <f>IF([Occurrence34]=0,0,SUM($GT$2:GT250))</f>
        <v>0</v>
      </c>
      <c r="GV250" s="160">
        <f>IF([chambre3]*1='CHAMBRES GARCONS RDC'!$A$17,1,0)</f>
        <v>0</v>
      </c>
      <c r="GW250" s="160">
        <f>IF([Occurrence35]=0,0,SUM($GV$2:GV250))</f>
        <v>0</v>
      </c>
      <c r="GX250" s="160">
        <f>IF([chambre3]*1='CHAMBRES GARCONS RDC'!$A$23,1,0)</f>
        <v>0</v>
      </c>
      <c r="GY250" s="160">
        <f>IF([Occurrence36]=0,0,SUM($GX$2:GX250))</f>
        <v>0</v>
      </c>
      <c r="GZ250" s="160">
        <f>IF([chambre3]*1='CHAMBRES GARCONS RDC'!$A$29,1,0)</f>
        <v>0</v>
      </c>
      <c r="HA250" s="160">
        <f>IF([Occurrence37]=0,0,SUM($GZ$2:GZ250))</f>
        <v>0</v>
      </c>
      <c r="HB250" s="160">
        <f>IF([chambre3]*1='CHAMBRES GARCONS RDC'!$A$35,1,0)</f>
        <v>0</v>
      </c>
      <c r="HC250" s="160">
        <f>IF([Occurrence38]=0,0,SUM($HB$2:HB250))</f>
        <v>0</v>
      </c>
      <c r="HD250" s="160">
        <f>IF([chambre3]*1='CHAMBRES GARCONS RDC'!$A$41,1,0)</f>
        <v>0</v>
      </c>
      <c r="HE250" s="160">
        <f>IF([Occurrence39]=0,0,SUM($HD$2:HD250))</f>
        <v>0</v>
      </c>
      <c r="HF250" s="160">
        <f>IF([chambre3]*1='CHAMBRES GARCONS RDC'!$A$47,1,0)</f>
        <v>0</v>
      </c>
      <c r="HG250" s="160">
        <f>IF([Occurrence40]=0,0,SUM($HF$2:HF250))</f>
        <v>0</v>
      </c>
      <c r="HH250" s="160">
        <f>IF([chambre3]*1='CHAMBRES GARCONS RDC'!$A$53,1,0)</f>
        <v>0</v>
      </c>
      <c r="HI250" s="160">
        <f>IF([Occurrence41]=0,0,SUM($HH$2:HH250))</f>
        <v>0</v>
      </c>
      <c r="HJ250" s="160">
        <f>IF([chambre3]*1='CHAMBRES GARCONS RDC'!$A$59,1,0)</f>
        <v>0</v>
      </c>
      <c r="HK250" s="160">
        <f>IF([Occurrence42]=0,0,SUM($HJ$2:HJ250))</f>
        <v>0</v>
      </c>
      <c r="HL250" s="160">
        <f>IF([chambre3]*1='CHAMBRES GARCONS RDC'!$A$65,1,0)</f>
        <v>0</v>
      </c>
      <c r="HM250" s="160">
        <f>IF([Occurrence43]=0,0,SUM($HL$2:HL250))</f>
        <v>0</v>
      </c>
      <c r="HN250" s="160">
        <f>IF([chambre3]*1='CHAMBRES GARCONS RDC'!$A$71,1,0)</f>
        <v>0</v>
      </c>
      <c r="HO250" s="160">
        <f>IF([Occurrence44]=0,0,SUM($HN$2:HN250))</f>
        <v>0</v>
      </c>
      <c r="HP250" s="160">
        <f>IF([chambre3]*1='CHAMBRES GARCONS RDC'!$A$77,1,0)</f>
        <v>0</v>
      </c>
      <c r="HQ250" s="160">
        <f>IF([Occurrence45]=0,0,SUM($HP$2:HP250))</f>
        <v>0</v>
      </c>
      <c r="HR250" s="160">
        <f>IF([chambre3]*1='CHAMBRES GARCONS RDC'!$A$83,1,0)</f>
        <v>0</v>
      </c>
      <c r="HS250" s="160">
        <f>IF([Occurrence46]=0,0,SUM($HR$2:HR250))</f>
        <v>0</v>
      </c>
      <c r="HT250" s="160">
        <f>IF([chambre3]*1='CHAMBRES GARCONS RDC'!$A$89,1,0)</f>
        <v>0</v>
      </c>
      <c r="HU250" s="160">
        <f>IF([Occurrence47]=0,0,SUM($HT$2:HT250))</f>
        <v>0</v>
      </c>
      <c r="HV250" s="160">
        <f>IF([chambre3]*1='CHAMBRES GARCONS RDC'!$A$95,1,0)</f>
        <v>0</v>
      </c>
      <c r="HW250" s="160">
        <f>IF([Occurrence48]=0,0,SUM($HV$2:HV250))</f>
        <v>0</v>
      </c>
      <c r="HX250" s="160"/>
      <c r="HY250" s="160"/>
      <c r="HZ250" s="160">
        <f>IF([Classe]='Liste élève par classes'!$B$5,1,0)</f>
        <v>0</v>
      </c>
      <c r="IA250" s="160">
        <f>IF([Occurrence]=0,0,SUM($HZ$2:HZ250))</f>
        <v>0</v>
      </c>
      <c r="IB25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50" s="208"/>
    </row>
    <row r="251" spans="1:237">
      <c r="A251" t="s">
        <v>654</v>
      </c>
      <c r="B251" t="s">
        <v>360</v>
      </c>
      <c r="C251" s="158">
        <v>36789</v>
      </c>
      <c r="D251" s="62">
        <f t="shared" ca="1" si="3"/>
        <v>17</v>
      </c>
      <c r="E251" t="s">
        <v>9</v>
      </c>
      <c r="F251" s="159" t="s">
        <v>50</v>
      </c>
      <c r="G251" t="s">
        <v>40</v>
      </c>
      <c r="H251" s="160"/>
      <c r="I251" s="161"/>
      <c r="J251" s="161"/>
      <c r="K251" s="161"/>
      <c r="L251" s="160"/>
      <c r="M251">
        <v>43</v>
      </c>
      <c r="N251" s="161"/>
      <c r="O251" s="161"/>
      <c r="P251" s="161"/>
      <c r="Q251" s="161"/>
      <c r="R251" s="161"/>
      <c r="S251" s="190"/>
      <c r="T251" s="161"/>
      <c r="U251" s="160"/>
      <c r="V251" s="161"/>
      <c r="W251" s="161"/>
      <c r="X251" s="161"/>
      <c r="Y251" s="161"/>
      <c r="Z251" s="161"/>
      <c r="AA251" s="161"/>
      <c r="AB251" s="161"/>
      <c r="AC251" s="161"/>
      <c r="AD251" s="161"/>
      <c r="AE251" s="161"/>
      <c r="AF251" s="163"/>
      <c r="AG251" s="163"/>
      <c r="AH251" s="163"/>
      <c r="AI251" s="163"/>
      <c r="AJ251" s="163"/>
      <c r="AK251" s="163"/>
      <c r="AL251" s="163"/>
      <c r="AM251" s="163"/>
      <c r="AN251" s="163"/>
      <c r="AO251" s="163"/>
      <c r="AP251" s="163"/>
      <c r="AQ251" s="163"/>
      <c r="AR251" s="163"/>
      <c r="AS251" s="163"/>
      <c r="AT251" s="163"/>
      <c r="AU251" s="163"/>
      <c r="AV251" s="163"/>
      <c r="AW251" s="163"/>
      <c r="AX251" s="163"/>
      <c r="AY251" s="163"/>
      <c r="AZ251" s="163"/>
      <c r="BA251" s="163"/>
      <c r="BB251" s="163"/>
      <c r="BC251" s="163" t="b">
        <v>0</v>
      </c>
      <c r="BD251" s="163" t="b">
        <v>1</v>
      </c>
      <c r="BE251" s="163" t="b">
        <v>1</v>
      </c>
      <c r="BF251" s="163" t="b">
        <v>0</v>
      </c>
      <c r="BG251" s="164" t="b">
        <v>0</v>
      </c>
      <c r="BH251" s="163" t="b">
        <v>1</v>
      </c>
      <c r="BI251" s="163"/>
      <c r="BJ251" s="163"/>
      <c r="BK251" s="163"/>
      <c r="BL251" s="163"/>
      <c r="BM251" s="163"/>
      <c r="BN251" s="163"/>
      <c r="BO251" s="163"/>
      <c r="BP251" s="163"/>
      <c r="BQ251" s="163" t="b">
        <v>0</v>
      </c>
      <c r="BR251" s="163"/>
      <c r="BS251" s="163"/>
      <c r="BT251" s="163"/>
      <c r="BU251" s="163"/>
      <c r="BV251" s="163"/>
      <c r="BW251" s="163"/>
      <c r="BX251" s="163"/>
      <c r="BY251" s="163"/>
      <c r="BZ251" s="163"/>
      <c r="CA251" s="163"/>
      <c r="CB251" s="163"/>
      <c r="CC251" s="163"/>
      <c r="CD251" s="163"/>
      <c r="CE251" s="163"/>
      <c r="CF251" s="163"/>
      <c r="CG251" s="163"/>
      <c r="CH251" s="163"/>
      <c r="CI251" s="163"/>
      <c r="CJ251" s="163"/>
      <c r="CK251" s="163"/>
      <c r="CL251" s="163"/>
      <c r="CM251" s="163"/>
      <c r="CN251" s="163"/>
      <c r="CO251" s="163"/>
      <c r="CP251" s="163"/>
      <c r="CQ251" s="163"/>
      <c r="CR251" s="163"/>
      <c r="CS251" s="163"/>
      <c r="CT251" s="163"/>
      <c r="CU251" s="163"/>
      <c r="CV251" s="163"/>
      <c r="CW251" s="163"/>
      <c r="CX251" s="163"/>
      <c r="CY251" s="163"/>
      <c r="CZ251" s="163"/>
      <c r="DA251" s="163">
        <v>106</v>
      </c>
      <c r="DB251" s="163"/>
      <c r="DC251" s="163"/>
      <c r="DD251" s="163"/>
      <c r="DE251" s="163"/>
      <c r="DF251" s="163"/>
      <c r="DG251" s="208"/>
      <c r="DH251" s="163"/>
      <c r="DI251" s="163"/>
      <c r="DJ251" s="163"/>
      <c r="DK251" s="163"/>
      <c r="DL251" s="163"/>
      <c r="DM251" s="163"/>
      <c r="DN251" s="163"/>
      <c r="DO251" s="163"/>
      <c r="DP251" s="163"/>
      <c r="DQ251" s="163"/>
      <c r="DR251" s="163"/>
      <c r="DS251" s="163"/>
      <c r="DT251" s="163"/>
      <c r="DU251" s="163"/>
      <c r="DV251" s="163"/>
      <c r="DW251" s="163"/>
      <c r="DX251" s="163"/>
      <c r="DY251" s="163"/>
      <c r="DZ251" s="163"/>
      <c r="EA251" s="163"/>
      <c r="EB251" s="163"/>
      <c r="EC251" s="163"/>
      <c r="ED251" s="163"/>
      <c r="EE251" s="163"/>
      <c r="EF251" s="163"/>
      <c r="EG251" s="163"/>
      <c r="EH251" s="160">
        <f>IF([Chambre]*1='CHAMBRES FILLES 2e ETAGE'!$A$5,1,0)</f>
        <v>0</v>
      </c>
      <c r="EI251" s="161">
        <f>IF([Occurrence2]=0,0,SUM($EH$2:EH251))</f>
        <v>0</v>
      </c>
      <c r="EJ251" s="160">
        <f>IF([Chambre]*1='CHAMBRES FILLES 2e ETAGE'!$A$11,1,0)</f>
        <v>0</v>
      </c>
      <c r="EK251" s="160">
        <f>IF([Occurrence3]=0,0,SUM($EJ$2:EJ251))</f>
        <v>0</v>
      </c>
      <c r="EL251" s="160">
        <f>IF([Chambre]*1='CHAMBRES FILLES 2e ETAGE'!$A$17,1,0)</f>
        <v>0</v>
      </c>
      <c r="EM251" s="160">
        <f>IF([Occurrence4]=0,0,SUM($EL$2:EL251))</f>
        <v>0</v>
      </c>
      <c r="EN251" s="160">
        <f>IF([Chambre]*1='CHAMBRES FILLES 2e ETAGE'!$A$23,1,0)</f>
        <v>0</v>
      </c>
      <c r="EO251" s="160">
        <f>IF([Occurrence5]=0,0,SUM($EN$2:EN251))</f>
        <v>0</v>
      </c>
      <c r="EP251" s="160">
        <f>IF([Chambre]*1='CHAMBRES FILLES 2e ETAGE'!$A$29,1,0)</f>
        <v>0</v>
      </c>
      <c r="EQ251" s="160">
        <f>IF([Occurrence6]=0,0,SUM($EP$2:EP251))</f>
        <v>0</v>
      </c>
      <c r="ER251" s="160">
        <f>IF([Chambre]*1='CHAMBRES FILLES 2e ETAGE'!$A$35,1,0)</f>
        <v>0</v>
      </c>
      <c r="ES251" s="160">
        <f>IF([Occurrence7]=0,0,SUM($ER$2:ER251))</f>
        <v>0</v>
      </c>
      <c r="ET251" s="160">
        <f>IF([Chambre]*1='CHAMBRES FILLES 2e ETAGE'!$A$41,1,0)</f>
        <v>0</v>
      </c>
      <c r="EU251" s="160">
        <f>IF([Occurrence8]=0,0,SUM($ET$2:ET251))</f>
        <v>0</v>
      </c>
      <c r="EV251" s="160">
        <f>IF([Chambre]*1='CHAMBRES FILLES 2e ETAGE'!$A$47,1,0)</f>
        <v>0</v>
      </c>
      <c r="EW251" s="160">
        <f>IF([Occurrence9]=0,0,SUM($EV$2:EV251))</f>
        <v>0</v>
      </c>
      <c r="EX251" s="160">
        <f>IF([Chambre]*1='CHAMBRES FILLES 2e ETAGE'!$A$53,1,0)</f>
        <v>0</v>
      </c>
      <c r="EY251" s="160">
        <f>IF([Occurrence10]=0,0,SUM($EX$2:EX251))</f>
        <v>0</v>
      </c>
      <c r="EZ251" s="160">
        <f>IF([Chambre]*1='CHAMBRES FILLES 2e ETAGE'!$A$59,1,0)</f>
        <v>0</v>
      </c>
      <c r="FA251" s="160">
        <f>IF([Occurrence11]=0,0,SUM($EZ$2:EZ251))</f>
        <v>0</v>
      </c>
      <c r="FB251" s="160">
        <f>IF([Chambre]*1='CHAMBRES FILLES 2e ETAGE'!$A$65,1,0)</f>
        <v>0</v>
      </c>
      <c r="FC251" s="160">
        <f>IF([Occurrence12]=0,0,SUM($FB$2:FB251))</f>
        <v>0</v>
      </c>
      <c r="FD251" s="160">
        <f>IF([Chambre]*1='CHAMBRES FILLES 2e ETAGE'!$A$71,1,0)</f>
        <v>0</v>
      </c>
      <c r="FE251" s="160">
        <f>IF([Occurrence13]=0,0,SUM($FD$2:FD251))</f>
        <v>0</v>
      </c>
      <c r="FF251" s="160">
        <f>IF([Chambre]*1='CHAMBRES FILLES 2e ETAGE'!$A$77,1,0)</f>
        <v>0</v>
      </c>
      <c r="FG251" s="160">
        <f>IF([Occurrence14]=0,0,SUM($FF$2:FF251))</f>
        <v>0</v>
      </c>
      <c r="FH251" s="160">
        <f>IF([Chambre]*1='CHAMBRES FILLES 2e ETAGE'!$A$83,1,0)</f>
        <v>0</v>
      </c>
      <c r="FI251" s="160">
        <f>IF([Occurrence15]=0,0,SUM($FH$2:FH251))</f>
        <v>0</v>
      </c>
      <c r="FJ251" s="160">
        <f>IF([Chambre]*1='CHAMBRES FILLES 2e ETAGE'!$A$89,1,0)</f>
        <v>0</v>
      </c>
      <c r="FK251" s="160">
        <f>IF([Occurrence16]=0,0,SUM($FJ$2:FJ251))</f>
        <v>0</v>
      </c>
      <c r="FL251" s="160">
        <f>IF([Chambre]*1='CHAMBRES FILLES 2e ETAGE'!$A$95,1,0)</f>
        <v>0</v>
      </c>
      <c r="FM251" s="160">
        <f>IF([Occurrence17]=0,0,SUM($FL$2:FL251))</f>
        <v>0</v>
      </c>
      <c r="FN251" s="160">
        <f>IF([Chambre2]*1='CHAMBRES FILLES 1e ETAGE'!$A$5,1,0)</f>
        <v>0</v>
      </c>
      <c r="FO251" s="160">
        <f>IF([Occurrence18]=0,0,SUM($FN$2:FN251))</f>
        <v>0</v>
      </c>
      <c r="FP251" s="160">
        <f>IF([Chambre2]*1='CHAMBRES FILLES 1e ETAGE'!$A$11,1,0)</f>
        <v>0</v>
      </c>
      <c r="FQ251" s="160">
        <f>IF([Occurrence19]=0,0,SUM($FP$2:FP251))</f>
        <v>0</v>
      </c>
      <c r="FR251" s="160">
        <f>IF([Chambre2]*1='CHAMBRES FILLES 1e ETAGE'!$A$17,1,0)</f>
        <v>0</v>
      </c>
      <c r="FS251" s="160">
        <f>IF([Occurrence20]=0,0,SUM($FR$2:FR251))</f>
        <v>0</v>
      </c>
      <c r="FT251" s="160">
        <f>IF([Chambre2]*1='CHAMBRES FILLES 1e ETAGE'!$A$23,1,0)</f>
        <v>0</v>
      </c>
      <c r="FU251" s="160">
        <f>IF([Occurrence21]=0,0,SUM($FT$2:FT251))</f>
        <v>0</v>
      </c>
      <c r="FV251" s="160">
        <f>IF([Chambre2]*1='CHAMBRES FILLES 1e ETAGE'!$A$29,1,0)</f>
        <v>0</v>
      </c>
      <c r="FW251" s="160">
        <f>IF([Occurrence22]=0,0,SUM($FV$2:FV251))</f>
        <v>0</v>
      </c>
      <c r="FX251" s="160">
        <f>IF([Chambre2]*1='CHAMBRES FILLES 1e ETAGE'!$A$35,1,0)</f>
        <v>0</v>
      </c>
      <c r="FY251" s="160">
        <f>IF([Occurrence23]=0,0,SUM($FX$2:FX251))</f>
        <v>0</v>
      </c>
      <c r="FZ251" s="160">
        <f>IF([Chambre2]*1='CHAMBRES FILLES 1e ETAGE'!$A$41,1,0)</f>
        <v>0</v>
      </c>
      <c r="GA251" s="160">
        <f>IF([Occurrence24]=0,0,SUM($FZ$2:FZ251))</f>
        <v>0</v>
      </c>
      <c r="GB251" s="160">
        <f>IF([Chambre2]*1='CHAMBRES FILLES 1e ETAGE'!$A$47,1,0)</f>
        <v>0</v>
      </c>
      <c r="GC251" s="160">
        <f>IF([Occurrence25]=0,0,SUM($GB$2:GB251))</f>
        <v>0</v>
      </c>
      <c r="GD251" s="160">
        <f>IF([Chambre2]*1='CHAMBRES FILLES 1e ETAGE'!$A$53,1,0)</f>
        <v>0</v>
      </c>
      <c r="GE251" s="160">
        <f>IF([Occurrence26]=0,0,SUM($GD$2:GD251))</f>
        <v>0</v>
      </c>
      <c r="GF251" s="160">
        <f>IF([chambre4]*1='CHAMBRES GARCONS 1e ETAGE'!$A$5,1,0)</f>
        <v>0</v>
      </c>
      <c r="GG251" s="160">
        <f>IF([Occurrence27]=0,0,SUM($GF$2:GF251))</f>
        <v>0</v>
      </c>
      <c r="GH251" s="160">
        <f>IF([chambre4]*1='CHAMBRES GARCONS 1e ETAGE'!$A$11,1,0)</f>
        <v>0</v>
      </c>
      <c r="GI251" s="160">
        <f>IF([Occurrence28]=0,0,SUM($GH$2:GH251))</f>
        <v>0</v>
      </c>
      <c r="GJ251" s="160">
        <f>IF([chambre4]*1='CHAMBRES GARCONS 1e ETAGE'!$A$17,1,0)</f>
        <v>0</v>
      </c>
      <c r="GK251" s="160">
        <f>IF([Occurrence29]=0,0,SUM($GJ$2:GJ251))</f>
        <v>0</v>
      </c>
      <c r="GL251" s="160">
        <f>IF([chambre4]*1='CHAMBRES GARCONS 1e ETAGE'!$A$23,1,0)</f>
        <v>0</v>
      </c>
      <c r="GM251" s="160">
        <f>IF([Occurrence30]=0,0,SUM($GL$2:GL251))</f>
        <v>0</v>
      </c>
      <c r="GN251" s="160">
        <f>IF([chambre4]*1='CHAMBRES GARCONS 1e ETAGE'!$A$29,1,0)</f>
        <v>0</v>
      </c>
      <c r="GO251" s="160">
        <f>IF([Occurrence31]=0,0,SUM($GN$2:GN251))</f>
        <v>0</v>
      </c>
      <c r="GP251" s="160">
        <f>IF([chambre4]*1='CHAMBRES GARCONS 1e ETAGE'!$A$35,1,0)</f>
        <v>0</v>
      </c>
      <c r="GQ251" s="160">
        <f>IF([Occurrence32]=0,0,SUM($GP$2:GP251))</f>
        <v>0</v>
      </c>
      <c r="GR251" s="160">
        <f>IF([chambre3]*1='CHAMBRES GARCONS RDC'!$A$5,1,0)</f>
        <v>0</v>
      </c>
      <c r="GS251" s="160">
        <f>IF([Occurrence33]=0,0,SUM($GR$2:GR251))</f>
        <v>0</v>
      </c>
      <c r="GT251" s="160">
        <f>IF([chambre3]*1='CHAMBRES GARCONS RDC'!$A$11,1,0)</f>
        <v>1</v>
      </c>
      <c r="GU251" s="160">
        <f>IF([Occurrence34]=0,0,SUM($GT$2:GT251))</f>
        <v>5</v>
      </c>
      <c r="GV251" s="160">
        <f>IF([chambre3]*1='CHAMBRES GARCONS RDC'!$A$17,1,0)</f>
        <v>0</v>
      </c>
      <c r="GW251" s="160">
        <f>IF([Occurrence35]=0,0,SUM($GV$2:GV251))</f>
        <v>0</v>
      </c>
      <c r="GX251" s="160">
        <f>IF([chambre3]*1='CHAMBRES GARCONS RDC'!$A$23,1,0)</f>
        <v>0</v>
      </c>
      <c r="GY251" s="160">
        <f>IF([Occurrence36]=0,0,SUM($GX$2:GX251))</f>
        <v>0</v>
      </c>
      <c r="GZ251" s="160">
        <f>IF([chambre3]*1='CHAMBRES GARCONS RDC'!$A$29,1,0)</f>
        <v>0</v>
      </c>
      <c r="HA251" s="160">
        <f>IF([Occurrence37]=0,0,SUM($GZ$2:GZ251))</f>
        <v>0</v>
      </c>
      <c r="HB251" s="160">
        <f>IF([chambre3]*1='CHAMBRES GARCONS RDC'!$A$35,1,0)</f>
        <v>0</v>
      </c>
      <c r="HC251" s="160">
        <f>IF([Occurrence38]=0,0,SUM($HB$2:HB251))</f>
        <v>0</v>
      </c>
      <c r="HD251" s="160">
        <f>IF([chambre3]*1='CHAMBRES GARCONS RDC'!$A$41,1,0)</f>
        <v>0</v>
      </c>
      <c r="HE251" s="160">
        <f>IF([Occurrence39]=0,0,SUM($HD$2:HD251))</f>
        <v>0</v>
      </c>
      <c r="HF251" s="160">
        <f>IF([chambre3]*1='CHAMBRES GARCONS RDC'!$A$47,1,0)</f>
        <v>0</v>
      </c>
      <c r="HG251" s="160">
        <f>IF([Occurrence40]=0,0,SUM($HF$2:HF251))</f>
        <v>0</v>
      </c>
      <c r="HH251" s="160">
        <f>IF([chambre3]*1='CHAMBRES GARCONS RDC'!$A$53,1,0)</f>
        <v>0</v>
      </c>
      <c r="HI251" s="160">
        <f>IF([Occurrence41]=0,0,SUM($HH$2:HH251))</f>
        <v>0</v>
      </c>
      <c r="HJ251" s="160">
        <f>IF([chambre3]*1='CHAMBRES GARCONS RDC'!$A$59,1,0)</f>
        <v>0</v>
      </c>
      <c r="HK251" s="160">
        <f>IF([Occurrence42]=0,0,SUM($HJ$2:HJ251))</f>
        <v>0</v>
      </c>
      <c r="HL251" s="160">
        <f>IF([chambre3]*1='CHAMBRES GARCONS RDC'!$A$65,1,0)</f>
        <v>0</v>
      </c>
      <c r="HM251" s="160">
        <f>IF([Occurrence43]=0,0,SUM($HL$2:HL251))</f>
        <v>0</v>
      </c>
      <c r="HN251" s="160">
        <f>IF([chambre3]*1='CHAMBRES GARCONS RDC'!$A$71,1,0)</f>
        <v>0</v>
      </c>
      <c r="HO251" s="160">
        <f>IF([Occurrence44]=0,0,SUM($HN$2:HN251))</f>
        <v>0</v>
      </c>
      <c r="HP251" s="160">
        <f>IF([chambre3]*1='CHAMBRES GARCONS RDC'!$A$77,1,0)</f>
        <v>0</v>
      </c>
      <c r="HQ251" s="160">
        <f>IF([Occurrence45]=0,0,SUM($HP$2:HP251))</f>
        <v>0</v>
      </c>
      <c r="HR251" s="160">
        <f>IF([chambre3]*1='CHAMBRES GARCONS RDC'!$A$83,1,0)</f>
        <v>0</v>
      </c>
      <c r="HS251" s="160">
        <f>IF([Occurrence46]=0,0,SUM($HR$2:HR251))</f>
        <v>0</v>
      </c>
      <c r="HT251" s="160">
        <f>IF([chambre3]*1='CHAMBRES GARCONS RDC'!$A$89,1,0)</f>
        <v>0</v>
      </c>
      <c r="HU251" s="160">
        <f>IF([Occurrence47]=0,0,SUM($HT$2:HT251))</f>
        <v>0</v>
      </c>
      <c r="HV251" s="160">
        <f>IF([chambre3]*1='CHAMBRES GARCONS RDC'!$A$95,1,0)</f>
        <v>0</v>
      </c>
      <c r="HW251" s="160">
        <f>IF([Occurrence48]=0,0,SUM($HV$2:HV251))</f>
        <v>0</v>
      </c>
      <c r="HX251" s="160"/>
      <c r="HY251" s="160"/>
      <c r="HZ251" s="160">
        <f>IF([Classe]='Liste élève par classes'!$B$5,1,0)</f>
        <v>0</v>
      </c>
      <c r="IA251" s="160">
        <f>IF([Occurrence]=0,0,SUM($HZ$2:HZ251))</f>
        <v>0</v>
      </c>
      <c r="IB25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106</v>
      </c>
      <c r="IC251" s="208"/>
    </row>
    <row r="252" spans="1:237" ht="15.75">
      <c r="A252" t="s">
        <v>655</v>
      </c>
      <c r="B252" t="s">
        <v>656</v>
      </c>
      <c r="C252" s="158">
        <v>36923</v>
      </c>
      <c r="D252" s="62">
        <f t="shared" ca="1" si="3"/>
        <v>16</v>
      </c>
      <c r="E252" t="s">
        <v>14</v>
      </c>
      <c r="F252" s="159" t="s">
        <v>50</v>
      </c>
      <c r="G252" t="s">
        <v>45</v>
      </c>
      <c r="H252" s="160"/>
      <c r="I252" s="62"/>
      <c r="J252" s="6"/>
      <c r="K252" s="168"/>
      <c r="L252" s="61">
        <v>160</v>
      </c>
      <c r="M252">
        <v>187</v>
      </c>
      <c r="N252" s="62"/>
      <c r="O252" s="62"/>
      <c r="P252" s="62"/>
      <c r="Q252" s="62"/>
      <c r="R252" s="62"/>
      <c r="S252" s="191"/>
      <c r="T252" s="62"/>
      <c r="U252" s="61"/>
      <c r="V252" s="62"/>
      <c r="W252" s="62"/>
      <c r="X252" s="62"/>
      <c r="Y252" s="62"/>
      <c r="Z252" s="62"/>
      <c r="AA252" s="62"/>
      <c r="AB252" s="62"/>
      <c r="AC252" s="62"/>
      <c r="AD252" s="62"/>
      <c r="AE252" s="62"/>
      <c r="AF252" s="163"/>
      <c r="AG252" s="163"/>
      <c r="AH252" s="163"/>
      <c r="AI252" s="163"/>
      <c r="AJ252" s="163"/>
      <c r="AK252" s="163"/>
      <c r="AL252" s="163"/>
      <c r="AM252" s="163"/>
      <c r="AN252" s="163"/>
      <c r="AO252" s="163"/>
      <c r="AP252" s="163"/>
      <c r="AQ252" s="163"/>
      <c r="AR252" s="163"/>
      <c r="AS252" s="163"/>
      <c r="AT252" s="163"/>
      <c r="AU252" s="163"/>
      <c r="AV252" s="163"/>
      <c r="AW252" s="163"/>
      <c r="AX252" s="163"/>
      <c r="AY252" s="163"/>
      <c r="AZ252" s="163"/>
      <c r="BA252" s="163"/>
      <c r="BB252" s="163"/>
      <c r="BC252" s="163" t="b">
        <v>0</v>
      </c>
      <c r="BD252" s="163" t="b">
        <v>1</v>
      </c>
      <c r="BE252" s="163" t="b">
        <v>1</v>
      </c>
      <c r="BF252" s="163" t="b">
        <v>0</v>
      </c>
      <c r="BG252" s="164" t="b">
        <v>0</v>
      </c>
      <c r="BH252" s="163" t="b">
        <v>1</v>
      </c>
      <c r="BI252" s="163"/>
      <c r="BJ252" s="163"/>
      <c r="BK252" s="163"/>
      <c r="BL252" s="163"/>
      <c r="BM252" s="163"/>
      <c r="BN252" s="163"/>
      <c r="BO252" s="163"/>
      <c r="BP252" s="163"/>
      <c r="BQ252" s="163" t="b">
        <v>1</v>
      </c>
      <c r="BR252" s="163"/>
      <c r="BS252" s="163"/>
      <c r="BT252" s="163"/>
      <c r="BU252" s="163"/>
      <c r="BV252" s="163"/>
      <c r="BW252" s="163"/>
      <c r="BX252" s="163"/>
      <c r="BY252" s="163"/>
      <c r="BZ252" s="163"/>
      <c r="CA252" s="163"/>
      <c r="CB252" s="163"/>
      <c r="CC252" s="163"/>
      <c r="CD252" s="163"/>
      <c r="CE252" s="163"/>
      <c r="CF252" s="163"/>
      <c r="CG252" s="163"/>
      <c r="CH252" s="163"/>
      <c r="CI252" s="163"/>
      <c r="CJ252" s="163"/>
      <c r="CK252" s="163"/>
      <c r="CL252" s="163"/>
      <c r="CM252" s="163"/>
      <c r="CN252" s="163"/>
      <c r="CO252" s="163"/>
      <c r="CP252" s="163"/>
      <c r="CQ252" s="163"/>
      <c r="CR252" s="163"/>
      <c r="CS252" s="163"/>
      <c r="CT252" s="163"/>
      <c r="CU252" s="163"/>
      <c r="CV252" s="163"/>
      <c r="CW252" s="163"/>
      <c r="CX252" s="163"/>
      <c r="CY252" s="163"/>
      <c r="CZ252" s="163"/>
      <c r="DA252" s="163"/>
      <c r="DB252" s="163"/>
      <c r="DC252" s="163"/>
      <c r="DD252" s="163"/>
      <c r="DE252" s="163"/>
      <c r="DF252" s="163"/>
      <c r="DG252" s="208"/>
      <c r="DH252" s="163"/>
      <c r="DI252" s="163"/>
      <c r="DJ252" s="163"/>
      <c r="DK252" s="163"/>
      <c r="DL252" s="163"/>
      <c r="DM252" s="163"/>
      <c r="DN252" s="163"/>
      <c r="DO252" s="163"/>
      <c r="DP252" s="163"/>
      <c r="DQ252" s="163"/>
      <c r="DR252" s="163"/>
      <c r="DS252" s="163"/>
      <c r="DT252" s="163"/>
      <c r="DU252" s="163"/>
      <c r="DV252" s="163"/>
      <c r="DW252" s="163"/>
      <c r="DX252" s="163"/>
      <c r="DY252" s="163"/>
      <c r="DZ252" s="163"/>
      <c r="EA252" s="163"/>
      <c r="EB252" s="163"/>
      <c r="EC252" s="163"/>
      <c r="ED252" s="163"/>
      <c r="EE252" s="163"/>
      <c r="EF252" s="163"/>
      <c r="EG252" s="163"/>
      <c r="EH252" s="160">
        <f>IF([Chambre]*1='CHAMBRES FILLES 2e ETAGE'!$A$5,1,0)</f>
        <v>0</v>
      </c>
      <c r="EI252" s="161">
        <f>IF([Occurrence2]=0,0,SUM($EH$2:EH252))</f>
        <v>0</v>
      </c>
      <c r="EJ252" s="160">
        <f>IF([Chambre]*1='CHAMBRES FILLES 2e ETAGE'!$A$11,1,0)</f>
        <v>0</v>
      </c>
      <c r="EK252" s="160">
        <f>IF([Occurrence3]=0,0,SUM($EJ$2:EJ252))</f>
        <v>0</v>
      </c>
      <c r="EL252" s="160">
        <f>IF([Chambre]*1='CHAMBRES FILLES 2e ETAGE'!$A$17,1,0)</f>
        <v>1</v>
      </c>
      <c r="EM252" s="160">
        <f>IF([Occurrence4]=0,0,SUM($EL$2:EL252))</f>
        <v>4</v>
      </c>
      <c r="EN252" s="160">
        <f>IF([Chambre]*1='CHAMBRES FILLES 2e ETAGE'!$A$23,1,0)</f>
        <v>0</v>
      </c>
      <c r="EO252" s="160">
        <f>IF([Occurrence5]=0,0,SUM($EN$2:EN252))</f>
        <v>0</v>
      </c>
      <c r="EP252" s="160">
        <f>IF([Chambre]*1='CHAMBRES FILLES 2e ETAGE'!$A$29,1,0)</f>
        <v>0</v>
      </c>
      <c r="EQ252" s="160">
        <f>IF([Occurrence6]=0,0,SUM($EP$2:EP252))</f>
        <v>0</v>
      </c>
      <c r="ER252" s="160">
        <f>IF([Chambre]*1='CHAMBRES FILLES 2e ETAGE'!$A$35,1,0)</f>
        <v>0</v>
      </c>
      <c r="ES252" s="160">
        <f>IF([Occurrence7]=0,0,SUM($ER$2:ER252))</f>
        <v>0</v>
      </c>
      <c r="ET252" s="160">
        <f>IF([Chambre]*1='CHAMBRES FILLES 2e ETAGE'!$A$41,1,0)</f>
        <v>0</v>
      </c>
      <c r="EU252" s="160">
        <f>IF([Occurrence8]=0,0,SUM($ET$2:ET252))</f>
        <v>0</v>
      </c>
      <c r="EV252" s="160">
        <f>IF([Chambre]*1='CHAMBRES FILLES 2e ETAGE'!$A$47,1,0)</f>
        <v>0</v>
      </c>
      <c r="EW252" s="160">
        <f>IF([Occurrence9]=0,0,SUM($EV$2:EV252))</f>
        <v>0</v>
      </c>
      <c r="EX252" s="160">
        <f>IF([Chambre]*1='CHAMBRES FILLES 2e ETAGE'!$A$53,1,0)</f>
        <v>0</v>
      </c>
      <c r="EY252" s="160">
        <f>IF([Occurrence10]=0,0,SUM($EX$2:EX252))</f>
        <v>0</v>
      </c>
      <c r="EZ252" s="160">
        <f>IF([Chambre]*1='CHAMBRES FILLES 2e ETAGE'!$A$59,1,0)</f>
        <v>0</v>
      </c>
      <c r="FA252" s="160">
        <f>IF([Occurrence11]=0,0,SUM($EZ$2:EZ252))</f>
        <v>0</v>
      </c>
      <c r="FB252" s="160">
        <f>IF([Chambre]*1='CHAMBRES FILLES 2e ETAGE'!$A$65,1,0)</f>
        <v>0</v>
      </c>
      <c r="FC252" s="160">
        <f>IF([Occurrence12]=0,0,SUM($FB$2:FB252))</f>
        <v>0</v>
      </c>
      <c r="FD252" s="160">
        <f>IF([Chambre]*1='CHAMBRES FILLES 2e ETAGE'!$A$71,1,0)</f>
        <v>0</v>
      </c>
      <c r="FE252" s="160">
        <f>IF([Occurrence13]=0,0,SUM($FD$2:FD252))</f>
        <v>0</v>
      </c>
      <c r="FF252" s="160">
        <f>IF([Chambre]*1='CHAMBRES FILLES 2e ETAGE'!$A$77,1,0)</f>
        <v>0</v>
      </c>
      <c r="FG252" s="160">
        <f>IF([Occurrence14]=0,0,SUM($FF$2:FF252))</f>
        <v>0</v>
      </c>
      <c r="FH252" s="160">
        <f>IF([Chambre]*1='CHAMBRES FILLES 2e ETAGE'!$A$83,1,0)</f>
        <v>0</v>
      </c>
      <c r="FI252" s="160">
        <f>IF([Occurrence15]=0,0,SUM($FH$2:FH252))</f>
        <v>0</v>
      </c>
      <c r="FJ252" s="160">
        <f>IF([Chambre]*1='CHAMBRES FILLES 2e ETAGE'!$A$89,1,0)</f>
        <v>0</v>
      </c>
      <c r="FK252" s="160">
        <f>IF([Occurrence16]=0,0,SUM($FJ$2:FJ252))</f>
        <v>0</v>
      </c>
      <c r="FL252" s="160">
        <f>IF([Chambre]*1='CHAMBRES FILLES 2e ETAGE'!$A$95,1,0)</f>
        <v>0</v>
      </c>
      <c r="FM252" s="160">
        <f>IF([Occurrence17]=0,0,SUM($FL$2:FL252))</f>
        <v>0</v>
      </c>
      <c r="FN252" s="160">
        <f>IF([Chambre2]*1='CHAMBRES FILLES 1e ETAGE'!$A$5,1,0)</f>
        <v>0</v>
      </c>
      <c r="FO252" s="160">
        <f>IF([Occurrence18]=0,0,SUM($FN$2:FN252))</f>
        <v>0</v>
      </c>
      <c r="FP252" s="160">
        <f>IF([Chambre2]*1='CHAMBRES FILLES 1e ETAGE'!$A$11,1,0)</f>
        <v>0</v>
      </c>
      <c r="FQ252" s="160">
        <f>IF([Occurrence19]=0,0,SUM($FP$2:FP252))</f>
        <v>0</v>
      </c>
      <c r="FR252" s="160">
        <f>IF([Chambre2]*1='CHAMBRES FILLES 1e ETAGE'!$A$17,1,0)</f>
        <v>0</v>
      </c>
      <c r="FS252" s="160">
        <f>IF([Occurrence20]=0,0,SUM($FR$2:FR252))</f>
        <v>0</v>
      </c>
      <c r="FT252" s="160">
        <f>IF([Chambre2]*1='CHAMBRES FILLES 1e ETAGE'!$A$23,1,0)</f>
        <v>0</v>
      </c>
      <c r="FU252" s="160">
        <f>IF([Occurrence21]=0,0,SUM($FT$2:FT252))</f>
        <v>0</v>
      </c>
      <c r="FV252" s="160">
        <f>IF([Chambre2]*1='CHAMBRES FILLES 1e ETAGE'!$A$29,1,0)</f>
        <v>0</v>
      </c>
      <c r="FW252" s="160">
        <f>IF([Occurrence22]=0,0,SUM($FV$2:FV252))</f>
        <v>0</v>
      </c>
      <c r="FX252" s="160">
        <f>IF([Chambre2]*1='CHAMBRES FILLES 1e ETAGE'!$A$35,1,0)</f>
        <v>0</v>
      </c>
      <c r="FY252" s="160">
        <f>IF([Occurrence23]=0,0,SUM($FX$2:FX252))</f>
        <v>0</v>
      </c>
      <c r="FZ252" s="160">
        <f>IF([Chambre2]*1='CHAMBRES FILLES 1e ETAGE'!$A$41,1,0)</f>
        <v>0</v>
      </c>
      <c r="GA252" s="160">
        <f>IF([Occurrence24]=0,0,SUM($FZ$2:FZ252))</f>
        <v>0</v>
      </c>
      <c r="GB252" s="160">
        <f>IF([Chambre2]*1='CHAMBRES FILLES 1e ETAGE'!$A$47,1,0)</f>
        <v>0</v>
      </c>
      <c r="GC252" s="160">
        <f>IF([Occurrence25]=0,0,SUM($GB$2:GB252))</f>
        <v>0</v>
      </c>
      <c r="GD252" s="160">
        <f>IF([Chambre2]*1='CHAMBRES FILLES 1e ETAGE'!$A$53,1,0)</f>
        <v>0</v>
      </c>
      <c r="GE252" s="160">
        <f>IF([Occurrence26]=0,0,SUM($GD$2:GD252))</f>
        <v>0</v>
      </c>
      <c r="GF252" s="160">
        <f>IF([chambre4]*1='CHAMBRES GARCONS 1e ETAGE'!$A$5,1,0)</f>
        <v>0</v>
      </c>
      <c r="GG252" s="160">
        <f>IF([Occurrence27]=0,0,SUM($GF$2:GF252))</f>
        <v>0</v>
      </c>
      <c r="GH252" s="160">
        <f>IF([chambre4]*1='CHAMBRES GARCONS 1e ETAGE'!$A$11,1,0)</f>
        <v>0</v>
      </c>
      <c r="GI252" s="160">
        <f>IF([Occurrence28]=0,0,SUM($GH$2:GH252))</f>
        <v>0</v>
      </c>
      <c r="GJ252" s="160">
        <f>IF([chambre4]*1='CHAMBRES GARCONS 1e ETAGE'!$A$17,1,0)</f>
        <v>0</v>
      </c>
      <c r="GK252" s="160">
        <f>IF([Occurrence29]=0,0,SUM($GJ$2:GJ252))</f>
        <v>0</v>
      </c>
      <c r="GL252" s="160">
        <f>IF([chambre4]*1='CHAMBRES GARCONS 1e ETAGE'!$A$23,1,0)</f>
        <v>0</v>
      </c>
      <c r="GM252" s="160">
        <f>IF([Occurrence30]=0,0,SUM($GL$2:GL252))</f>
        <v>0</v>
      </c>
      <c r="GN252" s="160">
        <f>IF([chambre4]*1='CHAMBRES GARCONS 1e ETAGE'!$A$29,1,0)</f>
        <v>0</v>
      </c>
      <c r="GO252" s="160">
        <f>IF([Occurrence31]=0,0,SUM($GN$2:GN252))</f>
        <v>0</v>
      </c>
      <c r="GP252" s="160">
        <f>IF([chambre4]*1='CHAMBRES GARCONS 1e ETAGE'!$A$35,1,0)</f>
        <v>0</v>
      </c>
      <c r="GQ252" s="160">
        <f>IF([Occurrence32]=0,0,SUM($GP$2:GP252))</f>
        <v>0</v>
      </c>
      <c r="GR252" s="160">
        <f>IF([chambre3]*1='CHAMBRES GARCONS RDC'!$A$5,1,0)</f>
        <v>0</v>
      </c>
      <c r="GS252" s="160">
        <f>IF([Occurrence33]=0,0,SUM($GR$2:GR252))</f>
        <v>0</v>
      </c>
      <c r="GT252" s="160">
        <f>IF([chambre3]*1='CHAMBRES GARCONS RDC'!$A$11,1,0)</f>
        <v>0</v>
      </c>
      <c r="GU252" s="160">
        <f>IF([Occurrence34]=0,0,SUM($GT$2:GT252))</f>
        <v>0</v>
      </c>
      <c r="GV252" s="160">
        <f>IF([chambre3]*1='CHAMBRES GARCONS RDC'!$A$17,1,0)</f>
        <v>0</v>
      </c>
      <c r="GW252" s="160">
        <f>IF([Occurrence35]=0,0,SUM($GV$2:GV252))</f>
        <v>0</v>
      </c>
      <c r="GX252" s="160">
        <f>IF([chambre3]*1='CHAMBRES GARCONS RDC'!$A$23,1,0)</f>
        <v>0</v>
      </c>
      <c r="GY252" s="160">
        <f>IF([Occurrence36]=0,0,SUM($GX$2:GX252))</f>
        <v>0</v>
      </c>
      <c r="GZ252" s="160">
        <f>IF([chambre3]*1='CHAMBRES GARCONS RDC'!$A$29,1,0)</f>
        <v>0</v>
      </c>
      <c r="HA252" s="160">
        <f>IF([Occurrence37]=0,0,SUM($GZ$2:GZ252))</f>
        <v>0</v>
      </c>
      <c r="HB252" s="160">
        <f>IF([chambre3]*1='CHAMBRES GARCONS RDC'!$A$35,1,0)</f>
        <v>0</v>
      </c>
      <c r="HC252" s="160">
        <f>IF([Occurrence38]=0,0,SUM($HB$2:HB252))</f>
        <v>0</v>
      </c>
      <c r="HD252" s="160">
        <f>IF([chambre3]*1='CHAMBRES GARCONS RDC'!$A$41,1,0)</f>
        <v>0</v>
      </c>
      <c r="HE252" s="160">
        <f>IF([Occurrence39]=0,0,SUM($HD$2:HD252))</f>
        <v>0</v>
      </c>
      <c r="HF252" s="160">
        <f>IF([chambre3]*1='CHAMBRES GARCONS RDC'!$A$47,1,0)</f>
        <v>0</v>
      </c>
      <c r="HG252" s="160">
        <f>IF([Occurrence40]=0,0,SUM($HF$2:HF252))</f>
        <v>0</v>
      </c>
      <c r="HH252" s="160">
        <f>IF([chambre3]*1='CHAMBRES GARCONS RDC'!$A$53,1,0)</f>
        <v>0</v>
      </c>
      <c r="HI252" s="160">
        <f>IF([Occurrence41]=0,0,SUM($HH$2:HH252))</f>
        <v>0</v>
      </c>
      <c r="HJ252" s="160">
        <f>IF([chambre3]*1='CHAMBRES GARCONS RDC'!$A$59,1,0)</f>
        <v>0</v>
      </c>
      <c r="HK252" s="160">
        <f>IF([Occurrence42]=0,0,SUM($HJ$2:HJ252))</f>
        <v>0</v>
      </c>
      <c r="HL252" s="160">
        <f>IF([chambre3]*1='CHAMBRES GARCONS RDC'!$A$65,1,0)</f>
        <v>0</v>
      </c>
      <c r="HM252" s="160">
        <f>IF([Occurrence43]=0,0,SUM($HL$2:HL252))</f>
        <v>0</v>
      </c>
      <c r="HN252" s="160">
        <f>IF([chambre3]*1='CHAMBRES GARCONS RDC'!$A$71,1,0)</f>
        <v>0</v>
      </c>
      <c r="HO252" s="160">
        <f>IF([Occurrence44]=0,0,SUM($HN$2:HN252))</f>
        <v>0</v>
      </c>
      <c r="HP252" s="160">
        <f>IF([chambre3]*1='CHAMBRES GARCONS RDC'!$A$77,1,0)</f>
        <v>0</v>
      </c>
      <c r="HQ252" s="160">
        <f>IF([Occurrence45]=0,0,SUM($HP$2:HP252))</f>
        <v>0</v>
      </c>
      <c r="HR252" s="160">
        <f>IF([chambre3]*1='CHAMBRES GARCONS RDC'!$A$83,1,0)</f>
        <v>0</v>
      </c>
      <c r="HS252" s="160">
        <f>IF([Occurrence46]=0,0,SUM($HR$2:HR252))</f>
        <v>0</v>
      </c>
      <c r="HT252" s="160">
        <f>IF([chambre3]*1='CHAMBRES GARCONS RDC'!$A$89,1,0)</f>
        <v>0</v>
      </c>
      <c r="HU252" s="160">
        <f>IF([Occurrence47]=0,0,SUM($HT$2:HT252))</f>
        <v>0</v>
      </c>
      <c r="HV252" s="160">
        <f>IF([chambre3]*1='CHAMBRES GARCONS RDC'!$A$95,1,0)</f>
        <v>0</v>
      </c>
      <c r="HW252" s="160">
        <f>IF([Occurrence48]=0,0,SUM($HV$2:HV252))</f>
        <v>0</v>
      </c>
      <c r="HX252" s="160"/>
      <c r="HY252" s="160"/>
      <c r="HZ252" s="160">
        <f>IF([Classe]='Liste élève par classes'!$B$5,1,0)</f>
        <v>0</v>
      </c>
      <c r="IA252" s="160">
        <f>IF([Occurrence]=0,0,SUM($HZ$2:HZ252))</f>
        <v>0</v>
      </c>
      <c r="IB25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160</v>
      </c>
      <c r="IC252" s="208"/>
    </row>
    <row r="253" spans="1:237">
      <c r="A253" t="s">
        <v>657</v>
      </c>
      <c r="B253" t="s">
        <v>658</v>
      </c>
      <c r="C253" s="158">
        <v>37089</v>
      </c>
      <c r="D253" s="62">
        <f t="shared" ca="1" si="3"/>
        <v>16</v>
      </c>
      <c r="E253" t="s">
        <v>10</v>
      </c>
      <c r="F253" s="159" t="s">
        <v>46</v>
      </c>
      <c r="G253" t="s">
        <v>40</v>
      </c>
      <c r="H253" s="160"/>
      <c r="I253" s="62"/>
      <c r="J253" s="62" t="s">
        <v>244</v>
      </c>
      <c r="K253" s="62"/>
      <c r="L253" s="61"/>
      <c r="M253">
        <v>202</v>
      </c>
      <c r="N253" s="62" t="s">
        <v>244</v>
      </c>
      <c r="O253" s="62" t="s">
        <v>244</v>
      </c>
      <c r="P253" s="62" t="s">
        <v>244</v>
      </c>
      <c r="Q253" s="62" t="s">
        <v>244</v>
      </c>
      <c r="R253" s="62" t="s">
        <v>244</v>
      </c>
      <c r="S253" s="62"/>
      <c r="T253" s="62" t="s">
        <v>244</v>
      </c>
      <c r="U253" s="61"/>
      <c r="V253" s="62" t="s">
        <v>244</v>
      </c>
      <c r="W253" s="62" t="s">
        <v>244</v>
      </c>
      <c r="X253" s="62" t="s">
        <v>244</v>
      </c>
      <c r="Y253" s="62" t="s">
        <v>244</v>
      </c>
      <c r="Z253" s="62" t="s">
        <v>244</v>
      </c>
      <c r="AA253" s="62" t="s">
        <v>244</v>
      </c>
      <c r="AB253" s="62" t="s">
        <v>244</v>
      </c>
      <c r="AC253" s="62" t="s">
        <v>244</v>
      </c>
      <c r="AD253" s="62" t="s">
        <v>244</v>
      </c>
      <c r="AE253" s="62" t="s">
        <v>244</v>
      </c>
      <c r="AF253" s="163" t="s">
        <v>244</v>
      </c>
      <c r="AG253" s="163" t="s">
        <v>244</v>
      </c>
      <c r="AH253" s="163" t="s">
        <v>244</v>
      </c>
      <c r="AI253" s="163"/>
      <c r="AJ253" s="163"/>
      <c r="AK253" s="163"/>
      <c r="AL253" s="163"/>
      <c r="AM253" s="163"/>
      <c r="AN253" s="163"/>
      <c r="AO253" s="163"/>
      <c r="AP253" s="163"/>
      <c r="AQ253" s="163"/>
      <c r="AR253" s="163"/>
      <c r="AS253" s="163"/>
      <c r="AT253" s="163"/>
      <c r="AU253" s="163"/>
      <c r="AV253" s="163"/>
      <c r="AW253" s="163"/>
      <c r="AX253" s="163"/>
      <c r="AY253" s="163"/>
      <c r="AZ253" s="163"/>
      <c r="BA253" s="163"/>
      <c r="BB253" s="163"/>
      <c r="BC253" s="163"/>
      <c r="BD253" s="163"/>
      <c r="BE253" s="163"/>
      <c r="BF253" s="163"/>
      <c r="BG253" s="163"/>
      <c r="BH253" s="163"/>
      <c r="BI253" s="163"/>
      <c r="BJ253" s="163"/>
      <c r="BK253" s="163"/>
      <c r="BL253" s="163"/>
      <c r="BM253" s="163"/>
      <c r="BN253" s="163"/>
      <c r="BO253" s="163"/>
      <c r="BP253" s="163"/>
      <c r="BQ253" s="163"/>
      <c r="BR253" s="163"/>
      <c r="BS253" s="163"/>
      <c r="BT253" s="163"/>
      <c r="BU253" s="163"/>
      <c r="BV253" s="163"/>
      <c r="BW253" s="163"/>
      <c r="BX253" s="163"/>
      <c r="BY253" s="163"/>
      <c r="BZ253" s="163"/>
      <c r="CA253" s="163"/>
      <c r="CB253" s="163"/>
      <c r="CC253" s="163"/>
      <c r="CD253" s="163"/>
      <c r="CE253" s="163"/>
      <c r="CF253" s="163"/>
      <c r="CG253" s="163"/>
      <c r="CH253" s="163"/>
      <c r="CI253" s="163"/>
      <c r="CJ253" s="163"/>
      <c r="CK253" s="163"/>
      <c r="CL253" s="163"/>
      <c r="CM253" s="163"/>
      <c r="CN253" s="163"/>
      <c r="CO253" s="163"/>
      <c r="CP253" s="163"/>
      <c r="CQ253" s="163"/>
      <c r="CR253" s="163"/>
      <c r="CS253" s="163"/>
      <c r="CT253" s="163"/>
      <c r="CU253" s="163"/>
      <c r="CV253" s="163"/>
      <c r="CW253" s="163"/>
      <c r="CX253" s="163"/>
      <c r="CY253" s="163"/>
      <c r="CZ253" s="163"/>
      <c r="DA253" s="163"/>
      <c r="DB253" s="163"/>
      <c r="DC253" s="163"/>
      <c r="DD253" s="163"/>
      <c r="DE253" s="163"/>
      <c r="DF253" s="163"/>
      <c r="DG253" s="163"/>
      <c r="DH253" s="163"/>
      <c r="DI253" s="163"/>
      <c r="DJ253" s="163"/>
      <c r="DK253" s="163"/>
      <c r="DL253" s="163"/>
      <c r="DM253" s="163"/>
      <c r="DN253" s="163"/>
      <c r="DO253" s="163"/>
      <c r="DP253" s="163"/>
      <c r="DQ253" s="163"/>
      <c r="DR253" s="163"/>
      <c r="DS253" s="163"/>
      <c r="DT253" s="163"/>
      <c r="DU253" s="163"/>
      <c r="DV253" s="163"/>
      <c r="DW253" s="163"/>
      <c r="DX253" s="163"/>
      <c r="DY253" s="163"/>
      <c r="DZ253" s="163"/>
      <c r="EA253" s="163"/>
      <c r="EB253" s="163"/>
      <c r="EC253" s="163"/>
      <c r="ED253" s="163"/>
      <c r="EE253" s="163"/>
      <c r="EF253" s="163"/>
      <c r="EG253" s="163"/>
      <c r="EH253" s="160">
        <f>IF([Chambre]*1='CHAMBRES FILLES 2e ETAGE'!$A$5,1,0)</f>
        <v>0</v>
      </c>
      <c r="EI253" s="161">
        <f>IF([Occurrence2]=0,0,SUM($EH$2:EH253))</f>
        <v>0</v>
      </c>
      <c r="EJ253" s="160">
        <f>IF([Chambre]*1='CHAMBRES FILLES 2e ETAGE'!$A$11,1,0)</f>
        <v>0</v>
      </c>
      <c r="EK253" s="160">
        <f>IF([Occurrence3]=0,0,SUM($EJ$2:EJ253))</f>
        <v>0</v>
      </c>
      <c r="EL253" s="160">
        <f>IF([Chambre]*1='CHAMBRES FILLES 2e ETAGE'!$A$17,1,0)</f>
        <v>0</v>
      </c>
      <c r="EM253" s="160">
        <f>IF([Occurrence4]=0,0,SUM($EL$2:EL253))</f>
        <v>0</v>
      </c>
      <c r="EN253" s="160">
        <f>IF([Chambre]*1='CHAMBRES FILLES 2e ETAGE'!$A$23,1,0)</f>
        <v>0</v>
      </c>
      <c r="EO253" s="160">
        <f>IF([Occurrence5]=0,0,SUM($EN$2:EN253))</f>
        <v>0</v>
      </c>
      <c r="EP253" s="160">
        <f>IF([Chambre]*1='CHAMBRES FILLES 2e ETAGE'!$A$29,1,0)</f>
        <v>0</v>
      </c>
      <c r="EQ253" s="160">
        <f>IF([Occurrence6]=0,0,SUM($EP$2:EP253))</f>
        <v>0</v>
      </c>
      <c r="ER253" s="160">
        <f>IF([Chambre]*1='CHAMBRES FILLES 2e ETAGE'!$A$35,1,0)</f>
        <v>0</v>
      </c>
      <c r="ES253" s="160">
        <f>IF([Occurrence7]=0,0,SUM($ER$2:ER253))</f>
        <v>0</v>
      </c>
      <c r="ET253" s="160">
        <f>IF([Chambre]*1='CHAMBRES FILLES 2e ETAGE'!$A$41,1,0)</f>
        <v>0</v>
      </c>
      <c r="EU253" s="160">
        <f>IF([Occurrence8]=0,0,SUM($ET$2:ET253))</f>
        <v>0</v>
      </c>
      <c r="EV253" s="160">
        <f>IF([Chambre]*1='CHAMBRES FILLES 2e ETAGE'!$A$47,1,0)</f>
        <v>0</v>
      </c>
      <c r="EW253" s="160">
        <f>IF([Occurrence9]=0,0,SUM($EV$2:EV253))</f>
        <v>0</v>
      </c>
      <c r="EX253" s="160">
        <f>IF([Chambre]*1='CHAMBRES FILLES 2e ETAGE'!$A$53,1,0)</f>
        <v>0</v>
      </c>
      <c r="EY253" s="160">
        <f>IF([Occurrence10]=0,0,SUM($EX$2:EX253))</f>
        <v>0</v>
      </c>
      <c r="EZ253" s="160">
        <f>IF([Chambre]*1='CHAMBRES FILLES 2e ETAGE'!$A$59,1,0)</f>
        <v>0</v>
      </c>
      <c r="FA253" s="160">
        <f>IF([Occurrence11]=0,0,SUM($EZ$2:EZ253))</f>
        <v>0</v>
      </c>
      <c r="FB253" s="160">
        <f>IF([Chambre]*1='CHAMBRES FILLES 2e ETAGE'!$A$65,1,0)</f>
        <v>0</v>
      </c>
      <c r="FC253" s="160">
        <f>IF([Occurrence12]=0,0,SUM($FB$2:FB253))</f>
        <v>0</v>
      </c>
      <c r="FD253" s="160">
        <f>IF([Chambre]*1='CHAMBRES FILLES 2e ETAGE'!$A$71,1,0)</f>
        <v>0</v>
      </c>
      <c r="FE253" s="160">
        <f>IF([Occurrence13]=0,0,SUM($FD$2:FD253))</f>
        <v>0</v>
      </c>
      <c r="FF253" s="160">
        <f>IF([Chambre]*1='CHAMBRES FILLES 2e ETAGE'!$A$77,1,0)</f>
        <v>0</v>
      </c>
      <c r="FG253" s="160">
        <f>IF([Occurrence14]=0,0,SUM($FF$2:FF253))</f>
        <v>0</v>
      </c>
      <c r="FH253" s="160">
        <f>IF([Chambre]*1='CHAMBRES FILLES 2e ETAGE'!$A$83,1,0)</f>
        <v>0</v>
      </c>
      <c r="FI253" s="160">
        <f>IF([Occurrence15]=0,0,SUM($FH$2:FH253))</f>
        <v>0</v>
      </c>
      <c r="FJ253" s="160">
        <f>IF([Chambre]*1='CHAMBRES FILLES 2e ETAGE'!$A$89,1,0)</f>
        <v>0</v>
      </c>
      <c r="FK253" s="160">
        <f>IF([Occurrence16]=0,0,SUM($FJ$2:FJ253))</f>
        <v>0</v>
      </c>
      <c r="FL253" s="160">
        <f>IF([Chambre]*1='CHAMBRES FILLES 2e ETAGE'!$A$95,1,0)</f>
        <v>0</v>
      </c>
      <c r="FM253" s="160">
        <f>IF([Occurrence17]=0,0,SUM($FL$2:FL253))</f>
        <v>0</v>
      </c>
      <c r="FN253" s="160">
        <f>IF([Chambre2]*1='CHAMBRES FILLES 1e ETAGE'!$A$5,1,0)</f>
        <v>0</v>
      </c>
      <c r="FO253" s="160">
        <f>IF([Occurrence18]=0,0,SUM($FN$2:FN253))</f>
        <v>0</v>
      </c>
      <c r="FP253" s="160">
        <f>IF([Chambre2]*1='CHAMBRES FILLES 1e ETAGE'!$A$11,1,0)</f>
        <v>0</v>
      </c>
      <c r="FQ253" s="160">
        <f>IF([Occurrence19]=0,0,SUM($FP$2:FP253))</f>
        <v>0</v>
      </c>
      <c r="FR253" s="160">
        <f>IF([Chambre2]*1='CHAMBRES FILLES 1e ETAGE'!$A$17,1,0)</f>
        <v>0</v>
      </c>
      <c r="FS253" s="160">
        <f>IF([Occurrence20]=0,0,SUM($FR$2:FR253))</f>
        <v>0</v>
      </c>
      <c r="FT253" s="160">
        <f>IF([Chambre2]*1='CHAMBRES FILLES 1e ETAGE'!$A$23,1,0)</f>
        <v>0</v>
      </c>
      <c r="FU253" s="160">
        <f>IF([Occurrence21]=0,0,SUM($FT$2:FT253))</f>
        <v>0</v>
      </c>
      <c r="FV253" s="160">
        <f>IF([Chambre2]*1='CHAMBRES FILLES 1e ETAGE'!$A$29,1,0)</f>
        <v>0</v>
      </c>
      <c r="FW253" s="160">
        <f>IF([Occurrence22]=0,0,SUM($FV$2:FV253))</f>
        <v>0</v>
      </c>
      <c r="FX253" s="160">
        <f>IF([Chambre2]*1='CHAMBRES FILLES 1e ETAGE'!$A$35,1,0)</f>
        <v>0</v>
      </c>
      <c r="FY253" s="160">
        <f>IF([Occurrence23]=0,0,SUM($FX$2:FX253))</f>
        <v>0</v>
      </c>
      <c r="FZ253" s="160">
        <f>IF([Chambre2]*1='CHAMBRES FILLES 1e ETAGE'!$A$41,1,0)</f>
        <v>0</v>
      </c>
      <c r="GA253" s="160">
        <f>IF([Occurrence24]=0,0,SUM($FZ$2:FZ253))</f>
        <v>0</v>
      </c>
      <c r="GB253" s="160">
        <f>IF([Chambre2]*1='CHAMBRES FILLES 1e ETAGE'!$A$47,1,0)</f>
        <v>0</v>
      </c>
      <c r="GC253" s="160">
        <f>IF([Occurrence25]=0,0,SUM($GB$2:GB253))</f>
        <v>0</v>
      </c>
      <c r="GD253" s="160">
        <f>IF([Chambre2]*1='CHAMBRES FILLES 1e ETAGE'!$A$53,1,0)</f>
        <v>0</v>
      </c>
      <c r="GE253" s="160">
        <f>IF([Occurrence26]=0,0,SUM($GD$2:GD253))</f>
        <v>0</v>
      </c>
      <c r="GF253" s="160">
        <f>IF([chambre4]*1='CHAMBRES GARCONS 1e ETAGE'!$A$5,1,0)</f>
        <v>0</v>
      </c>
      <c r="GG253" s="160">
        <f>IF([Occurrence27]=0,0,SUM($GF$2:GF253))</f>
        <v>0</v>
      </c>
      <c r="GH253" s="160">
        <f>IF([chambre4]*1='CHAMBRES GARCONS 1e ETAGE'!$A$11,1,0)</f>
        <v>0</v>
      </c>
      <c r="GI253" s="160">
        <f>IF([Occurrence28]=0,0,SUM($GH$2:GH253))</f>
        <v>0</v>
      </c>
      <c r="GJ253" s="160">
        <f>IF([chambre4]*1='CHAMBRES GARCONS 1e ETAGE'!$A$17,1,0)</f>
        <v>0</v>
      </c>
      <c r="GK253" s="160">
        <f>IF([Occurrence29]=0,0,SUM($GJ$2:GJ253))</f>
        <v>0</v>
      </c>
      <c r="GL253" s="160">
        <f>IF([chambre4]*1='CHAMBRES GARCONS 1e ETAGE'!$A$23,1,0)</f>
        <v>0</v>
      </c>
      <c r="GM253" s="160">
        <f>IF([Occurrence30]=0,0,SUM($GL$2:GL253))</f>
        <v>0</v>
      </c>
      <c r="GN253" s="160">
        <f>IF([chambre4]*1='CHAMBRES GARCONS 1e ETAGE'!$A$29,1,0)</f>
        <v>0</v>
      </c>
      <c r="GO253" s="160">
        <f>IF([Occurrence31]=0,0,SUM($GN$2:GN253))</f>
        <v>0</v>
      </c>
      <c r="GP253" s="160">
        <f>IF([chambre4]*1='CHAMBRES GARCONS 1e ETAGE'!$A$35,1,0)</f>
        <v>0</v>
      </c>
      <c r="GQ253" s="160">
        <f>IF([Occurrence32]=0,0,SUM($GP$2:GP253))</f>
        <v>0</v>
      </c>
      <c r="GR253" s="160">
        <f>IF([chambre3]*1='CHAMBRES GARCONS RDC'!$A$5,1,0)</f>
        <v>0</v>
      </c>
      <c r="GS253" s="160">
        <f>IF([Occurrence33]=0,0,SUM($GR$2:GR253))</f>
        <v>0</v>
      </c>
      <c r="GT253" s="160">
        <f>IF([chambre3]*1='CHAMBRES GARCONS RDC'!$A$11,1,0)</f>
        <v>0</v>
      </c>
      <c r="GU253" s="160">
        <f>IF([Occurrence34]=0,0,SUM($GT$2:GT253))</f>
        <v>0</v>
      </c>
      <c r="GV253" s="160">
        <f>IF([chambre3]*1='CHAMBRES GARCONS RDC'!$A$17,1,0)</f>
        <v>0</v>
      </c>
      <c r="GW253" s="160">
        <f>IF([Occurrence35]=0,0,SUM($GV$2:GV253))</f>
        <v>0</v>
      </c>
      <c r="GX253" s="160">
        <f>IF([chambre3]*1='CHAMBRES GARCONS RDC'!$A$23,1,0)</f>
        <v>0</v>
      </c>
      <c r="GY253" s="160">
        <f>IF([Occurrence36]=0,0,SUM($GX$2:GX253))</f>
        <v>0</v>
      </c>
      <c r="GZ253" s="160">
        <f>IF([chambre3]*1='CHAMBRES GARCONS RDC'!$A$29,1,0)</f>
        <v>0</v>
      </c>
      <c r="HA253" s="160">
        <f>IF([Occurrence37]=0,0,SUM($GZ$2:GZ253))</f>
        <v>0</v>
      </c>
      <c r="HB253" s="160">
        <f>IF([chambre3]*1='CHAMBRES GARCONS RDC'!$A$35,1,0)</f>
        <v>0</v>
      </c>
      <c r="HC253" s="160">
        <f>IF([Occurrence38]=0,0,SUM($HB$2:HB253))</f>
        <v>0</v>
      </c>
      <c r="HD253" s="160">
        <f>IF([chambre3]*1='CHAMBRES GARCONS RDC'!$A$41,1,0)</f>
        <v>0</v>
      </c>
      <c r="HE253" s="160">
        <f>IF([Occurrence39]=0,0,SUM($HD$2:HD253))</f>
        <v>0</v>
      </c>
      <c r="HF253" s="160">
        <f>IF([chambre3]*1='CHAMBRES GARCONS RDC'!$A$47,1,0)</f>
        <v>0</v>
      </c>
      <c r="HG253" s="160">
        <f>IF([Occurrence40]=0,0,SUM($HF$2:HF253))</f>
        <v>0</v>
      </c>
      <c r="HH253" s="160">
        <f>IF([chambre3]*1='CHAMBRES GARCONS RDC'!$A$53,1,0)</f>
        <v>0</v>
      </c>
      <c r="HI253" s="160">
        <f>IF([Occurrence41]=0,0,SUM($HH$2:HH253))</f>
        <v>0</v>
      </c>
      <c r="HJ253" s="160">
        <f>IF([chambre3]*1='CHAMBRES GARCONS RDC'!$A$59,1,0)</f>
        <v>0</v>
      </c>
      <c r="HK253" s="160">
        <f>IF([Occurrence42]=0,0,SUM($HJ$2:HJ253))</f>
        <v>0</v>
      </c>
      <c r="HL253" s="160">
        <f>IF([chambre3]*1='CHAMBRES GARCONS RDC'!$A$65,1,0)</f>
        <v>0</v>
      </c>
      <c r="HM253" s="160">
        <f>IF([Occurrence43]=0,0,SUM($HL$2:HL253))</f>
        <v>0</v>
      </c>
      <c r="HN253" s="160">
        <f>IF([chambre3]*1='CHAMBRES GARCONS RDC'!$A$71,1,0)</f>
        <v>0</v>
      </c>
      <c r="HO253" s="160">
        <f>IF([Occurrence44]=0,0,SUM($HN$2:HN253))</f>
        <v>0</v>
      </c>
      <c r="HP253" s="160">
        <f>IF([chambre3]*1='CHAMBRES GARCONS RDC'!$A$77,1,0)</f>
        <v>0</v>
      </c>
      <c r="HQ253" s="160">
        <f>IF([Occurrence45]=0,0,SUM($HP$2:HP253))</f>
        <v>0</v>
      </c>
      <c r="HR253" s="160">
        <f>IF([chambre3]*1='CHAMBRES GARCONS RDC'!$A$83,1,0)</f>
        <v>0</v>
      </c>
      <c r="HS253" s="160">
        <f>IF([Occurrence46]=0,0,SUM($HR$2:HR253))</f>
        <v>0</v>
      </c>
      <c r="HT253" s="160">
        <f>IF([chambre3]*1='CHAMBRES GARCONS RDC'!$A$89,1,0)</f>
        <v>0</v>
      </c>
      <c r="HU253" s="160">
        <f>IF([Occurrence47]=0,0,SUM($HT$2:HT253))</f>
        <v>0</v>
      </c>
      <c r="HV253" s="160">
        <f>IF([chambre3]*1='CHAMBRES GARCONS RDC'!$A$95,1,0)</f>
        <v>0</v>
      </c>
      <c r="HW253" s="160">
        <f>IF([Occurrence48]=0,0,SUM($HV$2:HV253))</f>
        <v>0</v>
      </c>
      <c r="HX253" s="160"/>
      <c r="HY253" s="160"/>
      <c r="HZ253" s="160">
        <f>IF([Classe]='Liste élève par classes'!$B$5,1,0)</f>
        <v>0</v>
      </c>
      <c r="IA253" s="160">
        <f>IF([Occurrence]=0,0,SUM($HZ$2:HZ253))</f>
        <v>0</v>
      </c>
      <c r="IB25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53" s="208"/>
    </row>
    <row r="254" spans="1:237">
      <c r="A254" t="s">
        <v>659</v>
      </c>
      <c r="B254" t="s">
        <v>660</v>
      </c>
      <c r="C254" s="158">
        <v>37071</v>
      </c>
      <c r="D254" s="62">
        <f t="shared" ca="1" si="3"/>
        <v>16</v>
      </c>
      <c r="E254" t="s">
        <v>8</v>
      </c>
      <c r="F254" s="159" t="s">
        <v>50</v>
      </c>
      <c r="G254" t="s">
        <v>45</v>
      </c>
      <c r="H254" s="160"/>
      <c r="I254" s="62"/>
      <c r="J254" s="62"/>
      <c r="K254" s="62"/>
      <c r="L254" s="61">
        <v>170</v>
      </c>
      <c r="M254">
        <v>112</v>
      </c>
      <c r="N254" s="62"/>
      <c r="O254" s="62"/>
      <c r="P254" s="62"/>
      <c r="Q254" s="62"/>
      <c r="R254" s="62"/>
      <c r="S254" s="191"/>
      <c r="T254" s="62"/>
      <c r="U254" s="61"/>
      <c r="V254" s="62"/>
      <c r="W254" s="62"/>
      <c r="X254" s="62"/>
      <c r="Y254" s="62"/>
      <c r="Z254" s="62"/>
      <c r="AA254" s="62"/>
      <c r="AB254" s="62"/>
      <c r="AC254" s="62"/>
      <c r="AD254" s="62"/>
      <c r="AE254" s="62"/>
      <c r="AF254" s="163"/>
      <c r="AG254" s="163"/>
      <c r="AH254" s="163"/>
      <c r="AI254" s="163"/>
      <c r="AJ254" s="163"/>
      <c r="AK254" s="163"/>
      <c r="AL254" s="163"/>
      <c r="AM254" s="163"/>
      <c r="AN254" s="163"/>
      <c r="AO254" s="163"/>
      <c r="AP254" s="163"/>
      <c r="AQ254" s="163"/>
      <c r="AR254" s="163"/>
      <c r="AS254" s="163"/>
      <c r="AT254" s="163"/>
      <c r="AU254" s="163"/>
      <c r="AV254" s="163"/>
      <c r="AW254" s="163"/>
      <c r="AX254" s="163"/>
      <c r="AY254" s="163"/>
      <c r="AZ254" s="163"/>
      <c r="BA254" s="163"/>
      <c r="BB254" s="163"/>
      <c r="BC254" s="163" t="b">
        <v>0</v>
      </c>
      <c r="BD254" s="163" t="b">
        <v>1</v>
      </c>
      <c r="BE254" s="163" t="b">
        <v>1</v>
      </c>
      <c r="BF254" s="163" t="b">
        <v>0</v>
      </c>
      <c r="BG254" s="164" t="b">
        <v>0</v>
      </c>
      <c r="BH254" s="163" t="b">
        <v>1</v>
      </c>
      <c r="BI254" s="163"/>
      <c r="BJ254" s="163"/>
      <c r="BK254" s="163"/>
      <c r="BL254" s="163"/>
      <c r="BM254" s="163"/>
      <c r="BN254" s="163"/>
      <c r="BO254" s="163"/>
      <c r="BP254" s="163"/>
      <c r="BQ254" s="163" t="b">
        <v>0</v>
      </c>
      <c r="BR254" s="163"/>
      <c r="BS254" s="163"/>
      <c r="BT254" s="163"/>
      <c r="BU254" s="163"/>
      <c r="BV254" s="163"/>
      <c r="BW254" s="163"/>
      <c r="BX254" s="163"/>
      <c r="BY254" s="163"/>
      <c r="BZ254" s="163"/>
      <c r="CA254" s="163"/>
      <c r="CB254" s="163"/>
      <c r="CC254" s="163"/>
      <c r="CD254" s="163"/>
      <c r="CE254" s="163"/>
      <c r="CF254" s="163"/>
      <c r="CG254" s="163"/>
      <c r="CH254" s="163"/>
      <c r="CI254" s="163"/>
      <c r="CJ254" s="163"/>
      <c r="CK254" s="163"/>
      <c r="CL254" s="163"/>
      <c r="CM254" s="163"/>
      <c r="CN254" s="163"/>
      <c r="CO254" s="163"/>
      <c r="CP254" s="163"/>
      <c r="CQ254" s="163"/>
      <c r="CR254" s="163"/>
      <c r="CS254" s="163"/>
      <c r="CT254" s="163"/>
      <c r="CU254" s="163"/>
      <c r="CV254" s="163"/>
      <c r="CW254" s="163"/>
      <c r="CX254" s="163"/>
      <c r="CY254" s="163"/>
      <c r="CZ254" s="163"/>
      <c r="DA254" s="163"/>
      <c r="DB254" s="163"/>
      <c r="DC254" s="163"/>
      <c r="DD254" s="163"/>
      <c r="DE254" s="163"/>
      <c r="DF254" s="163"/>
      <c r="DG254" s="208"/>
      <c r="DH254" s="163"/>
      <c r="DI254" s="163"/>
      <c r="DJ254" s="163"/>
      <c r="DK254" s="163"/>
      <c r="DL254" s="163"/>
      <c r="DM254" s="163"/>
      <c r="DN254" s="163"/>
      <c r="DO254" s="163"/>
      <c r="DP254" s="163"/>
      <c r="DQ254" s="163"/>
      <c r="DR254" s="163"/>
      <c r="DS254" s="163"/>
      <c r="DT254" s="163"/>
      <c r="DU254" s="163"/>
      <c r="DV254" s="163"/>
      <c r="DW254" s="163"/>
      <c r="DX254" s="163"/>
      <c r="DY254" s="163"/>
      <c r="DZ254" s="163"/>
      <c r="EA254" s="163"/>
      <c r="EB254" s="163"/>
      <c r="EC254" s="163"/>
      <c r="ED254" s="163"/>
      <c r="EE254" s="163"/>
      <c r="EF254" s="163"/>
      <c r="EG254" s="163"/>
      <c r="EH254" s="160">
        <f>IF([Chambre]*1='CHAMBRES FILLES 2e ETAGE'!$A$5,1,0)</f>
        <v>0</v>
      </c>
      <c r="EI254" s="161">
        <f>IF([Occurrence2]=0,0,SUM($EH$2:EH254))</f>
        <v>0</v>
      </c>
      <c r="EJ254" s="160">
        <f>IF([Chambre]*1='CHAMBRES FILLES 2e ETAGE'!$A$11,1,0)</f>
        <v>0</v>
      </c>
      <c r="EK254" s="160">
        <f>IF([Occurrence3]=0,0,SUM($EJ$2:EJ254))</f>
        <v>0</v>
      </c>
      <c r="EL254" s="160">
        <f>IF([Chambre]*1='CHAMBRES FILLES 2e ETAGE'!$A$17,1,0)</f>
        <v>0</v>
      </c>
      <c r="EM254" s="160">
        <f>IF([Occurrence4]=0,0,SUM($EL$2:EL254))</f>
        <v>0</v>
      </c>
      <c r="EN254" s="160">
        <f>IF([Chambre]*1='CHAMBRES FILLES 2e ETAGE'!$A$23,1,0)</f>
        <v>0</v>
      </c>
      <c r="EO254" s="160">
        <f>IF([Occurrence5]=0,0,SUM($EN$2:EN254))</f>
        <v>0</v>
      </c>
      <c r="EP254" s="160">
        <f>IF([Chambre]*1='CHAMBRES FILLES 2e ETAGE'!$A$29,1,0)</f>
        <v>0</v>
      </c>
      <c r="EQ254" s="160">
        <f>IF([Occurrence6]=0,0,SUM($EP$2:EP254))</f>
        <v>0</v>
      </c>
      <c r="ER254" s="160">
        <f>IF([Chambre]*1='CHAMBRES FILLES 2e ETAGE'!$A$35,1,0)</f>
        <v>0</v>
      </c>
      <c r="ES254" s="160">
        <f>IF([Occurrence7]=0,0,SUM($ER$2:ER254))</f>
        <v>0</v>
      </c>
      <c r="ET254" s="160">
        <f>IF([Chambre]*1='CHAMBRES FILLES 2e ETAGE'!$A$41,1,0)</f>
        <v>0</v>
      </c>
      <c r="EU254" s="160">
        <f>IF([Occurrence8]=0,0,SUM($ET$2:ET254))</f>
        <v>0</v>
      </c>
      <c r="EV254" s="160">
        <f>IF([Chambre]*1='CHAMBRES FILLES 2e ETAGE'!$A$47,1,0)</f>
        <v>0</v>
      </c>
      <c r="EW254" s="160">
        <f>IF([Occurrence9]=0,0,SUM($EV$2:EV254))</f>
        <v>0</v>
      </c>
      <c r="EX254" s="160">
        <f>IF([Chambre]*1='CHAMBRES FILLES 2e ETAGE'!$A$53,1,0)</f>
        <v>1</v>
      </c>
      <c r="EY254" s="160">
        <f>IF([Occurrence10]=0,0,SUM($EX$2:EX254))</f>
        <v>5</v>
      </c>
      <c r="EZ254" s="160">
        <f>IF([Chambre]*1='CHAMBRES FILLES 2e ETAGE'!$A$59,1,0)</f>
        <v>0</v>
      </c>
      <c r="FA254" s="160">
        <f>IF([Occurrence11]=0,0,SUM($EZ$2:EZ254))</f>
        <v>0</v>
      </c>
      <c r="FB254" s="160">
        <f>IF([Chambre]*1='CHAMBRES FILLES 2e ETAGE'!$A$65,1,0)</f>
        <v>0</v>
      </c>
      <c r="FC254" s="160">
        <f>IF([Occurrence12]=0,0,SUM($FB$2:FB254))</f>
        <v>0</v>
      </c>
      <c r="FD254" s="160">
        <f>IF([Chambre]*1='CHAMBRES FILLES 2e ETAGE'!$A$71,1,0)</f>
        <v>0</v>
      </c>
      <c r="FE254" s="160">
        <f>IF([Occurrence13]=0,0,SUM($FD$2:FD254))</f>
        <v>0</v>
      </c>
      <c r="FF254" s="160">
        <f>IF([Chambre]*1='CHAMBRES FILLES 2e ETAGE'!$A$77,1,0)</f>
        <v>0</v>
      </c>
      <c r="FG254" s="160">
        <f>IF([Occurrence14]=0,0,SUM($FF$2:FF254))</f>
        <v>0</v>
      </c>
      <c r="FH254" s="160">
        <f>IF([Chambre]*1='CHAMBRES FILLES 2e ETAGE'!$A$83,1,0)</f>
        <v>0</v>
      </c>
      <c r="FI254" s="160">
        <f>IF([Occurrence15]=0,0,SUM($FH$2:FH254))</f>
        <v>0</v>
      </c>
      <c r="FJ254" s="160">
        <f>IF([Chambre]*1='CHAMBRES FILLES 2e ETAGE'!$A$89,1,0)</f>
        <v>0</v>
      </c>
      <c r="FK254" s="160">
        <f>IF([Occurrence16]=0,0,SUM($FJ$2:FJ254))</f>
        <v>0</v>
      </c>
      <c r="FL254" s="160">
        <f>IF([Chambre]*1='CHAMBRES FILLES 2e ETAGE'!$A$95,1,0)</f>
        <v>0</v>
      </c>
      <c r="FM254" s="160">
        <f>IF([Occurrence17]=0,0,SUM($FL$2:FL254))</f>
        <v>0</v>
      </c>
      <c r="FN254" s="160">
        <f>IF([Chambre2]*1='CHAMBRES FILLES 1e ETAGE'!$A$5,1,0)</f>
        <v>0</v>
      </c>
      <c r="FO254" s="160">
        <f>IF([Occurrence18]=0,0,SUM($FN$2:FN254))</f>
        <v>0</v>
      </c>
      <c r="FP254" s="160">
        <f>IF([Chambre2]*1='CHAMBRES FILLES 1e ETAGE'!$A$11,1,0)</f>
        <v>0</v>
      </c>
      <c r="FQ254" s="160">
        <f>IF([Occurrence19]=0,0,SUM($FP$2:FP254))</f>
        <v>0</v>
      </c>
      <c r="FR254" s="160">
        <f>IF([Chambre2]*1='CHAMBRES FILLES 1e ETAGE'!$A$17,1,0)</f>
        <v>0</v>
      </c>
      <c r="FS254" s="160">
        <f>IF([Occurrence20]=0,0,SUM($FR$2:FR254))</f>
        <v>0</v>
      </c>
      <c r="FT254" s="160">
        <f>IF([Chambre2]*1='CHAMBRES FILLES 1e ETAGE'!$A$23,1,0)</f>
        <v>0</v>
      </c>
      <c r="FU254" s="160">
        <f>IF([Occurrence21]=0,0,SUM($FT$2:FT254))</f>
        <v>0</v>
      </c>
      <c r="FV254" s="160">
        <f>IF([Chambre2]*1='CHAMBRES FILLES 1e ETAGE'!$A$29,1,0)</f>
        <v>0</v>
      </c>
      <c r="FW254" s="160">
        <f>IF([Occurrence22]=0,0,SUM($FV$2:FV254))</f>
        <v>0</v>
      </c>
      <c r="FX254" s="160">
        <f>IF([Chambre2]*1='CHAMBRES FILLES 1e ETAGE'!$A$35,1,0)</f>
        <v>0</v>
      </c>
      <c r="FY254" s="160">
        <f>IF([Occurrence23]=0,0,SUM($FX$2:FX254))</f>
        <v>0</v>
      </c>
      <c r="FZ254" s="160">
        <f>IF([Chambre2]*1='CHAMBRES FILLES 1e ETAGE'!$A$41,1,0)</f>
        <v>0</v>
      </c>
      <c r="GA254" s="160">
        <f>IF([Occurrence24]=0,0,SUM($FZ$2:FZ254))</f>
        <v>0</v>
      </c>
      <c r="GB254" s="160">
        <f>IF([Chambre2]*1='CHAMBRES FILLES 1e ETAGE'!$A$47,1,0)</f>
        <v>0</v>
      </c>
      <c r="GC254" s="160">
        <f>IF([Occurrence25]=0,0,SUM($GB$2:GB254))</f>
        <v>0</v>
      </c>
      <c r="GD254" s="160">
        <f>IF([Chambre2]*1='CHAMBRES FILLES 1e ETAGE'!$A$53,1,0)</f>
        <v>0</v>
      </c>
      <c r="GE254" s="160">
        <f>IF([Occurrence26]=0,0,SUM($GD$2:GD254))</f>
        <v>0</v>
      </c>
      <c r="GF254" s="160">
        <f>IF([chambre4]*1='CHAMBRES GARCONS 1e ETAGE'!$A$5,1,0)</f>
        <v>0</v>
      </c>
      <c r="GG254" s="160">
        <f>IF([Occurrence27]=0,0,SUM($GF$2:GF254))</f>
        <v>0</v>
      </c>
      <c r="GH254" s="160">
        <f>IF([chambre4]*1='CHAMBRES GARCONS 1e ETAGE'!$A$11,1,0)</f>
        <v>0</v>
      </c>
      <c r="GI254" s="160">
        <f>IF([Occurrence28]=0,0,SUM($GH$2:GH254))</f>
        <v>0</v>
      </c>
      <c r="GJ254" s="160">
        <f>IF([chambre4]*1='CHAMBRES GARCONS 1e ETAGE'!$A$17,1,0)</f>
        <v>0</v>
      </c>
      <c r="GK254" s="160">
        <f>IF([Occurrence29]=0,0,SUM($GJ$2:GJ254))</f>
        <v>0</v>
      </c>
      <c r="GL254" s="160">
        <f>IF([chambre4]*1='CHAMBRES GARCONS 1e ETAGE'!$A$23,1,0)</f>
        <v>0</v>
      </c>
      <c r="GM254" s="160">
        <f>IF([Occurrence30]=0,0,SUM($GL$2:GL254))</f>
        <v>0</v>
      </c>
      <c r="GN254" s="160">
        <f>IF([chambre4]*1='CHAMBRES GARCONS 1e ETAGE'!$A$29,1,0)</f>
        <v>0</v>
      </c>
      <c r="GO254" s="160">
        <f>IF([Occurrence31]=0,0,SUM($GN$2:GN254))</f>
        <v>0</v>
      </c>
      <c r="GP254" s="160">
        <f>IF([chambre4]*1='CHAMBRES GARCONS 1e ETAGE'!$A$35,1,0)</f>
        <v>0</v>
      </c>
      <c r="GQ254" s="160">
        <f>IF([Occurrence32]=0,0,SUM($GP$2:GP254))</f>
        <v>0</v>
      </c>
      <c r="GR254" s="160">
        <f>IF([chambre3]*1='CHAMBRES GARCONS RDC'!$A$5,1,0)</f>
        <v>0</v>
      </c>
      <c r="GS254" s="160">
        <f>IF([Occurrence33]=0,0,SUM($GR$2:GR254))</f>
        <v>0</v>
      </c>
      <c r="GT254" s="160">
        <f>IF([chambre3]*1='CHAMBRES GARCONS RDC'!$A$11,1,0)</f>
        <v>0</v>
      </c>
      <c r="GU254" s="160">
        <f>IF([Occurrence34]=0,0,SUM($GT$2:GT254))</f>
        <v>0</v>
      </c>
      <c r="GV254" s="160">
        <f>IF([chambre3]*1='CHAMBRES GARCONS RDC'!$A$17,1,0)</f>
        <v>0</v>
      </c>
      <c r="GW254" s="160">
        <f>IF([Occurrence35]=0,0,SUM($GV$2:GV254))</f>
        <v>0</v>
      </c>
      <c r="GX254" s="160">
        <f>IF([chambre3]*1='CHAMBRES GARCONS RDC'!$A$23,1,0)</f>
        <v>0</v>
      </c>
      <c r="GY254" s="160">
        <f>IF([Occurrence36]=0,0,SUM($GX$2:GX254))</f>
        <v>0</v>
      </c>
      <c r="GZ254" s="160">
        <f>IF([chambre3]*1='CHAMBRES GARCONS RDC'!$A$29,1,0)</f>
        <v>0</v>
      </c>
      <c r="HA254" s="160">
        <f>IF([Occurrence37]=0,0,SUM($GZ$2:GZ254))</f>
        <v>0</v>
      </c>
      <c r="HB254" s="160">
        <f>IF([chambre3]*1='CHAMBRES GARCONS RDC'!$A$35,1,0)</f>
        <v>0</v>
      </c>
      <c r="HC254" s="160">
        <f>IF([Occurrence38]=0,0,SUM($HB$2:HB254))</f>
        <v>0</v>
      </c>
      <c r="HD254" s="160">
        <f>IF([chambre3]*1='CHAMBRES GARCONS RDC'!$A$41,1,0)</f>
        <v>0</v>
      </c>
      <c r="HE254" s="160">
        <f>IF([Occurrence39]=0,0,SUM($HD$2:HD254))</f>
        <v>0</v>
      </c>
      <c r="HF254" s="160">
        <f>IF([chambre3]*1='CHAMBRES GARCONS RDC'!$A$47,1,0)</f>
        <v>0</v>
      </c>
      <c r="HG254" s="160">
        <f>IF([Occurrence40]=0,0,SUM($HF$2:HF254))</f>
        <v>0</v>
      </c>
      <c r="HH254" s="160">
        <f>IF([chambre3]*1='CHAMBRES GARCONS RDC'!$A$53,1,0)</f>
        <v>0</v>
      </c>
      <c r="HI254" s="160">
        <f>IF([Occurrence41]=0,0,SUM($HH$2:HH254))</f>
        <v>0</v>
      </c>
      <c r="HJ254" s="160">
        <f>IF([chambre3]*1='CHAMBRES GARCONS RDC'!$A$59,1,0)</f>
        <v>0</v>
      </c>
      <c r="HK254" s="160">
        <f>IF([Occurrence42]=0,0,SUM($HJ$2:HJ254))</f>
        <v>0</v>
      </c>
      <c r="HL254" s="160">
        <f>IF([chambre3]*1='CHAMBRES GARCONS RDC'!$A$65,1,0)</f>
        <v>0</v>
      </c>
      <c r="HM254" s="160">
        <f>IF([Occurrence43]=0,0,SUM($HL$2:HL254))</f>
        <v>0</v>
      </c>
      <c r="HN254" s="160">
        <f>IF([chambre3]*1='CHAMBRES GARCONS RDC'!$A$71,1,0)</f>
        <v>0</v>
      </c>
      <c r="HO254" s="160">
        <f>IF([Occurrence44]=0,0,SUM($HN$2:HN254))</f>
        <v>0</v>
      </c>
      <c r="HP254" s="160">
        <f>IF([chambre3]*1='CHAMBRES GARCONS RDC'!$A$77,1,0)</f>
        <v>0</v>
      </c>
      <c r="HQ254" s="160">
        <f>IF([Occurrence45]=0,0,SUM($HP$2:HP254))</f>
        <v>0</v>
      </c>
      <c r="HR254" s="160">
        <f>IF([chambre3]*1='CHAMBRES GARCONS RDC'!$A$83,1,0)</f>
        <v>0</v>
      </c>
      <c r="HS254" s="160">
        <f>IF([Occurrence46]=0,0,SUM($HR$2:HR254))</f>
        <v>0</v>
      </c>
      <c r="HT254" s="160">
        <f>IF([chambre3]*1='CHAMBRES GARCONS RDC'!$A$89,1,0)</f>
        <v>0</v>
      </c>
      <c r="HU254" s="160">
        <f>IF([Occurrence47]=0,0,SUM($HT$2:HT254))</f>
        <v>0</v>
      </c>
      <c r="HV254" s="160">
        <f>IF([chambre3]*1='CHAMBRES GARCONS RDC'!$A$95,1,0)</f>
        <v>0</v>
      </c>
      <c r="HW254" s="160">
        <f>IF([Occurrence48]=0,0,SUM($HV$2:HV254))</f>
        <v>0</v>
      </c>
      <c r="HX254" s="160"/>
      <c r="HY254" s="160"/>
      <c r="HZ254" s="160">
        <f>IF([Classe]='Liste élève par classes'!$B$5,1,0)</f>
        <v>1</v>
      </c>
      <c r="IA254" s="160">
        <f>IF([Occurrence]=0,0,SUM($HZ$2:HZ254))</f>
        <v>18</v>
      </c>
      <c r="IB25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170</v>
      </c>
      <c r="IC254" s="208"/>
    </row>
    <row r="255" spans="1:237">
      <c r="A255" t="s">
        <v>661</v>
      </c>
      <c r="B255" t="s">
        <v>662</v>
      </c>
      <c r="C255" s="158">
        <v>36804</v>
      </c>
      <c r="D255" s="62">
        <f t="shared" ca="1" si="3"/>
        <v>17</v>
      </c>
      <c r="E255" t="s">
        <v>6</v>
      </c>
      <c r="F255" s="159" t="s">
        <v>50</v>
      </c>
      <c r="G255" t="s">
        <v>40</v>
      </c>
      <c r="H255" s="160"/>
      <c r="I255" s="62"/>
      <c r="J255" s="62"/>
      <c r="K255" s="62"/>
      <c r="L255" s="61"/>
      <c r="M255">
        <v>75</v>
      </c>
      <c r="N255" s="62"/>
      <c r="O255" s="62"/>
      <c r="P255" s="62"/>
      <c r="Q255" s="62"/>
      <c r="R255" s="62"/>
      <c r="S255" s="191"/>
      <c r="T255" s="62"/>
      <c r="U255" s="61"/>
      <c r="V255" s="62"/>
      <c r="W255" s="62"/>
      <c r="X255" s="62"/>
      <c r="Y255" s="62"/>
      <c r="Z255" s="62"/>
      <c r="AA255" s="62"/>
      <c r="AB255" s="62"/>
      <c r="AC255" s="62"/>
      <c r="AD255" s="62"/>
      <c r="AE255" s="62"/>
      <c r="AF255" s="163"/>
      <c r="AG255" s="163"/>
      <c r="AH255" s="163"/>
      <c r="AI255" s="163"/>
      <c r="AJ255" s="163"/>
      <c r="AK255" s="163"/>
      <c r="AL255" s="163"/>
      <c r="AM255" s="163"/>
      <c r="AN255" s="163"/>
      <c r="AO255" s="163"/>
      <c r="AP255" s="163"/>
      <c r="AQ255" s="163"/>
      <c r="AR255" s="163"/>
      <c r="AS255" s="163"/>
      <c r="AT255" s="163"/>
      <c r="AU255" s="163"/>
      <c r="AV255" s="163"/>
      <c r="AW255" s="163"/>
      <c r="AX255" s="163"/>
      <c r="AY255" s="163"/>
      <c r="AZ255" s="163"/>
      <c r="BA255" s="163"/>
      <c r="BB255" s="163"/>
      <c r="BC255" s="163" t="b">
        <v>0</v>
      </c>
      <c r="BD255" s="163" t="b">
        <v>1</v>
      </c>
      <c r="BE255" s="163" t="b">
        <v>1</v>
      </c>
      <c r="BF255" s="163" t="b">
        <v>0</v>
      </c>
      <c r="BG255" s="164" t="b">
        <v>0</v>
      </c>
      <c r="BH255" s="163" t="b">
        <v>1</v>
      </c>
      <c r="BI255" s="163"/>
      <c r="BJ255" s="163"/>
      <c r="BK255" s="163"/>
      <c r="BL255" s="163"/>
      <c r="BM255" s="163"/>
      <c r="BN255" s="163"/>
      <c r="BO255" s="163"/>
      <c r="BP255" s="163"/>
      <c r="BQ255" s="163" t="b">
        <v>0</v>
      </c>
      <c r="BR255" s="163"/>
      <c r="BS255" s="163"/>
      <c r="BT255" s="163"/>
      <c r="BU255" s="163"/>
      <c r="BV255" s="163"/>
      <c r="BW255" s="163"/>
      <c r="BX255" s="163"/>
      <c r="BY255" s="163"/>
      <c r="BZ255" s="163"/>
      <c r="CA255" s="163"/>
      <c r="CB255" s="163"/>
      <c r="CC255" s="163"/>
      <c r="CD255" s="163"/>
      <c r="CE255" s="163"/>
      <c r="CF255" s="163"/>
      <c r="CG255" s="163"/>
      <c r="CH255" s="163"/>
      <c r="CI255" s="163"/>
      <c r="CJ255" s="163"/>
      <c r="CK255" s="163"/>
      <c r="CL255" s="163"/>
      <c r="CM255" s="163"/>
      <c r="CN255" s="163"/>
      <c r="CO255" s="163"/>
      <c r="CP255" s="163"/>
      <c r="CQ255" s="163"/>
      <c r="CR255" s="163"/>
      <c r="CS255" s="163"/>
      <c r="CT255" s="163"/>
      <c r="CU255" s="163"/>
      <c r="CV255" s="163"/>
      <c r="CW255" s="163"/>
      <c r="CX255" s="163"/>
      <c r="CY255" s="163"/>
      <c r="CZ255" s="163"/>
      <c r="DA255" s="163"/>
      <c r="DB255" s="163"/>
      <c r="DC255" s="163"/>
      <c r="DD255" s="163"/>
      <c r="DE255" s="163"/>
      <c r="DF255" s="163"/>
      <c r="DG255" s="208">
        <v>146</v>
      </c>
      <c r="DH255" s="163"/>
      <c r="DI255" s="163"/>
      <c r="DJ255" s="163"/>
      <c r="DK255" s="163"/>
      <c r="DL255" s="163"/>
      <c r="DM255" s="163"/>
      <c r="DN255" s="163"/>
      <c r="DO255" s="163"/>
      <c r="DP255" s="163"/>
      <c r="DQ255" s="163"/>
      <c r="DR255" s="163"/>
      <c r="DS255" s="163"/>
      <c r="DT255" s="163"/>
      <c r="DU255" s="163"/>
      <c r="DV255" s="163"/>
      <c r="DW255" s="163"/>
      <c r="DX255" s="163"/>
      <c r="DY255" s="163"/>
      <c r="DZ255" s="163"/>
      <c r="EA255" s="163"/>
      <c r="EB255" s="163"/>
      <c r="EC255" s="163"/>
      <c r="ED255" s="163"/>
      <c r="EE255" s="163"/>
      <c r="EF255" s="163"/>
      <c r="EG255" s="163"/>
      <c r="EH255" s="160">
        <f>IF([Chambre]*1='CHAMBRES FILLES 2e ETAGE'!$A$5,1,0)</f>
        <v>0</v>
      </c>
      <c r="EI255" s="161">
        <f>IF([Occurrence2]=0,0,SUM($EH$2:EH255))</f>
        <v>0</v>
      </c>
      <c r="EJ255" s="160">
        <f>IF([Chambre]*1='CHAMBRES FILLES 2e ETAGE'!$A$11,1,0)</f>
        <v>0</v>
      </c>
      <c r="EK255" s="160">
        <f>IF([Occurrence3]=0,0,SUM($EJ$2:EJ255))</f>
        <v>0</v>
      </c>
      <c r="EL255" s="160">
        <f>IF([Chambre]*1='CHAMBRES FILLES 2e ETAGE'!$A$17,1,0)</f>
        <v>0</v>
      </c>
      <c r="EM255" s="160">
        <f>IF([Occurrence4]=0,0,SUM($EL$2:EL255))</f>
        <v>0</v>
      </c>
      <c r="EN255" s="160">
        <f>IF([Chambre]*1='CHAMBRES FILLES 2e ETAGE'!$A$23,1,0)</f>
        <v>0</v>
      </c>
      <c r="EO255" s="160">
        <f>IF([Occurrence5]=0,0,SUM($EN$2:EN255))</f>
        <v>0</v>
      </c>
      <c r="EP255" s="160">
        <f>IF([Chambre]*1='CHAMBRES FILLES 2e ETAGE'!$A$29,1,0)</f>
        <v>0</v>
      </c>
      <c r="EQ255" s="160">
        <f>IF([Occurrence6]=0,0,SUM($EP$2:EP255))</f>
        <v>0</v>
      </c>
      <c r="ER255" s="160">
        <f>IF([Chambre]*1='CHAMBRES FILLES 2e ETAGE'!$A$35,1,0)</f>
        <v>0</v>
      </c>
      <c r="ES255" s="160">
        <f>IF([Occurrence7]=0,0,SUM($ER$2:ER255))</f>
        <v>0</v>
      </c>
      <c r="ET255" s="160">
        <f>IF([Chambre]*1='CHAMBRES FILLES 2e ETAGE'!$A$41,1,0)</f>
        <v>0</v>
      </c>
      <c r="EU255" s="160">
        <f>IF([Occurrence8]=0,0,SUM($ET$2:ET255))</f>
        <v>0</v>
      </c>
      <c r="EV255" s="160">
        <f>IF([Chambre]*1='CHAMBRES FILLES 2e ETAGE'!$A$47,1,0)</f>
        <v>0</v>
      </c>
      <c r="EW255" s="160">
        <f>IF([Occurrence9]=0,0,SUM($EV$2:EV255))</f>
        <v>0</v>
      </c>
      <c r="EX255" s="160">
        <f>IF([Chambre]*1='CHAMBRES FILLES 2e ETAGE'!$A$53,1,0)</f>
        <v>0</v>
      </c>
      <c r="EY255" s="160">
        <f>IF([Occurrence10]=0,0,SUM($EX$2:EX255))</f>
        <v>0</v>
      </c>
      <c r="EZ255" s="160">
        <f>IF([Chambre]*1='CHAMBRES FILLES 2e ETAGE'!$A$59,1,0)</f>
        <v>0</v>
      </c>
      <c r="FA255" s="160">
        <f>IF([Occurrence11]=0,0,SUM($EZ$2:EZ255))</f>
        <v>0</v>
      </c>
      <c r="FB255" s="160">
        <f>IF([Chambre]*1='CHAMBRES FILLES 2e ETAGE'!$A$65,1,0)</f>
        <v>0</v>
      </c>
      <c r="FC255" s="160">
        <f>IF([Occurrence12]=0,0,SUM($FB$2:FB255))</f>
        <v>0</v>
      </c>
      <c r="FD255" s="160">
        <f>IF([Chambre]*1='CHAMBRES FILLES 2e ETAGE'!$A$71,1,0)</f>
        <v>0</v>
      </c>
      <c r="FE255" s="160">
        <f>IF([Occurrence13]=0,0,SUM($FD$2:FD255))</f>
        <v>0</v>
      </c>
      <c r="FF255" s="160">
        <f>IF([Chambre]*1='CHAMBRES FILLES 2e ETAGE'!$A$77,1,0)</f>
        <v>0</v>
      </c>
      <c r="FG255" s="160">
        <f>IF([Occurrence14]=0,0,SUM($FF$2:FF255))</f>
        <v>0</v>
      </c>
      <c r="FH255" s="160">
        <f>IF([Chambre]*1='CHAMBRES FILLES 2e ETAGE'!$A$83,1,0)</f>
        <v>0</v>
      </c>
      <c r="FI255" s="160">
        <f>IF([Occurrence15]=0,0,SUM($FH$2:FH255))</f>
        <v>0</v>
      </c>
      <c r="FJ255" s="160">
        <f>IF([Chambre]*1='CHAMBRES FILLES 2e ETAGE'!$A$89,1,0)</f>
        <v>0</v>
      </c>
      <c r="FK255" s="160">
        <f>IF([Occurrence16]=0,0,SUM($FJ$2:FJ255))</f>
        <v>0</v>
      </c>
      <c r="FL255" s="160">
        <f>IF([Chambre]*1='CHAMBRES FILLES 2e ETAGE'!$A$95,1,0)</f>
        <v>0</v>
      </c>
      <c r="FM255" s="160">
        <f>IF([Occurrence17]=0,0,SUM($FL$2:FL255))</f>
        <v>0</v>
      </c>
      <c r="FN255" s="160">
        <f>IF([Chambre2]*1='CHAMBRES FILLES 1e ETAGE'!$A$5,1,0)</f>
        <v>0</v>
      </c>
      <c r="FO255" s="160">
        <f>IF([Occurrence18]=0,0,SUM($FN$2:FN255))</f>
        <v>0</v>
      </c>
      <c r="FP255" s="160">
        <f>IF([Chambre2]*1='CHAMBRES FILLES 1e ETAGE'!$A$11,1,0)</f>
        <v>0</v>
      </c>
      <c r="FQ255" s="160">
        <f>IF([Occurrence19]=0,0,SUM($FP$2:FP255))</f>
        <v>0</v>
      </c>
      <c r="FR255" s="160">
        <f>IF([Chambre2]*1='CHAMBRES FILLES 1e ETAGE'!$A$17,1,0)</f>
        <v>0</v>
      </c>
      <c r="FS255" s="160">
        <f>IF([Occurrence20]=0,0,SUM($FR$2:FR255))</f>
        <v>0</v>
      </c>
      <c r="FT255" s="160">
        <f>IF([Chambre2]*1='CHAMBRES FILLES 1e ETAGE'!$A$23,1,0)</f>
        <v>0</v>
      </c>
      <c r="FU255" s="160">
        <f>IF([Occurrence21]=0,0,SUM($FT$2:FT255))</f>
        <v>0</v>
      </c>
      <c r="FV255" s="160">
        <f>IF([Chambre2]*1='CHAMBRES FILLES 1e ETAGE'!$A$29,1,0)</f>
        <v>0</v>
      </c>
      <c r="FW255" s="160">
        <f>IF([Occurrence22]=0,0,SUM($FV$2:FV255))</f>
        <v>0</v>
      </c>
      <c r="FX255" s="160">
        <f>IF([Chambre2]*1='CHAMBRES FILLES 1e ETAGE'!$A$35,1,0)</f>
        <v>0</v>
      </c>
      <c r="FY255" s="160">
        <f>IF([Occurrence23]=0,0,SUM($FX$2:FX255))</f>
        <v>0</v>
      </c>
      <c r="FZ255" s="160">
        <f>IF([Chambre2]*1='CHAMBRES FILLES 1e ETAGE'!$A$41,1,0)</f>
        <v>0</v>
      </c>
      <c r="GA255" s="160">
        <f>IF([Occurrence24]=0,0,SUM($FZ$2:FZ255))</f>
        <v>0</v>
      </c>
      <c r="GB255" s="160">
        <f>IF([Chambre2]*1='CHAMBRES FILLES 1e ETAGE'!$A$47,1,0)</f>
        <v>0</v>
      </c>
      <c r="GC255" s="160">
        <f>IF([Occurrence25]=0,0,SUM($GB$2:GB255))</f>
        <v>0</v>
      </c>
      <c r="GD255" s="160">
        <f>IF([Chambre2]*1='CHAMBRES FILLES 1e ETAGE'!$A$53,1,0)</f>
        <v>0</v>
      </c>
      <c r="GE255" s="160">
        <f>IF([Occurrence26]=0,0,SUM($GD$2:GD255))</f>
        <v>0</v>
      </c>
      <c r="GF255" s="160">
        <f>IF([chambre4]*1='CHAMBRES GARCONS 1e ETAGE'!$A$5,1,0)</f>
        <v>0</v>
      </c>
      <c r="GG255" s="160">
        <f>IF([Occurrence27]=0,0,SUM($GF$2:GF255))</f>
        <v>0</v>
      </c>
      <c r="GH255" s="160">
        <f>IF([chambre4]*1='CHAMBRES GARCONS 1e ETAGE'!$A$11,1,0)</f>
        <v>0</v>
      </c>
      <c r="GI255" s="160">
        <f>IF([Occurrence28]=0,0,SUM($GH$2:GH255))</f>
        <v>0</v>
      </c>
      <c r="GJ255" s="160">
        <f>IF([chambre4]*1='CHAMBRES GARCONS 1e ETAGE'!$A$17,1,0)</f>
        <v>1</v>
      </c>
      <c r="GK255" s="160">
        <f>IF([Occurrence29]=0,0,SUM($GJ$2:GJ255))</f>
        <v>3</v>
      </c>
      <c r="GL255" s="160">
        <f>IF([chambre4]*1='CHAMBRES GARCONS 1e ETAGE'!$A$23,1,0)</f>
        <v>0</v>
      </c>
      <c r="GM255" s="160">
        <f>IF([Occurrence30]=0,0,SUM($GL$2:GL255))</f>
        <v>0</v>
      </c>
      <c r="GN255" s="160">
        <f>IF([chambre4]*1='CHAMBRES GARCONS 1e ETAGE'!$A$29,1,0)</f>
        <v>0</v>
      </c>
      <c r="GO255" s="160">
        <f>IF([Occurrence31]=0,0,SUM($GN$2:GN255))</f>
        <v>0</v>
      </c>
      <c r="GP255" s="160">
        <f>IF([chambre4]*1='CHAMBRES GARCONS 1e ETAGE'!$A$35,1,0)</f>
        <v>0</v>
      </c>
      <c r="GQ255" s="160">
        <f>IF([Occurrence32]=0,0,SUM($GP$2:GP255))</f>
        <v>0</v>
      </c>
      <c r="GR255" s="160">
        <f>IF([chambre3]*1='CHAMBRES GARCONS RDC'!$A$5,1,0)</f>
        <v>0</v>
      </c>
      <c r="GS255" s="160">
        <f>IF([Occurrence33]=0,0,SUM($GR$2:GR255))</f>
        <v>0</v>
      </c>
      <c r="GT255" s="160">
        <f>IF([chambre3]*1='CHAMBRES GARCONS RDC'!$A$11,1,0)</f>
        <v>0</v>
      </c>
      <c r="GU255" s="160">
        <f>IF([Occurrence34]=0,0,SUM($GT$2:GT255))</f>
        <v>0</v>
      </c>
      <c r="GV255" s="160">
        <f>IF([chambre3]*1='CHAMBRES GARCONS RDC'!$A$17,1,0)</f>
        <v>0</v>
      </c>
      <c r="GW255" s="160">
        <f>IF([Occurrence35]=0,0,SUM($GV$2:GV255))</f>
        <v>0</v>
      </c>
      <c r="GX255" s="160">
        <f>IF([chambre3]*1='CHAMBRES GARCONS RDC'!$A$23,1,0)</f>
        <v>0</v>
      </c>
      <c r="GY255" s="160">
        <f>IF([Occurrence36]=0,0,SUM($GX$2:GX255))</f>
        <v>0</v>
      </c>
      <c r="GZ255" s="160">
        <f>IF([chambre3]*1='CHAMBRES GARCONS RDC'!$A$29,1,0)</f>
        <v>0</v>
      </c>
      <c r="HA255" s="160">
        <f>IF([Occurrence37]=0,0,SUM($GZ$2:GZ255))</f>
        <v>0</v>
      </c>
      <c r="HB255" s="160">
        <f>IF([chambre3]*1='CHAMBRES GARCONS RDC'!$A$35,1,0)</f>
        <v>0</v>
      </c>
      <c r="HC255" s="160">
        <f>IF([Occurrence38]=0,0,SUM($HB$2:HB255))</f>
        <v>0</v>
      </c>
      <c r="HD255" s="160">
        <f>IF([chambre3]*1='CHAMBRES GARCONS RDC'!$A$41,1,0)</f>
        <v>0</v>
      </c>
      <c r="HE255" s="160">
        <f>IF([Occurrence39]=0,0,SUM($HD$2:HD255))</f>
        <v>0</v>
      </c>
      <c r="HF255" s="160">
        <f>IF([chambre3]*1='CHAMBRES GARCONS RDC'!$A$47,1,0)</f>
        <v>0</v>
      </c>
      <c r="HG255" s="160">
        <f>IF([Occurrence40]=0,0,SUM($HF$2:HF255))</f>
        <v>0</v>
      </c>
      <c r="HH255" s="160">
        <f>IF([chambre3]*1='CHAMBRES GARCONS RDC'!$A$53,1,0)</f>
        <v>0</v>
      </c>
      <c r="HI255" s="160">
        <f>IF([Occurrence41]=0,0,SUM($HH$2:HH255))</f>
        <v>0</v>
      </c>
      <c r="HJ255" s="160">
        <f>IF([chambre3]*1='CHAMBRES GARCONS RDC'!$A$59,1,0)</f>
        <v>0</v>
      </c>
      <c r="HK255" s="160">
        <f>IF([Occurrence42]=0,0,SUM($HJ$2:HJ255))</f>
        <v>0</v>
      </c>
      <c r="HL255" s="160">
        <f>IF([chambre3]*1='CHAMBRES GARCONS RDC'!$A$65,1,0)</f>
        <v>0</v>
      </c>
      <c r="HM255" s="160">
        <f>IF([Occurrence43]=0,0,SUM($HL$2:HL255))</f>
        <v>0</v>
      </c>
      <c r="HN255" s="160">
        <f>IF([chambre3]*1='CHAMBRES GARCONS RDC'!$A$71,1,0)</f>
        <v>0</v>
      </c>
      <c r="HO255" s="160">
        <f>IF([Occurrence44]=0,0,SUM($HN$2:HN255))</f>
        <v>0</v>
      </c>
      <c r="HP255" s="160">
        <f>IF([chambre3]*1='CHAMBRES GARCONS RDC'!$A$77,1,0)</f>
        <v>0</v>
      </c>
      <c r="HQ255" s="160">
        <f>IF([Occurrence45]=0,0,SUM($HP$2:HP255))</f>
        <v>0</v>
      </c>
      <c r="HR255" s="160">
        <f>IF([chambre3]*1='CHAMBRES GARCONS RDC'!$A$83,1,0)</f>
        <v>0</v>
      </c>
      <c r="HS255" s="160">
        <f>IF([Occurrence46]=0,0,SUM($HR$2:HR255))</f>
        <v>0</v>
      </c>
      <c r="HT255" s="160">
        <f>IF([chambre3]*1='CHAMBRES GARCONS RDC'!$A$89,1,0)</f>
        <v>0</v>
      </c>
      <c r="HU255" s="160">
        <f>IF([Occurrence47]=0,0,SUM($HT$2:HT255))</f>
        <v>0</v>
      </c>
      <c r="HV255" s="160">
        <f>IF([chambre3]*1='CHAMBRES GARCONS RDC'!$A$95,1,0)</f>
        <v>0</v>
      </c>
      <c r="HW255" s="160">
        <f>IF([Occurrence48]=0,0,SUM($HV$2:HV255))</f>
        <v>0</v>
      </c>
      <c r="HX255" s="160"/>
      <c r="HY255" s="160"/>
      <c r="HZ255" s="160">
        <f>IF([Classe]='Liste élève par classes'!$B$5,1,0)</f>
        <v>0</v>
      </c>
      <c r="IA255" s="160">
        <f>IF([Occurrence]=0,0,SUM($HZ$2:HZ255))</f>
        <v>0</v>
      </c>
      <c r="IB25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146</v>
      </c>
      <c r="IC255" s="208"/>
    </row>
    <row r="256" spans="1:237" ht="15.75">
      <c r="A256" t="s">
        <v>663</v>
      </c>
      <c r="B256" t="s">
        <v>664</v>
      </c>
      <c r="C256" s="158">
        <v>36667</v>
      </c>
      <c r="D256" s="62">
        <f t="shared" ca="1" si="3"/>
        <v>17</v>
      </c>
      <c r="E256" t="s">
        <v>14</v>
      </c>
      <c r="F256" s="159" t="s">
        <v>50</v>
      </c>
      <c r="G256" t="s">
        <v>45</v>
      </c>
      <c r="H256" s="160"/>
      <c r="I256" s="62"/>
      <c r="J256" s="167"/>
      <c r="K256" s="168"/>
      <c r="L256" s="61">
        <v>166</v>
      </c>
      <c r="M256"/>
      <c r="N256" s="62" t="s">
        <v>244</v>
      </c>
      <c r="O256" s="62" t="s">
        <v>244</v>
      </c>
      <c r="P256" s="62" t="s">
        <v>244</v>
      </c>
      <c r="Q256" s="62" t="s">
        <v>244</v>
      </c>
      <c r="R256" s="62" t="s">
        <v>244</v>
      </c>
      <c r="S256" s="191"/>
      <c r="T256" s="62" t="s">
        <v>244</v>
      </c>
      <c r="U256" s="61"/>
      <c r="V256" s="62" t="s">
        <v>244</v>
      </c>
      <c r="W256" s="62" t="s">
        <v>244</v>
      </c>
      <c r="X256" s="62" t="s">
        <v>244</v>
      </c>
      <c r="Y256" s="62" t="s">
        <v>244</v>
      </c>
      <c r="Z256" s="62" t="s">
        <v>244</v>
      </c>
      <c r="AA256" s="62" t="s">
        <v>244</v>
      </c>
      <c r="AB256" s="62" t="s">
        <v>244</v>
      </c>
      <c r="AC256" s="62" t="s">
        <v>244</v>
      </c>
      <c r="AD256" s="62" t="s">
        <v>244</v>
      </c>
      <c r="AE256" s="62" t="s">
        <v>244</v>
      </c>
      <c r="AF256" s="166" t="s">
        <v>244</v>
      </c>
      <c r="AG256" s="166" t="s">
        <v>244</v>
      </c>
      <c r="AH256" s="166" t="s">
        <v>244</v>
      </c>
      <c r="AI256" s="166"/>
      <c r="AJ256" s="166"/>
      <c r="AK256" s="166"/>
      <c r="AL256" s="166"/>
      <c r="AM256" s="166"/>
      <c r="AN256" s="166"/>
      <c r="AO256" s="166"/>
      <c r="AP256" s="166"/>
      <c r="AQ256" s="166"/>
      <c r="AR256" s="166"/>
      <c r="AS256" s="166"/>
      <c r="AT256" s="166"/>
      <c r="AU256" s="166"/>
      <c r="AV256" s="166"/>
      <c r="AW256" s="166"/>
      <c r="AX256" s="166"/>
      <c r="AY256" s="166"/>
      <c r="AZ256" s="166"/>
      <c r="BA256" s="166"/>
      <c r="BB256" s="166"/>
      <c r="BC256" s="163" t="b">
        <v>0</v>
      </c>
      <c r="BD256" s="163" t="b">
        <v>1</v>
      </c>
      <c r="BE256" s="163" t="b">
        <v>1</v>
      </c>
      <c r="BF256" s="163" t="b">
        <v>0</v>
      </c>
      <c r="BG256" s="164" t="b">
        <v>0</v>
      </c>
      <c r="BH256" s="163" t="b">
        <v>1</v>
      </c>
      <c r="BI256" s="166"/>
      <c r="BJ256" s="166"/>
      <c r="BK256" s="166"/>
      <c r="BL256" s="166"/>
      <c r="BM256" s="166"/>
      <c r="BN256" s="166"/>
      <c r="BO256" s="166"/>
      <c r="BP256" s="166"/>
      <c r="BQ256" s="166" t="b">
        <v>1</v>
      </c>
      <c r="BR256" s="166"/>
      <c r="BS256" s="166"/>
      <c r="BT256" s="166"/>
      <c r="BU256" s="166"/>
      <c r="BV256" s="166"/>
      <c r="BW256" s="166"/>
      <c r="BX256" s="166"/>
      <c r="BY256" s="166"/>
      <c r="BZ256" s="166"/>
      <c r="CA256" s="166"/>
      <c r="CB256" s="166"/>
      <c r="CC256" s="166"/>
      <c r="CD256" s="166"/>
      <c r="CE256" s="166"/>
      <c r="CF256" s="166"/>
      <c r="CG256" s="166"/>
      <c r="CH256" s="166"/>
      <c r="CI256" s="166"/>
      <c r="CJ256" s="166"/>
      <c r="CK256" s="166"/>
      <c r="CL256" s="166"/>
      <c r="CM256" s="166"/>
      <c r="CN256" s="166"/>
      <c r="CO256" s="166"/>
      <c r="CP256" s="166"/>
      <c r="CQ256" s="166"/>
      <c r="CR256" s="166"/>
      <c r="CS256" s="166"/>
      <c r="CT256" s="166"/>
      <c r="CU256" s="166"/>
      <c r="CV256" s="166"/>
      <c r="CW256" s="166"/>
      <c r="CX256" s="166"/>
      <c r="CY256" s="166"/>
      <c r="CZ256" s="166"/>
      <c r="DA256" s="169"/>
      <c r="DB256" s="166"/>
      <c r="DC256" s="166"/>
      <c r="DD256" s="166"/>
      <c r="DE256" s="166"/>
      <c r="DF256" s="166"/>
      <c r="DG256" s="212"/>
      <c r="DH256" s="166"/>
      <c r="DI256" s="166"/>
      <c r="DJ256" s="166"/>
      <c r="DK256" s="166"/>
      <c r="DL256" s="166"/>
      <c r="DM256" s="166"/>
      <c r="DN256" s="166"/>
      <c r="DO256" s="166"/>
      <c r="DP256" s="166"/>
      <c r="DQ256" s="166"/>
      <c r="DR256" s="166"/>
      <c r="DS256" s="166"/>
      <c r="DT256" s="166"/>
      <c r="DU256" s="166"/>
      <c r="DV256" s="166"/>
      <c r="DW256" s="166"/>
      <c r="DX256" s="166"/>
      <c r="DY256" s="166"/>
      <c r="DZ256" s="166"/>
      <c r="EA256" s="166"/>
      <c r="EB256" s="166"/>
      <c r="EC256" s="166"/>
      <c r="ED256" s="166"/>
      <c r="EE256" s="166"/>
      <c r="EF256" s="166"/>
      <c r="EG256" s="166"/>
      <c r="EH256" s="160">
        <f>IF([Chambre]*1='CHAMBRES FILLES 2e ETAGE'!$A$5,1,0)</f>
        <v>0</v>
      </c>
      <c r="EI256" s="161">
        <f>IF([Occurrence2]=0,0,SUM($EH$2:EH256))</f>
        <v>0</v>
      </c>
      <c r="EJ256" s="160">
        <f>IF([Chambre]*1='CHAMBRES FILLES 2e ETAGE'!$A$11,1,0)</f>
        <v>0</v>
      </c>
      <c r="EK256" s="160">
        <f>IF([Occurrence3]=0,0,SUM($EJ$2:EJ256))</f>
        <v>0</v>
      </c>
      <c r="EL256" s="160">
        <f>IF([Chambre]*1='CHAMBRES FILLES 2e ETAGE'!$A$17,1,0)</f>
        <v>0</v>
      </c>
      <c r="EM256" s="160">
        <f>IF([Occurrence4]=0,0,SUM($EL$2:EL256))</f>
        <v>0</v>
      </c>
      <c r="EN256" s="160">
        <f>IF([Chambre]*1='CHAMBRES FILLES 2e ETAGE'!$A$23,1,0)</f>
        <v>0</v>
      </c>
      <c r="EO256" s="160">
        <f>IF([Occurrence5]=0,0,SUM($EN$2:EN256))</f>
        <v>0</v>
      </c>
      <c r="EP256" s="160">
        <f>IF([Chambre]*1='CHAMBRES FILLES 2e ETAGE'!$A$29,1,0)</f>
        <v>0</v>
      </c>
      <c r="EQ256" s="160">
        <f>IF([Occurrence6]=0,0,SUM($EP$2:EP256))</f>
        <v>0</v>
      </c>
      <c r="ER256" s="160">
        <f>IF([Chambre]*1='CHAMBRES FILLES 2e ETAGE'!$A$35,1,0)</f>
        <v>1</v>
      </c>
      <c r="ES256" s="160">
        <f>IF([Occurrence7]=0,0,SUM($ER$2:ER256))</f>
        <v>5</v>
      </c>
      <c r="ET256" s="160">
        <f>IF([Chambre]*1='CHAMBRES FILLES 2e ETAGE'!$A$41,1,0)</f>
        <v>0</v>
      </c>
      <c r="EU256" s="160">
        <f>IF([Occurrence8]=0,0,SUM($ET$2:ET256))</f>
        <v>0</v>
      </c>
      <c r="EV256" s="160">
        <f>IF([Chambre]*1='CHAMBRES FILLES 2e ETAGE'!$A$47,1,0)</f>
        <v>0</v>
      </c>
      <c r="EW256" s="160">
        <f>IF([Occurrence9]=0,0,SUM($EV$2:EV256))</f>
        <v>0</v>
      </c>
      <c r="EX256" s="160">
        <f>IF([Chambre]*1='CHAMBRES FILLES 2e ETAGE'!$A$53,1,0)</f>
        <v>0</v>
      </c>
      <c r="EY256" s="160">
        <f>IF([Occurrence10]=0,0,SUM($EX$2:EX256))</f>
        <v>0</v>
      </c>
      <c r="EZ256" s="160">
        <f>IF([Chambre]*1='CHAMBRES FILLES 2e ETAGE'!$A$59,1,0)</f>
        <v>0</v>
      </c>
      <c r="FA256" s="160">
        <f>IF([Occurrence11]=0,0,SUM($EZ$2:EZ256))</f>
        <v>0</v>
      </c>
      <c r="FB256" s="160">
        <f>IF([Chambre]*1='CHAMBRES FILLES 2e ETAGE'!$A$65,1,0)</f>
        <v>0</v>
      </c>
      <c r="FC256" s="160">
        <f>IF([Occurrence12]=0,0,SUM($FB$2:FB256))</f>
        <v>0</v>
      </c>
      <c r="FD256" s="160">
        <f>IF([Chambre]*1='CHAMBRES FILLES 2e ETAGE'!$A$71,1,0)</f>
        <v>0</v>
      </c>
      <c r="FE256" s="160">
        <f>IF([Occurrence13]=0,0,SUM($FD$2:FD256))</f>
        <v>0</v>
      </c>
      <c r="FF256" s="160">
        <f>IF([Chambre]*1='CHAMBRES FILLES 2e ETAGE'!$A$77,1,0)</f>
        <v>0</v>
      </c>
      <c r="FG256" s="160">
        <f>IF([Occurrence14]=0,0,SUM($FF$2:FF256))</f>
        <v>0</v>
      </c>
      <c r="FH256" s="160">
        <f>IF([Chambre]*1='CHAMBRES FILLES 2e ETAGE'!$A$83,1,0)</f>
        <v>0</v>
      </c>
      <c r="FI256" s="160">
        <f>IF([Occurrence15]=0,0,SUM($FH$2:FH256))</f>
        <v>0</v>
      </c>
      <c r="FJ256" s="160">
        <f>IF([Chambre]*1='CHAMBRES FILLES 2e ETAGE'!$A$89,1,0)</f>
        <v>0</v>
      </c>
      <c r="FK256" s="160">
        <f>IF([Occurrence16]=0,0,SUM($FJ$2:FJ256))</f>
        <v>0</v>
      </c>
      <c r="FL256" s="160">
        <f>IF([Chambre]*1='CHAMBRES FILLES 2e ETAGE'!$A$95,1,0)</f>
        <v>0</v>
      </c>
      <c r="FM256" s="160">
        <f>IF([Occurrence17]=0,0,SUM($FL$2:FL256))</f>
        <v>0</v>
      </c>
      <c r="FN256" s="160">
        <f>IF([Chambre2]*1='CHAMBRES FILLES 1e ETAGE'!$A$5,1,0)</f>
        <v>0</v>
      </c>
      <c r="FO256" s="160">
        <f>IF([Occurrence18]=0,0,SUM($FN$2:FN256))</f>
        <v>0</v>
      </c>
      <c r="FP256" s="160">
        <f>IF([Chambre2]*1='CHAMBRES FILLES 1e ETAGE'!$A$11,1,0)</f>
        <v>0</v>
      </c>
      <c r="FQ256" s="160">
        <f>IF([Occurrence19]=0,0,SUM($FP$2:FP256))</f>
        <v>0</v>
      </c>
      <c r="FR256" s="160">
        <f>IF([Chambre2]*1='CHAMBRES FILLES 1e ETAGE'!$A$17,1,0)</f>
        <v>0</v>
      </c>
      <c r="FS256" s="160">
        <f>IF([Occurrence20]=0,0,SUM($FR$2:FR256))</f>
        <v>0</v>
      </c>
      <c r="FT256" s="160">
        <f>IF([Chambre2]*1='CHAMBRES FILLES 1e ETAGE'!$A$23,1,0)</f>
        <v>0</v>
      </c>
      <c r="FU256" s="160">
        <f>IF([Occurrence21]=0,0,SUM($FT$2:FT256))</f>
        <v>0</v>
      </c>
      <c r="FV256" s="160">
        <f>IF([Chambre2]*1='CHAMBRES FILLES 1e ETAGE'!$A$29,1,0)</f>
        <v>0</v>
      </c>
      <c r="FW256" s="160">
        <f>IF([Occurrence22]=0,0,SUM($FV$2:FV256))</f>
        <v>0</v>
      </c>
      <c r="FX256" s="160">
        <f>IF([Chambre2]*1='CHAMBRES FILLES 1e ETAGE'!$A$35,1,0)</f>
        <v>0</v>
      </c>
      <c r="FY256" s="160">
        <f>IF([Occurrence23]=0,0,SUM($FX$2:FX256))</f>
        <v>0</v>
      </c>
      <c r="FZ256" s="160">
        <f>IF([Chambre2]*1='CHAMBRES FILLES 1e ETAGE'!$A$41,1,0)</f>
        <v>0</v>
      </c>
      <c r="GA256" s="160">
        <f>IF([Occurrence24]=0,0,SUM($FZ$2:FZ256))</f>
        <v>0</v>
      </c>
      <c r="GB256" s="160">
        <f>IF([Chambre2]*1='CHAMBRES FILLES 1e ETAGE'!$A$47,1,0)</f>
        <v>0</v>
      </c>
      <c r="GC256" s="160">
        <f>IF([Occurrence25]=0,0,SUM($GB$2:GB256))</f>
        <v>0</v>
      </c>
      <c r="GD256" s="160">
        <f>IF([Chambre2]*1='CHAMBRES FILLES 1e ETAGE'!$A$53,1,0)</f>
        <v>0</v>
      </c>
      <c r="GE256" s="160">
        <f>IF([Occurrence26]=0,0,SUM($GD$2:GD256))</f>
        <v>0</v>
      </c>
      <c r="GF256" s="160">
        <f>IF([chambre4]*1='CHAMBRES GARCONS 1e ETAGE'!$A$5,1,0)</f>
        <v>0</v>
      </c>
      <c r="GG256" s="160">
        <f>IF([Occurrence27]=0,0,SUM($GF$2:GF256))</f>
        <v>0</v>
      </c>
      <c r="GH256" s="160">
        <f>IF([chambre4]*1='CHAMBRES GARCONS 1e ETAGE'!$A$11,1,0)</f>
        <v>0</v>
      </c>
      <c r="GI256" s="160">
        <f>IF([Occurrence28]=0,0,SUM($GH$2:GH256))</f>
        <v>0</v>
      </c>
      <c r="GJ256" s="160">
        <f>IF([chambre4]*1='CHAMBRES GARCONS 1e ETAGE'!$A$17,1,0)</f>
        <v>0</v>
      </c>
      <c r="GK256" s="160">
        <f>IF([Occurrence29]=0,0,SUM($GJ$2:GJ256))</f>
        <v>0</v>
      </c>
      <c r="GL256" s="160">
        <f>IF([chambre4]*1='CHAMBRES GARCONS 1e ETAGE'!$A$23,1,0)</f>
        <v>0</v>
      </c>
      <c r="GM256" s="160">
        <f>IF([Occurrence30]=0,0,SUM($GL$2:GL256))</f>
        <v>0</v>
      </c>
      <c r="GN256" s="160">
        <f>IF([chambre4]*1='CHAMBRES GARCONS 1e ETAGE'!$A$29,1,0)</f>
        <v>0</v>
      </c>
      <c r="GO256" s="160">
        <f>IF([Occurrence31]=0,0,SUM($GN$2:GN256))</f>
        <v>0</v>
      </c>
      <c r="GP256" s="160">
        <f>IF([chambre4]*1='CHAMBRES GARCONS 1e ETAGE'!$A$35,1,0)</f>
        <v>0</v>
      </c>
      <c r="GQ256" s="160">
        <f>IF([Occurrence32]=0,0,SUM($GP$2:GP256))</f>
        <v>0</v>
      </c>
      <c r="GR256" s="160">
        <f>IF([chambre3]*1='CHAMBRES GARCONS RDC'!$A$5,1,0)</f>
        <v>0</v>
      </c>
      <c r="GS256" s="160">
        <f>IF([Occurrence33]=0,0,SUM($GR$2:GR256))</f>
        <v>0</v>
      </c>
      <c r="GT256" s="160">
        <f>IF([chambre3]*1='CHAMBRES GARCONS RDC'!$A$11,1,0)</f>
        <v>0</v>
      </c>
      <c r="GU256" s="160">
        <f>IF([Occurrence34]=0,0,SUM($GT$2:GT256))</f>
        <v>0</v>
      </c>
      <c r="GV256" s="160">
        <f>IF([chambre3]*1='CHAMBRES GARCONS RDC'!$A$17,1,0)</f>
        <v>0</v>
      </c>
      <c r="GW256" s="160">
        <f>IF([Occurrence35]=0,0,SUM($GV$2:GV256))</f>
        <v>0</v>
      </c>
      <c r="GX256" s="160">
        <f>IF([chambre3]*1='CHAMBRES GARCONS RDC'!$A$23,1,0)</f>
        <v>0</v>
      </c>
      <c r="GY256" s="160">
        <f>IF([Occurrence36]=0,0,SUM($GX$2:GX256))</f>
        <v>0</v>
      </c>
      <c r="GZ256" s="160">
        <f>IF([chambre3]*1='CHAMBRES GARCONS RDC'!$A$29,1,0)</f>
        <v>0</v>
      </c>
      <c r="HA256" s="160">
        <f>IF([Occurrence37]=0,0,SUM($GZ$2:GZ256))</f>
        <v>0</v>
      </c>
      <c r="HB256" s="160">
        <f>IF([chambre3]*1='CHAMBRES GARCONS RDC'!$A$35,1,0)</f>
        <v>0</v>
      </c>
      <c r="HC256" s="160">
        <f>IF([Occurrence38]=0,0,SUM($HB$2:HB256))</f>
        <v>0</v>
      </c>
      <c r="HD256" s="160">
        <f>IF([chambre3]*1='CHAMBRES GARCONS RDC'!$A$41,1,0)</f>
        <v>0</v>
      </c>
      <c r="HE256" s="160">
        <f>IF([Occurrence39]=0,0,SUM($HD$2:HD256))</f>
        <v>0</v>
      </c>
      <c r="HF256" s="160">
        <f>IF([chambre3]*1='CHAMBRES GARCONS RDC'!$A$47,1,0)</f>
        <v>0</v>
      </c>
      <c r="HG256" s="160">
        <f>IF([Occurrence40]=0,0,SUM($HF$2:HF256))</f>
        <v>0</v>
      </c>
      <c r="HH256" s="160">
        <f>IF([chambre3]*1='CHAMBRES GARCONS RDC'!$A$53,1,0)</f>
        <v>0</v>
      </c>
      <c r="HI256" s="160">
        <f>IF([Occurrence41]=0,0,SUM($HH$2:HH256))</f>
        <v>0</v>
      </c>
      <c r="HJ256" s="160">
        <f>IF([chambre3]*1='CHAMBRES GARCONS RDC'!$A$59,1,0)</f>
        <v>0</v>
      </c>
      <c r="HK256" s="160">
        <f>IF([Occurrence42]=0,0,SUM($HJ$2:HJ256))</f>
        <v>0</v>
      </c>
      <c r="HL256" s="160">
        <f>IF([chambre3]*1='CHAMBRES GARCONS RDC'!$A$65,1,0)</f>
        <v>0</v>
      </c>
      <c r="HM256" s="160">
        <f>IF([Occurrence43]=0,0,SUM($HL$2:HL256))</f>
        <v>0</v>
      </c>
      <c r="HN256" s="160">
        <f>IF([chambre3]*1='CHAMBRES GARCONS RDC'!$A$71,1,0)</f>
        <v>0</v>
      </c>
      <c r="HO256" s="160">
        <f>IF([Occurrence44]=0,0,SUM($HN$2:HN256))</f>
        <v>0</v>
      </c>
      <c r="HP256" s="160">
        <f>IF([chambre3]*1='CHAMBRES GARCONS RDC'!$A$77,1,0)</f>
        <v>0</v>
      </c>
      <c r="HQ256" s="160">
        <f>IF([Occurrence45]=0,0,SUM($HP$2:HP256))</f>
        <v>0</v>
      </c>
      <c r="HR256" s="160">
        <f>IF([chambre3]*1='CHAMBRES GARCONS RDC'!$A$83,1,0)</f>
        <v>0</v>
      </c>
      <c r="HS256" s="160">
        <f>IF([Occurrence46]=0,0,SUM($HR$2:HR256))</f>
        <v>0</v>
      </c>
      <c r="HT256" s="160">
        <f>IF([chambre3]*1='CHAMBRES GARCONS RDC'!$A$89,1,0)</f>
        <v>0</v>
      </c>
      <c r="HU256" s="160">
        <f>IF([Occurrence47]=0,0,SUM($HT$2:HT256))</f>
        <v>0</v>
      </c>
      <c r="HV256" s="160">
        <f>IF([chambre3]*1='CHAMBRES GARCONS RDC'!$A$95,1,0)</f>
        <v>0</v>
      </c>
      <c r="HW256" s="160">
        <f>IF([Occurrence48]=0,0,SUM($HV$2:HV256))</f>
        <v>0</v>
      </c>
      <c r="HX256" s="160"/>
      <c r="HY256" s="160"/>
      <c r="HZ256" s="160">
        <f>IF([Classe]='Liste élève par classes'!$B$5,1,0)</f>
        <v>0</v>
      </c>
      <c r="IA256" s="160">
        <f>IF([Occurrence]=0,0,SUM($HZ$2:HZ256))</f>
        <v>0</v>
      </c>
      <c r="IB25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166</v>
      </c>
      <c r="IC256" s="208"/>
    </row>
    <row r="257" spans="1:237">
      <c r="A257" t="s">
        <v>665</v>
      </c>
      <c r="B257" t="s">
        <v>554</v>
      </c>
      <c r="C257" s="158">
        <v>36776</v>
      </c>
      <c r="D257" s="62">
        <f t="shared" ca="1" si="3"/>
        <v>17</v>
      </c>
      <c r="E257" t="s">
        <v>13</v>
      </c>
      <c r="F257" s="159" t="s">
        <v>50</v>
      </c>
      <c r="G257" t="s">
        <v>45</v>
      </c>
      <c r="H257" s="160"/>
      <c r="I257" s="161"/>
      <c r="J257" s="161"/>
      <c r="K257" s="161"/>
      <c r="L257" s="160">
        <v>180</v>
      </c>
      <c r="M257">
        <v>133</v>
      </c>
      <c r="N257" s="161"/>
      <c r="O257" s="161"/>
      <c r="P257" s="161"/>
      <c r="Q257" s="161"/>
      <c r="R257" s="161"/>
      <c r="S257" s="190"/>
      <c r="T257" s="161"/>
      <c r="U257" s="160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163"/>
      <c r="AG257" s="163"/>
      <c r="AH257" s="163"/>
      <c r="AI257" s="163"/>
      <c r="AJ257" s="163"/>
      <c r="AK257" s="163"/>
      <c r="AL257" s="163"/>
      <c r="AM257" s="163"/>
      <c r="AN257" s="163"/>
      <c r="AO257" s="163"/>
      <c r="AP257" s="163"/>
      <c r="AQ257" s="163"/>
      <c r="AR257" s="163"/>
      <c r="AS257" s="163"/>
      <c r="AT257" s="163"/>
      <c r="AU257" s="163"/>
      <c r="AV257" s="163"/>
      <c r="AW257" s="163"/>
      <c r="AX257" s="163"/>
      <c r="AY257" s="163"/>
      <c r="AZ257" s="163"/>
      <c r="BA257" s="163"/>
      <c r="BB257" s="163"/>
      <c r="BC257" s="163" t="b">
        <v>0</v>
      </c>
      <c r="BD257" s="163" t="b">
        <v>1</v>
      </c>
      <c r="BE257" s="163" t="b">
        <v>1</v>
      </c>
      <c r="BF257" s="163" t="b">
        <v>0</v>
      </c>
      <c r="BG257" s="164" t="b">
        <v>0</v>
      </c>
      <c r="BH257" s="163" t="b">
        <v>1</v>
      </c>
      <c r="BI257" s="163"/>
      <c r="BJ257" s="163"/>
      <c r="BK257" s="163"/>
      <c r="BL257" s="163"/>
      <c r="BM257" s="163"/>
      <c r="BN257" s="163"/>
      <c r="BO257" s="163"/>
      <c r="BP257" s="163"/>
      <c r="BQ257" s="163" t="b">
        <v>0</v>
      </c>
      <c r="BR257" s="163"/>
      <c r="BS257" s="163"/>
      <c r="BT257" s="163"/>
      <c r="BU257" s="163"/>
      <c r="BV257" s="163"/>
      <c r="BW257" s="163"/>
      <c r="BX257" s="163"/>
      <c r="BY257" s="163"/>
      <c r="BZ257" s="163"/>
      <c r="CA257" s="163"/>
      <c r="CB257" s="163"/>
      <c r="CC257" s="163"/>
      <c r="CD257" s="163"/>
      <c r="CE257" s="163"/>
      <c r="CF257" s="163"/>
      <c r="CG257" s="163"/>
      <c r="CH257" s="163"/>
      <c r="CI257" s="163"/>
      <c r="CJ257" s="163"/>
      <c r="CK257" s="163"/>
      <c r="CL257" s="163"/>
      <c r="CM257" s="163"/>
      <c r="CN257" s="163"/>
      <c r="CO257" s="163"/>
      <c r="CP257" s="163"/>
      <c r="CQ257" s="163"/>
      <c r="CR257" s="163"/>
      <c r="CS257" s="163"/>
      <c r="CT257" s="163"/>
      <c r="CU257" s="163"/>
      <c r="CV257" s="163"/>
      <c r="CW257" s="163"/>
      <c r="CX257" s="163"/>
      <c r="CY257" s="163"/>
      <c r="CZ257" s="163"/>
      <c r="DA257" s="163"/>
      <c r="DB257" s="163"/>
      <c r="DC257" s="163"/>
      <c r="DD257" s="163"/>
      <c r="DE257" s="163"/>
      <c r="DF257" s="163"/>
      <c r="DG257" s="208"/>
      <c r="DH257" s="163"/>
      <c r="DI257" s="163"/>
      <c r="DJ257" s="163"/>
      <c r="DK257" s="163"/>
      <c r="DL257" s="163"/>
      <c r="DM257" s="163"/>
      <c r="DN257" s="163"/>
      <c r="DO257" s="163"/>
      <c r="DP257" s="163"/>
      <c r="DQ257" s="163"/>
      <c r="DR257" s="163"/>
      <c r="DS257" s="163"/>
      <c r="DT257" s="163"/>
      <c r="DU257" s="163"/>
      <c r="DV257" s="163"/>
      <c r="DW257" s="163"/>
      <c r="DX257" s="163"/>
      <c r="DY257" s="163"/>
      <c r="DZ257" s="163"/>
      <c r="EA257" s="163"/>
      <c r="EB257" s="163"/>
      <c r="EC257" s="163"/>
      <c r="ED257" s="163"/>
      <c r="EE257" s="163"/>
      <c r="EF257" s="163"/>
      <c r="EG257" s="163"/>
      <c r="EH257" s="160">
        <f>IF([Chambre]*1='CHAMBRES FILLES 2e ETAGE'!$A$5,1,0)</f>
        <v>0</v>
      </c>
      <c r="EI257" s="161">
        <f>IF([Occurrence2]=0,0,SUM($EH$2:EH257))</f>
        <v>0</v>
      </c>
      <c r="EJ257" s="160">
        <f>IF([Chambre]*1='CHAMBRES FILLES 2e ETAGE'!$A$11,1,0)</f>
        <v>0</v>
      </c>
      <c r="EK257" s="160">
        <f>IF([Occurrence3]=0,0,SUM($EJ$2:EJ257))</f>
        <v>0</v>
      </c>
      <c r="EL257" s="160">
        <f>IF([Chambre]*1='CHAMBRES FILLES 2e ETAGE'!$A$17,1,0)</f>
        <v>0</v>
      </c>
      <c r="EM257" s="160">
        <f>IF([Occurrence4]=0,0,SUM($EL$2:EL257))</f>
        <v>0</v>
      </c>
      <c r="EN257" s="160">
        <f>IF([Chambre]*1='CHAMBRES FILLES 2e ETAGE'!$A$23,1,0)</f>
        <v>0</v>
      </c>
      <c r="EO257" s="160">
        <f>IF([Occurrence5]=0,0,SUM($EN$2:EN257))</f>
        <v>0</v>
      </c>
      <c r="EP257" s="160">
        <f>IF([Chambre]*1='CHAMBRES FILLES 2e ETAGE'!$A$29,1,0)</f>
        <v>0</v>
      </c>
      <c r="EQ257" s="160">
        <f>IF([Occurrence6]=0,0,SUM($EP$2:EP257))</f>
        <v>0</v>
      </c>
      <c r="ER257" s="160">
        <f>IF([Chambre]*1='CHAMBRES FILLES 2e ETAGE'!$A$35,1,0)</f>
        <v>0</v>
      </c>
      <c r="ES257" s="160">
        <f>IF([Occurrence7]=0,0,SUM($ER$2:ER257))</f>
        <v>0</v>
      </c>
      <c r="ET257" s="160">
        <f>IF([Chambre]*1='CHAMBRES FILLES 2e ETAGE'!$A$41,1,0)</f>
        <v>0</v>
      </c>
      <c r="EU257" s="160">
        <f>IF([Occurrence8]=0,0,SUM($ET$2:ET257))</f>
        <v>0</v>
      </c>
      <c r="EV257" s="160">
        <f>IF([Chambre]*1='CHAMBRES FILLES 2e ETAGE'!$A$47,1,0)</f>
        <v>0</v>
      </c>
      <c r="EW257" s="160">
        <f>IF([Occurrence9]=0,0,SUM($EV$2:EV257))</f>
        <v>0</v>
      </c>
      <c r="EX257" s="160">
        <f>IF([Chambre]*1='CHAMBRES FILLES 2e ETAGE'!$A$53,1,0)</f>
        <v>0</v>
      </c>
      <c r="EY257" s="160">
        <f>IF([Occurrence10]=0,0,SUM($EX$2:EX257))</f>
        <v>0</v>
      </c>
      <c r="EZ257" s="160">
        <f>IF([Chambre]*1='CHAMBRES FILLES 2e ETAGE'!$A$59,1,0)</f>
        <v>0</v>
      </c>
      <c r="FA257" s="160">
        <f>IF([Occurrence11]=0,0,SUM($EZ$2:EZ257))</f>
        <v>0</v>
      </c>
      <c r="FB257" s="160">
        <f>IF([Chambre]*1='CHAMBRES FILLES 2e ETAGE'!$A$65,1,0)</f>
        <v>0</v>
      </c>
      <c r="FC257" s="160">
        <f>IF([Occurrence12]=0,0,SUM($FB$2:FB257))</f>
        <v>0</v>
      </c>
      <c r="FD257" s="160">
        <f>IF([Chambre]*1='CHAMBRES FILLES 2e ETAGE'!$A$71,1,0)</f>
        <v>0</v>
      </c>
      <c r="FE257" s="160">
        <f>IF([Occurrence13]=0,0,SUM($FD$2:FD257))</f>
        <v>0</v>
      </c>
      <c r="FF257" s="160">
        <f>IF([Chambre]*1='CHAMBRES FILLES 2e ETAGE'!$A$77,1,0)</f>
        <v>0</v>
      </c>
      <c r="FG257" s="160">
        <f>IF([Occurrence14]=0,0,SUM($FF$2:FF257))</f>
        <v>0</v>
      </c>
      <c r="FH257" s="160">
        <f>IF([Chambre]*1='CHAMBRES FILLES 2e ETAGE'!$A$83,1,0)</f>
        <v>0</v>
      </c>
      <c r="FI257" s="160">
        <f>IF([Occurrence15]=0,0,SUM($FH$2:FH257))</f>
        <v>0</v>
      </c>
      <c r="FJ257" s="160">
        <f>IF([Chambre]*1='CHAMBRES FILLES 2e ETAGE'!$A$89,1,0)</f>
        <v>1</v>
      </c>
      <c r="FK257" s="160">
        <f>IF([Occurrence16]=0,0,SUM($FJ$2:FJ257))</f>
        <v>3</v>
      </c>
      <c r="FL257" s="160">
        <f>IF([Chambre]*1='CHAMBRES FILLES 2e ETAGE'!$A$95,1,0)</f>
        <v>0</v>
      </c>
      <c r="FM257" s="160">
        <f>IF([Occurrence17]=0,0,SUM($FL$2:FL257))</f>
        <v>0</v>
      </c>
      <c r="FN257" s="160">
        <f>IF([Chambre2]*1='CHAMBRES FILLES 1e ETAGE'!$A$5,1,0)</f>
        <v>0</v>
      </c>
      <c r="FO257" s="160">
        <f>IF([Occurrence18]=0,0,SUM($FN$2:FN257))</f>
        <v>0</v>
      </c>
      <c r="FP257" s="160">
        <f>IF([Chambre2]*1='CHAMBRES FILLES 1e ETAGE'!$A$11,1,0)</f>
        <v>0</v>
      </c>
      <c r="FQ257" s="160">
        <f>IF([Occurrence19]=0,0,SUM($FP$2:FP257))</f>
        <v>0</v>
      </c>
      <c r="FR257" s="160">
        <f>IF([Chambre2]*1='CHAMBRES FILLES 1e ETAGE'!$A$17,1,0)</f>
        <v>0</v>
      </c>
      <c r="FS257" s="160">
        <f>IF([Occurrence20]=0,0,SUM($FR$2:FR257))</f>
        <v>0</v>
      </c>
      <c r="FT257" s="160">
        <f>IF([Chambre2]*1='CHAMBRES FILLES 1e ETAGE'!$A$23,1,0)</f>
        <v>0</v>
      </c>
      <c r="FU257" s="160">
        <f>IF([Occurrence21]=0,0,SUM($FT$2:FT257))</f>
        <v>0</v>
      </c>
      <c r="FV257" s="160">
        <f>IF([Chambre2]*1='CHAMBRES FILLES 1e ETAGE'!$A$29,1,0)</f>
        <v>0</v>
      </c>
      <c r="FW257" s="160">
        <f>IF([Occurrence22]=0,0,SUM($FV$2:FV257))</f>
        <v>0</v>
      </c>
      <c r="FX257" s="160">
        <f>IF([Chambre2]*1='CHAMBRES FILLES 1e ETAGE'!$A$35,1,0)</f>
        <v>0</v>
      </c>
      <c r="FY257" s="160">
        <f>IF([Occurrence23]=0,0,SUM($FX$2:FX257))</f>
        <v>0</v>
      </c>
      <c r="FZ257" s="160">
        <f>IF([Chambre2]*1='CHAMBRES FILLES 1e ETAGE'!$A$41,1,0)</f>
        <v>0</v>
      </c>
      <c r="GA257" s="160">
        <f>IF([Occurrence24]=0,0,SUM($FZ$2:FZ257))</f>
        <v>0</v>
      </c>
      <c r="GB257" s="160">
        <f>IF([Chambre2]*1='CHAMBRES FILLES 1e ETAGE'!$A$47,1,0)</f>
        <v>0</v>
      </c>
      <c r="GC257" s="160">
        <f>IF([Occurrence25]=0,0,SUM($GB$2:GB257))</f>
        <v>0</v>
      </c>
      <c r="GD257" s="160">
        <f>IF([Chambre2]*1='CHAMBRES FILLES 1e ETAGE'!$A$53,1,0)</f>
        <v>0</v>
      </c>
      <c r="GE257" s="160">
        <f>IF([Occurrence26]=0,0,SUM($GD$2:GD257))</f>
        <v>0</v>
      </c>
      <c r="GF257" s="160">
        <f>IF([chambre4]*1='CHAMBRES GARCONS 1e ETAGE'!$A$5,1,0)</f>
        <v>0</v>
      </c>
      <c r="GG257" s="160">
        <f>IF([Occurrence27]=0,0,SUM($GF$2:GF257))</f>
        <v>0</v>
      </c>
      <c r="GH257" s="160">
        <f>IF([chambre4]*1='CHAMBRES GARCONS 1e ETAGE'!$A$11,1,0)</f>
        <v>0</v>
      </c>
      <c r="GI257" s="160">
        <f>IF([Occurrence28]=0,0,SUM($GH$2:GH257))</f>
        <v>0</v>
      </c>
      <c r="GJ257" s="160">
        <f>IF([chambre4]*1='CHAMBRES GARCONS 1e ETAGE'!$A$17,1,0)</f>
        <v>0</v>
      </c>
      <c r="GK257" s="160">
        <f>IF([Occurrence29]=0,0,SUM($GJ$2:GJ257))</f>
        <v>0</v>
      </c>
      <c r="GL257" s="160">
        <f>IF([chambre4]*1='CHAMBRES GARCONS 1e ETAGE'!$A$23,1,0)</f>
        <v>0</v>
      </c>
      <c r="GM257" s="160">
        <f>IF([Occurrence30]=0,0,SUM($GL$2:GL257))</f>
        <v>0</v>
      </c>
      <c r="GN257" s="160">
        <f>IF([chambre4]*1='CHAMBRES GARCONS 1e ETAGE'!$A$29,1,0)</f>
        <v>0</v>
      </c>
      <c r="GO257" s="160">
        <f>IF([Occurrence31]=0,0,SUM($GN$2:GN257))</f>
        <v>0</v>
      </c>
      <c r="GP257" s="160">
        <f>IF([chambre4]*1='CHAMBRES GARCONS 1e ETAGE'!$A$35,1,0)</f>
        <v>0</v>
      </c>
      <c r="GQ257" s="160">
        <f>IF([Occurrence32]=0,0,SUM($GP$2:GP257))</f>
        <v>0</v>
      </c>
      <c r="GR257" s="160">
        <f>IF([chambre3]*1='CHAMBRES GARCONS RDC'!$A$5,1,0)</f>
        <v>0</v>
      </c>
      <c r="GS257" s="160">
        <f>IF([Occurrence33]=0,0,SUM($GR$2:GR257))</f>
        <v>0</v>
      </c>
      <c r="GT257" s="160">
        <f>IF([chambre3]*1='CHAMBRES GARCONS RDC'!$A$11,1,0)</f>
        <v>0</v>
      </c>
      <c r="GU257" s="160">
        <f>IF([Occurrence34]=0,0,SUM($GT$2:GT257))</f>
        <v>0</v>
      </c>
      <c r="GV257" s="160">
        <f>IF([chambre3]*1='CHAMBRES GARCONS RDC'!$A$17,1,0)</f>
        <v>0</v>
      </c>
      <c r="GW257" s="160">
        <f>IF([Occurrence35]=0,0,SUM($GV$2:GV257))</f>
        <v>0</v>
      </c>
      <c r="GX257" s="160">
        <f>IF([chambre3]*1='CHAMBRES GARCONS RDC'!$A$23,1,0)</f>
        <v>0</v>
      </c>
      <c r="GY257" s="160">
        <f>IF([Occurrence36]=0,0,SUM($GX$2:GX257))</f>
        <v>0</v>
      </c>
      <c r="GZ257" s="160">
        <f>IF([chambre3]*1='CHAMBRES GARCONS RDC'!$A$29,1,0)</f>
        <v>0</v>
      </c>
      <c r="HA257" s="160">
        <f>IF([Occurrence37]=0,0,SUM($GZ$2:GZ257))</f>
        <v>0</v>
      </c>
      <c r="HB257" s="160">
        <f>IF([chambre3]*1='CHAMBRES GARCONS RDC'!$A$35,1,0)</f>
        <v>0</v>
      </c>
      <c r="HC257" s="160">
        <f>IF([Occurrence38]=0,0,SUM($HB$2:HB257))</f>
        <v>0</v>
      </c>
      <c r="HD257" s="160">
        <f>IF([chambre3]*1='CHAMBRES GARCONS RDC'!$A$41,1,0)</f>
        <v>0</v>
      </c>
      <c r="HE257" s="160">
        <f>IF([Occurrence39]=0,0,SUM($HD$2:HD257))</f>
        <v>0</v>
      </c>
      <c r="HF257" s="160">
        <f>IF([chambre3]*1='CHAMBRES GARCONS RDC'!$A$47,1,0)</f>
        <v>0</v>
      </c>
      <c r="HG257" s="160">
        <f>IF([Occurrence40]=0,0,SUM($HF$2:HF257))</f>
        <v>0</v>
      </c>
      <c r="HH257" s="160">
        <f>IF([chambre3]*1='CHAMBRES GARCONS RDC'!$A$53,1,0)</f>
        <v>0</v>
      </c>
      <c r="HI257" s="160">
        <f>IF([Occurrence41]=0,0,SUM($HH$2:HH257))</f>
        <v>0</v>
      </c>
      <c r="HJ257" s="160">
        <f>IF([chambre3]*1='CHAMBRES GARCONS RDC'!$A$59,1,0)</f>
        <v>0</v>
      </c>
      <c r="HK257" s="160">
        <f>IF([Occurrence42]=0,0,SUM($HJ$2:HJ257))</f>
        <v>0</v>
      </c>
      <c r="HL257" s="160">
        <f>IF([chambre3]*1='CHAMBRES GARCONS RDC'!$A$65,1,0)</f>
        <v>0</v>
      </c>
      <c r="HM257" s="160">
        <f>IF([Occurrence43]=0,0,SUM($HL$2:HL257))</f>
        <v>0</v>
      </c>
      <c r="HN257" s="160">
        <f>IF([chambre3]*1='CHAMBRES GARCONS RDC'!$A$71,1,0)</f>
        <v>0</v>
      </c>
      <c r="HO257" s="160">
        <f>IF([Occurrence44]=0,0,SUM($HN$2:HN257))</f>
        <v>0</v>
      </c>
      <c r="HP257" s="160">
        <f>IF([chambre3]*1='CHAMBRES GARCONS RDC'!$A$77,1,0)</f>
        <v>0</v>
      </c>
      <c r="HQ257" s="160">
        <f>IF([Occurrence45]=0,0,SUM($HP$2:HP257))</f>
        <v>0</v>
      </c>
      <c r="HR257" s="160">
        <f>IF([chambre3]*1='CHAMBRES GARCONS RDC'!$A$83,1,0)</f>
        <v>0</v>
      </c>
      <c r="HS257" s="160">
        <f>IF([Occurrence46]=0,0,SUM($HR$2:HR257))</f>
        <v>0</v>
      </c>
      <c r="HT257" s="160">
        <f>IF([chambre3]*1='CHAMBRES GARCONS RDC'!$A$89,1,0)</f>
        <v>0</v>
      </c>
      <c r="HU257" s="160">
        <f>IF([Occurrence47]=0,0,SUM($HT$2:HT257))</f>
        <v>0</v>
      </c>
      <c r="HV257" s="160">
        <f>IF([chambre3]*1='CHAMBRES GARCONS RDC'!$A$95,1,0)</f>
        <v>0</v>
      </c>
      <c r="HW257" s="160">
        <f>IF([Occurrence48]=0,0,SUM($HV$2:HV257))</f>
        <v>0</v>
      </c>
      <c r="HX257" s="160"/>
      <c r="HY257" s="160"/>
      <c r="HZ257" s="160">
        <f>IF([Classe]='Liste élève par classes'!$B$5,1,0)</f>
        <v>0</v>
      </c>
      <c r="IA257" s="160">
        <f>IF([Occurrence]=0,0,SUM($HZ$2:HZ257))</f>
        <v>0</v>
      </c>
      <c r="IB25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180</v>
      </c>
      <c r="IC257" s="208"/>
    </row>
    <row r="258" spans="1:237">
      <c r="A258" t="s">
        <v>666</v>
      </c>
      <c r="B258" t="s">
        <v>509</v>
      </c>
      <c r="C258" s="158">
        <v>36729</v>
      </c>
      <c r="D258" s="62">
        <f t="shared" ca="1" si="3"/>
        <v>17</v>
      </c>
      <c r="E258" t="s">
        <v>1</v>
      </c>
      <c r="F258" s="159" t="s">
        <v>50</v>
      </c>
      <c r="G258" t="s">
        <v>45</v>
      </c>
      <c r="H258" s="160"/>
      <c r="I258" s="161"/>
      <c r="J258" s="161"/>
      <c r="K258" s="161"/>
      <c r="L258" s="160"/>
      <c r="M258">
        <v>233</v>
      </c>
      <c r="N258" s="161"/>
      <c r="O258" s="161"/>
      <c r="P258" s="161"/>
      <c r="Q258" s="161"/>
      <c r="R258" s="161"/>
      <c r="S258" s="190"/>
      <c r="T258" s="161"/>
      <c r="U258" s="160">
        <v>144</v>
      </c>
      <c r="V258" s="161"/>
      <c r="W258" s="161"/>
      <c r="X258" s="161"/>
      <c r="Y258" s="161"/>
      <c r="Z258" s="161"/>
      <c r="AA258" s="161"/>
      <c r="AB258" s="161"/>
      <c r="AC258" s="161"/>
      <c r="AD258" s="161"/>
      <c r="AE258" s="161"/>
      <c r="AF258" s="163"/>
      <c r="AG258" s="163"/>
      <c r="AH258" s="163"/>
      <c r="AI258" s="163"/>
      <c r="AJ258" s="163"/>
      <c r="AK258" s="163"/>
      <c r="AL258" s="163"/>
      <c r="AM258" s="163"/>
      <c r="AN258" s="163"/>
      <c r="AO258" s="163"/>
      <c r="AP258" s="163"/>
      <c r="AQ258" s="163"/>
      <c r="AR258" s="163"/>
      <c r="AS258" s="163"/>
      <c r="AT258" s="163"/>
      <c r="AU258" s="163"/>
      <c r="AV258" s="163"/>
      <c r="AW258" s="163"/>
      <c r="AX258" s="163"/>
      <c r="AY258" s="163"/>
      <c r="AZ258" s="163"/>
      <c r="BA258" s="163"/>
      <c r="BB258" s="163"/>
      <c r="BC258" s="163" t="b">
        <v>0</v>
      </c>
      <c r="BD258" s="163" t="b">
        <v>1</v>
      </c>
      <c r="BE258" s="163" t="b">
        <v>1</v>
      </c>
      <c r="BF258" s="163" t="b">
        <v>0</v>
      </c>
      <c r="BG258" s="164" t="b">
        <v>0</v>
      </c>
      <c r="BH258" s="163" t="b">
        <v>1</v>
      </c>
      <c r="BI258" s="163"/>
      <c r="BJ258" s="163"/>
      <c r="BK258" s="163"/>
      <c r="BL258" s="163"/>
      <c r="BM258" s="163"/>
      <c r="BN258" s="163"/>
      <c r="BO258" s="163"/>
      <c r="BP258" s="163"/>
      <c r="BQ258" s="163" t="b">
        <v>0</v>
      </c>
      <c r="BR258" s="163"/>
      <c r="BS258" s="163"/>
      <c r="BT258" s="163"/>
      <c r="BU258" s="163"/>
      <c r="BV258" s="163"/>
      <c r="BW258" s="163"/>
      <c r="BX258" s="163"/>
      <c r="BY258" s="163"/>
      <c r="BZ258" s="163"/>
      <c r="CA258" s="163"/>
      <c r="CB258" s="163"/>
      <c r="CC258" s="163"/>
      <c r="CD258" s="163"/>
      <c r="CE258" s="163"/>
      <c r="CF258" s="163"/>
      <c r="CG258" s="163"/>
      <c r="CH258" s="163"/>
      <c r="CI258" s="163"/>
      <c r="CJ258" s="163"/>
      <c r="CK258" s="163"/>
      <c r="CL258" s="163"/>
      <c r="CM258" s="163"/>
      <c r="CN258" s="163"/>
      <c r="CO258" s="163"/>
      <c r="CP258" s="163"/>
      <c r="CQ258" s="163"/>
      <c r="CR258" s="163"/>
      <c r="CS258" s="163"/>
      <c r="CT258" s="163"/>
      <c r="CU258" s="163"/>
      <c r="CV258" s="163"/>
      <c r="CW258" s="163"/>
      <c r="CX258" s="163"/>
      <c r="CY258" s="163"/>
      <c r="CZ258" s="163"/>
      <c r="DA258" s="163"/>
      <c r="DB258" s="163"/>
      <c r="DC258" s="163"/>
      <c r="DD258" s="163"/>
      <c r="DE258" s="163"/>
      <c r="DF258" s="163"/>
      <c r="DG258" s="208"/>
      <c r="DH258" s="163"/>
      <c r="DI258" s="163"/>
      <c r="DJ258" s="163"/>
      <c r="DK258" s="163"/>
      <c r="DL258" s="163"/>
      <c r="DM258" s="163"/>
      <c r="DN258" s="163"/>
      <c r="DO258" s="163"/>
      <c r="DP258" s="163"/>
      <c r="DQ258" s="163"/>
      <c r="DR258" s="163"/>
      <c r="DS258" s="163"/>
      <c r="DT258" s="163"/>
      <c r="DU258" s="163"/>
      <c r="DV258" s="163"/>
      <c r="DW258" s="163"/>
      <c r="DX258" s="163"/>
      <c r="DY258" s="163"/>
      <c r="DZ258" s="163"/>
      <c r="EA258" s="163"/>
      <c r="EB258" s="163"/>
      <c r="EC258" s="163"/>
      <c r="ED258" s="163"/>
      <c r="EE258" s="163"/>
      <c r="EF258" s="163"/>
      <c r="EG258" s="163"/>
      <c r="EH258" s="160">
        <f>IF([Chambre]*1='CHAMBRES FILLES 2e ETAGE'!$A$5,1,0)</f>
        <v>0</v>
      </c>
      <c r="EI258" s="161">
        <f>IF([Occurrence2]=0,0,SUM($EH$2:EH258))</f>
        <v>0</v>
      </c>
      <c r="EJ258" s="160">
        <f>IF([Chambre]*1='CHAMBRES FILLES 2e ETAGE'!$A$11,1,0)</f>
        <v>0</v>
      </c>
      <c r="EK258" s="160">
        <f>IF([Occurrence3]=0,0,SUM($EJ$2:EJ258))</f>
        <v>0</v>
      </c>
      <c r="EL258" s="160">
        <f>IF([Chambre]*1='CHAMBRES FILLES 2e ETAGE'!$A$17,1,0)</f>
        <v>0</v>
      </c>
      <c r="EM258" s="160">
        <f>IF([Occurrence4]=0,0,SUM($EL$2:EL258))</f>
        <v>0</v>
      </c>
      <c r="EN258" s="160">
        <f>IF([Chambre]*1='CHAMBRES FILLES 2e ETAGE'!$A$23,1,0)</f>
        <v>0</v>
      </c>
      <c r="EO258" s="160">
        <f>IF([Occurrence5]=0,0,SUM($EN$2:EN258))</f>
        <v>0</v>
      </c>
      <c r="EP258" s="160">
        <f>IF([Chambre]*1='CHAMBRES FILLES 2e ETAGE'!$A$29,1,0)</f>
        <v>0</v>
      </c>
      <c r="EQ258" s="160">
        <f>IF([Occurrence6]=0,0,SUM($EP$2:EP258))</f>
        <v>0</v>
      </c>
      <c r="ER258" s="160">
        <f>IF([Chambre]*1='CHAMBRES FILLES 2e ETAGE'!$A$35,1,0)</f>
        <v>0</v>
      </c>
      <c r="ES258" s="160">
        <f>IF([Occurrence7]=0,0,SUM($ER$2:ER258))</f>
        <v>0</v>
      </c>
      <c r="ET258" s="160">
        <f>IF([Chambre]*1='CHAMBRES FILLES 2e ETAGE'!$A$41,1,0)</f>
        <v>0</v>
      </c>
      <c r="EU258" s="160">
        <f>IF([Occurrence8]=0,0,SUM($ET$2:ET258))</f>
        <v>0</v>
      </c>
      <c r="EV258" s="160">
        <f>IF([Chambre]*1='CHAMBRES FILLES 2e ETAGE'!$A$47,1,0)</f>
        <v>0</v>
      </c>
      <c r="EW258" s="160">
        <f>IF([Occurrence9]=0,0,SUM($EV$2:EV258))</f>
        <v>0</v>
      </c>
      <c r="EX258" s="160">
        <f>IF([Chambre]*1='CHAMBRES FILLES 2e ETAGE'!$A$53,1,0)</f>
        <v>0</v>
      </c>
      <c r="EY258" s="160">
        <f>IF([Occurrence10]=0,0,SUM($EX$2:EX258))</f>
        <v>0</v>
      </c>
      <c r="EZ258" s="160">
        <f>IF([Chambre]*1='CHAMBRES FILLES 2e ETAGE'!$A$59,1,0)</f>
        <v>0</v>
      </c>
      <c r="FA258" s="160">
        <f>IF([Occurrence11]=0,0,SUM($EZ$2:EZ258))</f>
        <v>0</v>
      </c>
      <c r="FB258" s="160">
        <f>IF([Chambre]*1='CHAMBRES FILLES 2e ETAGE'!$A$65,1,0)</f>
        <v>0</v>
      </c>
      <c r="FC258" s="160">
        <f>IF([Occurrence12]=0,0,SUM($FB$2:FB258))</f>
        <v>0</v>
      </c>
      <c r="FD258" s="160">
        <f>IF([Chambre]*1='CHAMBRES FILLES 2e ETAGE'!$A$71,1,0)</f>
        <v>0</v>
      </c>
      <c r="FE258" s="160">
        <f>IF([Occurrence13]=0,0,SUM($FD$2:FD258))</f>
        <v>0</v>
      </c>
      <c r="FF258" s="160">
        <f>IF([Chambre]*1='CHAMBRES FILLES 2e ETAGE'!$A$77,1,0)</f>
        <v>0</v>
      </c>
      <c r="FG258" s="160">
        <f>IF([Occurrence14]=0,0,SUM($FF$2:FF258))</f>
        <v>0</v>
      </c>
      <c r="FH258" s="160">
        <f>IF([Chambre]*1='CHAMBRES FILLES 2e ETAGE'!$A$83,1,0)</f>
        <v>0</v>
      </c>
      <c r="FI258" s="160">
        <f>IF([Occurrence15]=0,0,SUM($FH$2:FH258))</f>
        <v>0</v>
      </c>
      <c r="FJ258" s="160">
        <f>IF([Chambre]*1='CHAMBRES FILLES 2e ETAGE'!$A$89,1,0)</f>
        <v>0</v>
      </c>
      <c r="FK258" s="160">
        <f>IF([Occurrence16]=0,0,SUM($FJ$2:FJ258))</f>
        <v>0</v>
      </c>
      <c r="FL258" s="160">
        <f>IF([Chambre]*1='CHAMBRES FILLES 2e ETAGE'!$A$95,1,0)</f>
        <v>0</v>
      </c>
      <c r="FM258" s="160">
        <f>IF([Occurrence17]=0,0,SUM($FL$2:FL258))</f>
        <v>0</v>
      </c>
      <c r="FN258" s="160">
        <f>IF([Chambre2]*1='CHAMBRES FILLES 1e ETAGE'!$A$5,1,0)</f>
        <v>0</v>
      </c>
      <c r="FO258" s="160">
        <f>IF([Occurrence18]=0,0,SUM($FN$2:FN258))</f>
        <v>0</v>
      </c>
      <c r="FP258" s="160">
        <f>IF([Chambre2]*1='CHAMBRES FILLES 1e ETAGE'!$A$11,1,0)</f>
        <v>0</v>
      </c>
      <c r="FQ258" s="160">
        <f>IF([Occurrence19]=0,0,SUM($FP$2:FP258))</f>
        <v>0</v>
      </c>
      <c r="FR258" s="160">
        <f>IF([Chambre2]*1='CHAMBRES FILLES 1e ETAGE'!$A$17,1,0)</f>
        <v>0</v>
      </c>
      <c r="FS258" s="160">
        <f>IF([Occurrence20]=0,0,SUM($FR$2:FR258))</f>
        <v>0</v>
      </c>
      <c r="FT258" s="160">
        <f>IF([Chambre2]*1='CHAMBRES FILLES 1e ETAGE'!$A$23,1,0)</f>
        <v>0</v>
      </c>
      <c r="FU258" s="160">
        <f>IF([Occurrence21]=0,0,SUM($FT$2:FT258))</f>
        <v>0</v>
      </c>
      <c r="FV258" s="160">
        <f>IF([Chambre2]*1='CHAMBRES FILLES 1e ETAGE'!$A$29,1,0)</f>
        <v>0</v>
      </c>
      <c r="FW258" s="160">
        <f>IF([Occurrence22]=0,0,SUM($FV$2:FV258))</f>
        <v>0</v>
      </c>
      <c r="FX258" s="160">
        <f>IF([Chambre2]*1='CHAMBRES FILLES 1e ETAGE'!$A$35,1,0)</f>
        <v>0</v>
      </c>
      <c r="FY258" s="160">
        <f>IF([Occurrence23]=0,0,SUM($FX$2:FX258))</f>
        <v>0</v>
      </c>
      <c r="FZ258" s="160">
        <f>IF([Chambre2]*1='CHAMBRES FILLES 1e ETAGE'!$A$41,1,0)</f>
        <v>0</v>
      </c>
      <c r="GA258" s="160">
        <f>IF([Occurrence24]=0,0,SUM($FZ$2:FZ258))</f>
        <v>0</v>
      </c>
      <c r="GB258" s="160">
        <f>IF([Chambre2]*1='CHAMBRES FILLES 1e ETAGE'!$A$47,1,0)</f>
        <v>1</v>
      </c>
      <c r="GC258" s="160">
        <f>IF([Occurrence25]=0,0,SUM($GB$2:GB258))</f>
        <v>4</v>
      </c>
      <c r="GD258" s="160">
        <f>IF([Chambre2]*1='CHAMBRES FILLES 1e ETAGE'!$A$53,1,0)</f>
        <v>0</v>
      </c>
      <c r="GE258" s="160">
        <f>IF([Occurrence26]=0,0,SUM($GD$2:GD258))</f>
        <v>0</v>
      </c>
      <c r="GF258" s="160">
        <f>IF([chambre4]*1='CHAMBRES GARCONS 1e ETAGE'!$A$5,1,0)</f>
        <v>0</v>
      </c>
      <c r="GG258" s="160">
        <f>IF([Occurrence27]=0,0,SUM($GF$2:GF258))</f>
        <v>0</v>
      </c>
      <c r="GH258" s="160">
        <f>IF([chambre4]*1='CHAMBRES GARCONS 1e ETAGE'!$A$11,1,0)</f>
        <v>0</v>
      </c>
      <c r="GI258" s="160">
        <f>IF([Occurrence28]=0,0,SUM($GH$2:GH258))</f>
        <v>0</v>
      </c>
      <c r="GJ258" s="160">
        <f>IF([chambre4]*1='CHAMBRES GARCONS 1e ETAGE'!$A$17,1,0)</f>
        <v>0</v>
      </c>
      <c r="GK258" s="160">
        <f>IF([Occurrence29]=0,0,SUM($GJ$2:GJ258))</f>
        <v>0</v>
      </c>
      <c r="GL258" s="160">
        <f>IF([chambre4]*1='CHAMBRES GARCONS 1e ETAGE'!$A$23,1,0)</f>
        <v>0</v>
      </c>
      <c r="GM258" s="160">
        <f>IF([Occurrence30]=0,0,SUM($GL$2:GL258))</f>
        <v>0</v>
      </c>
      <c r="GN258" s="160">
        <f>IF([chambre4]*1='CHAMBRES GARCONS 1e ETAGE'!$A$29,1,0)</f>
        <v>0</v>
      </c>
      <c r="GO258" s="160">
        <f>IF([Occurrence31]=0,0,SUM($GN$2:GN258))</f>
        <v>0</v>
      </c>
      <c r="GP258" s="160">
        <f>IF([chambre4]*1='CHAMBRES GARCONS 1e ETAGE'!$A$35,1,0)</f>
        <v>0</v>
      </c>
      <c r="GQ258" s="160">
        <f>IF([Occurrence32]=0,0,SUM($GP$2:GP258))</f>
        <v>0</v>
      </c>
      <c r="GR258" s="160">
        <f>IF([chambre3]*1='CHAMBRES GARCONS RDC'!$A$5,1,0)</f>
        <v>0</v>
      </c>
      <c r="GS258" s="160">
        <f>IF([Occurrence33]=0,0,SUM($GR$2:GR258))</f>
        <v>0</v>
      </c>
      <c r="GT258" s="160">
        <f>IF([chambre3]*1='CHAMBRES GARCONS RDC'!$A$11,1,0)</f>
        <v>0</v>
      </c>
      <c r="GU258" s="160">
        <f>IF([Occurrence34]=0,0,SUM($GT$2:GT258))</f>
        <v>0</v>
      </c>
      <c r="GV258" s="160">
        <f>IF([chambre3]*1='CHAMBRES GARCONS RDC'!$A$17,1,0)</f>
        <v>0</v>
      </c>
      <c r="GW258" s="160">
        <f>IF([Occurrence35]=0,0,SUM($GV$2:GV258))</f>
        <v>0</v>
      </c>
      <c r="GX258" s="160">
        <f>IF([chambre3]*1='CHAMBRES GARCONS RDC'!$A$23,1,0)</f>
        <v>0</v>
      </c>
      <c r="GY258" s="160">
        <f>IF([Occurrence36]=0,0,SUM($GX$2:GX258))</f>
        <v>0</v>
      </c>
      <c r="GZ258" s="160">
        <f>IF([chambre3]*1='CHAMBRES GARCONS RDC'!$A$29,1,0)</f>
        <v>0</v>
      </c>
      <c r="HA258" s="160">
        <f>IF([Occurrence37]=0,0,SUM($GZ$2:GZ258))</f>
        <v>0</v>
      </c>
      <c r="HB258" s="160">
        <f>IF([chambre3]*1='CHAMBRES GARCONS RDC'!$A$35,1,0)</f>
        <v>0</v>
      </c>
      <c r="HC258" s="160">
        <f>IF([Occurrence38]=0,0,SUM($HB$2:HB258))</f>
        <v>0</v>
      </c>
      <c r="HD258" s="160">
        <f>IF([chambre3]*1='CHAMBRES GARCONS RDC'!$A$41,1,0)</f>
        <v>0</v>
      </c>
      <c r="HE258" s="160">
        <f>IF([Occurrence39]=0,0,SUM($HD$2:HD258))</f>
        <v>0</v>
      </c>
      <c r="HF258" s="160">
        <f>IF([chambre3]*1='CHAMBRES GARCONS RDC'!$A$47,1,0)</f>
        <v>0</v>
      </c>
      <c r="HG258" s="160">
        <f>IF([Occurrence40]=0,0,SUM($HF$2:HF258))</f>
        <v>0</v>
      </c>
      <c r="HH258" s="160">
        <f>IF([chambre3]*1='CHAMBRES GARCONS RDC'!$A$53,1,0)</f>
        <v>0</v>
      </c>
      <c r="HI258" s="160">
        <f>IF([Occurrence41]=0,0,SUM($HH$2:HH258))</f>
        <v>0</v>
      </c>
      <c r="HJ258" s="160">
        <f>IF([chambre3]*1='CHAMBRES GARCONS RDC'!$A$59,1,0)</f>
        <v>0</v>
      </c>
      <c r="HK258" s="160">
        <f>IF([Occurrence42]=0,0,SUM($HJ$2:HJ258))</f>
        <v>0</v>
      </c>
      <c r="HL258" s="160">
        <f>IF([chambre3]*1='CHAMBRES GARCONS RDC'!$A$65,1,0)</f>
        <v>0</v>
      </c>
      <c r="HM258" s="160">
        <f>IF([Occurrence43]=0,0,SUM($HL$2:HL258))</f>
        <v>0</v>
      </c>
      <c r="HN258" s="160">
        <f>IF([chambre3]*1='CHAMBRES GARCONS RDC'!$A$71,1,0)</f>
        <v>0</v>
      </c>
      <c r="HO258" s="160">
        <f>IF([Occurrence44]=0,0,SUM($HN$2:HN258))</f>
        <v>0</v>
      </c>
      <c r="HP258" s="160">
        <f>IF([chambre3]*1='CHAMBRES GARCONS RDC'!$A$77,1,0)</f>
        <v>0</v>
      </c>
      <c r="HQ258" s="160">
        <f>IF([Occurrence45]=0,0,SUM($HP$2:HP258))</f>
        <v>0</v>
      </c>
      <c r="HR258" s="160">
        <f>IF([chambre3]*1='CHAMBRES GARCONS RDC'!$A$83,1,0)</f>
        <v>0</v>
      </c>
      <c r="HS258" s="160">
        <f>IF([Occurrence46]=0,0,SUM($HR$2:HR258))</f>
        <v>0</v>
      </c>
      <c r="HT258" s="160">
        <f>IF([chambre3]*1='CHAMBRES GARCONS RDC'!$A$89,1,0)</f>
        <v>0</v>
      </c>
      <c r="HU258" s="160">
        <f>IF([Occurrence47]=0,0,SUM($HT$2:HT258))</f>
        <v>0</v>
      </c>
      <c r="HV258" s="160">
        <f>IF([chambre3]*1='CHAMBRES GARCONS RDC'!$A$95,1,0)</f>
        <v>0</v>
      </c>
      <c r="HW258" s="160">
        <f>IF([Occurrence48]=0,0,SUM($HV$2:HV258))</f>
        <v>0</v>
      </c>
      <c r="HX258" s="160"/>
      <c r="HY258" s="160"/>
      <c r="HZ258" s="160">
        <f>IF([Classe]='Liste élève par classes'!$B$5,1,0)</f>
        <v>0</v>
      </c>
      <c r="IA258" s="160">
        <f>IF([Occurrence]=0,0,SUM($HZ$2:HZ258))</f>
        <v>0</v>
      </c>
      <c r="IB25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144</v>
      </c>
      <c r="IC258" s="208"/>
    </row>
    <row r="259" spans="1:237">
      <c r="A259" t="s">
        <v>667</v>
      </c>
      <c r="B259" t="s">
        <v>668</v>
      </c>
      <c r="C259" s="158">
        <v>36834</v>
      </c>
      <c r="D259" s="62">
        <f t="shared" ca="1" si="3"/>
        <v>17</v>
      </c>
      <c r="E259" t="s">
        <v>9</v>
      </c>
      <c r="F259" s="159" t="s">
        <v>46</v>
      </c>
      <c r="G259" t="s">
        <v>45</v>
      </c>
      <c r="H259" s="160"/>
      <c r="I259" s="161"/>
      <c r="J259" s="161"/>
      <c r="K259" s="161"/>
      <c r="L259" s="160"/>
      <c r="M259">
        <v>44</v>
      </c>
      <c r="N259" s="161"/>
      <c r="O259" s="161"/>
      <c r="P259" s="161"/>
      <c r="Q259" s="161"/>
      <c r="R259" s="161"/>
      <c r="S259" s="161"/>
      <c r="T259" s="161"/>
      <c r="U259" s="160"/>
      <c r="V259" s="161"/>
      <c r="W259" s="161"/>
      <c r="X259" s="161"/>
      <c r="Y259" s="161"/>
      <c r="Z259" s="161"/>
      <c r="AA259" s="161"/>
      <c r="AB259" s="161"/>
      <c r="AC259" s="161"/>
      <c r="AD259" s="161"/>
      <c r="AE259" s="161"/>
      <c r="AF259" s="163"/>
      <c r="AG259" s="163"/>
      <c r="AH259" s="163"/>
      <c r="AI259" s="163"/>
      <c r="AJ259" s="163"/>
      <c r="AK259" s="163"/>
      <c r="AL259" s="163"/>
      <c r="AM259" s="163"/>
      <c r="AN259" s="163"/>
      <c r="AO259" s="163"/>
      <c r="AP259" s="163"/>
      <c r="AQ259" s="163"/>
      <c r="AR259" s="163"/>
      <c r="AS259" s="163"/>
      <c r="AT259" s="163"/>
      <c r="AU259" s="163"/>
      <c r="AV259" s="163"/>
      <c r="AW259" s="163"/>
      <c r="AX259" s="163"/>
      <c r="AY259" s="163"/>
      <c r="AZ259" s="163"/>
      <c r="BA259" s="163"/>
      <c r="BB259" s="163"/>
      <c r="BC259" s="163"/>
      <c r="BD259" s="163"/>
      <c r="BE259" s="163"/>
      <c r="BF259" s="163"/>
      <c r="BG259" s="163"/>
      <c r="BH259" s="163"/>
      <c r="BI259" s="163"/>
      <c r="BJ259" s="163"/>
      <c r="BK259" s="163"/>
      <c r="BL259" s="163"/>
      <c r="BM259" s="163"/>
      <c r="BN259" s="163"/>
      <c r="BO259" s="163"/>
      <c r="BP259" s="163"/>
      <c r="BQ259" s="163"/>
      <c r="BR259" s="163"/>
      <c r="BS259" s="163"/>
      <c r="BT259" s="163"/>
      <c r="BU259" s="163"/>
      <c r="BV259" s="163"/>
      <c r="BW259" s="163"/>
      <c r="BX259" s="163"/>
      <c r="BY259" s="163"/>
      <c r="BZ259" s="163"/>
      <c r="CA259" s="163"/>
      <c r="CB259" s="163"/>
      <c r="CC259" s="163"/>
      <c r="CD259" s="163"/>
      <c r="CE259" s="163"/>
      <c r="CF259" s="163"/>
      <c r="CG259" s="163"/>
      <c r="CH259" s="163"/>
      <c r="CI259" s="163"/>
      <c r="CJ259" s="163"/>
      <c r="CK259" s="163"/>
      <c r="CL259" s="163"/>
      <c r="CM259" s="163"/>
      <c r="CN259" s="163"/>
      <c r="CO259" s="163"/>
      <c r="CP259" s="163"/>
      <c r="CQ259" s="163"/>
      <c r="CR259" s="163"/>
      <c r="CS259" s="163"/>
      <c r="CT259" s="163"/>
      <c r="CU259" s="163"/>
      <c r="CV259" s="163"/>
      <c r="CW259" s="163"/>
      <c r="CX259" s="163"/>
      <c r="CY259" s="163"/>
      <c r="CZ259" s="163"/>
      <c r="DA259" s="163"/>
      <c r="DB259" s="163"/>
      <c r="DC259" s="163"/>
      <c r="DD259" s="163"/>
      <c r="DE259" s="163"/>
      <c r="DF259" s="163"/>
      <c r="DG259" s="163"/>
      <c r="DH259" s="163"/>
      <c r="DI259" s="163"/>
      <c r="DJ259" s="163"/>
      <c r="DK259" s="163"/>
      <c r="DL259" s="163"/>
      <c r="DM259" s="163"/>
      <c r="DN259" s="163"/>
      <c r="DO259" s="163"/>
      <c r="DP259" s="163"/>
      <c r="DQ259" s="163"/>
      <c r="DR259" s="163"/>
      <c r="DS259" s="163"/>
      <c r="DT259" s="163"/>
      <c r="DU259" s="163"/>
      <c r="DV259" s="163"/>
      <c r="DW259" s="163"/>
      <c r="DX259" s="163"/>
      <c r="DY259" s="163"/>
      <c r="DZ259" s="163"/>
      <c r="EA259" s="163"/>
      <c r="EB259" s="163"/>
      <c r="EC259" s="163"/>
      <c r="ED259" s="163"/>
      <c r="EE259" s="163"/>
      <c r="EF259" s="163"/>
      <c r="EG259" s="163"/>
      <c r="EH259" s="160">
        <f>IF([Chambre]*1='CHAMBRES FILLES 2e ETAGE'!$A$5,1,0)</f>
        <v>0</v>
      </c>
      <c r="EI259" s="161">
        <f>IF([Occurrence2]=0,0,SUM($EH$2:EH259))</f>
        <v>0</v>
      </c>
      <c r="EJ259" s="160">
        <f>IF([Chambre]*1='CHAMBRES FILLES 2e ETAGE'!$A$11,1,0)</f>
        <v>0</v>
      </c>
      <c r="EK259" s="160">
        <f>IF([Occurrence3]=0,0,SUM($EJ$2:EJ259))</f>
        <v>0</v>
      </c>
      <c r="EL259" s="160">
        <f>IF([Chambre]*1='CHAMBRES FILLES 2e ETAGE'!$A$17,1,0)</f>
        <v>0</v>
      </c>
      <c r="EM259" s="160">
        <f>IF([Occurrence4]=0,0,SUM($EL$2:EL259))</f>
        <v>0</v>
      </c>
      <c r="EN259" s="160">
        <f>IF([Chambre]*1='CHAMBRES FILLES 2e ETAGE'!$A$23,1,0)</f>
        <v>0</v>
      </c>
      <c r="EO259" s="160">
        <f>IF([Occurrence5]=0,0,SUM($EN$2:EN259))</f>
        <v>0</v>
      </c>
      <c r="EP259" s="160">
        <f>IF([Chambre]*1='CHAMBRES FILLES 2e ETAGE'!$A$29,1,0)</f>
        <v>0</v>
      </c>
      <c r="EQ259" s="160">
        <f>IF([Occurrence6]=0,0,SUM($EP$2:EP259))</f>
        <v>0</v>
      </c>
      <c r="ER259" s="160">
        <f>IF([Chambre]*1='CHAMBRES FILLES 2e ETAGE'!$A$35,1,0)</f>
        <v>0</v>
      </c>
      <c r="ES259" s="160">
        <f>IF([Occurrence7]=0,0,SUM($ER$2:ER259))</f>
        <v>0</v>
      </c>
      <c r="ET259" s="160">
        <f>IF([Chambre]*1='CHAMBRES FILLES 2e ETAGE'!$A$41,1,0)</f>
        <v>0</v>
      </c>
      <c r="EU259" s="160">
        <f>IF([Occurrence8]=0,0,SUM($ET$2:ET259))</f>
        <v>0</v>
      </c>
      <c r="EV259" s="160">
        <f>IF([Chambre]*1='CHAMBRES FILLES 2e ETAGE'!$A$47,1,0)</f>
        <v>0</v>
      </c>
      <c r="EW259" s="160">
        <f>IF([Occurrence9]=0,0,SUM($EV$2:EV259))</f>
        <v>0</v>
      </c>
      <c r="EX259" s="160">
        <f>IF([Chambre]*1='CHAMBRES FILLES 2e ETAGE'!$A$53,1,0)</f>
        <v>0</v>
      </c>
      <c r="EY259" s="160">
        <f>IF([Occurrence10]=0,0,SUM($EX$2:EX259))</f>
        <v>0</v>
      </c>
      <c r="EZ259" s="160">
        <f>IF([Chambre]*1='CHAMBRES FILLES 2e ETAGE'!$A$59,1,0)</f>
        <v>0</v>
      </c>
      <c r="FA259" s="160">
        <f>IF([Occurrence11]=0,0,SUM($EZ$2:EZ259))</f>
        <v>0</v>
      </c>
      <c r="FB259" s="160">
        <f>IF([Chambre]*1='CHAMBRES FILLES 2e ETAGE'!$A$65,1,0)</f>
        <v>0</v>
      </c>
      <c r="FC259" s="160">
        <f>IF([Occurrence12]=0,0,SUM($FB$2:FB259))</f>
        <v>0</v>
      </c>
      <c r="FD259" s="160">
        <f>IF([Chambre]*1='CHAMBRES FILLES 2e ETAGE'!$A$71,1,0)</f>
        <v>0</v>
      </c>
      <c r="FE259" s="160">
        <f>IF([Occurrence13]=0,0,SUM($FD$2:FD259))</f>
        <v>0</v>
      </c>
      <c r="FF259" s="160">
        <f>IF([Chambre]*1='CHAMBRES FILLES 2e ETAGE'!$A$77,1,0)</f>
        <v>0</v>
      </c>
      <c r="FG259" s="160">
        <f>IF([Occurrence14]=0,0,SUM($FF$2:FF259))</f>
        <v>0</v>
      </c>
      <c r="FH259" s="160">
        <f>IF([Chambre]*1='CHAMBRES FILLES 2e ETAGE'!$A$83,1,0)</f>
        <v>0</v>
      </c>
      <c r="FI259" s="160">
        <f>IF([Occurrence15]=0,0,SUM($FH$2:FH259))</f>
        <v>0</v>
      </c>
      <c r="FJ259" s="160">
        <f>IF([Chambre]*1='CHAMBRES FILLES 2e ETAGE'!$A$89,1,0)</f>
        <v>0</v>
      </c>
      <c r="FK259" s="160">
        <f>IF([Occurrence16]=0,0,SUM($FJ$2:FJ259))</f>
        <v>0</v>
      </c>
      <c r="FL259" s="160">
        <f>IF([Chambre]*1='CHAMBRES FILLES 2e ETAGE'!$A$95,1,0)</f>
        <v>0</v>
      </c>
      <c r="FM259" s="160">
        <f>IF([Occurrence17]=0,0,SUM($FL$2:FL259))</f>
        <v>0</v>
      </c>
      <c r="FN259" s="160">
        <f>IF([Chambre2]*1='CHAMBRES FILLES 1e ETAGE'!$A$5,1,0)</f>
        <v>0</v>
      </c>
      <c r="FO259" s="160">
        <f>IF([Occurrence18]=0,0,SUM($FN$2:FN259))</f>
        <v>0</v>
      </c>
      <c r="FP259" s="160">
        <f>IF([Chambre2]*1='CHAMBRES FILLES 1e ETAGE'!$A$11,1,0)</f>
        <v>0</v>
      </c>
      <c r="FQ259" s="160">
        <f>IF([Occurrence19]=0,0,SUM($FP$2:FP259))</f>
        <v>0</v>
      </c>
      <c r="FR259" s="160">
        <f>IF([Chambre2]*1='CHAMBRES FILLES 1e ETAGE'!$A$17,1,0)</f>
        <v>0</v>
      </c>
      <c r="FS259" s="160">
        <f>IF([Occurrence20]=0,0,SUM($FR$2:FR259))</f>
        <v>0</v>
      </c>
      <c r="FT259" s="160">
        <f>IF([Chambre2]*1='CHAMBRES FILLES 1e ETAGE'!$A$23,1,0)</f>
        <v>0</v>
      </c>
      <c r="FU259" s="160">
        <f>IF([Occurrence21]=0,0,SUM($FT$2:FT259))</f>
        <v>0</v>
      </c>
      <c r="FV259" s="160">
        <f>IF([Chambre2]*1='CHAMBRES FILLES 1e ETAGE'!$A$29,1,0)</f>
        <v>0</v>
      </c>
      <c r="FW259" s="160">
        <f>IF([Occurrence22]=0,0,SUM($FV$2:FV259))</f>
        <v>0</v>
      </c>
      <c r="FX259" s="160">
        <f>IF([Chambre2]*1='CHAMBRES FILLES 1e ETAGE'!$A$35,1,0)</f>
        <v>0</v>
      </c>
      <c r="FY259" s="160">
        <f>IF([Occurrence23]=0,0,SUM($FX$2:FX259))</f>
        <v>0</v>
      </c>
      <c r="FZ259" s="160">
        <f>IF([Chambre2]*1='CHAMBRES FILLES 1e ETAGE'!$A$41,1,0)</f>
        <v>0</v>
      </c>
      <c r="GA259" s="160">
        <f>IF([Occurrence24]=0,0,SUM($FZ$2:FZ259))</f>
        <v>0</v>
      </c>
      <c r="GB259" s="160">
        <f>IF([Chambre2]*1='CHAMBRES FILLES 1e ETAGE'!$A$47,1,0)</f>
        <v>0</v>
      </c>
      <c r="GC259" s="160">
        <f>IF([Occurrence25]=0,0,SUM($GB$2:GB259))</f>
        <v>0</v>
      </c>
      <c r="GD259" s="160">
        <f>IF([Chambre2]*1='CHAMBRES FILLES 1e ETAGE'!$A$53,1,0)</f>
        <v>0</v>
      </c>
      <c r="GE259" s="160">
        <f>IF([Occurrence26]=0,0,SUM($GD$2:GD259))</f>
        <v>0</v>
      </c>
      <c r="GF259" s="160">
        <f>IF([chambre4]*1='CHAMBRES GARCONS 1e ETAGE'!$A$5,1,0)</f>
        <v>0</v>
      </c>
      <c r="GG259" s="160">
        <f>IF([Occurrence27]=0,0,SUM($GF$2:GF259))</f>
        <v>0</v>
      </c>
      <c r="GH259" s="160">
        <f>IF([chambre4]*1='CHAMBRES GARCONS 1e ETAGE'!$A$11,1,0)</f>
        <v>0</v>
      </c>
      <c r="GI259" s="160">
        <f>IF([Occurrence28]=0,0,SUM($GH$2:GH259))</f>
        <v>0</v>
      </c>
      <c r="GJ259" s="160">
        <f>IF([chambre4]*1='CHAMBRES GARCONS 1e ETAGE'!$A$17,1,0)</f>
        <v>0</v>
      </c>
      <c r="GK259" s="160">
        <f>IF([Occurrence29]=0,0,SUM($GJ$2:GJ259))</f>
        <v>0</v>
      </c>
      <c r="GL259" s="160">
        <f>IF([chambre4]*1='CHAMBRES GARCONS 1e ETAGE'!$A$23,1,0)</f>
        <v>0</v>
      </c>
      <c r="GM259" s="160">
        <f>IF([Occurrence30]=0,0,SUM($GL$2:GL259))</f>
        <v>0</v>
      </c>
      <c r="GN259" s="160">
        <f>IF([chambre4]*1='CHAMBRES GARCONS 1e ETAGE'!$A$29,1,0)</f>
        <v>0</v>
      </c>
      <c r="GO259" s="160">
        <f>IF([Occurrence31]=0,0,SUM($GN$2:GN259))</f>
        <v>0</v>
      </c>
      <c r="GP259" s="160">
        <f>IF([chambre4]*1='CHAMBRES GARCONS 1e ETAGE'!$A$35,1,0)</f>
        <v>0</v>
      </c>
      <c r="GQ259" s="160">
        <f>IF([Occurrence32]=0,0,SUM($GP$2:GP259))</f>
        <v>0</v>
      </c>
      <c r="GR259" s="160">
        <f>IF([chambre3]*1='CHAMBRES GARCONS RDC'!$A$5,1,0)</f>
        <v>0</v>
      </c>
      <c r="GS259" s="160">
        <f>IF([Occurrence33]=0,0,SUM($GR$2:GR259))</f>
        <v>0</v>
      </c>
      <c r="GT259" s="160">
        <f>IF([chambre3]*1='CHAMBRES GARCONS RDC'!$A$11,1,0)</f>
        <v>0</v>
      </c>
      <c r="GU259" s="160">
        <f>IF([Occurrence34]=0,0,SUM($GT$2:GT259))</f>
        <v>0</v>
      </c>
      <c r="GV259" s="160">
        <f>IF([chambre3]*1='CHAMBRES GARCONS RDC'!$A$17,1,0)</f>
        <v>0</v>
      </c>
      <c r="GW259" s="160">
        <f>IF([Occurrence35]=0,0,SUM($GV$2:GV259))</f>
        <v>0</v>
      </c>
      <c r="GX259" s="160">
        <f>IF([chambre3]*1='CHAMBRES GARCONS RDC'!$A$23,1,0)</f>
        <v>0</v>
      </c>
      <c r="GY259" s="160">
        <f>IF([Occurrence36]=0,0,SUM($GX$2:GX259))</f>
        <v>0</v>
      </c>
      <c r="GZ259" s="160">
        <f>IF([chambre3]*1='CHAMBRES GARCONS RDC'!$A$29,1,0)</f>
        <v>0</v>
      </c>
      <c r="HA259" s="160">
        <f>IF([Occurrence37]=0,0,SUM($GZ$2:GZ259))</f>
        <v>0</v>
      </c>
      <c r="HB259" s="160">
        <f>IF([chambre3]*1='CHAMBRES GARCONS RDC'!$A$35,1,0)</f>
        <v>0</v>
      </c>
      <c r="HC259" s="160">
        <f>IF([Occurrence38]=0,0,SUM($HB$2:HB259))</f>
        <v>0</v>
      </c>
      <c r="HD259" s="160">
        <f>IF([chambre3]*1='CHAMBRES GARCONS RDC'!$A$41,1,0)</f>
        <v>0</v>
      </c>
      <c r="HE259" s="160">
        <f>IF([Occurrence39]=0,0,SUM($HD$2:HD259))</f>
        <v>0</v>
      </c>
      <c r="HF259" s="160">
        <f>IF([chambre3]*1='CHAMBRES GARCONS RDC'!$A$47,1,0)</f>
        <v>0</v>
      </c>
      <c r="HG259" s="160">
        <f>IF([Occurrence40]=0,0,SUM($HF$2:HF259))</f>
        <v>0</v>
      </c>
      <c r="HH259" s="160">
        <f>IF([chambre3]*1='CHAMBRES GARCONS RDC'!$A$53,1,0)</f>
        <v>0</v>
      </c>
      <c r="HI259" s="160">
        <f>IF([Occurrence41]=0,0,SUM($HH$2:HH259))</f>
        <v>0</v>
      </c>
      <c r="HJ259" s="160">
        <f>IF([chambre3]*1='CHAMBRES GARCONS RDC'!$A$59,1,0)</f>
        <v>0</v>
      </c>
      <c r="HK259" s="160">
        <f>IF([Occurrence42]=0,0,SUM($HJ$2:HJ259))</f>
        <v>0</v>
      </c>
      <c r="HL259" s="160">
        <f>IF([chambre3]*1='CHAMBRES GARCONS RDC'!$A$65,1,0)</f>
        <v>0</v>
      </c>
      <c r="HM259" s="160">
        <f>IF([Occurrence43]=0,0,SUM($HL$2:HL259))</f>
        <v>0</v>
      </c>
      <c r="HN259" s="160">
        <f>IF([chambre3]*1='CHAMBRES GARCONS RDC'!$A$71,1,0)</f>
        <v>0</v>
      </c>
      <c r="HO259" s="160">
        <f>IF([Occurrence44]=0,0,SUM($HN$2:HN259))</f>
        <v>0</v>
      </c>
      <c r="HP259" s="160">
        <f>IF([chambre3]*1='CHAMBRES GARCONS RDC'!$A$77,1,0)</f>
        <v>0</v>
      </c>
      <c r="HQ259" s="160">
        <f>IF([Occurrence45]=0,0,SUM($HP$2:HP259))</f>
        <v>0</v>
      </c>
      <c r="HR259" s="160">
        <f>IF([chambre3]*1='CHAMBRES GARCONS RDC'!$A$83,1,0)</f>
        <v>0</v>
      </c>
      <c r="HS259" s="160">
        <f>IF([Occurrence46]=0,0,SUM($HR$2:HR259))</f>
        <v>0</v>
      </c>
      <c r="HT259" s="160">
        <f>IF([chambre3]*1='CHAMBRES GARCONS RDC'!$A$89,1,0)</f>
        <v>0</v>
      </c>
      <c r="HU259" s="160">
        <f>IF([Occurrence47]=0,0,SUM($HT$2:HT259))</f>
        <v>0</v>
      </c>
      <c r="HV259" s="160">
        <f>IF([chambre3]*1='CHAMBRES GARCONS RDC'!$A$95,1,0)</f>
        <v>0</v>
      </c>
      <c r="HW259" s="160">
        <f>IF([Occurrence48]=0,0,SUM($HV$2:HV259))</f>
        <v>0</v>
      </c>
      <c r="HX259" s="160"/>
      <c r="HY259" s="160"/>
      <c r="HZ259" s="160">
        <f>IF([Classe]='Liste élève par classes'!$B$5,1,0)</f>
        <v>0</v>
      </c>
      <c r="IA259" s="160">
        <f>IF([Occurrence]=0,0,SUM($HZ$2:HZ259))</f>
        <v>0</v>
      </c>
      <c r="IB25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59" s="208"/>
    </row>
    <row r="260" spans="1:237">
      <c r="A260" t="s">
        <v>669</v>
      </c>
      <c r="B260" t="s">
        <v>670</v>
      </c>
      <c r="C260" s="158">
        <v>37935</v>
      </c>
      <c r="D260" s="62">
        <f t="shared" ref="D260:D279" ca="1" si="4">IF(MONTH(TODAY())&gt;MONTH(C260),YEAR(TODAY())-YEAR(C260),IF(MONTH(TODAY())&lt;MONTH(C260),YEAR(TODAY())-YEAR(C260)-1,IF(DAY(TODAY())&lt;DAY(C260),YEAR(TODAY())-YEAR(C260)-1,YEAR(TODAY())-YEAR(C260))))</f>
        <v>14</v>
      </c>
      <c r="E260" t="s">
        <v>12</v>
      </c>
      <c r="F260" s="159" t="s">
        <v>46</v>
      </c>
      <c r="G260" t="s">
        <v>40</v>
      </c>
      <c r="H260" s="160"/>
      <c r="I260" s="62"/>
      <c r="J260" s="161" t="s">
        <v>244</v>
      </c>
      <c r="K260" s="161"/>
      <c r="L260" s="160"/>
      <c r="M260">
        <v>91</v>
      </c>
      <c r="N260" s="161" t="s">
        <v>244</v>
      </c>
      <c r="O260" s="161" t="s">
        <v>244</v>
      </c>
      <c r="P260" s="161" t="s">
        <v>244</v>
      </c>
      <c r="Q260" s="161" t="s">
        <v>244</v>
      </c>
      <c r="R260" s="161" t="s">
        <v>244</v>
      </c>
      <c r="S260" s="161"/>
      <c r="T260" s="161" t="s">
        <v>244</v>
      </c>
      <c r="U260" s="160"/>
      <c r="V260" s="161" t="s">
        <v>244</v>
      </c>
      <c r="W260" s="161" t="s">
        <v>244</v>
      </c>
      <c r="X260" s="161" t="s">
        <v>244</v>
      </c>
      <c r="Y260" s="161" t="s">
        <v>244</v>
      </c>
      <c r="Z260" s="161" t="s">
        <v>244</v>
      </c>
      <c r="AA260" s="161" t="s">
        <v>244</v>
      </c>
      <c r="AB260" s="161" t="s">
        <v>244</v>
      </c>
      <c r="AC260" s="161" t="s">
        <v>244</v>
      </c>
      <c r="AD260" s="161" t="s">
        <v>244</v>
      </c>
      <c r="AE260" s="161" t="s">
        <v>244</v>
      </c>
      <c r="AF260" s="163" t="s">
        <v>244</v>
      </c>
      <c r="AG260" s="163" t="s">
        <v>244</v>
      </c>
      <c r="AH260" s="163" t="s">
        <v>244</v>
      </c>
      <c r="AI260" s="163"/>
      <c r="AJ260" s="163"/>
      <c r="AK260" s="163"/>
      <c r="AL260" s="163"/>
      <c r="AM260" s="163"/>
      <c r="AN260" s="163"/>
      <c r="AO260" s="163"/>
      <c r="AP260" s="163"/>
      <c r="AQ260" s="163"/>
      <c r="AR260" s="163"/>
      <c r="AS260" s="163"/>
      <c r="AT260" s="163"/>
      <c r="AU260" s="163"/>
      <c r="AV260" s="163"/>
      <c r="AW260" s="163"/>
      <c r="AX260" s="163"/>
      <c r="AY260" s="163"/>
      <c r="AZ260" s="163"/>
      <c r="BA260" s="163"/>
      <c r="BB260" s="163"/>
      <c r="BC260" s="163"/>
      <c r="BD260" s="163"/>
      <c r="BE260" s="163"/>
      <c r="BF260" s="163"/>
      <c r="BG260" s="163"/>
      <c r="BH260" s="163"/>
      <c r="BI260" s="163"/>
      <c r="BJ260" s="163"/>
      <c r="BK260" s="163"/>
      <c r="BL260" s="163"/>
      <c r="BM260" s="163"/>
      <c r="BN260" s="163"/>
      <c r="BO260" s="163"/>
      <c r="BP260" s="163"/>
      <c r="BQ260" s="163"/>
      <c r="BR260" s="163"/>
      <c r="BS260" s="163"/>
      <c r="BT260" s="163"/>
      <c r="BU260" s="163"/>
      <c r="BV260" s="163"/>
      <c r="BW260" s="163"/>
      <c r="BX260" s="163"/>
      <c r="BY260" s="163"/>
      <c r="BZ260" s="163"/>
      <c r="CA260" s="163"/>
      <c r="CB260" s="163"/>
      <c r="CC260" s="163"/>
      <c r="CD260" s="163"/>
      <c r="CE260" s="163"/>
      <c r="CF260" s="163"/>
      <c r="CG260" s="163"/>
      <c r="CH260" s="163"/>
      <c r="CI260" s="163"/>
      <c r="CJ260" s="163"/>
      <c r="CK260" s="163"/>
      <c r="CL260" s="163"/>
      <c r="CM260" s="163"/>
      <c r="CN260" s="163"/>
      <c r="CO260" s="163"/>
      <c r="CP260" s="163"/>
      <c r="CQ260" s="163"/>
      <c r="CR260" s="163"/>
      <c r="CS260" s="163"/>
      <c r="CT260" s="163"/>
      <c r="CU260" s="163"/>
      <c r="CV260" s="163"/>
      <c r="CW260" s="163"/>
      <c r="CX260" s="163"/>
      <c r="CY260" s="163"/>
      <c r="CZ260" s="163"/>
      <c r="DA260" s="163"/>
      <c r="DB260" s="163"/>
      <c r="DC260" s="163"/>
      <c r="DD260" s="163"/>
      <c r="DE260" s="163"/>
      <c r="DF260" s="163"/>
      <c r="DG260" s="163"/>
      <c r="DH260" s="163"/>
      <c r="DI260" s="163"/>
      <c r="DJ260" s="163"/>
      <c r="DK260" s="163"/>
      <c r="DL260" s="163"/>
      <c r="DM260" s="163"/>
      <c r="DN260" s="163"/>
      <c r="DO260" s="163"/>
      <c r="DP260" s="163"/>
      <c r="DQ260" s="163"/>
      <c r="DR260" s="163"/>
      <c r="DS260" s="163"/>
      <c r="DT260" s="163"/>
      <c r="DU260" s="163"/>
      <c r="DV260" s="163"/>
      <c r="DW260" s="163"/>
      <c r="DX260" s="163"/>
      <c r="DY260" s="163"/>
      <c r="DZ260" s="163"/>
      <c r="EA260" s="163"/>
      <c r="EB260" s="163"/>
      <c r="EC260" s="163"/>
      <c r="ED260" s="163"/>
      <c r="EE260" s="163"/>
      <c r="EF260" s="163"/>
      <c r="EG260" s="163"/>
      <c r="EH260" s="160">
        <f>IF([Chambre]*1='CHAMBRES FILLES 2e ETAGE'!$A$5,1,0)</f>
        <v>0</v>
      </c>
      <c r="EI260" s="161">
        <f>IF([Occurrence2]=0,0,SUM($EH$2:EH260))</f>
        <v>0</v>
      </c>
      <c r="EJ260" s="160">
        <f>IF([Chambre]*1='CHAMBRES FILLES 2e ETAGE'!$A$11,1,0)</f>
        <v>0</v>
      </c>
      <c r="EK260" s="160">
        <f>IF([Occurrence3]=0,0,SUM($EJ$2:EJ260))</f>
        <v>0</v>
      </c>
      <c r="EL260" s="160">
        <f>IF([Chambre]*1='CHAMBRES FILLES 2e ETAGE'!$A$17,1,0)</f>
        <v>0</v>
      </c>
      <c r="EM260" s="160">
        <f>IF([Occurrence4]=0,0,SUM($EL$2:EL260))</f>
        <v>0</v>
      </c>
      <c r="EN260" s="160">
        <f>IF([Chambre]*1='CHAMBRES FILLES 2e ETAGE'!$A$23,1,0)</f>
        <v>0</v>
      </c>
      <c r="EO260" s="160">
        <f>IF([Occurrence5]=0,0,SUM($EN$2:EN260))</f>
        <v>0</v>
      </c>
      <c r="EP260" s="160">
        <f>IF([Chambre]*1='CHAMBRES FILLES 2e ETAGE'!$A$29,1,0)</f>
        <v>0</v>
      </c>
      <c r="EQ260" s="160">
        <f>IF([Occurrence6]=0,0,SUM($EP$2:EP260))</f>
        <v>0</v>
      </c>
      <c r="ER260" s="160">
        <f>IF([Chambre]*1='CHAMBRES FILLES 2e ETAGE'!$A$35,1,0)</f>
        <v>0</v>
      </c>
      <c r="ES260" s="160">
        <f>IF([Occurrence7]=0,0,SUM($ER$2:ER260))</f>
        <v>0</v>
      </c>
      <c r="ET260" s="160">
        <f>IF([Chambre]*1='CHAMBRES FILLES 2e ETAGE'!$A$41,1,0)</f>
        <v>0</v>
      </c>
      <c r="EU260" s="160">
        <f>IF([Occurrence8]=0,0,SUM($ET$2:ET260))</f>
        <v>0</v>
      </c>
      <c r="EV260" s="160">
        <f>IF([Chambre]*1='CHAMBRES FILLES 2e ETAGE'!$A$47,1,0)</f>
        <v>0</v>
      </c>
      <c r="EW260" s="160">
        <f>IF([Occurrence9]=0,0,SUM($EV$2:EV260))</f>
        <v>0</v>
      </c>
      <c r="EX260" s="160">
        <f>IF([Chambre]*1='CHAMBRES FILLES 2e ETAGE'!$A$53,1,0)</f>
        <v>0</v>
      </c>
      <c r="EY260" s="160">
        <f>IF([Occurrence10]=0,0,SUM($EX$2:EX260))</f>
        <v>0</v>
      </c>
      <c r="EZ260" s="160">
        <f>IF([Chambre]*1='CHAMBRES FILLES 2e ETAGE'!$A$59,1,0)</f>
        <v>0</v>
      </c>
      <c r="FA260" s="160">
        <f>IF([Occurrence11]=0,0,SUM($EZ$2:EZ260))</f>
        <v>0</v>
      </c>
      <c r="FB260" s="160">
        <f>IF([Chambre]*1='CHAMBRES FILLES 2e ETAGE'!$A$65,1,0)</f>
        <v>0</v>
      </c>
      <c r="FC260" s="160">
        <f>IF([Occurrence12]=0,0,SUM($FB$2:FB260))</f>
        <v>0</v>
      </c>
      <c r="FD260" s="160">
        <f>IF([Chambre]*1='CHAMBRES FILLES 2e ETAGE'!$A$71,1,0)</f>
        <v>0</v>
      </c>
      <c r="FE260" s="160">
        <f>IF([Occurrence13]=0,0,SUM($FD$2:FD260))</f>
        <v>0</v>
      </c>
      <c r="FF260" s="160">
        <f>IF([Chambre]*1='CHAMBRES FILLES 2e ETAGE'!$A$77,1,0)</f>
        <v>0</v>
      </c>
      <c r="FG260" s="160">
        <f>IF([Occurrence14]=0,0,SUM($FF$2:FF260))</f>
        <v>0</v>
      </c>
      <c r="FH260" s="160">
        <f>IF([Chambre]*1='CHAMBRES FILLES 2e ETAGE'!$A$83,1,0)</f>
        <v>0</v>
      </c>
      <c r="FI260" s="160">
        <f>IF([Occurrence15]=0,0,SUM($FH$2:FH260))</f>
        <v>0</v>
      </c>
      <c r="FJ260" s="160">
        <f>IF([Chambre]*1='CHAMBRES FILLES 2e ETAGE'!$A$89,1,0)</f>
        <v>0</v>
      </c>
      <c r="FK260" s="160">
        <f>IF([Occurrence16]=0,0,SUM($FJ$2:FJ260))</f>
        <v>0</v>
      </c>
      <c r="FL260" s="160">
        <f>IF([Chambre]*1='CHAMBRES FILLES 2e ETAGE'!$A$95,1,0)</f>
        <v>0</v>
      </c>
      <c r="FM260" s="160">
        <f>IF([Occurrence17]=0,0,SUM($FL$2:FL260))</f>
        <v>0</v>
      </c>
      <c r="FN260" s="160">
        <f>IF([Chambre2]*1='CHAMBRES FILLES 1e ETAGE'!$A$5,1,0)</f>
        <v>0</v>
      </c>
      <c r="FO260" s="160">
        <f>IF([Occurrence18]=0,0,SUM($FN$2:FN260))</f>
        <v>0</v>
      </c>
      <c r="FP260" s="160">
        <f>IF([Chambre2]*1='CHAMBRES FILLES 1e ETAGE'!$A$11,1,0)</f>
        <v>0</v>
      </c>
      <c r="FQ260" s="160">
        <f>IF([Occurrence19]=0,0,SUM($FP$2:FP260))</f>
        <v>0</v>
      </c>
      <c r="FR260" s="160">
        <f>IF([Chambre2]*1='CHAMBRES FILLES 1e ETAGE'!$A$17,1,0)</f>
        <v>0</v>
      </c>
      <c r="FS260" s="160">
        <f>IF([Occurrence20]=0,0,SUM($FR$2:FR260))</f>
        <v>0</v>
      </c>
      <c r="FT260" s="160">
        <f>IF([Chambre2]*1='CHAMBRES FILLES 1e ETAGE'!$A$23,1,0)</f>
        <v>0</v>
      </c>
      <c r="FU260" s="160">
        <f>IF([Occurrence21]=0,0,SUM($FT$2:FT260))</f>
        <v>0</v>
      </c>
      <c r="FV260" s="160">
        <f>IF([Chambre2]*1='CHAMBRES FILLES 1e ETAGE'!$A$29,1,0)</f>
        <v>0</v>
      </c>
      <c r="FW260" s="160">
        <f>IF([Occurrence22]=0,0,SUM($FV$2:FV260))</f>
        <v>0</v>
      </c>
      <c r="FX260" s="160">
        <f>IF([Chambre2]*1='CHAMBRES FILLES 1e ETAGE'!$A$35,1,0)</f>
        <v>0</v>
      </c>
      <c r="FY260" s="160">
        <f>IF([Occurrence23]=0,0,SUM($FX$2:FX260))</f>
        <v>0</v>
      </c>
      <c r="FZ260" s="160">
        <f>IF([Chambre2]*1='CHAMBRES FILLES 1e ETAGE'!$A$41,1,0)</f>
        <v>0</v>
      </c>
      <c r="GA260" s="160">
        <f>IF([Occurrence24]=0,0,SUM($FZ$2:FZ260))</f>
        <v>0</v>
      </c>
      <c r="GB260" s="160">
        <f>IF([Chambre2]*1='CHAMBRES FILLES 1e ETAGE'!$A$47,1,0)</f>
        <v>0</v>
      </c>
      <c r="GC260" s="160">
        <f>IF([Occurrence25]=0,0,SUM($GB$2:GB260))</f>
        <v>0</v>
      </c>
      <c r="GD260" s="160">
        <f>IF([Chambre2]*1='CHAMBRES FILLES 1e ETAGE'!$A$53,1,0)</f>
        <v>0</v>
      </c>
      <c r="GE260" s="160">
        <f>IF([Occurrence26]=0,0,SUM($GD$2:GD260))</f>
        <v>0</v>
      </c>
      <c r="GF260" s="160">
        <f>IF([chambre4]*1='CHAMBRES GARCONS 1e ETAGE'!$A$5,1,0)</f>
        <v>0</v>
      </c>
      <c r="GG260" s="160">
        <f>IF([Occurrence27]=0,0,SUM($GF$2:GF260))</f>
        <v>0</v>
      </c>
      <c r="GH260" s="160">
        <f>IF([chambre4]*1='CHAMBRES GARCONS 1e ETAGE'!$A$11,1,0)</f>
        <v>0</v>
      </c>
      <c r="GI260" s="160">
        <f>IF([Occurrence28]=0,0,SUM($GH$2:GH260))</f>
        <v>0</v>
      </c>
      <c r="GJ260" s="160">
        <f>IF([chambre4]*1='CHAMBRES GARCONS 1e ETAGE'!$A$17,1,0)</f>
        <v>0</v>
      </c>
      <c r="GK260" s="160">
        <f>IF([Occurrence29]=0,0,SUM($GJ$2:GJ260))</f>
        <v>0</v>
      </c>
      <c r="GL260" s="160">
        <f>IF([chambre4]*1='CHAMBRES GARCONS 1e ETAGE'!$A$23,1,0)</f>
        <v>0</v>
      </c>
      <c r="GM260" s="160">
        <f>IF([Occurrence30]=0,0,SUM($GL$2:GL260))</f>
        <v>0</v>
      </c>
      <c r="GN260" s="160">
        <f>IF([chambre4]*1='CHAMBRES GARCONS 1e ETAGE'!$A$29,1,0)</f>
        <v>0</v>
      </c>
      <c r="GO260" s="160">
        <f>IF([Occurrence31]=0,0,SUM($GN$2:GN260))</f>
        <v>0</v>
      </c>
      <c r="GP260" s="160">
        <f>IF([chambre4]*1='CHAMBRES GARCONS 1e ETAGE'!$A$35,1,0)</f>
        <v>0</v>
      </c>
      <c r="GQ260" s="160">
        <f>IF([Occurrence32]=0,0,SUM($GP$2:GP260))</f>
        <v>0</v>
      </c>
      <c r="GR260" s="160">
        <f>IF([chambre3]*1='CHAMBRES GARCONS RDC'!$A$5,1,0)</f>
        <v>0</v>
      </c>
      <c r="GS260" s="160">
        <f>IF([Occurrence33]=0,0,SUM($GR$2:GR260))</f>
        <v>0</v>
      </c>
      <c r="GT260" s="160">
        <f>IF([chambre3]*1='CHAMBRES GARCONS RDC'!$A$11,1,0)</f>
        <v>0</v>
      </c>
      <c r="GU260" s="160">
        <f>IF([Occurrence34]=0,0,SUM($GT$2:GT260))</f>
        <v>0</v>
      </c>
      <c r="GV260" s="160">
        <f>IF([chambre3]*1='CHAMBRES GARCONS RDC'!$A$17,1,0)</f>
        <v>0</v>
      </c>
      <c r="GW260" s="160">
        <f>IF([Occurrence35]=0,0,SUM($GV$2:GV260))</f>
        <v>0</v>
      </c>
      <c r="GX260" s="160">
        <f>IF([chambre3]*1='CHAMBRES GARCONS RDC'!$A$23,1,0)</f>
        <v>0</v>
      </c>
      <c r="GY260" s="160">
        <f>IF([Occurrence36]=0,0,SUM($GX$2:GX260))</f>
        <v>0</v>
      </c>
      <c r="GZ260" s="160">
        <f>IF([chambre3]*1='CHAMBRES GARCONS RDC'!$A$29,1,0)</f>
        <v>0</v>
      </c>
      <c r="HA260" s="160">
        <f>IF([Occurrence37]=0,0,SUM($GZ$2:GZ260))</f>
        <v>0</v>
      </c>
      <c r="HB260" s="160">
        <f>IF([chambre3]*1='CHAMBRES GARCONS RDC'!$A$35,1,0)</f>
        <v>0</v>
      </c>
      <c r="HC260" s="160">
        <f>IF([Occurrence38]=0,0,SUM($HB$2:HB260))</f>
        <v>0</v>
      </c>
      <c r="HD260" s="160">
        <f>IF([chambre3]*1='CHAMBRES GARCONS RDC'!$A$41,1,0)</f>
        <v>0</v>
      </c>
      <c r="HE260" s="160">
        <f>IF([Occurrence39]=0,0,SUM($HD$2:HD260))</f>
        <v>0</v>
      </c>
      <c r="HF260" s="160">
        <f>IF([chambre3]*1='CHAMBRES GARCONS RDC'!$A$47,1,0)</f>
        <v>0</v>
      </c>
      <c r="HG260" s="160">
        <f>IF([Occurrence40]=0,0,SUM($HF$2:HF260))</f>
        <v>0</v>
      </c>
      <c r="HH260" s="160">
        <f>IF([chambre3]*1='CHAMBRES GARCONS RDC'!$A$53,1,0)</f>
        <v>0</v>
      </c>
      <c r="HI260" s="160">
        <f>IF([Occurrence41]=0,0,SUM($HH$2:HH260))</f>
        <v>0</v>
      </c>
      <c r="HJ260" s="160">
        <f>IF([chambre3]*1='CHAMBRES GARCONS RDC'!$A$59,1,0)</f>
        <v>0</v>
      </c>
      <c r="HK260" s="160">
        <f>IF([Occurrence42]=0,0,SUM($HJ$2:HJ260))</f>
        <v>0</v>
      </c>
      <c r="HL260" s="160">
        <f>IF([chambre3]*1='CHAMBRES GARCONS RDC'!$A$65,1,0)</f>
        <v>0</v>
      </c>
      <c r="HM260" s="160">
        <f>IF([Occurrence43]=0,0,SUM($HL$2:HL260))</f>
        <v>0</v>
      </c>
      <c r="HN260" s="160">
        <f>IF([chambre3]*1='CHAMBRES GARCONS RDC'!$A$71,1,0)</f>
        <v>0</v>
      </c>
      <c r="HO260" s="160">
        <f>IF([Occurrence44]=0,0,SUM($HN$2:HN260))</f>
        <v>0</v>
      </c>
      <c r="HP260" s="160">
        <f>IF([chambre3]*1='CHAMBRES GARCONS RDC'!$A$77,1,0)</f>
        <v>0</v>
      </c>
      <c r="HQ260" s="160">
        <f>IF([Occurrence45]=0,0,SUM($HP$2:HP260))</f>
        <v>0</v>
      </c>
      <c r="HR260" s="160">
        <f>IF([chambre3]*1='CHAMBRES GARCONS RDC'!$A$83,1,0)</f>
        <v>0</v>
      </c>
      <c r="HS260" s="160">
        <f>IF([Occurrence46]=0,0,SUM($HR$2:HR260))</f>
        <v>0</v>
      </c>
      <c r="HT260" s="160">
        <f>IF([chambre3]*1='CHAMBRES GARCONS RDC'!$A$89,1,0)</f>
        <v>0</v>
      </c>
      <c r="HU260" s="160">
        <f>IF([Occurrence47]=0,0,SUM($HT$2:HT260))</f>
        <v>0</v>
      </c>
      <c r="HV260" s="160">
        <f>IF([chambre3]*1='CHAMBRES GARCONS RDC'!$A$95,1,0)</f>
        <v>0</v>
      </c>
      <c r="HW260" s="160">
        <f>IF([Occurrence48]=0,0,SUM($HV$2:HV260))</f>
        <v>0</v>
      </c>
      <c r="HX260" s="160"/>
      <c r="HY260" s="160"/>
      <c r="HZ260" s="160">
        <f>IF([Classe]='Liste élève par classes'!$B$5,1,0)</f>
        <v>0</v>
      </c>
      <c r="IA260" s="160">
        <f>IF([Occurrence]=0,0,SUM($HZ$2:HZ260))</f>
        <v>0</v>
      </c>
      <c r="IB26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60" s="208"/>
    </row>
    <row r="261" spans="1:237">
      <c r="A261" t="s">
        <v>671</v>
      </c>
      <c r="B261" t="s">
        <v>672</v>
      </c>
      <c r="C261" s="158">
        <v>36982</v>
      </c>
      <c r="D261" s="62">
        <f t="shared" ca="1" si="4"/>
        <v>16</v>
      </c>
      <c r="E261" t="s">
        <v>11</v>
      </c>
      <c r="F261" s="159" t="s">
        <v>46</v>
      </c>
      <c r="G261" t="s">
        <v>45</v>
      </c>
      <c r="H261" s="160"/>
      <c r="I261" s="62"/>
      <c r="J261" s="62"/>
      <c r="K261" s="62"/>
      <c r="L261" s="61"/>
      <c r="M261">
        <v>170</v>
      </c>
      <c r="N261" s="62"/>
      <c r="O261" s="62"/>
      <c r="P261" s="62"/>
      <c r="Q261" s="62"/>
      <c r="R261" s="62"/>
      <c r="S261" s="62"/>
      <c r="T261" s="62"/>
      <c r="U261" s="61"/>
      <c r="V261" s="62"/>
      <c r="W261" s="62"/>
      <c r="X261" s="62"/>
      <c r="Y261" s="62"/>
      <c r="Z261" s="62"/>
      <c r="AA261" s="62"/>
      <c r="AB261" s="62"/>
      <c r="AC261" s="62"/>
      <c r="AD261" s="62"/>
      <c r="AE261" s="62"/>
      <c r="AF261" s="163"/>
      <c r="AG261" s="163"/>
      <c r="AH261" s="163"/>
      <c r="AI261" s="163"/>
      <c r="AJ261" s="163"/>
      <c r="AK261" s="163"/>
      <c r="AL261" s="163"/>
      <c r="AM261" s="163"/>
      <c r="AN261" s="163"/>
      <c r="AO261" s="163"/>
      <c r="AP261" s="163"/>
      <c r="AQ261" s="163"/>
      <c r="AR261" s="163"/>
      <c r="AS261" s="163"/>
      <c r="AT261" s="163"/>
      <c r="AU261" s="163"/>
      <c r="AV261" s="163"/>
      <c r="AW261" s="163"/>
      <c r="AX261" s="163"/>
      <c r="AY261" s="163"/>
      <c r="AZ261" s="163"/>
      <c r="BA261" s="163"/>
      <c r="BB261" s="163"/>
      <c r="BC261" s="163"/>
      <c r="BD261" s="163"/>
      <c r="BE261" s="163"/>
      <c r="BF261" s="163"/>
      <c r="BG261" s="163"/>
      <c r="BH261" s="163"/>
      <c r="BI261" s="163"/>
      <c r="BJ261" s="163"/>
      <c r="BK261" s="163"/>
      <c r="BL261" s="163"/>
      <c r="BM261" s="163"/>
      <c r="BN261" s="163"/>
      <c r="BO261" s="163"/>
      <c r="BP261" s="163"/>
      <c r="BQ261" s="163"/>
      <c r="BR261" s="163"/>
      <c r="BS261" s="163"/>
      <c r="BT261" s="163"/>
      <c r="BU261" s="163"/>
      <c r="BV261" s="163"/>
      <c r="BW261" s="163"/>
      <c r="BX261" s="163"/>
      <c r="BY261" s="163"/>
      <c r="BZ261" s="163"/>
      <c r="CA261" s="163"/>
      <c r="CB261" s="163"/>
      <c r="CC261" s="163"/>
      <c r="CD261" s="163"/>
      <c r="CE261" s="163"/>
      <c r="CF261" s="163"/>
      <c r="CG261" s="163"/>
      <c r="CH261" s="163"/>
      <c r="CI261" s="163"/>
      <c r="CJ261" s="163"/>
      <c r="CK261" s="163"/>
      <c r="CL261" s="163"/>
      <c r="CM261" s="163"/>
      <c r="CN261" s="163"/>
      <c r="CO261" s="163"/>
      <c r="CP261" s="163"/>
      <c r="CQ261" s="163"/>
      <c r="CR261" s="163"/>
      <c r="CS261" s="163"/>
      <c r="CT261" s="163"/>
      <c r="CU261" s="163"/>
      <c r="CV261" s="163"/>
      <c r="CW261" s="163"/>
      <c r="CX261" s="163"/>
      <c r="CY261" s="163"/>
      <c r="CZ261" s="163"/>
      <c r="DA261" s="163"/>
      <c r="DB261" s="163"/>
      <c r="DC261" s="163"/>
      <c r="DD261" s="163"/>
      <c r="DE261" s="163"/>
      <c r="DF261" s="163"/>
      <c r="DG261" s="163"/>
      <c r="DH261" s="163"/>
      <c r="DI261" s="163"/>
      <c r="DJ261" s="163"/>
      <c r="DK261" s="163"/>
      <c r="DL261" s="163"/>
      <c r="DM261" s="163"/>
      <c r="DN261" s="163"/>
      <c r="DO261" s="163"/>
      <c r="DP261" s="163"/>
      <c r="DQ261" s="163"/>
      <c r="DR261" s="163"/>
      <c r="DS261" s="163"/>
      <c r="DT261" s="163"/>
      <c r="DU261" s="163"/>
      <c r="DV261" s="163"/>
      <c r="DW261" s="163"/>
      <c r="DX261" s="163"/>
      <c r="DY261" s="163"/>
      <c r="DZ261" s="163"/>
      <c r="EA261" s="163"/>
      <c r="EB261" s="163"/>
      <c r="EC261" s="163"/>
      <c r="ED261" s="163"/>
      <c r="EE261" s="163"/>
      <c r="EF261" s="163"/>
      <c r="EG261" s="163"/>
      <c r="EH261" s="160">
        <f>IF([Chambre]*1='CHAMBRES FILLES 2e ETAGE'!$A$5,1,0)</f>
        <v>0</v>
      </c>
      <c r="EI261" s="161">
        <f>IF([Occurrence2]=0,0,SUM($EH$2:EH261))</f>
        <v>0</v>
      </c>
      <c r="EJ261" s="160">
        <f>IF([Chambre]*1='CHAMBRES FILLES 2e ETAGE'!$A$11,1,0)</f>
        <v>0</v>
      </c>
      <c r="EK261" s="160">
        <f>IF([Occurrence3]=0,0,SUM($EJ$2:EJ261))</f>
        <v>0</v>
      </c>
      <c r="EL261" s="160">
        <f>IF([Chambre]*1='CHAMBRES FILLES 2e ETAGE'!$A$17,1,0)</f>
        <v>0</v>
      </c>
      <c r="EM261" s="160">
        <f>IF([Occurrence4]=0,0,SUM($EL$2:EL261))</f>
        <v>0</v>
      </c>
      <c r="EN261" s="160">
        <f>IF([Chambre]*1='CHAMBRES FILLES 2e ETAGE'!$A$23,1,0)</f>
        <v>0</v>
      </c>
      <c r="EO261" s="160">
        <f>IF([Occurrence5]=0,0,SUM($EN$2:EN261))</f>
        <v>0</v>
      </c>
      <c r="EP261" s="160">
        <f>IF([Chambre]*1='CHAMBRES FILLES 2e ETAGE'!$A$29,1,0)</f>
        <v>0</v>
      </c>
      <c r="EQ261" s="160">
        <f>IF([Occurrence6]=0,0,SUM($EP$2:EP261))</f>
        <v>0</v>
      </c>
      <c r="ER261" s="160">
        <f>IF([Chambre]*1='CHAMBRES FILLES 2e ETAGE'!$A$35,1,0)</f>
        <v>0</v>
      </c>
      <c r="ES261" s="160">
        <f>IF([Occurrence7]=0,0,SUM($ER$2:ER261))</f>
        <v>0</v>
      </c>
      <c r="ET261" s="160">
        <f>IF([Chambre]*1='CHAMBRES FILLES 2e ETAGE'!$A$41,1,0)</f>
        <v>0</v>
      </c>
      <c r="EU261" s="160">
        <f>IF([Occurrence8]=0,0,SUM($ET$2:ET261))</f>
        <v>0</v>
      </c>
      <c r="EV261" s="160">
        <f>IF([Chambre]*1='CHAMBRES FILLES 2e ETAGE'!$A$47,1,0)</f>
        <v>0</v>
      </c>
      <c r="EW261" s="160">
        <f>IF([Occurrence9]=0,0,SUM($EV$2:EV261))</f>
        <v>0</v>
      </c>
      <c r="EX261" s="160">
        <f>IF([Chambre]*1='CHAMBRES FILLES 2e ETAGE'!$A$53,1,0)</f>
        <v>0</v>
      </c>
      <c r="EY261" s="160">
        <f>IF([Occurrence10]=0,0,SUM($EX$2:EX261))</f>
        <v>0</v>
      </c>
      <c r="EZ261" s="160">
        <f>IF([Chambre]*1='CHAMBRES FILLES 2e ETAGE'!$A$59,1,0)</f>
        <v>0</v>
      </c>
      <c r="FA261" s="160">
        <f>IF([Occurrence11]=0,0,SUM($EZ$2:EZ261))</f>
        <v>0</v>
      </c>
      <c r="FB261" s="160">
        <f>IF([Chambre]*1='CHAMBRES FILLES 2e ETAGE'!$A$65,1,0)</f>
        <v>0</v>
      </c>
      <c r="FC261" s="160">
        <f>IF([Occurrence12]=0,0,SUM($FB$2:FB261))</f>
        <v>0</v>
      </c>
      <c r="FD261" s="160">
        <f>IF([Chambre]*1='CHAMBRES FILLES 2e ETAGE'!$A$71,1,0)</f>
        <v>0</v>
      </c>
      <c r="FE261" s="160">
        <f>IF([Occurrence13]=0,0,SUM($FD$2:FD261))</f>
        <v>0</v>
      </c>
      <c r="FF261" s="160">
        <f>IF([Chambre]*1='CHAMBRES FILLES 2e ETAGE'!$A$77,1,0)</f>
        <v>0</v>
      </c>
      <c r="FG261" s="160">
        <f>IF([Occurrence14]=0,0,SUM($FF$2:FF261))</f>
        <v>0</v>
      </c>
      <c r="FH261" s="160">
        <f>IF([Chambre]*1='CHAMBRES FILLES 2e ETAGE'!$A$83,1,0)</f>
        <v>0</v>
      </c>
      <c r="FI261" s="160">
        <f>IF([Occurrence15]=0,0,SUM($FH$2:FH261))</f>
        <v>0</v>
      </c>
      <c r="FJ261" s="160">
        <f>IF([Chambre]*1='CHAMBRES FILLES 2e ETAGE'!$A$89,1,0)</f>
        <v>0</v>
      </c>
      <c r="FK261" s="160">
        <f>IF([Occurrence16]=0,0,SUM($FJ$2:FJ261))</f>
        <v>0</v>
      </c>
      <c r="FL261" s="160">
        <f>IF([Chambre]*1='CHAMBRES FILLES 2e ETAGE'!$A$95,1,0)</f>
        <v>0</v>
      </c>
      <c r="FM261" s="160">
        <f>IF([Occurrence17]=0,0,SUM($FL$2:FL261))</f>
        <v>0</v>
      </c>
      <c r="FN261" s="160">
        <f>IF([Chambre2]*1='CHAMBRES FILLES 1e ETAGE'!$A$5,1,0)</f>
        <v>0</v>
      </c>
      <c r="FO261" s="160">
        <f>IF([Occurrence18]=0,0,SUM($FN$2:FN261))</f>
        <v>0</v>
      </c>
      <c r="FP261" s="160">
        <f>IF([Chambre2]*1='CHAMBRES FILLES 1e ETAGE'!$A$11,1,0)</f>
        <v>0</v>
      </c>
      <c r="FQ261" s="160">
        <f>IF([Occurrence19]=0,0,SUM($FP$2:FP261))</f>
        <v>0</v>
      </c>
      <c r="FR261" s="160">
        <f>IF([Chambre2]*1='CHAMBRES FILLES 1e ETAGE'!$A$17,1,0)</f>
        <v>0</v>
      </c>
      <c r="FS261" s="160">
        <f>IF([Occurrence20]=0,0,SUM($FR$2:FR261))</f>
        <v>0</v>
      </c>
      <c r="FT261" s="160">
        <f>IF([Chambre2]*1='CHAMBRES FILLES 1e ETAGE'!$A$23,1,0)</f>
        <v>0</v>
      </c>
      <c r="FU261" s="160">
        <f>IF([Occurrence21]=0,0,SUM($FT$2:FT261))</f>
        <v>0</v>
      </c>
      <c r="FV261" s="160">
        <f>IF([Chambre2]*1='CHAMBRES FILLES 1e ETAGE'!$A$29,1,0)</f>
        <v>0</v>
      </c>
      <c r="FW261" s="160">
        <f>IF([Occurrence22]=0,0,SUM($FV$2:FV261))</f>
        <v>0</v>
      </c>
      <c r="FX261" s="160">
        <f>IF([Chambre2]*1='CHAMBRES FILLES 1e ETAGE'!$A$35,1,0)</f>
        <v>0</v>
      </c>
      <c r="FY261" s="160">
        <f>IF([Occurrence23]=0,0,SUM($FX$2:FX261))</f>
        <v>0</v>
      </c>
      <c r="FZ261" s="160">
        <f>IF([Chambre2]*1='CHAMBRES FILLES 1e ETAGE'!$A$41,1,0)</f>
        <v>0</v>
      </c>
      <c r="GA261" s="160">
        <f>IF([Occurrence24]=0,0,SUM($FZ$2:FZ261))</f>
        <v>0</v>
      </c>
      <c r="GB261" s="160">
        <f>IF([Chambre2]*1='CHAMBRES FILLES 1e ETAGE'!$A$47,1,0)</f>
        <v>0</v>
      </c>
      <c r="GC261" s="160">
        <f>IF([Occurrence25]=0,0,SUM($GB$2:GB261))</f>
        <v>0</v>
      </c>
      <c r="GD261" s="160">
        <f>IF([Chambre2]*1='CHAMBRES FILLES 1e ETAGE'!$A$53,1,0)</f>
        <v>0</v>
      </c>
      <c r="GE261" s="160">
        <f>IF([Occurrence26]=0,0,SUM($GD$2:GD261))</f>
        <v>0</v>
      </c>
      <c r="GF261" s="160">
        <f>IF([chambre4]*1='CHAMBRES GARCONS 1e ETAGE'!$A$5,1,0)</f>
        <v>0</v>
      </c>
      <c r="GG261" s="160">
        <f>IF([Occurrence27]=0,0,SUM($GF$2:GF261))</f>
        <v>0</v>
      </c>
      <c r="GH261" s="160">
        <f>IF([chambre4]*1='CHAMBRES GARCONS 1e ETAGE'!$A$11,1,0)</f>
        <v>0</v>
      </c>
      <c r="GI261" s="160">
        <f>IF([Occurrence28]=0,0,SUM($GH$2:GH261))</f>
        <v>0</v>
      </c>
      <c r="GJ261" s="160">
        <f>IF([chambre4]*1='CHAMBRES GARCONS 1e ETAGE'!$A$17,1,0)</f>
        <v>0</v>
      </c>
      <c r="GK261" s="160">
        <f>IF([Occurrence29]=0,0,SUM($GJ$2:GJ261))</f>
        <v>0</v>
      </c>
      <c r="GL261" s="160">
        <f>IF([chambre4]*1='CHAMBRES GARCONS 1e ETAGE'!$A$23,1,0)</f>
        <v>0</v>
      </c>
      <c r="GM261" s="160">
        <f>IF([Occurrence30]=0,0,SUM($GL$2:GL261))</f>
        <v>0</v>
      </c>
      <c r="GN261" s="160">
        <f>IF([chambre4]*1='CHAMBRES GARCONS 1e ETAGE'!$A$29,1,0)</f>
        <v>0</v>
      </c>
      <c r="GO261" s="160">
        <f>IF([Occurrence31]=0,0,SUM($GN$2:GN261))</f>
        <v>0</v>
      </c>
      <c r="GP261" s="160">
        <f>IF([chambre4]*1='CHAMBRES GARCONS 1e ETAGE'!$A$35,1,0)</f>
        <v>0</v>
      </c>
      <c r="GQ261" s="160">
        <f>IF([Occurrence32]=0,0,SUM($GP$2:GP261))</f>
        <v>0</v>
      </c>
      <c r="GR261" s="160">
        <f>IF([chambre3]*1='CHAMBRES GARCONS RDC'!$A$5,1,0)</f>
        <v>0</v>
      </c>
      <c r="GS261" s="160">
        <f>IF([Occurrence33]=0,0,SUM($GR$2:GR261))</f>
        <v>0</v>
      </c>
      <c r="GT261" s="160">
        <f>IF([chambre3]*1='CHAMBRES GARCONS RDC'!$A$11,1,0)</f>
        <v>0</v>
      </c>
      <c r="GU261" s="160">
        <f>IF([Occurrence34]=0,0,SUM($GT$2:GT261))</f>
        <v>0</v>
      </c>
      <c r="GV261" s="160">
        <f>IF([chambre3]*1='CHAMBRES GARCONS RDC'!$A$17,1,0)</f>
        <v>0</v>
      </c>
      <c r="GW261" s="160">
        <f>IF([Occurrence35]=0,0,SUM($GV$2:GV261))</f>
        <v>0</v>
      </c>
      <c r="GX261" s="160">
        <f>IF([chambre3]*1='CHAMBRES GARCONS RDC'!$A$23,1,0)</f>
        <v>0</v>
      </c>
      <c r="GY261" s="160">
        <f>IF([Occurrence36]=0,0,SUM($GX$2:GX261))</f>
        <v>0</v>
      </c>
      <c r="GZ261" s="160">
        <f>IF([chambre3]*1='CHAMBRES GARCONS RDC'!$A$29,1,0)</f>
        <v>0</v>
      </c>
      <c r="HA261" s="160">
        <f>IF([Occurrence37]=0,0,SUM($GZ$2:GZ261))</f>
        <v>0</v>
      </c>
      <c r="HB261" s="160">
        <f>IF([chambre3]*1='CHAMBRES GARCONS RDC'!$A$35,1,0)</f>
        <v>0</v>
      </c>
      <c r="HC261" s="160">
        <f>IF([Occurrence38]=0,0,SUM($HB$2:HB261))</f>
        <v>0</v>
      </c>
      <c r="HD261" s="160">
        <f>IF([chambre3]*1='CHAMBRES GARCONS RDC'!$A$41,1,0)</f>
        <v>0</v>
      </c>
      <c r="HE261" s="160">
        <f>IF([Occurrence39]=0,0,SUM($HD$2:HD261))</f>
        <v>0</v>
      </c>
      <c r="HF261" s="160">
        <f>IF([chambre3]*1='CHAMBRES GARCONS RDC'!$A$47,1,0)</f>
        <v>0</v>
      </c>
      <c r="HG261" s="160">
        <f>IF([Occurrence40]=0,0,SUM($HF$2:HF261))</f>
        <v>0</v>
      </c>
      <c r="HH261" s="160">
        <f>IF([chambre3]*1='CHAMBRES GARCONS RDC'!$A$53,1,0)</f>
        <v>0</v>
      </c>
      <c r="HI261" s="160">
        <f>IF([Occurrence41]=0,0,SUM($HH$2:HH261))</f>
        <v>0</v>
      </c>
      <c r="HJ261" s="160">
        <f>IF([chambre3]*1='CHAMBRES GARCONS RDC'!$A$59,1,0)</f>
        <v>0</v>
      </c>
      <c r="HK261" s="160">
        <f>IF([Occurrence42]=0,0,SUM($HJ$2:HJ261))</f>
        <v>0</v>
      </c>
      <c r="HL261" s="160">
        <f>IF([chambre3]*1='CHAMBRES GARCONS RDC'!$A$65,1,0)</f>
        <v>0</v>
      </c>
      <c r="HM261" s="160">
        <f>IF([Occurrence43]=0,0,SUM($HL$2:HL261))</f>
        <v>0</v>
      </c>
      <c r="HN261" s="160">
        <f>IF([chambre3]*1='CHAMBRES GARCONS RDC'!$A$71,1,0)</f>
        <v>0</v>
      </c>
      <c r="HO261" s="160">
        <f>IF([Occurrence44]=0,0,SUM($HN$2:HN261))</f>
        <v>0</v>
      </c>
      <c r="HP261" s="160">
        <f>IF([chambre3]*1='CHAMBRES GARCONS RDC'!$A$77,1,0)</f>
        <v>0</v>
      </c>
      <c r="HQ261" s="160">
        <f>IF([Occurrence45]=0,0,SUM($HP$2:HP261))</f>
        <v>0</v>
      </c>
      <c r="HR261" s="160">
        <f>IF([chambre3]*1='CHAMBRES GARCONS RDC'!$A$83,1,0)</f>
        <v>0</v>
      </c>
      <c r="HS261" s="160">
        <f>IF([Occurrence46]=0,0,SUM($HR$2:HR261))</f>
        <v>0</v>
      </c>
      <c r="HT261" s="160">
        <f>IF([chambre3]*1='CHAMBRES GARCONS RDC'!$A$89,1,0)</f>
        <v>0</v>
      </c>
      <c r="HU261" s="160">
        <f>IF([Occurrence47]=0,0,SUM($HT$2:HT261))</f>
        <v>0</v>
      </c>
      <c r="HV261" s="160">
        <f>IF([chambre3]*1='CHAMBRES GARCONS RDC'!$A$95,1,0)</f>
        <v>0</v>
      </c>
      <c r="HW261" s="160">
        <f>IF([Occurrence48]=0,0,SUM($HV$2:HV261))</f>
        <v>0</v>
      </c>
      <c r="HX261" s="160"/>
      <c r="HY261" s="160"/>
      <c r="HZ261" s="160">
        <f>IF([Classe]='Liste élève par classes'!$B$5,1,0)</f>
        <v>0</v>
      </c>
      <c r="IA261" s="160">
        <f>IF([Occurrence]=0,0,SUM($HZ$2:HZ261))</f>
        <v>0</v>
      </c>
      <c r="IB26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61" s="208"/>
    </row>
    <row r="262" spans="1:237">
      <c r="A262" t="s">
        <v>673</v>
      </c>
      <c r="B262" t="s">
        <v>674</v>
      </c>
      <c r="C262" s="158">
        <v>37579</v>
      </c>
      <c r="D262" s="62">
        <f t="shared" ca="1" si="4"/>
        <v>14</v>
      </c>
      <c r="E262" t="s">
        <v>7</v>
      </c>
      <c r="F262" s="159" t="s">
        <v>50</v>
      </c>
      <c r="G262" t="s">
        <v>40</v>
      </c>
      <c r="H262" s="160"/>
      <c r="I262" s="62"/>
      <c r="J262" s="161" t="s">
        <v>244</v>
      </c>
      <c r="K262" s="161"/>
      <c r="L262" s="160"/>
      <c r="M262">
        <v>24</v>
      </c>
      <c r="N262" s="161" t="s">
        <v>244</v>
      </c>
      <c r="O262" s="161" t="s">
        <v>244</v>
      </c>
      <c r="P262" s="161" t="s">
        <v>244</v>
      </c>
      <c r="Q262" s="161" t="s">
        <v>244</v>
      </c>
      <c r="R262" s="161" t="s">
        <v>244</v>
      </c>
      <c r="S262" s="190"/>
      <c r="T262" s="161" t="s">
        <v>244</v>
      </c>
      <c r="U262" s="160"/>
      <c r="V262" s="161" t="s">
        <v>244</v>
      </c>
      <c r="W262" s="161" t="s">
        <v>244</v>
      </c>
      <c r="X262" s="161" t="s">
        <v>244</v>
      </c>
      <c r="Y262" s="161" t="s">
        <v>244</v>
      </c>
      <c r="Z262" s="161" t="s">
        <v>244</v>
      </c>
      <c r="AA262" s="161" t="s">
        <v>244</v>
      </c>
      <c r="AB262" s="161" t="s">
        <v>244</v>
      </c>
      <c r="AC262" s="161" t="s">
        <v>244</v>
      </c>
      <c r="AD262" s="161" t="s">
        <v>244</v>
      </c>
      <c r="AE262" s="161" t="s">
        <v>244</v>
      </c>
      <c r="AF262" s="163" t="s">
        <v>244</v>
      </c>
      <c r="AG262" s="163" t="s">
        <v>244</v>
      </c>
      <c r="AH262" s="163" t="s">
        <v>244</v>
      </c>
      <c r="AI262" s="163"/>
      <c r="AJ262" s="163"/>
      <c r="AK262" s="163"/>
      <c r="AL262" s="163"/>
      <c r="AM262" s="163"/>
      <c r="AN262" s="163"/>
      <c r="AO262" s="163"/>
      <c r="AP262" s="163"/>
      <c r="AQ262" s="163"/>
      <c r="AR262" s="163"/>
      <c r="AS262" s="163"/>
      <c r="AT262" s="163"/>
      <c r="AU262" s="163"/>
      <c r="AV262" s="163"/>
      <c r="AW262" s="163"/>
      <c r="AX262" s="163"/>
      <c r="AY262" s="163"/>
      <c r="AZ262" s="163"/>
      <c r="BA262" s="163"/>
      <c r="BB262" s="163"/>
      <c r="BC262" s="163" t="b">
        <v>0</v>
      </c>
      <c r="BD262" s="163" t="b">
        <v>1</v>
      </c>
      <c r="BE262" s="163" t="b">
        <v>1</v>
      </c>
      <c r="BF262" s="163" t="b">
        <v>0</v>
      </c>
      <c r="BG262" s="164" t="b">
        <v>0</v>
      </c>
      <c r="BH262" s="163" t="b">
        <v>1</v>
      </c>
      <c r="BI262" s="163"/>
      <c r="BJ262" s="163"/>
      <c r="BK262" s="163"/>
      <c r="BL262" s="163"/>
      <c r="BM262" s="163"/>
      <c r="BN262" s="163"/>
      <c r="BO262" s="163"/>
      <c r="BP262" s="163"/>
      <c r="BQ262" s="163" t="b">
        <v>0</v>
      </c>
      <c r="BR262" s="163"/>
      <c r="BS262" s="163"/>
      <c r="BT262" s="163"/>
      <c r="BU262" s="163"/>
      <c r="BV262" s="163"/>
      <c r="BW262" s="163"/>
      <c r="BX262" s="163"/>
      <c r="BY262" s="163"/>
      <c r="BZ262" s="163"/>
      <c r="CA262" s="163"/>
      <c r="CB262" s="163"/>
      <c r="CC262" s="163"/>
      <c r="CD262" s="163"/>
      <c r="CE262" s="163"/>
      <c r="CF262" s="163"/>
      <c r="CG262" s="163"/>
      <c r="CH262" s="163"/>
      <c r="CI262" s="163"/>
      <c r="CJ262" s="163"/>
      <c r="CK262" s="163"/>
      <c r="CL262" s="163"/>
      <c r="CM262" s="163"/>
      <c r="CN262" s="163"/>
      <c r="CO262" s="163"/>
      <c r="CP262" s="163"/>
      <c r="CQ262" s="163"/>
      <c r="CR262" s="163"/>
      <c r="CS262" s="163"/>
      <c r="CT262" s="163"/>
      <c r="CU262" s="163"/>
      <c r="CV262" s="163"/>
      <c r="CW262" s="163"/>
      <c r="CX262" s="163"/>
      <c r="CY262" s="163"/>
      <c r="CZ262" s="163"/>
      <c r="DA262" s="163">
        <v>119</v>
      </c>
      <c r="DB262" s="163"/>
      <c r="DC262" s="163"/>
      <c r="DD262" s="163"/>
      <c r="DE262" s="163"/>
      <c r="DF262" s="163"/>
      <c r="DG262" s="208"/>
      <c r="DH262" s="163"/>
      <c r="DI262" s="163"/>
      <c r="DJ262" s="163"/>
      <c r="DK262" s="163"/>
      <c r="DL262" s="163"/>
      <c r="DM262" s="163"/>
      <c r="DN262" s="163"/>
      <c r="DO262" s="163"/>
      <c r="DP262" s="163"/>
      <c r="DQ262" s="163"/>
      <c r="DR262" s="163"/>
      <c r="DS262" s="163"/>
      <c r="DT262" s="163"/>
      <c r="DU262" s="163"/>
      <c r="DV262" s="163"/>
      <c r="DW262" s="163"/>
      <c r="DX262" s="163"/>
      <c r="DY262" s="163"/>
      <c r="DZ262" s="163"/>
      <c r="EA262" s="163"/>
      <c r="EB262" s="163"/>
      <c r="EC262" s="163"/>
      <c r="ED262" s="163"/>
      <c r="EE262" s="163"/>
      <c r="EF262" s="163"/>
      <c r="EG262" s="163"/>
      <c r="EH262" s="160">
        <f>IF([Chambre]*1='CHAMBRES FILLES 2e ETAGE'!$A$5,1,0)</f>
        <v>0</v>
      </c>
      <c r="EI262" s="161">
        <f>IF([Occurrence2]=0,0,SUM($EH$2:EH262))</f>
        <v>0</v>
      </c>
      <c r="EJ262" s="160">
        <f>IF([Chambre]*1='CHAMBRES FILLES 2e ETAGE'!$A$11,1,0)</f>
        <v>0</v>
      </c>
      <c r="EK262" s="160">
        <f>IF([Occurrence3]=0,0,SUM($EJ$2:EJ262))</f>
        <v>0</v>
      </c>
      <c r="EL262" s="160">
        <f>IF([Chambre]*1='CHAMBRES FILLES 2e ETAGE'!$A$17,1,0)</f>
        <v>0</v>
      </c>
      <c r="EM262" s="160">
        <f>IF([Occurrence4]=0,0,SUM($EL$2:EL262))</f>
        <v>0</v>
      </c>
      <c r="EN262" s="160">
        <f>IF([Chambre]*1='CHAMBRES FILLES 2e ETAGE'!$A$23,1,0)</f>
        <v>0</v>
      </c>
      <c r="EO262" s="160">
        <f>IF([Occurrence5]=0,0,SUM($EN$2:EN262))</f>
        <v>0</v>
      </c>
      <c r="EP262" s="160">
        <f>IF([Chambre]*1='CHAMBRES FILLES 2e ETAGE'!$A$29,1,0)</f>
        <v>0</v>
      </c>
      <c r="EQ262" s="160">
        <f>IF([Occurrence6]=0,0,SUM($EP$2:EP262))</f>
        <v>0</v>
      </c>
      <c r="ER262" s="160">
        <f>IF([Chambre]*1='CHAMBRES FILLES 2e ETAGE'!$A$35,1,0)</f>
        <v>0</v>
      </c>
      <c r="ES262" s="160">
        <f>IF([Occurrence7]=0,0,SUM($ER$2:ER262))</f>
        <v>0</v>
      </c>
      <c r="ET262" s="160">
        <f>IF([Chambre]*1='CHAMBRES FILLES 2e ETAGE'!$A$41,1,0)</f>
        <v>0</v>
      </c>
      <c r="EU262" s="160">
        <f>IF([Occurrence8]=0,0,SUM($ET$2:ET262))</f>
        <v>0</v>
      </c>
      <c r="EV262" s="160">
        <f>IF([Chambre]*1='CHAMBRES FILLES 2e ETAGE'!$A$47,1,0)</f>
        <v>0</v>
      </c>
      <c r="EW262" s="160">
        <f>IF([Occurrence9]=0,0,SUM($EV$2:EV262))</f>
        <v>0</v>
      </c>
      <c r="EX262" s="160">
        <f>IF([Chambre]*1='CHAMBRES FILLES 2e ETAGE'!$A$53,1,0)</f>
        <v>0</v>
      </c>
      <c r="EY262" s="160">
        <f>IF([Occurrence10]=0,0,SUM($EX$2:EX262))</f>
        <v>0</v>
      </c>
      <c r="EZ262" s="160">
        <f>IF([Chambre]*1='CHAMBRES FILLES 2e ETAGE'!$A$59,1,0)</f>
        <v>0</v>
      </c>
      <c r="FA262" s="160">
        <f>IF([Occurrence11]=0,0,SUM($EZ$2:EZ262))</f>
        <v>0</v>
      </c>
      <c r="FB262" s="160">
        <f>IF([Chambre]*1='CHAMBRES FILLES 2e ETAGE'!$A$65,1,0)</f>
        <v>0</v>
      </c>
      <c r="FC262" s="160">
        <f>IF([Occurrence12]=0,0,SUM($FB$2:FB262))</f>
        <v>0</v>
      </c>
      <c r="FD262" s="160">
        <f>IF([Chambre]*1='CHAMBRES FILLES 2e ETAGE'!$A$71,1,0)</f>
        <v>0</v>
      </c>
      <c r="FE262" s="160">
        <f>IF([Occurrence13]=0,0,SUM($FD$2:FD262))</f>
        <v>0</v>
      </c>
      <c r="FF262" s="160">
        <f>IF([Chambre]*1='CHAMBRES FILLES 2e ETAGE'!$A$77,1,0)</f>
        <v>0</v>
      </c>
      <c r="FG262" s="160">
        <f>IF([Occurrence14]=0,0,SUM($FF$2:FF262))</f>
        <v>0</v>
      </c>
      <c r="FH262" s="160">
        <f>IF([Chambre]*1='CHAMBRES FILLES 2e ETAGE'!$A$83,1,0)</f>
        <v>0</v>
      </c>
      <c r="FI262" s="160">
        <f>IF([Occurrence15]=0,0,SUM($FH$2:FH262))</f>
        <v>0</v>
      </c>
      <c r="FJ262" s="160">
        <f>IF([Chambre]*1='CHAMBRES FILLES 2e ETAGE'!$A$89,1,0)</f>
        <v>0</v>
      </c>
      <c r="FK262" s="160">
        <f>IF([Occurrence16]=0,0,SUM($FJ$2:FJ262))</f>
        <v>0</v>
      </c>
      <c r="FL262" s="160">
        <f>IF([Chambre]*1='CHAMBRES FILLES 2e ETAGE'!$A$95,1,0)</f>
        <v>0</v>
      </c>
      <c r="FM262" s="160">
        <f>IF([Occurrence17]=0,0,SUM($FL$2:FL262))</f>
        <v>0</v>
      </c>
      <c r="FN262" s="160">
        <f>IF([Chambre2]*1='CHAMBRES FILLES 1e ETAGE'!$A$5,1,0)</f>
        <v>0</v>
      </c>
      <c r="FO262" s="160">
        <f>IF([Occurrence18]=0,0,SUM($FN$2:FN262))</f>
        <v>0</v>
      </c>
      <c r="FP262" s="160">
        <f>IF([Chambre2]*1='CHAMBRES FILLES 1e ETAGE'!$A$11,1,0)</f>
        <v>0</v>
      </c>
      <c r="FQ262" s="160">
        <f>IF([Occurrence19]=0,0,SUM($FP$2:FP262))</f>
        <v>0</v>
      </c>
      <c r="FR262" s="160">
        <f>IF([Chambre2]*1='CHAMBRES FILLES 1e ETAGE'!$A$17,1,0)</f>
        <v>0</v>
      </c>
      <c r="FS262" s="160">
        <f>IF([Occurrence20]=0,0,SUM($FR$2:FR262))</f>
        <v>0</v>
      </c>
      <c r="FT262" s="160">
        <f>IF([Chambre2]*1='CHAMBRES FILLES 1e ETAGE'!$A$23,1,0)</f>
        <v>0</v>
      </c>
      <c r="FU262" s="160">
        <f>IF([Occurrence21]=0,0,SUM($FT$2:FT262))</f>
        <v>0</v>
      </c>
      <c r="FV262" s="160">
        <f>IF([Chambre2]*1='CHAMBRES FILLES 1e ETAGE'!$A$29,1,0)</f>
        <v>0</v>
      </c>
      <c r="FW262" s="160">
        <f>IF([Occurrence22]=0,0,SUM($FV$2:FV262))</f>
        <v>0</v>
      </c>
      <c r="FX262" s="160">
        <f>IF([Chambre2]*1='CHAMBRES FILLES 1e ETAGE'!$A$35,1,0)</f>
        <v>0</v>
      </c>
      <c r="FY262" s="160">
        <f>IF([Occurrence23]=0,0,SUM($FX$2:FX262))</f>
        <v>0</v>
      </c>
      <c r="FZ262" s="160">
        <f>IF([Chambre2]*1='CHAMBRES FILLES 1e ETAGE'!$A$41,1,0)</f>
        <v>0</v>
      </c>
      <c r="GA262" s="160">
        <f>IF([Occurrence24]=0,0,SUM($FZ$2:FZ262))</f>
        <v>0</v>
      </c>
      <c r="GB262" s="160">
        <f>IF([Chambre2]*1='CHAMBRES FILLES 1e ETAGE'!$A$47,1,0)</f>
        <v>0</v>
      </c>
      <c r="GC262" s="160">
        <f>IF([Occurrence25]=0,0,SUM($GB$2:GB262))</f>
        <v>0</v>
      </c>
      <c r="GD262" s="160">
        <f>IF([Chambre2]*1='CHAMBRES FILLES 1e ETAGE'!$A$53,1,0)</f>
        <v>0</v>
      </c>
      <c r="GE262" s="160">
        <f>IF([Occurrence26]=0,0,SUM($GD$2:GD262))</f>
        <v>0</v>
      </c>
      <c r="GF262" s="160">
        <f>IF([chambre4]*1='CHAMBRES GARCONS 1e ETAGE'!$A$5,1,0)</f>
        <v>0</v>
      </c>
      <c r="GG262" s="160">
        <f>IF([Occurrence27]=0,0,SUM($GF$2:GF262))</f>
        <v>0</v>
      </c>
      <c r="GH262" s="160">
        <f>IF([chambre4]*1='CHAMBRES GARCONS 1e ETAGE'!$A$11,1,0)</f>
        <v>0</v>
      </c>
      <c r="GI262" s="160">
        <f>IF([Occurrence28]=0,0,SUM($GH$2:GH262))</f>
        <v>0</v>
      </c>
      <c r="GJ262" s="160">
        <f>IF([chambre4]*1='CHAMBRES GARCONS 1e ETAGE'!$A$17,1,0)</f>
        <v>0</v>
      </c>
      <c r="GK262" s="160">
        <f>IF([Occurrence29]=0,0,SUM($GJ$2:GJ262))</f>
        <v>0</v>
      </c>
      <c r="GL262" s="160">
        <f>IF([chambre4]*1='CHAMBRES GARCONS 1e ETAGE'!$A$23,1,0)</f>
        <v>0</v>
      </c>
      <c r="GM262" s="160">
        <f>IF([Occurrence30]=0,0,SUM($GL$2:GL262))</f>
        <v>0</v>
      </c>
      <c r="GN262" s="160">
        <f>IF([chambre4]*1='CHAMBRES GARCONS 1e ETAGE'!$A$29,1,0)</f>
        <v>0</v>
      </c>
      <c r="GO262" s="160">
        <f>IF([Occurrence31]=0,0,SUM($GN$2:GN262))</f>
        <v>0</v>
      </c>
      <c r="GP262" s="160">
        <f>IF([chambre4]*1='CHAMBRES GARCONS 1e ETAGE'!$A$35,1,0)</f>
        <v>0</v>
      </c>
      <c r="GQ262" s="160">
        <f>IF([Occurrence32]=0,0,SUM($GP$2:GP262))</f>
        <v>0</v>
      </c>
      <c r="GR262" s="160">
        <f>IF([chambre3]*1='CHAMBRES GARCONS RDC'!$A$5,1,0)</f>
        <v>0</v>
      </c>
      <c r="GS262" s="160">
        <f>IF([Occurrence33]=0,0,SUM($GR$2:GR262))</f>
        <v>0</v>
      </c>
      <c r="GT262" s="160">
        <f>IF([chambre3]*1='CHAMBRES GARCONS RDC'!$A$11,1,0)</f>
        <v>0</v>
      </c>
      <c r="GU262" s="160">
        <f>IF([Occurrence34]=0,0,SUM($GT$2:GT262))</f>
        <v>0</v>
      </c>
      <c r="GV262" s="160">
        <f>IF([chambre3]*1='CHAMBRES GARCONS RDC'!$A$17,1,0)</f>
        <v>0</v>
      </c>
      <c r="GW262" s="160">
        <f>IF([Occurrence35]=0,0,SUM($GV$2:GV262))</f>
        <v>0</v>
      </c>
      <c r="GX262" s="160">
        <f>IF([chambre3]*1='CHAMBRES GARCONS RDC'!$A$23,1,0)</f>
        <v>0</v>
      </c>
      <c r="GY262" s="160">
        <f>IF([Occurrence36]=0,0,SUM($GX$2:GX262))</f>
        <v>0</v>
      </c>
      <c r="GZ262" s="160">
        <f>IF([chambre3]*1='CHAMBRES GARCONS RDC'!$A$29,1,0)</f>
        <v>0</v>
      </c>
      <c r="HA262" s="160">
        <f>IF([Occurrence37]=0,0,SUM($GZ$2:GZ262))</f>
        <v>0</v>
      </c>
      <c r="HB262" s="160">
        <f>IF([chambre3]*1='CHAMBRES GARCONS RDC'!$A$35,1,0)</f>
        <v>0</v>
      </c>
      <c r="HC262" s="160">
        <f>IF([Occurrence38]=0,0,SUM($HB$2:HB262))</f>
        <v>0</v>
      </c>
      <c r="HD262" s="160">
        <f>IF([chambre3]*1='CHAMBRES GARCONS RDC'!$A$41,1,0)</f>
        <v>1</v>
      </c>
      <c r="HE262" s="160">
        <f>IF([Occurrence39]=0,0,SUM($HD$2:HD262))</f>
        <v>3</v>
      </c>
      <c r="HF262" s="160">
        <f>IF([chambre3]*1='CHAMBRES GARCONS RDC'!$A$47,1,0)</f>
        <v>0</v>
      </c>
      <c r="HG262" s="160">
        <f>IF([Occurrence40]=0,0,SUM($HF$2:HF262))</f>
        <v>0</v>
      </c>
      <c r="HH262" s="160">
        <f>IF([chambre3]*1='CHAMBRES GARCONS RDC'!$A$53,1,0)</f>
        <v>0</v>
      </c>
      <c r="HI262" s="160">
        <f>IF([Occurrence41]=0,0,SUM($HH$2:HH262))</f>
        <v>0</v>
      </c>
      <c r="HJ262" s="160">
        <f>IF([chambre3]*1='CHAMBRES GARCONS RDC'!$A$59,1,0)</f>
        <v>0</v>
      </c>
      <c r="HK262" s="160">
        <f>IF([Occurrence42]=0,0,SUM($HJ$2:HJ262))</f>
        <v>0</v>
      </c>
      <c r="HL262" s="160">
        <f>IF([chambre3]*1='CHAMBRES GARCONS RDC'!$A$65,1,0)</f>
        <v>0</v>
      </c>
      <c r="HM262" s="160">
        <f>IF([Occurrence43]=0,0,SUM($HL$2:HL262))</f>
        <v>0</v>
      </c>
      <c r="HN262" s="160">
        <f>IF([chambre3]*1='CHAMBRES GARCONS RDC'!$A$71,1,0)</f>
        <v>0</v>
      </c>
      <c r="HO262" s="160">
        <f>IF([Occurrence44]=0,0,SUM($HN$2:HN262))</f>
        <v>0</v>
      </c>
      <c r="HP262" s="160">
        <f>IF([chambre3]*1='CHAMBRES GARCONS RDC'!$A$77,1,0)</f>
        <v>0</v>
      </c>
      <c r="HQ262" s="160">
        <f>IF([Occurrence45]=0,0,SUM($HP$2:HP262))</f>
        <v>0</v>
      </c>
      <c r="HR262" s="160">
        <f>IF([chambre3]*1='CHAMBRES GARCONS RDC'!$A$83,1,0)</f>
        <v>0</v>
      </c>
      <c r="HS262" s="160">
        <f>IF([Occurrence46]=0,0,SUM($HR$2:HR262))</f>
        <v>0</v>
      </c>
      <c r="HT262" s="160">
        <f>IF([chambre3]*1='CHAMBRES GARCONS RDC'!$A$89,1,0)</f>
        <v>0</v>
      </c>
      <c r="HU262" s="160">
        <f>IF([Occurrence47]=0,0,SUM($HT$2:HT262))</f>
        <v>0</v>
      </c>
      <c r="HV262" s="160">
        <f>IF([chambre3]*1='CHAMBRES GARCONS RDC'!$A$95,1,0)</f>
        <v>0</v>
      </c>
      <c r="HW262" s="160">
        <f>IF([Occurrence48]=0,0,SUM($HV$2:HV262))</f>
        <v>0</v>
      </c>
      <c r="HX262" s="160"/>
      <c r="HY262" s="160"/>
      <c r="HZ262" s="160">
        <f>IF([Classe]='Liste élève par classes'!$B$5,1,0)</f>
        <v>0</v>
      </c>
      <c r="IA262" s="160">
        <f>IF([Occurrence]=0,0,SUM($HZ$2:HZ262))</f>
        <v>0</v>
      </c>
      <c r="IB26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119</v>
      </c>
      <c r="IC262" s="208"/>
    </row>
    <row r="263" spans="1:237">
      <c r="A263" t="s">
        <v>675</v>
      </c>
      <c r="B263" t="s">
        <v>664</v>
      </c>
      <c r="C263" s="158">
        <v>36235</v>
      </c>
      <c r="D263" s="62">
        <f t="shared" ca="1" si="4"/>
        <v>18</v>
      </c>
      <c r="E263" t="s">
        <v>13</v>
      </c>
      <c r="F263" s="159" t="s">
        <v>50</v>
      </c>
      <c r="G263" t="s">
        <v>45</v>
      </c>
      <c r="H263" s="160"/>
      <c r="I263" s="161"/>
      <c r="J263" s="161"/>
      <c r="K263" s="161"/>
      <c r="L263" s="160">
        <v>180</v>
      </c>
      <c r="M263">
        <v>134</v>
      </c>
      <c r="N263" s="161"/>
      <c r="O263" s="161"/>
      <c r="P263" s="161"/>
      <c r="Q263" s="161"/>
      <c r="R263" s="161"/>
      <c r="S263" s="190"/>
      <c r="T263" s="161"/>
      <c r="U263" s="160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163"/>
      <c r="AG263" s="163"/>
      <c r="AH263" s="163"/>
      <c r="AI263" s="163"/>
      <c r="AJ263" s="163"/>
      <c r="AK263" s="163"/>
      <c r="AL263" s="163"/>
      <c r="AM263" s="163"/>
      <c r="AN263" s="163"/>
      <c r="AO263" s="163"/>
      <c r="AP263" s="163"/>
      <c r="AQ263" s="163"/>
      <c r="AR263" s="163"/>
      <c r="AS263" s="163"/>
      <c r="AT263" s="163"/>
      <c r="AU263" s="163"/>
      <c r="AV263" s="163"/>
      <c r="AW263" s="163"/>
      <c r="AX263" s="163"/>
      <c r="AY263" s="163"/>
      <c r="AZ263" s="163"/>
      <c r="BA263" s="163"/>
      <c r="BB263" s="163"/>
      <c r="BC263" s="163" t="b">
        <v>0</v>
      </c>
      <c r="BD263" s="163" t="b">
        <v>1</v>
      </c>
      <c r="BE263" s="163" t="b">
        <v>1</v>
      </c>
      <c r="BF263" s="163" t="b">
        <v>0</v>
      </c>
      <c r="BG263" s="164" t="b">
        <v>0</v>
      </c>
      <c r="BH263" s="163" t="b">
        <v>1</v>
      </c>
      <c r="BI263" s="163"/>
      <c r="BJ263" s="163"/>
      <c r="BK263" s="163"/>
      <c r="BL263" s="163"/>
      <c r="BM263" s="163"/>
      <c r="BN263" s="163"/>
      <c r="BO263" s="163"/>
      <c r="BP263" s="163"/>
      <c r="BQ263" s="163" t="b">
        <v>1</v>
      </c>
      <c r="BR263" s="163"/>
      <c r="BS263" s="163"/>
      <c r="BT263" s="163"/>
      <c r="BU263" s="163"/>
      <c r="BV263" s="163"/>
      <c r="BW263" s="163"/>
      <c r="BX263" s="163"/>
      <c r="BY263" s="163"/>
      <c r="BZ263" s="163"/>
      <c r="CA263" s="163"/>
      <c r="CB263" s="163"/>
      <c r="CC263" s="163"/>
      <c r="CD263" s="163"/>
      <c r="CE263" s="163"/>
      <c r="CF263" s="163"/>
      <c r="CG263" s="163"/>
      <c r="CH263" s="163"/>
      <c r="CI263" s="163"/>
      <c r="CJ263" s="163"/>
      <c r="CK263" s="163"/>
      <c r="CL263" s="163"/>
      <c r="CM263" s="163"/>
      <c r="CN263" s="163"/>
      <c r="CO263" s="163"/>
      <c r="CP263" s="163"/>
      <c r="CQ263" s="163"/>
      <c r="CR263" s="163"/>
      <c r="CS263" s="163"/>
      <c r="CT263" s="163"/>
      <c r="CU263" s="163"/>
      <c r="CV263" s="163"/>
      <c r="CW263" s="163"/>
      <c r="CX263" s="163"/>
      <c r="CY263" s="163"/>
      <c r="CZ263" s="163"/>
      <c r="DA263" s="163"/>
      <c r="DB263" s="163"/>
      <c r="DC263" s="163"/>
      <c r="DD263" s="163"/>
      <c r="DE263" s="163"/>
      <c r="DF263" s="163"/>
      <c r="DG263" s="208"/>
      <c r="DH263" s="163"/>
      <c r="DI263" s="163"/>
      <c r="DJ263" s="163"/>
      <c r="DK263" s="163"/>
      <c r="DL263" s="163"/>
      <c r="DM263" s="163"/>
      <c r="DN263" s="163"/>
      <c r="DO263" s="163"/>
      <c r="DP263" s="163"/>
      <c r="DQ263" s="163"/>
      <c r="DR263" s="163"/>
      <c r="DS263" s="163"/>
      <c r="DT263" s="163"/>
      <c r="DU263" s="163"/>
      <c r="DV263" s="163"/>
      <c r="DW263" s="163"/>
      <c r="DX263" s="163"/>
      <c r="DY263" s="163"/>
      <c r="DZ263" s="163"/>
      <c r="EA263" s="163"/>
      <c r="EB263" s="163"/>
      <c r="EC263" s="163"/>
      <c r="ED263" s="163"/>
      <c r="EE263" s="163"/>
      <c r="EF263" s="163"/>
      <c r="EG263" s="163"/>
      <c r="EH263" s="160">
        <f>IF([Chambre]*1='CHAMBRES FILLES 2e ETAGE'!$A$5,1,0)</f>
        <v>0</v>
      </c>
      <c r="EI263" s="161">
        <f>IF([Occurrence2]=0,0,SUM($EH$2:EH263))</f>
        <v>0</v>
      </c>
      <c r="EJ263" s="160">
        <f>IF([Chambre]*1='CHAMBRES FILLES 2e ETAGE'!$A$11,1,0)</f>
        <v>0</v>
      </c>
      <c r="EK263" s="160">
        <f>IF([Occurrence3]=0,0,SUM($EJ$2:EJ263))</f>
        <v>0</v>
      </c>
      <c r="EL263" s="160">
        <f>IF([Chambre]*1='CHAMBRES FILLES 2e ETAGE'!$A$17,1,0)</f>
        <v>0</v>
      </c>
      <c r="EM263" s="160">
        <f>IF([Occurrence4]=0,0,SUM($EL$2:EL263))</f>
        <v>0</v>
      </c>
      <c r="EN263" s="160">
        <f>IF([Chambre]*1='CHAMBRES FILLES 2e ETAGE'!$A$23,1,0)</f>
        <v>0</v>
      </c>
      <c r="EO263" s="160">
        <f>IF([Occurrence5]=0,0,SUM($EN$2:EN263))</f>
        <v>0</v>
      </c>
      <c r="EP263" s="160">
        <f>IF([Chambre]*1='CHAMBRES FILLES 2e ETAGE'!$A$29,1,0)</f>
        <v>0</v>
      </c>
      <c r="EQ263" s="160">
        <f>IF([Occurrence6]=0,0,SUM($EP$2:EP263))</f>
        <v>0</v>
      </c>
      <c r="ER263" s="160">
        <f>IF([Chambre]*1='CHAMBRES FILLES 2e ETAGE'!$A$35,1,0)</f>
        <v>0</v>
      </c>
      <c r="ES263" s="160">
        <f>IF([Occurrence7]=0,0,SUM($ER$2:ER263))</f>
        <v>0</v>
      </c>
      <c r="ET263" s="160">
        <f>IF([Chambre]*1='CHAMBRES FILLES 2e ETAGE'!$A$41,1,0)</f>
        <v>0</v>
      </c>
      <c r="EU263" s="160">
        <f>IF([Occurrence8]=0,0,SUM($ET$2:ET263))</f>
        <v>0</v>
      </c>
      <c r="EV263" s="160">
        <f>IF([Chambre]*1='CHAMBRES FILLES 2e ETAGE'!$A$47,1,0)</f>
        <v>0</v>
      </c>
      <c r="EW263" s="160">
        <f>IF([Occurrence9]=0,0,SUM($EV$2:EV263))</f>
        <v>0</v>
      </c>
      <c r="EX263" s="160">
        <f>IF([Chambre]*1='CHAMBRES FILLES 2e ETAGE'!$A$53,1,0)</f>
        <v>0</v>
      </c>
      <c r="EY263" s="160">
        <f>IF([Occurrence10]=0,0,SUM($EX$2:EX263))</f>
        <v>0</v>
      </c>
      <c r="EZ263" s="160">
        <f>IF([Chambre]*1='CHAMBRES FILLES 2e ETAGE'!$A$59,1,0)</f>
        <v>0</v>
      </c>
      <c r="FA263" s="160">
        <f>IF([Occurrence11]=0,0,SUM($EZ$2:EZ263))</f>
        <v>0</v>
      </c>
      <c r="FB263" s="160">
        <f>IF([Chambre]*1='CHAMBRES FILLES 2e ETAGE'!$A$65,1,0)</f>
        <v>0</v>
      </c>
      <c r="FC263" s="160">
        <f>IF([Occurrence12]=0,0,SUM($FB$2:FB263))</f>
        <v>0</v>
      </c>
      <c r="FD263" s="160">
        <f>IF([Chambre]*1='CHAMBRES FILLES 2e ETAGE'!$A$71,1,0)</f>
        <v>0</v>
      </c>
      <c r="FE263" s="160">
        <f>IF([Occurrence13]=0,0,SUM($FD$2:FD263))</f>
        <v>0</v>
      </c>
      <c r="FF263" s="160">
        <f>IF([Chambre]*1='CHAMBRES FILLES 2e ETAGE'!$A$77,1,0)</f>
        <v>0</v>
      </c>
      <c r="FG263" s="160">
        <f>IF([Occurrence14]=0,0,SUM($FF$2:FF263))</f>
        <v>0</v>
      </c>
      <c r="FH263" s="160">
        <f>IF([Chambre]*1='CHAMBRES FILLES 2e ETAGE'!$A$83,1,0)</f>
        <v>0</v>
      </c>
      <c r="FI263" s="160">
        <f>IF([Occurrence15]=0,0,SUM($FH$2:FH263))</f>
        <v>0</v>
      </c>
      <c r="FJ263" s="160">
        <f>IF([Chambre]*1='CHAMBRES FILLES 2e ETAGE'!$A$89,1,0)</f>
        <v>1</v>
      </c>
      <c r="FK263" s="160">
        <f>IF([Occurrence16]=0,0,SUM($FJ$2:FJ263))</f>
        <v>4</v>
      </c>
      <c r="FL263" s="160">
        <f>IF([Chambre]*1='CHAMBRES FILLES 2e ETAGE'!$A$95,1,0)</f>
        <v>0</v>
      </c>
      <c r="FM263" s="160">
        <f>IF([Occurrence17]=0,0,SUM($FL$2:FL263))</f>
        <v>0</v>
      </c>
      <c r="FN263" s="160">
        <f>IF([Chambre2]*1='CHAMBRES FILLES 1e ETAGE'!$A$5,1,0)</f>
        <v>0</v>
      </c>
      <c r="FO263" s="160">
        <f>IF([Occurrence18]=0,0,SUM($FN$2:FN263))</f>
        <v>0</v>
      </c>
      <c r="FP263" s="160">
        <f>IF([Chambre2]*1='CHAMBRES FILLES 1e ETAGE'!$A$11,1,0)</f>
        <v>0</v>
      </c>
      <c r="FQ263" s="160">
        <f>IF([Occurrence19]=0,0,SUM($FP$2:FP263))</f>
        <v>0</v>
      </c>
      <c r="FR263" s="160">
        <f>IF([Chambre2]*1='CHAMBRES FILLES 1e ETAGE'!$A$17,1,0)</f>
        <v>0</v>
      </c>
      <c r="FS263" s="160">
        <f>IF([Occurrence20]=0,0,SUM($FR$2:FR263))</f>
        <v>0</v>
      </c>
      <c r="FT263" s="160">
        <f>IF([Chambre2]*1='CHAMBRES FILLES 1e ETAGE'!$A$23,1,0)</f>
        <v>0</v>
      </c>
      <c r="FU263" s="160">
        <f>IF([Occurrence21]=0,0,SUM($FT$2:FT263))</f>
        <v>0</v>
      </c>
      <c r="FV263" s="160">
        <f>IF([Chambre2]*1='CHAMBRES FILLES 1e ETAGE'!$A$29,1,0)</f>
        <v>0</v>
      </c>
      <c r="FW263" s="160">
        <f>IF([Occurrence22]=0,0,SUM($FV$2:FV263))</f>
        <v>0</v>
      </c>
      <c r="FX263" s="160">
        <f>IF([Chambre2]*1='CHAMBRES FILLES 1e ETAGE'!$A$35,1,0)</f>
        <v>0</v>
      </c>
      <c r="FY263" s="160">
        <f>IF([Occurrence23]=0,0,SUM($FX$2:FX263))</f>
        <v>0</v>
      </c>
      <c r="FZ263" s="160">
        <f>IF([Chambre2]*1='CHAMBRES FILLES 1e ETAGE'!$A$41,1,0)</f>
        <v>0</v>
      </c>
      <c r="GA263" s="160">
        <f>IF([Occurrence24]=0,0,SUM($FZ$2:FZ263))</f>
        <v>0</v>
      </c>
      <c r="GB263" s="160">
        <f>IF([Chambre2]*1='CHAMBRES FILLES 1e ETAGE'!$A$47,1,0)</f>
        <v>0</v>
      </c>
      <c r="GC263" s="160">
        <f>IF([Occurrence25]=0,0,SUM($GB$2:GB263))</f>
        <v>0</v>
      </c>
      <c r="GD263" s="160">
        <f>IF([Chambre2]*1='CHAMBRES FILLES 1e ETAGE'!$A$53,1,0)</f>
        <v>0</v>
      </c>
      <c r="GE263" s="160">
        <f>IF([Occurrence26]=0,0,SUM($GD$2:GD263))</f>
        <v>0</v>
      </c>
      <c r="GF263" s="160">
        <f>IF([chambre4]*1='CHAMBRES GARCONS 1e ETAGE'!$A$5,1,0)</f>
        <v>0</v>
      </c>
      <c r="GG263" s="160">
        <f>IF([Occurrence27]=0,0,SUM($GF$2:GF263))</f>
        <v>0</v>
      </c>
      <c r="GH263" s="160">
        <f>IF([chambre4]*1='CHAMBRES GARCONS 1e ETAGE'!$A$11,1,0)</f>
        <v>0</v>
      </c>
      <c r="GI263" s="160">
        <f>IF([Occurrence28]=0,0,SUM($GH$2:GH263))</f>
        <v>0</v>
      </c>
      <c r="GJ263" s="160">
        <f>IF([chambre4]*1='CHAMBRES GARCONS 1e ETAGE'!$A$17,1,0)</f>
        <v>0</v>
      </c>
      <c r="GK263" s="160">
        <f>IF([Occurrence29]=0,0,SUM($GJ$2:GJ263))</f>
        <v>0</v>
      </c>
      <c r="GL263" s="160">
        <f>IF([chambre4]*1='CHAMBRES GARCONS 1e ETAGE'!$A$23,1,0)</f>
        <v>0</v>
      </c>
      <c r="GM263" s="160">
        <f>IF([Occurrence30]=0,0,SUM($GL$2:GL263))</f>
        <v>0</v>
      </c>
      <c r="GN263" s="160">
        <f>IF([chambre4]*1='CHAMBRES GARCONS 1e ETAGE'!$A$29,1,0)</f>
        <v>0</v>
      </c>
      <c r="GO263" s="160">
        <f>IF([Occurrence31]=0,0,SUM($GN$2:GN263))</f>
        <v>0</v>
      </c>
      <c r="GP263" s="160">
        <f>IF([chambre4]*1='CHAMBRES GARCONS 1e ETAGE'!$A$35,1,0)</f>
        <v>0</v>
      </c>
      <c r="GQ263" s="160">
        <f>IF([Occurrence32]=0,0,SUM($GP$2:GP263))</f>
        <v>0</v>
      </c>
      <c r="GR263" s="160">
        <f>IF([chambre3]*1='CHAMBRES GARCONS RDC'!$A$5,1,0)</f>
        <v>0</v>
      </c>
      <c r="GS263" s="160">
        <f>IF([Occurrence33]=0,0,SUM($GR$2:GR263))</f>
        <v>0</v>
      </c>
      <c r="GT263" s="160">
        <f>IF([chambre3]*1='CHAMBRES GARCONS RDC'!$A$11,1,0)</f>
        <v>0</v>
      </c>
      <c r="GU263" s="160">
        <f>IF([Occurrence34]=0,0,SUM($GT$2:GT263))</f>
        <v>0</v>
      </c>
      <c r="GV263" s="160">
        <f>IF([chambre3]*1='CHAMBRES GARCONS RDC'!$A$17,1,0)</f>
        <v>0</v>
      </c>
      <c r="GW263" s="160">
        <f>IF([Occurrence35]=0,0,SUM($GV$2:GV263))</f>
        <v>0</v>
      </c>
      <c r="GX263" s="160">
        <f>IF([chambre3]*1='CHAMBRES GARCONS RDC'!$A$23,1,0)</f>
        <v>0</v>
      </c>
      <c r="GY263" s="160">
        <f>IF([Occurrence36]=0,0,SUM($GX$2:GX263))</f>
        <v>0</v>
      </c>
      <c r="GZ263" s="160">
        <f>IF([chambre3]*1='CHAMBRES GARCONS RDC'!$A$29,1,0)</f>
        <v>0</v>
      </c>
      <c r="HA263" s="160">
        <f>IF([Occurrence37]=0,0,SUM($GZ$2:GZ263))</f>
        <v>0</v>
      </c>
      <c r="HB263" s="160">
        <f>IF([chambre3]*1='CHAMBRES GARCONS RDC'!$A$35,1,0)</f>
        <v>0</v>
      </c>
      <c r="HC263" s="160">
        <f>IF([Occurrence38]=0,0,SUM($HB$2:HB263))</f>
        <v>0</v>
      </c>
      <c r="HD263" s="160">
        <f>IF([chambre3]*1='CHAMBRES GARCONS RDC'!$A$41,1,0)</f>
        <v>0</v>
      </c>
      <c r="HE263" s="160">
        <f>IF([Occurrence39]=0,0,SUM($HD$2:HD263))</f>
        <v>0</v>
      </c>
      <c r="HF263" s="160">
        <f>IF([chambre3]*1='CHAMBRES GARCONS RDC'!$A$47,1,0)</f>
        <v>0</v>
      </c>
      <c r="HG263" s="160">
        <f>IF([Occurrence40]=0,0,SUM($HF$2:HF263))</f>
        <v>0</v>
      </c>
      <c r="HH263" s="160">
        <f>IF([chambre3]*1='CHAMBRES GARCONS RDC'!$A$53,1,0)</f>
        <v>0</v>
      </c>
      <c r="HI263" s="160">
        <f>IF([Occurrence41]=0,0,SUM($HH$2:HH263))</f>
        <v>0</v>
      </c>
      <c r="HJ263" s="160">
        <f>IF([chambre3]*1='CHAMBRES GARCONS RDC'!$A$59,1,0)</f>
        <v>0</v>
      </c>
      <c r="HK263" s="160">
        <f>IF([Occurrence42]=0,0,SUM($HJ$2:HJ263))</f>
        <v>0</v>
      </c>
      <c r="HL263" s="160">
        <f>IF([chambre3]*1='CHAMBRES GARCONS RDC'!$A$65,1,0)</f>
        <v>0</v>
      </c>
      <c r="HM263" s="160">
        <f>IF([Occurrence43]=0,0,SUM($HL$2:HL263))</f>
        <v>0</v>
      </c>
      <c r="HN263" s="160">
        <f>IF([chambre3]*1='CHAMBRES GARCONS RDC'!$A$71,1,0)</f>
        <v>0</v>
      </c>
      <c r="HO263" s="160">
        <f>IF([Occurrence44]=0,0,SUM($HN$2:HN263))</f>
        <v>0</v>
      </c>
      <c r="HP263" s="160">
        <f>IF([chambre3]*1='CHAMBRES GARCONS RDC'!$A$77,1,0)</f>
        <v>0</v>
      </c>
      <c r="HQ263" s="160">
        <f>IF([Occurrence45]=0,0,SUM($HP$2:HP263))</f>
        <v>0</v>
      </c>
      <c r="HR263" s="160">
        <f>IF([chambre3]*1='CHAMBRES GARCONS RDC'!$A$83,1,0)</f>
        <v>0</v>
      </c>
      <c r="HS263" s="160">
        <f>IF([Occurrence46]=0,0,SUM($HR$2:HR263))</f>
        <v>0</v>
      </c>
      <c r="HT263" s="160">
        <f>IF([chambre3]*1='CHAMBRES GARCONS RDC'!$A$89,1,0)</f>
        <v>0</v>
      </c>
      <c r="HU263" s="160">
        <f>IF([Occurrence47]=0,0,SUM($HT$2:HT263))</f>
        <v>0</v>
      </c>
      <c r="HV263" s="160">
        <f>IF([chambre3]*1='CHAMBRES GARCONS RDC'!$A$95,1,0)</f>
        <v>0</v>
      </c>
      <c r="HW263" s="160">
        <f>IF([Occurrence48]=0,0,SUM($HV$2:HV263))</f>
        <v>0</v>
      </c>
      <c r="HX263" s="160"/>
      <c r="HY263" s="160"/>
      <c r="HZ263" s="160">
        <f>IF([Classe]='Liste élève par classes'!$B$5,1,0)</f>
        <v>0</v>
      </c>
      <c r="IA263" s="160">
        <f>IF([Occurrence]=0,0,SUM($HZ$2:HZ263))</f>
        <v>0</v>
      </c>
      <c r="IB26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180</v>
      </c>
      <c r="IC263" s="208"/>
    </row>
    <row r="264" spans="1:237">
      <c r="A264" t="s">
        <v>676</v>
      </c>
      <c r="B264" t="s">
        <v>677</v>
      </c>
      <c r="C264" s="158">
        <v>37190</v>
      </c>
      <c r="D264" s="62">
        <f t="shared" ca="1" si="4"/>
        <v>16</v>
      </c>
      <c r="E264" t="s">
        <v>2</v>
      </c>
      <c r="F264" s="159" t="s">
        <v>50</v>
      </c>
      <c r="G264" t="s">
        <v>45</v>
      </c>
      <c r="H264" s="160"/>
      <c r="I264" s="62"/>
      <c r="J264" s="62" t="s">
        <v>244</v>
      </c>
      <c r="K264" s="62"/>
      <c r="L264" s="61">
        <v>168</v>
      </c>
      <c r="M264">
        <v>156</v>
      </c>
      <c r="N264" s="62" t="s">
        <v>244</v>
      </c>
      <c r="O264" s="62" t="s">
        <v>244</v>
      </c>
      <c r="P264" s="62" t="s">
        <v>244</v>
      </c>
      <c r="Q264" s="62" t="s">
        <v>244</v>
      </c>
      <c r="R264" s="62" t="s">
        <v>244</v>
      </c>
      <c r="S264" s="191"/>
      <c r="T264" s="62" t="s">
        <v>244</v>
      </c>
      <c r="U264" s="61"/>
      <c r="V264" s="62" t="s">
        <v>244</v>
      </c>
      <c r="W264" s="62" t="s">
        <v>244</v>
      </c>
      <c r="X264" s="62" t="s">
        <v>244</v>
      </c>
      <c r="Y264" s="62" t="s">
        <v>244</v>
      </c>
      <c r="Z264" s="62" t="s">
        <v>244</v>
      </c>
      <c r="AA264" s="62" t="s">
        <v>244</v>
      </c>
      <c r="AB264" s="62" t="s">
        <v>244</v>
      </c>
      <c r="AC264" s="62" t="s">
        <v>244</v>
      </c>
      <c r="AD264" s="62" t="s">
        <v>244</v>
      </c>
      <c r="AE264" s="62" t="s">
        <v>244</v>
      </c>
      <c r="AF264" s="163" t="s">
        <v>244</v>
      </c>
      <c r="AG264" s="163" t="s">
        <v>244</v>
      </c>
      <c r="AH264" s="163" t="s">
        <v>244</v>
      </c>
      <c r="AI264" s="163"/>
      <c r="AJ264" s="163"/>
      <c r="AK264" s="163"/>
      <c r="AL264" s="163"/>
      <c r="AM264" s="163"/>
      <c r="AN264" s="163"/>
      <c r="AO264" s="163"/>
      <c r="AP264" s="163"/>
      <c r="AQ264" s="163"/>
      <c r="AR264" s="163"/>
      <c r="AS264" s="163"/>
      <c r="AT264" s="163"/>
      <c r="AU264" s="163"/>
      <c r="AV264" s="163"/>
      <c r="AW264" s="163"/>
      <c r="AX264" s="163"/>
      <c r="AY264" s="163"/>
      <c r="AZ264" s="163"/>
      <c r="BA264" s="163"/>
      <c r="BB264" s="163"/>
      <c r="BC264" s="163" t="b">
        <v>0</v>
      </c>
      <c r="BD264" s="163" t="b">
        <v>1</v>
      </c>
      <c r="BE264" s="163" t="b">
        <v>1</v>
      </c>
      <c r="BF264" s="163" t="b">
        <v>0</v>
      </c>
      <c r="BG264" s="164" t="b">
        <v>0</v>
      </c>
      <c r="BH264" s="163" t="b">
        <v>1</v>
      </c>
      <c r="BI264" s="163"/>
      <c r="BJ264" s="163"/>
      <c r="BK264" s="163"/>
      <c r="BL264" s="163"/>
      <c r="BM264" s="163"/>
      <c r="BN264" s="163"/>
      <c r="BO264" s="163"/>
      <c r="BP264" s="163"/>
      <c r="BQ264" s="163" t="b">
        <v>1</v>
      </c>
      <c r="BR264" s="163"/>
      <c r="BS264" s="163"/>
      <c r="BT264" s="163"/>
      <c r="BU264" s="163"/>
      <c r="BV264" s="163"/>
      <c r="BW264" s="163"/>
      <c r="BX264" s="163"/>
      <c r="BY264" s="163"/>
      <c r="BZ264" s="163"/>
      <c r="CA264" s="163"/>
      <c r="CB264" s="163"/>
      <c r="CC264" s="163"/>
      <c r="CD264" s="163"/>
      <c r="CE264" s="163"/>
      <c r="CF264" s="163"/>
      <c r="CG264" s="163"/>
      <c r="CH264" s="163"/>
      <c r="CI264" s="163"/>
      <c r="CJ264" s="163"/>
      <c r="CK264" s="163"/>
      <c r="CL264" s="163"/>
      <c r="CM264" s="163"/>
      <c r="CN264" s="163"/>
      <c r="CO264" s="163"/>
      <c r="CP264" s="163"/>
      <c r="CQ264" s="163"/>
      <c r="CR264" s="163"/>
      <c r="CS264" s="163"/>
      <c r="CT264" s="163"/>
      <c r="CU264" s="163"/>
      <c r="CV264" s="163"/>
      <c r="CW264" s="163"/>
      <c r="CX264" s="163"/>
      <c r="CY264" s="163"/>
      <c r="CZ264" s="163"/>
      <c r="DA264" s="163"/>
      <c r="DB264" s="163"/>
      <c r="DC264" s="163"/>
      <c r="DD264" s="163"/>
      <c r="DE264" s="163"/>
      <c r="DF264" s="163"/>
      <c r="DG264" s="208"/>
      <c r="DH264" s="163"/>
      <c r="DI264" s="163"/>
      <c r="DJ264" s="163"/>
      <c r="DK264" s="163"/>
      <c r="DL264" s="163"/>
      <c r="DM264" s="163"/>
      <c r="DN264" s="163"/>
      <c r="DO264" s="163"/>
      <c r="DP264" s="163"/>
      <c r="DQ264" s="163"/>
      <c r="DR264" s="163"/>
      <c r="DS264" s="163"/>
      <c r="DT264" s="163"/>
      <c r="DU264" s="163"/>
      <c r="DV264" s="163"/>
      <c r="DW264" s="163"/>
      <c r="DX264" s="163"/>
      <c r="DY264" s="163"/>
      <c r="DZ264" s="163"/>
      <c r="EA264" s="163"/>
      <c r="EB264" s="163"/>
      <c r="EC264" s="163"/>
      <c r="ED264" s="163"/>
      <c r="EE264" s="163"/>
      <c r="EF264" s="163"/>
      <c r="EG264" s="163"/>
      <c r="EH264" s="160">
        <f>IF([Chambre]*1='CHAMBRES FILLES 2e ETAGE'!$A$5,1,0)</f>
        <v>0</v>
      </c>
      <c r="EI264" s="161">
        <f>IF([Occurrence2]=0,0,SUM($EH$2:EH264))</f>
        <v>0</v>
      </c>
      <c r="EJ264" s="160">
        <f>IF([Chambre]*1='CHAMBRES FILLES 2e ETAGE'!$A$11,1,0)</f>
        <v>0</v>
      </c>
      <c r="EK264" s="160">
        <f>IF([Occurrence3]=0,0,SUM($EJ$2:EJ264))</f>
        <v>0</v>
      </c>
      <c r="EL264" s="160">
        <f>IF([Chambre]*1='CHAMBRES FILLES 2e ETAGE'!$A$17,1,0)</f>
        <v>0</v>
      </c>
      <c r="EM264" s="160">
        <f>IF([Occurrence4]=0,0,SUM($EL$2:EL264))</f>
        <v>0</v>
      </c>
      <c r="EN264" s="160">
        <f>IF([Chambre]*1='CHAMBRES FILLES 2e ETAGE'!$A$23,1,0)</f>
        <v>0</v>
      </c>
      <c r="EO264" s="160">
        <f>IF([Occurrence5]=0,0,SUM($EN$2:EN264))</f>
        <v>0</v>
      </c>
      <c r="EP264" s="160">
        <f>IF([Chambre]*1='CHAMBRES FILLES 2e ETAGE'!$A$29,1,0)</f>
        <v>1</v>
      </c>
      <c r="EQ264" s="160">
        <f>IF([Occurrence6]=0,0,SUM($EP$2:EP264))</f>
        <v>4</v>
      </c>
      <c r="ER264" s="160">
        <f>IF([Chambre]*1='CHAMBRES FILLES 2e ETAGE'!$A$35,1,0)</f>
        <v>0</v>
      </c>
      <c r="ES264" s="160">
        <f>IF([Occurrence7]=0,0,SUM($ER$2:ER264))</f>
        <v>0</v>
      </c>
      <c r="ET264" s="160">
        <f>IF([Chambre]*1='CHAMBRES FILLES 2e ETAGE'!$A$41,1,0)</f>
        <v>0</v>
      </c>
      <c r="EU264" s="160">
        <f>IF([Occurrence8]=0,0,SUM($ET$2:ET264))</f>
        <v>0</v>
      </c>
      <c r="EV264" s="160">
        <f>IF([Chambre]*1='CHAMBRES FILLES 2e ETAGE'!$A$47,1,0)</f>
        <v>0</v>
      </c>
      <c r="EW264" s="160">
        <f>IF([Occurrence9]=0,0,SUM($EV$2:EV264))</f>
        <v>0</v>
      </c>
      <c r="EX264" s="160">
        <f>IF([Chambre]*1='CHAMBRES FILLES 2e ETAGE'!$A$53,1,0)</f>
        <v>0</v>
      </c>
      <c r="EY264" s="160">
        <f>IF([Occurrence10]=0,0,SUM($EX$2:EX264))</f>
        <v>0</v>
      </c>
      <c r="EZ264" s="160">
        <f>IF([Chambre]*1='CHAMBRES FILLES 2e ETAGE'!$A$59,1,0)</f>
        <v>0</v>
      </c>
      <c r="FA264" s="160">
        <f>IF([Occurrence11]=0,0,SUM($EZ$2:EZ264))</f>
        <v>0</v>
      </c>
      <c r="FB264" s="160">
        <f>IF([Chambre]*1='CHAMBRES FILLES 2e ETAGE'!$A$65,1,0)</f>
        <v>0</v>
      </c>
      <c r="FC264" s="160">
        <f>IF([Occurrence12]=0,0,SUM($FB$2:FB264))</f>
        <v>0</v>
      </c>
      <c r="FD264" s="160">
        <f>IF([Chambre]*1='CHAMBRES FILLES 2e ETAGE'!$A$71,1,0)</f>
        <v>0</v>
      </c>
      <c r="FE264" s="160">
        <f>IF([Occurrence13]=0,0,SUM($FD$2:FD264))</f>
        <v>0</v>
      </c>
      <c r="FF264" s="160">
        <f>IF([Chambre]*1='CHAMBRES FILLES 2e ETAGE'!$A$77,1,0)</f>
        <v>0</v>
      </c>
      <c r="FG264" s="160">
        <f>IF([Occurrence14]=0,0,SUM($FF$2:FF264))</f>
        <v>0</v>
      </c>
      <c r="FH264" s="160">
        <f>IF([Chambre]*1='CHAMBRES FILLES 2e ETAGE'!$A$83,1,0)</f>
        <v>0</v>
      </c>
      <c r="FI264" s="160">
        <f>IF([Occurrence15]=0,0,SUM($FH$2:FH264))</f>
        <v>0</v>
      </c>
      <c r="FJ264" s="160">
        <f>IF([Chambre]*1='CHAMBRES FILLES 2e ETAGE'!$A$89,1,0)</f>
        <v>0</v>
      </c>
      <c r="FK264" s="160">
        <f>IF([Occurrence16]=0,0,SUM($FJ$2:FJ264))</f>
        <v>0</v>
      </c>
      <c r="FL264" s="160">
        <f>IF([Chambre]*1='CHAMBRES FILLES 2e ETAGE'!$A$95,1,0)</f>
        <v>0</v>
      </c>
      <c r="FM264" s="160">
        <f>IF([Occurrence17]=0,0,SUM($FL$2:FL264))</f>
        <v>0</v>
      </c>
      <c r="FN264" s="160">
        <f>IF([Chambre2]*1='CHAMBRES FILLES 1e ETAGE'!$A$5,1,0)</f>
        <v>0</v>
      </c>
      <c r="FO264" s="160">
        <f>IF([Occurrence18]=0,0,SUM($FN$2:FN264))</f>
        <v>0</v>
      </c>
      <c r="FP264" s="160">
        <f>IF([Chambre2]*1='CHAMBRES FILLES 1e ETAGE'!$A$11,1,0)</f>
        <v>0</v>
      </c>
      <c r="FQ264" s="160">
        <f>IF([Occurrence19]=0,0,SUM($FP$2:FP264))</f>
        <v>0</v>
      </c>
      <c r="FR264" s="160">
        <f>IF([Chambre2]*1='CHAMBRES FILLES 1e ETAGE'!$A$17,1,0)</f>
        <v>0</v>
      </c>
      <c r="FS264" s="160">
        <f>IF([Occurrence20]=0,0,SUM($FR$2:FR264))</f>
        <v>0</v>
      </c>
      <c r="FT264" s="160">
        <f>IF([Chambre2]*1='CHAMBRES FILLES 1e ETAGE'!$A$23,1,0)</f>
        <v>0</v>
      </c>
      <c r="FU264" s="160">
        <f>IF([Occurrence21]=0,0,SUM($FT$2:FT264))</f>
        <v>0</v>
      </c>
      <c r="FV264" s="160">
        <f>IF([Chambre2]*1='CHAMBRES FILLES 1e ETAGE'!$A$29,1,0)</f>
        <v>0</v>
      </c>
      <c r="FW264" s="160">
        <f>IF([Occurrence22]=0,0,SUM($FV$2:FV264))</f>
        <v>0</v>
      </c>
      <c r="FX264" s="160">
        <f>IF([Chambre2]*1='CHAMBRES FILLES 1e ETAGE'!$A$35,1,0)</f>
        <v>0</v>
      </c>
      <c r="FY264" s="160">
        <f>IF([Occurrence23]=0,0,SUM($FX$2:FX264))</f>
        <v>0</v>
      </c>
      <c r="FZ264" s="160">
        <f>IF([Chambre2]*1='CHAMBRES FILLES 1e ETAGE'!$A$41,1,0)</f>
        <v>0</v>
      </c>
      <c r="GA264" s="160">
        <f>IF([Occurrence24]=0,0,SUM($FZ$2:FZ264))</f>
        <v>0</v>
      </c>
      <c r="GB264" s="160">
        <f>IF([Chambre2]*1='CHAMBRES FILLES 1e ETAGE'!$A$47,1,0)</f>
        <v>0</v>
      </c>
      <c r="GC264" s="160">
        <f>IF([Occurrence25]=0,0,SUM($GB$2:GB264))</f>
        <v>0</v>
      </c>
      <c r="GD264" s="160">
        <f>IF([Chambre2]*1='CHAMBRES FILLES 1e ETAGE'!$A$53,1,0)</f>
        <v>0</v>
      </c>
      <c r="GE264" s="160">
        <f>IF([Occurrence26]=0,0,SUM($GD$2:GD264))</f>
        <v>0</v>
      </c>
      <c r="GF264" s="160">
        <f>IF([chambre4]*1='CHAMBRES GARCONS 1e ETAGE'!$A$5,1,0)</f>
        <v>0</v>
      </c>
      <c r="GG264" s="160">
        <f>IF([Occurrence27]=0,0,SUM($GF$2:GF264))</f>
        <v>0</v>
      </c>
      <c r="GH264" s="160">
        <f>IF([chambre4]*1='CHAMBRES GARCONS 1e ETAGE'!$A$11,1,0)</f>
        <v>0</v>
      </c>
      <c r="GI264" s="160">
        <f>IF([Occurrence28]=0,0,SUM($GH$2:GH264))</f>
        <v>0</v>
      </c>
      <c r="GJ264" s="160">
        <f>IF([chambre4]*1='CHAMBRES GARCONS 1e ETAGE'!$A$17,1,0)</f>
        <v>0</v>
      </c>
      <c r="GK264" s="160">
        <f>IF([Occurrence29]=0,0,SUM($GJ$2:GJ264))</f>
        <v>0</v>
      </c>
      <c r="GL264" s="160">
        <f>IF([chambre4]*1='CHAMBRES GARCONS 1e ETAGE'!$A$23,1,0)</f>
        <v>0</v>
      </c>
      <c r="GM264" s="160">
        <f>IF([Occurrence30]=0,0,SUM($GL$2:GL264))</f>
        <v>0</v>
      </c>
      <c r="GN264" s="160">
        <f>IF([chambre4]*1='CHAMBRES GARCONS 1e ETAGE'!$A$29,1,0)</f>
        <v>0</v>
      </c>
      <c r="GO264" s="160">
        <f>IF([Occurrence31]=0,0,SUM($GN$2:GN264))</f>
        <v>0</v>
      </c>
      <c r="GP264" s="160">
        <f>IF([chambre4]*1='CHAMBRES GARCONS 1e ETAGE'!$A$35,1,0)</f>
        <v>0</v>
      </c>
      <c r="GQ264" s="160">
        <f>IF([Occurrence32]=0,0,SUM($GP$2:GP264))</f>
        <v>0</v>
      </c>
      <c r="GR264" s="160">
        <f>IF([chambre3]*1='CHAMBRES GARCONS RDC'!$A$5,1,0)</f>
        <v>0</v>
      </c>
      <c r="GS264" s="160">
        <f>IF([Occurrence33]=0,0,SUM($GR$2:GR264))</f>
        <v>0</v>
      </c>
      <c r="GT264" s="160">
        <f>IF([chambre3]*1='CHAMBRES GARCONS RDC'!$A$11,1,0)</f>
        <v>0</v>
      </c>
      <c r="GU264" s="160">
        <f>IF([Occurrence34]=0,0,SUM($GT$2:GT264))</f>
        <v>0</v>
      </c>
      <c r="GV264" s="160">
        <f>IF([chambre3]*1='CHAMBRES GARCONS RDC'!$A$17,1,0)</f>
        <v>0</v>
      </c>
      <c r="GW264" s="160">
        <f>IF([Occurrence35]=0,0,SUM($GV$2:GV264))</f>
        <v>0</v>
      </c>
      <c r="GX264" s="160">
        <f>IF([chambre3]*1='CHAMBRES GARCONS RDC'!$A$23,1,0)</f>
        <v>0</v>
      </c>
      <c r="GY264" s="160">
        <f>IF([Occurrence36]=0,0,SUM($GX$2:GX264))</f>
        <v>0</v>
      </c>
      <c r="GZ264" s="160">
        <f>IF([chambre3]*1='CHAMBRES GARCONS RDC'!$A$29,1,0)</f>
        <v>0</v>
      </c>
      <c r="HA264" s="160">
        <f>IF([Occurrence37]=0,0,SUM($GZ$2:GZ264))</f>
        <v>0</v>
      </c>
      <c r="HB264" s="160">
        <f>IF([chambre3]*1='CHAMBRES GARCONS RDC'!$A$35,1,0)</f>
        <v>0</v>
      </c>
      <c r="HC264" s="160">
        <f>IF([Occurrence38]=0,0,SUM($HB$2:HB264))</f>
        <v>0</v>
      </c>
      <c r="HD264" s="160">
        <f>IF([chambre3]*1='CHAMBRES GARCONS RDC'!$A$41,1,0)</f>
        <v>0</v>
      </c>
      <c r="HE264" s="160">
        <f>IF([Occurrence39]=0,0,SUM($HD$2:HD264))</f>
        <v>0</v>
      </c>
      <c r="HF264" s="160">
        <f>IF([chambre3]*1='CHAMBRES GARCONS RDC'!$A$47,1,0)</f>
        <v>0</v>
      </c>
      <c r="HG264" s="160">
        <f>IF([Occurrence40]=0,0,SUM($HF$2:HF264))</f>
        <v>0</v>
      </c>
      <c r="HH264" s="160">
        <f>IF([chambre3]*1='CHAMBRES GARCONS RDC'!$A$53,1,0)</f>
        <v>0</v>
      </c>
      <c r="HI264" s="160">
        <f>IF([Occurrence41]=0,0,SUM($HH$2:HH264))</f>
        <v>0</v>
      </c>
      <c r="HJ264" s="160">
        <f>IF([chambre3]*1='CHAMBRES GARCONS RDC'!$A$59,1,0)</f>
        <v>0</v>
      </c>
      <c r="HK264" s="160">
        <f>IF([Occurrence42]=0,0,SUM($HJ$2:HJ264))</f>
        <v>0</v>
      </c>
      <c r="HL264" s="160">
        <f>IF([chambre3]*1='CHAMBRES GARCONS RDC'!$A$65,1,0)</f>
        <v>0</v>
      </c>
      <c r="HM264" s="160">
        <f>IF([Occurrence43]=0,0,SUM($HL$2:HL264))</f>
        <v>0</v>
      </c>
      <c r="HN264" s="160">
        <f>IF([chambre3]*1='CHAMBRES GARCONS RDC'!$A$71,1,0)</f>
        <v>0</v>
      </c>
      <c r="HO264" s="160">
        <f>IF([Occurrence44]=0,0,SUM($HN$2:HN264))</f>
        <v>0</v>
      </c>
      <c r="HP264" s="160">
        <f>IF([chambre3]*1='CHAMBRES GARCONS RDC'!$A$77,1,0)</f>
        <v>0</v>
      </c>
      <c r="HQ264" s="160">
        <f>IF([Occurrence45]=0,0,SUM($HP$2:HP264))</f>
        <v>0</v>
      </c>
      <c r="HR264" s="160">
        <f>IF([chambre3]*1='CHAMBRES GARCONS RDC'!$A$83,1,0)</f>
        <v>0</v>
      </c>
      <c r="HS264" s="160">
        <f>IF([Occurrence46]=0,0,SUM($HR$2:HR264))</f>
        <v>0</v>
      </c>
      <c r="HT264" s="160">
        <f>IF([chambre3]*1='CHAMBRES GARCONS RDC'!$A$89,1,0)</f>
        <v>0</v>
      </c>
      <c r="HU264" s="160">
        <f>IF([Occurrence47]=0,0,SUM($HT$2:HT264))</f>
        <v>0</v>
      </c>
      <c r="HV264" s="160">
        <f>IF([chambre3]*1='CHAMBRES GARCONS RDC'!$A$95,1,0)</f>
        <v>0</v>
      </c>
      <c r="HW264" s="160">
        <f>IF([Occurrence48]=0,0,SUM($HV$2:HV264))</f>
        <v>0</v>
      </c>
      <c r="HX264" s="160"/>
      <c r="HY264" s="160"/>
      <c r="HZ264" s="160">
        <f>IF([Classe]='Liste élève par classes'!$B$5,1,0)</f>
        <v>0</v>
      </c>
      <c r="IA264" s="160">
        <f>IF([Occurrence]=0,0,SUM($HZ$2:HZ264))</f>
        <v>0</v>
      </c>
      <c r="IB26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168</v>
      </c>
      <c r="IC264" s="208"/>
    </row>
    <row r="265" spans="1:237">
      <c r="A265" t="s">
        <v>678</v>
      </c>
      <c r="B265" t="s">
        <v>679</v>
      </c>
      <c r="C265" s="158">
        <v>36784</v>
      </c>
      <c r="D265" s="62">
        <f t="shared" ca="1" si="4"/>
        <v>17</v>
      </c>
      <c r="E265" t="s">
        <v>6</v>
      </c>
      <c r="F265" s="159" t="s">
        <v>46</v>
      </c>
      <c r="G265" t="s">
        <v>45</v>
      </c>
      <c r="H265" s="160"/>
      <c r="I265" s="62"/>
      <c r="J265" s="62" t="s">
        <v>244</v>
      </c>
      <c r="K265" s="62"/>
      <c r="L265" s="61"/>
      <c r="M265">
        <v>76</v>
      </c>
      <c r="N265" s="62" t="s">
        <v>244</v>
      </c>
      <c r="O265" s="62" t="s">
        <v>244</v>
      </c>
      <c r="P265" s="62" t="s">
        <v>244</v>
      </c>
      <c r="Q265" s="62" t="s">
        <v>244</v>
      </c>
      <c r="R265" s="62" t="s">
        <v>244</v>
      </c>
      <c r="S265" s="62"/>
      <c r="T265" s="62" t="s">
        <v>244</v>
      </c>
      <c r="U265" s="61"/>
      <c r="V265" s="62" t="s">
        <v>244</v>
      </c>
      <c r="W265" s="62" t="s">
        <v>244</v>
      </c>
      <c r="X265" s="62" t="s">
        <v>244</v>
      </c>
      <c r="Y265" s="62" t="s">
        <v>244</v>
      </c>
      <c r="Z265" s="62" t="s">
        <v>244</v>
      </c>
      <c r="AA265" s="62" t="s">
        <v>244</v>
      </c>
      <c r="AB265" s="62" t="s">
        <v>244</v>
      </c>
      <c r="AC265" s="62" t="s">
        <v>244</v>
      </c>
      <c r="AD265" s="62" t="s">
        <v>244</v>
      </c>
      <c r="AE265" s="62" t="s">
        <v>244</v>
      </c>
      <c r="AF265" s="166" t="s">
        <v>244</v>
      </c>
      <c r="AG265" s="163" t="s">
        <v>244</v>
      </c>
      <c r="AH265" s="163" t="s">
        <v>244</v>
      </c>
      <c r="AI265" s="163"/>
      <c r="AJ265" s="163"/>
      <c r="AK265" s="163"/>
      <c r="AL265" s="163"/>
      <c r="AM265" s="163"/>
      <c r="AN265" s="163"/>
      <c r="AO265" s="163"/>
      <c r="AP265" s="163"/>
      <c r="AQ265" s="163"/>
      <c r="AR265" s="163"/>
      <c r="AS265" s="163"/>
      <c r="AT265" s="163"/>
      <c r="AU265" s="163"/>
      <c r="AV265" s="163"/>
      <c r="AW265" s="163"/>
      <c r="AX265" s="163"/>
      <c r="AY265" s="163"/>
      <c r="AZ265" s="163"/>
      <c r="BA265" s="163"/>
      <c r="BB265" s="163"/>
      <c r="BC265" s="163"/>
      <c r="BD265" s="163"/>
      <c r="BE265" s="163"/>
      <c r="BF265" s="163"/>
      <c r="BG265" s="163"/>
      <c r="BH265" s="163"/>
      <c r="BI265" s="163"/>
      <c r="BJ265" s="163"/>
      <c r="BK265" s="163"/>
      <c r="BL265" s="163"/>
      <c r="BM265" s="163"/>
      <c r="BN265" s="163"/>
      <c r="BO265" s="163"/>
      <c r="BP265" s="163"/>
      <c r="BQ265" s="163"/>
      <c r="BR265" s="163"/>
      <c r="BS265" s="163"/>
      <c r="BT265" s="163"/>
      <c r="BU265" s="163"/>
      <c r="BV265" s="163"/>
      <c r="BW265" s="163"/>
      <c r="BX265" s="163"/>
      <c r="BY265" s="163"/>
      <c r="BZ265" s="163"/>
      <c r="CA265" s="163"/>
      <c r="CB265" s="163"/>
      <c r="CC265" s="163"/>
      <c r="CD265" s="163"/>
      <c r="CE265" s="163"/>
      <c r="CF265" s="163"/>
      <c r="CG265" s="163"/>
      <c r="CH265" s="163"/>
      <c r="CI265" s="163"/>
      <c r="CJ265" s="163"/>
      <c r="CK265" s="163"/>
      <c r="CL265" s="163"/>
      <c r="CM265" s="163"/>
      <c r="CN265" s="163"/>
      <c r="CO265" s="163"/>
      <c r="CP265" s="163"/>
      <c r="CQ265" s="163"/>
      <c r="CR265" s="163"/>
      <c r="CS265" s="163"/>
      <c r="CT265" s="163"/>
      <c r="CU265" s="163"/>
      <c r="CV265" s="163"/>
      <c r="CW265" s="163"/>
      <c r="CX265" s="163"/>
      <c r="CY265" s="163"/>
      <c r="CZ265" s="163"/>
      <c r="DA265" s="163"/>
      <c r="DB265" s="163"/>
      <c r="DC265" s="163"/>
      <c r="DD265" s="163"/>
      <c r="DE265" s="163"/>
      <c r="DF265" s="163"/>
      <c r="DG265" s="163"/>
      <c r="DH265" s="163"/>
      <c r="DI265" s="163"/>
      <c r="DJ265" s="163"/>
      <c r="DK265" s="163"/>
      <c r="DL265" s="163"/>
      <c r="DM265" s="163"/>
      <c r="DN265" s="163"/>
      <c r="DO265" s="163"/>
      <c r="DP265" s="163"/>
      <c r="DQ265" s="163"/>
      <c r="DR265" s="163"/>
      <c r="DS265" s="163"/>
      <c r="DT265" s="163"/>
      <c r="DU265" s="163"/>
      <c r="DV265" s="163"/>
      <c r="DW265" s="163"/>
      <c r="DX265" s="163"/>
      <c r="DY265" s="163"/>
      <c r="DZ265" s="163"/>
      <c r="EA265" s="163"/>
      <c r="EB265" s="163"/>
      <c r="EC265" s="163"/>
      <c r="ED265" s="163"/>
      <c r="EE265" s="163"/>
      <c r="EF265" s="163"/>
      <c r="EG265" s="163"/>
      <c r="EH265" s="160">
        <f>IF([Chambre]*1='CHAMBRES FILLES 2e ETAGE'!$A$5,1,0)</f>
        <v>0</v>
      </c>
      <c r="EI265" s="161">
        <f>IF([Occurrence2]=0,0,SUM($EH$2:EH265))</f>
        <v>0</v>
      </c>
      <c r="EJ265" s="160">
        <f>IF([Chambre]*1='CHAMBRES FILLES 2e ETAGE'!$A$11,1,0)</f>
        <v>0</v>
      </c>
      <c r="EK265" s="160">
        <f>IF([Occurrence3]=0,0,SUM($EJ$2:EJ265))</f>
        <v>0</v>
      </c>
      <c r="EL265" s="160">
        <f>IF([Chambre]*1='CHAMBRES FILLES 2e ETAGE'!$A$17,1,0)</f>
        <v>0</v>
      </c>
      <c r="EM265" s="160">
        <f>IF([Occurrence4]=0,0,SUM($EL$2:EL265))</f>
        <v>0</v>
      </c>
      <c r="EN265" s="160">
        <f>IF([Chambre]*1='CHAMBRES FILLES 2e ETAGE'!$A$23,1,0)</f>
        <v>0</v>
      </c>
      <c r="EO265" s="160">
        <f>IF([Occurrence5]=0,0,SUM($EN$2:EN265))</f>
        <v>0</v>
      </c>
      <c r="EP265" s="160">
        <f>IF([Chambre]*1='CHAMBRES FILLES 2e ETAGE'!$A$29,1,0)</f>
        <v>0</v>
      </c>
      <c r="EQ265" s="160">
        <f>IF([Occurrence6]=0,0,SUM($EP$2:EP265))</f>
        <v>0</v>
      </c>
      <c r="ER265" s="160">
        <f>IF([Chambre]*1='CHAMBRES FILLES 2e ETAGE'!$A$35,1,0)</f>
        <v>0</v>
      </c>
      <c r="ES265" s="160">
        <f>IF([Occurrence7]=0,0,SUM($ER$2:ER265))</f>
        <v>0</v>
      </c>
      <c r="ET265" s="160">
        <f>IF([Chambre]*1='CHAMBRES FILLES 2e ETAGE'!$A$41,1,0)</f>
        <v>0</v>
      </c>
      <c r="EU265" s="160">
        <f>IF([Occurrence8]=0,0,SUM($ET$2:ET265))</f>
        <v>0</v>
      </c>
      <c r="EV265" s="160">
        <f>IF([Chambre]*1='CHAMBRES FILLES 2e ETAGE'!$A$47,1,0)</f>
        <v>0</v>
      </c>
      <c r="EW265" s="160">
        <f>IF([Occurrence9]=0,0,SUM($EV$2:EV265))</f>
        <v>0</v>
      </c>
      <c r="EX265" s="160">
        <f>IF([Chambre]*1='CHAMBRES FILLES 2e ETAGE'!$A$53,1,0)</f>
        <v>0</v>
      </c>
      <c r="EY265" s="160">
        <f>IF([Occurrence10]=0,0,SUM($EX$2:EX265))</f>
        <v>0</v>
      </c>
      <c r="EZ265" s="160">
        <f>IF([Chambre]*1='CHAMBRES FILLES 2e ETAGE'!$A$59,1,0)</f>
        <v>0</v>
      </c>
      <c r="FA265" s="160">
        <f>IF([Occurrence11]=0,0,SUM($EZ$2:EZ265))</f>
        <v>0</v>
      </c>
      <c r="FB265" s="160">
        <f>IF([Chambre]*1='CHAMBRES FILLES 2e ETAGE'!$A$65,1,0)</f>
        <v>0</v>
      </c>
      <c r="FC265" s="160">
        <f>IF([Occurrence12]=0,0,SUM($FB$2:FB265))</f>
        <v>0</v>
      </c>
      <c r="FD265" s="160">
        <f>IF([Chambre]*1='CHAMBRES FILLES 2e ETAGE'!$A$71,1,0)</f>
        <v>0</v>
      </c>
      <c r="FE265" s="160">
        <f>IF([Occurrence13]=0,0,SUM($FD$2:FD265))</f>
        <v>0</v>
      </c>
      <c r="FF265" s="160">
        <f>IF([Chambre]*1='CHAMBRES FILLES 2e ETAGE'!$A$77,1,0)</f>
        <v>0</v>
      </c>
      <c r="FG265" s="160">
        <f>IF([Occurrence14]=0,0,SUM($FF$2:FF265))</f>
        <v>0</v>
      </c>
      <c r="FH265" s="160">
        <f>IF([Chambre]*1='CHAMBRES FILLES 2e ETAGE'!$A$83,1,0)</f>
        <v>0</v>
      </c>
      <c r="FI265" s="160">
        <f>IF([Occurrence15]=0,0,SUM($FH$2:FH265))</f>
        <v>0</v>
      </c>
      <c r="FJ265" s="160">
        <f>IF([Chambre]*1='CHAMBRES FILLES 2e ETAGE'!$A$89,1,0)</f>
        <v>0</v>
      </c>
      <c r="FK265" s="160">
        <f>IF([Occurrence16]=0,0,SUM($FJ$2:FJ265))</f>
        <v>0</v>
      </c>
      <c r="FL265" s="160">
        <f>IF([Chambre]*1='CHAMBRES FILLES 2e ETAGE'!$A$95,1,0)</f>
        <v>0</v>
      </c>
      <c r="FM265" s="160">
        <f>IF([Occurrence17]=0,0,SUM($FL$2:FL265))</f>
        <v>0</v>
      </c>
      <c r="FN265" s="160">
        <f>IF([Chambre2]*1='CHAMBRES FILLES 1e ETAGE'!$A$5,1,0)</f>
        <v>0</v>
      </c>
      <c r="FO265" s="160">
        <f>IF([Occurrence18]=0,0,SUM($FN$2:FN265))</f>
        <v>0</v>
      </c>
      <c r="FP265" s="160">
        <f>IF([Chambre2]*1='CHAMBRES FILLES 1e ETAGE'!$A$11,1,0)</f>
        <v>0</v>
      </c>
      <c r="FQ265" s="160">
        <f>IF([Occurrence19]=0,0,SUM($FP$2:FP265))</f>
        <v>0</v>
      </c>
      <c r="FR265" s="160">
        <f>IF([Chambre2]*1='CHAMBRES FILLES 1e ETAGE'!$A$17,1,0)</f>
        <v>0</v>
      </c>
      <c r="FS265" s="160">
        <f>IF([Occurrence20]=0,0,SUM($FR$2:FR265))</f>
        <v>0</v>
      </c>
      <c r="FT265" s="160">
        <f>IF([Chambre2]*1='CHAMBRES FILLES 1e ETAGE'!$A$23,1,0)</f>
        <v>0</v>
      </c>
      <c r="FU265" s="160">
        <f>IF([Occurrence21]=0,0,SUM($FT$2:FT265))</f>
        <v>0</v>
      </c>
      <c r="FV265" s="160">
        <f>IF([Chambre2]*1='CHAMBRES FILLES 1e ETAGE'!$A$29,1,0)</f>
        <v>0</v>
      </c>
      <c r="FW265" s="160">
        <f>IF([Occurrence22]=0,0,SUM($FV$2:FV265))</f>
        <v>0</v>
      </c>
      <c r="FX265" s="160">
        <f>IF([Chambre2]*1='CHAMBRES FILLES 1e ETAGE'!$A$35,1,0)</f>
        <v>0</v>
      </c>
      <c r="FY265" s="160">
        <f>IF([Occurrence23]=0,0,SUM($FX$2:FX265))</f>
        <v>0</v>
      </c>
      <c r="FZ265" s="160">
        <f>IF([Chambre2]*1='CHAMBRES FILLES 1e ETAGE'!$A$41,1,0)</f>
        <v>0</v>
      </c>
      <c r="GA265" s="160">
        <f>IF([Occurrence24]=0,0,SUM($FZ$2:FZ265))</f>
        <v>0</v>
      </c>
      <c r="GB265" s="160">
        <f>IF([Chambre2]*1='CHAMBRES FILLES 1e ETAGE'!$A$47,1,0)</f>
        <v>0</v>
      </c>
      <c r="GC265" s="160">
        <f>IF([Occurrence25]=0,0,SUM($GB$2:GB265))</f>
        <v>0</v>
      </c>
      <c r="GD265" s="160">
        <f>IF([Chambre2]*1='CHAMBRES FILLES 1e ETAGE'!$A$53,1,0)</f>
        <v>0</v>
      </c>
      <c r="GE265" s="160">
        <f>IF([Occurrence26]=0,0,SUM($GD$2:GD265))</f>
        <v>0</v>
      </c>
      <c r="GF265" s="160">
        <f>IF([chambre4]*1='CHAMBRES GARCONS 1e ETAGE'!$A$5,1,0)</f>
        <v>0</v>
      </c>
      <c r="GG265" s="160">
        <f>IF([Occurrence27]=0,0,SUM($GF$2:GF265))</f>
        <v>0</v>
      </c>
      <c r="GH265" s="160">
        <f>IF([chambre4]*1='CHAMBRES GARCONS 1e ETAGE'!$A$11,1,0)</f>
        <v>0</v>
      </c>
      <c r="GI265" s="160">
        <f>IF([Occurrence28]=0,0,SUM($GH$2:GH265))</f>
        <v>0</v>
      </c>
      <c r="GJ265" s="160">
        <f>IF([chambre4]*1='CHAMBRES GARCONS 1e ETAGE'!$A$17,1,0)</f>
        <v>0</v>
      </c>
      <c r="GK265" s="160">
        <f>IF([Occurrence29]=0,0,SUM($GJ$2:GJ265))</f>
        <v>0</v>
      </c>
      <c r="GL265" s="160">
        <f>IF([chambre4]*1='CHAMBRES GARCONS 1e ETAGE'!$A$23,1,0)</f>
        <v>0</v>
      </c>
      <c r="GM265" s="160">
        <f>IF([Occurrence30]=0,0,SUM($GL$2:GL265))</f>
        <v>0</v>
      </c>
      <c r="GN265" s="160">
        <f>IF([chambre4]*1='CHAMBRES GARCONS 1e ETAGE'!$A$29,1,0)</f>
        <v>0</v>
      </c>
      <c r="GO265" s="160">
        <f>IF([Occurrence31]=0,0,SUM($GN$2:GN265))</f>
        <v>0</v>
      </c>
      <c r="GP265" s="160">
        <f>IF([chambre4]*1='CHAMBRES GARCONS 1e ETAGE'!$A$35,1,0)</f>
        <v>0</v>
      </c>
      <c r="GQ265" s="160">
        <f>IF([Occurrence32]=0,0,SUM($GP$2:GP265))</f>
        <v>0</v>
      </c>
      <c r="GR265" s="160">
        <f>IF([chambre3]*1='CHAMBRES GARCONS RDC'!$A$5,1,0)</f>
        <v>0</v>
      </c>
      <c r="GS265" s="160">
        <f>IF([Occurrence33]=0,0,SUM($GR$2:GR265))</f>
        <v>0</v>
      </c>
      <c r="GT265" s="160">
        <f>IF([chambre3]*1='CHAMBRES GARCONS RDC'!$A$11,1,0)</f>
        <v>0</v>
      </c>
      <c r="GU265" s="160">
        <f>IF([Occurrence34]=0,0,SUM($GT$2:GT265))</f>
        <v>0</v>
      </c>
      <c r="GV265" s="160">
        <f>IF([chambre3]*1='CHAMBRES GARCONS RDC'!$A$17,1,0)</f>
        <v>0</v>
      </c>
      <c r="GW265" s="160">
        <f>IF([Occurrence35]=0,0,SUM($GV$2:GV265))</f>
        <v>0</v>
      </c>
      <c r="GX265" s="160">
        <f>IF([chambre3]*1='CHAMBRES GARCONS RDC'!$A$23,1,0)</f>
        <v>0</v>
      </c>
      <c r="GY265" s="160">
        <f>IF([Occurrence36]=0,0,SUM($GX$2:GX265))</f>
        <v>0</v>
      </c>
      <c r="GZ265" s="160">
        <f>IF([chambre3]*1='CHAMBRES GARCONS RDC'!$A$29,1,0)</f>
        <v>0</v>
      </c>
      <c r="HA265" s="160">
        <f>IF([Occurrence37]=0,0,SUM($GZ$2:GZ265))</f>
        <v>0</v>
      </c>
      <c r="HB265" s="160">
        <f>IF([chambre3]*1='CHAMBRES GARCONS RDC'!$A$35,1,0)</f>
        <v>0</v>
      </c>
      <c r="HC265" s="160">
        <f>IF([Occurrence38]=0,0,SUM($HB$2:HB265))</f>
        <v>0</v>
      </c>
      <c r="HD265" s="160">
        <f>IF([chambre3]*1='CHAMBRES GARCONS RDC'!$A$41,1,0)</f>
        <v>0</v>
      </c>
      <c r="HE265" s="160">
        <f>IF([Occurrence39]=0,0,SUM($HD$2:HD265))</f>
        <v>0</v>
      </c>
      <c r="HF265" s="160">
        <f>IF([chambre3]*1='CHAMBRES GARCONS RDC'!$A$47,1,0)</f>
        <v>0</v>
      </c>
      <c r="HG265" s="160">
        <f>IF([Occurrence40]=0,0,SUM($HF$2:HF265))</f>
        <v>0</v>
      </c>
      <c r="HH265" s="160">
        <f>IF([chambre3]*1='CHAMBRES GARCONS RDC'!$A$53,1,0)</f>
        <v>0</v>
      </c>
      <c r="HI265" s="160">
        <f>IF([Occurrence41]=0,0,SUM($HH$2:HH265))</f>
        <v>0</v>
      </c>
      <c r="HJ265" s="160">
        <f>IF([chambre3]*1='CHAMBRES GARCONS RDC'!$A$59,1,0)</f>
        <v>0</v>
      </c>
      <c r="HK265" s="160">
        <f>IF([Occurrence42]=0,0,SUM($HJ$2:HJ265))</f>
        <v>0</v>
      </c>
      <c r="HL265" s="160">
        <f>IF([chambre3]*1='CHAMBRES GARCONS RDC'!$A$65,1,0)</f>
        <v>0</v>
      </c>
      <c r="HM265" s="160">
        <f>IF([Occurrence43]=0,0,SUM($HL$2:HL265))</f>
        <v>0</v>
      </c>
      <c r="HN265" s="160">
        <f>IF([chambre3]*1='CHAMBRES GARCONS RDC'!$A$71,1,0)</f>
        <v>0</v>
      </c>
      <c r="HO265" s="160">
        <f>IF([Occurrence44]=0,0,SUM($HN$2:HN265))</f>
        <v>0</v>
      </c>
      <c r="HP265" s="160">
        <f>IF([chambre3]*1='CHAMBRES GARCONS RDC'!$A$77,1,0)</f>
        <v>0</v>
      </c>
      <c r="HQ265" s="160">
        <f>IF([Occurrence45]=0,0,SUM($HP$2:HP265))</f>
        <v>0</v>
      </c>
      <c r="HR265" s="160">
        <f>IF([chambre3]*1='CHAMBRES GARCONS RDC'!$A$83,1,0)</f>
        <v>0</v>
      </c>
      <c r="HS265" s="160">
        <f>IF([Occurrence46]=0,0,SUM($HR$2:HR265))</f>
        <v>0</v>
      </c>
      <c r="HT265" s="160">
        <f>IF([chambre3]*1='CHAMBRES GARCONS RDC'!$A$89,1,0)</f>
        <v>0</v>
      </c>
      <c r="HU265" s="160">
        <f>IF([Occurrence47]=0,0,SUM($HT$2:HT265))</f>
        <v>0</v>
      </c>
      <c r="HV265" s="160">
        <f>IF([chambre3]*1='CHAMBRES GARCONS RDC'!$A$95,1,0)</f>
        <v>0</v>
      </c>
      <c r="HW265" s="160">
        <f>IF([Occurrence48]=0,0,SUM($HV$2:HV265))</f>
        <v>0</v>
      </c>
      <c r="HX265" s="160"/>
      <c r="HY265" s="160"/>
      <c r="HZ265" s="160">
        <f>IF([Classe]='Liste élève par classes'!$B$5,1,0)</f>
        <v>0</v>
      </c>
      <c r="IA265" s="160">
        <f>IF([Occurrence]=0,0,SUM($HZ$2:HZ265))</f>
        <v>0</v>
      </c>
      <c r="IB26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65" s="208"/>
    </row>
    <row r="266" spans="1:237">
      <c r="A266" t="s">
        <v>680</v>
      </c>
      <c r="B266" t="s">
        <v>681</v>
      </c>
      <c r="C266" s="158">
        <v>37044</v>
      </c>
      <c r="D266" s="62">
        <f t="shared" ca="1" si="4"/>
        <v>16</v>
      </c>
      <c r="E266" t="s">
        <v>8</v>
      </c>
      <c r="F266" s="159" t="s">
        <v>50</v>
      </c>
      <c r="G266" t="s">
        <v>40</v>
      </c>
      <c r="H266" s="160"/>
      <c r="I266" s="62"/>
      <c r="J266" s="62" t="s">
        <v>244</v>
      </c>
      <c r="K266" s="62"/>
      <c r="L266" s="61"/>
      <c r="M266">
        <v>113</v>
      </c>
      <c r="N266" s="62" t="s">
        <v>244</v>
      </c>
      <c r="O266" s="62" t="s">
        <v>244</v>
      </c>
      <c r="P266" s="62" t="s">
        <v>244</v>
      </c>
      <c r="Q266" s="62" t="s">
        <v>244</v>
      </c>
      <c r="R266" s="62" t="s">
        <v>244</v>
      </c>
      <c r="S266" s="191"/>
      <c r="T266" s="62" t="s">
        <v>244</v>
      </c>
      <c r="U266" s="61"/>
      <c r="V266" s="62" t="s">
        <v>244</v>
      </c>
      <c r="W266" s="62" t="s">
        <v>244</v>
      </c>
      <c r="X266" s="62" t="s">
        <v>244</v>
      </c>
      <c r="Y266" s="62" t="s">
        <v>244</v>
      </c>
      <c r="Z266" s="62" t="s">
        <v>244</v>
      </c>
      <c r="AA266" s="62" t="s">
        <v>244</v>
      </c>
      <c r="AB266" s="62" t="s">
        <v>244</v>
      </c>
      <c r="AC266" s="62" t="s">
        <v>244</v>
      </c>
      <c r="AD266" s="62" t="s">
        <v>244</v>
      </c>
      <c r="AE266" s="62" t="s">
        <v>244</v>
      </c>
      <c r="AF266" s="163" t="s">
        <v>244</v>
      </c>
      <c r="AG266" s="163" t="s">
        <v>244</v>
      </c>
      <c r="AH266" s="163" t="s">
        <v>244</v>
      </c>
      <c r="AI266" s="163"/>
      <c r="AJ266" s="163"/>
      <c r="AK266" s="163"/>
      <c r="AL266" s="163"/>
      <c r="AM266" s="163"/>
      <c r="AN266" s="163"/>
      <c r="AO266" s="163"/>
      <c r="AP266" s="163"/>
      <c r="AQ266" s="163"/>
      <c r="AR266" s="163"/>
      <c r="AS266" s="163"/>
      <c r="AT266" s="163"/>
      <c r="AU266" s="163"/>
      <c r="AV266" s="163"/>
      <c r="AW266" s="163"/>
      <c r="AX266" s="163"/>
      <c r="AY266" s="163"/>
      <c r="AZ266" s="163"/>
      <c r="BA266" s="163"/>
      <c r="BB266" s="163"/>
      <c r="BC266" s="163" t="b">
        <v>0</v>
      </c>
      <c r="BD266" s="163" t="b">
        <v>1</v>
      </c>
      <c r="BE266" s="163" t="b">
        <v>1</v>
      </c>
      <c r="BF266" s="163" t="b">
        <v>0</v>
      </c>
      <c r="BG266" s="164" t="b">
        <v>0</v>
      </c>
      <c r="BH266" s="163" t="b">
        <v>1</v>
      </c>
      <c r="BI266" s="163"/>
      <c r="BJ266" s="163"/>
      <c r="BK266" s="163"/>
      <c r="BL266" s="163"/>
      <c r="BM266" s="163"/>
      <c r="BN266" s="163"/>
      <c r="BO266" s="163"/>
      <c r="BP266" s="163"/>
      <c r="BQ266" s="163" t="b">
        <v>0</v>
      </c>
      <c r="BR266" s="163"/>
      <c r="BS266" s="163"/>
      <c r="BT266" s="163"/>
      <c r="BU266" s="163"/>
      <c r="BV266" s="163"/>
      <c r="BW266" s="163"/>
      <c r="BX266" s="163"/>
      <c r="BY266" s="163"/>
      <c r="BZ266" s="163"/>
      <c r="CA266" s="163"/>
      <c r="CB266" s="163"/>
      <c r="CC266" s="163"/>
      <c r="CD266" s="163"/>
      <c r="CE266" s="163"/>
      <c r="CF266" s="163"/>
      <c r="CG266" s="163"/>
      <c r="CH266" s="163"/>
      <c r="CI266" s="163"/>
      <c r="CJ266" s="163"/>
      <c r="CK266" s="163"/>
      <c r="CL266" s="163"/>
      <c r="CM266" s="163"/>
      <c r="CN266" s="163"/>
      <c r="CO266" s="163"/>
      <c r="CP266" s="163"/>
      <c r="CQ266" s="163"/>
      <c r="CR266" s="163"/>
      <c r="CS266" s="163"/>
      <c r="CT266" s="163"/>
      <c r="CU266" s="163"/>
      <c r="CV266" s="163"/>
      <c r="CW266" s="163"/>
      <c r="CX266" s="163"/>
      <c r="CY266" s="163"/>
      <c r="CZ266" s="163"/>
      <c r="DA266" s="163"/>
      <c r="DB266" s="163"/>
      <c r="DC266" s="163"/>
      <c r="DD266" s="163"/>
      <c r="DE266" s="163"/>
      <c r="DF266" s="163"/>
      <c r="DG266" s="208">
        <v>146</v>
      </c>
      <c r="DH266" s="163"/>
      <c r="DI266" s="163"/>
      <c r="DJ266" s="163"/>
      <c r="DK266" s="163"/>
      <c r="DL266" s="163"/>
      <c r="DM266" s="163"/>
      <c r="DN266" s="163"/>
      <c r="DO266" s="163"/>
      <c r="DP266" s="163"/>
      <c r="DQ266" s="163"/>
      <c r="DR266" s="163"/>
      <c r="DS266" s="163"/>
      <c r="DT266" s="163"/>
      <c r="DU266" s="163"/>
      <c r="DV266" s="163"/>
      <c r="DW266" s="163"/>
      <c r="DX266" s="163"/>
      <c r="DY266" s="163"/>
      <c r="DZ266" s="163"/>
      <c r="EA266" s="163"/>
      <c r="EB266" s="163"/>
      <c r="EC266" s="163"/>
      <c r="ED266" s="163"/>
      <c r="EE266" s="163"/>
      <c r="EF266" s="163"/>
      <c r="EG266" s="163"/>
      <c r="EH266" s="160">
        <f>IF([Chambre]*1='CHAMBRES FILLES 2e ETAGE'!$A$5,1,0)</f>
        <v>0</v>
      </c>
      <c r="EI266" s="161">
        <f>IF([Occurrence2]=0,0,SUM($EH$2:EH266))</f>
        <v>0</v>
      </c>
      <c r="EJ266" s="160">
        <f>IF([Chambre]*1='CHAMBRES FILLES 2e ETAGE'!$A$11,1,0)</f>
        <v>0</v>
      </c>
      <c r="EK266" s="160">
        <f>IF([Occurrence3]=0,0,SUM($EJ$2:EJ266))</f>
        <v>0</v>
      </c>
      <c r="EL266" s="160">
        <f>IF([Chambre]*1='CHAMBRES FILLES 2e ETAGE'!$A$17,1,0)</f>
        <v>0</v>
      </c>
      <c r="EM266" s="160">
        <f>IF([Occurrence4]=0,0,SUM($EL$2:EL266))</f>
        <v>0</v>
      </c>
      <c r="EN266" s="160">
        <f>IF([Chambre]*1='CHAMBRES FILLES 2e ETAGE'!$A$23,1,0)</f>
        <v>0</v>
      </c>
      <c r="EO266" s="160">
        <f>IF([Occurrence5]=0,0,SUM($EN$2:EN266))</f>
        <v>0</v>
      </c>
      <c r="EP266" s="160">
        <f>IF([Chambre]*1='CHAMBRES FILLES 2e ETAGE'!$A$29,1,0)</f>
        <v>0</v>
      </c>
      <c r="EQ266" s="160">
        <f>IF([Occurrence6]=0,0,SUM($EP$2:EP266))</f>
        <v>0</v>
      </c>
      <c r="ER266" s="160">
        <f>IF([Chambre]*1='CHAMBRES FILLES 2e ETAGE'!$A$35,1,0)</f>
        <v>0</v>
      </c>
      <c r="ES266" s="160">
        <f>IF([Occurrence7]=0,0,SUM($ER$2:ER266))</f>
        <v>0</v>
      </c>
      <c r="ET266" s="160">
        <f>IF([Chambre]*1='CHAMBRES FILLES 2e ETAGE'!$A$41,1,0)</f>
        <v>0</v>
      </c>
      <c r="EU266" s="160">
        <f>IF([Occurrence8]=0,0,SUM($ET$2:ET266))</f>
        <v>0</v>
      </c>
      <c r="EV266" s="160">
        <f>IF([Chambre]*1='CHAMBRES FILLES 2e ETAGE'!$A$47,1,0)</f>
        <v>0</v>
      </c>
      <c r="EW266" s="160">
        <f>IF([Occurrence9]=0,0,SUM($EV$2:EV266))</f>
        <v>0</v>
      </c>
      <c r="EX266" s="160">
        <f>IF([Chambre]*1='CHAMBRES FILLES 2e ETAGE'!$A$53,1,0)</f>
        <v>0</v>
      </c>
      <c r="EY266" s="160">
        <f>IF([Occurrence10]=0,0,SUM($EX$2:EX266))</f>
        <v>0</v>
      </c>
      <c r="EZ266" s="160">
        <f>IF([Chambre]*1='CHAMBRES FILLES 2e ETAGE'!$A$59,1,0)</f>
        <v>0</v>
      </c>
      <c r="FA266" s="160">
        <f>IF([Occurrence11]=0,0,SUM($EZ$2:EZ266))</f>
        <v>0</v>
      </c>
      <c r="FB266" s="160">
        <f>IF([Chambre]*1='CHAMBRES FILLES 2e ETAGE'!$A$65,1,0)</f>
        <v>0</v>
      </c>
      <c r="FC266" s="160">
        <f>IF([Occurrence12]=0,0,SUM($FB$2:FB266))</f>
        <v>0</v>
      </c>
      <c r="FD266" s="160">
        <f>IF([Chambre]*1='CHAMBRES FILLES 2e ETAGE'!$A$71,1,0)</f>
        <v>0</v>
      </c>
      <c r="FE266" s="160">
        <f>IF([Occurrence13]=0,0,SUM($FD$2:FD266))</f>
        <v>0</v>
      </c>
      <c r="FF266" s="160">
        <f>IF([Chambre]*1='CHAMBRES FILLES 2e ETAGE'!$A$77,1,0)</f>
        <v>0</v>
      </c>
      <c r="FG266" s="160">
        <f>IF([Occurrence14]=0,0,SUM($FF$2:FF266))</f>
        <v>0</v>
      </c>
      <c r="FH266" s="160">
        <f>IF([Chambre]*1='CHAMBRES FILLES 2e ETAGE'!$A$83,1,0)</f>
        <v>0</v>
      </c>
      <c r="FI266" s="160">
        <f>IF([Occurrence15]=0,0,SUM($FH$2:FH266))</f>
        <v>0</v>
      </c>
      <c r="FJ266" s="160">
        <f>IF([Chambre]*1='CHAMBRES FILLES 2e ETAGE'!$A$89,1,0)</f>
        <v>0</v>
      </c>
      <c r="FK266" s="160">
        <f>IF([Occurrence16]=0,0,SUM($FJ$2:FJ266))</f>
        <v>0</v>
      </c>
      <c r="FL266" s="160">
        <f>IF([Chambre]*1='CHAMBRES FILLES 2e ETAGE'!$A$95,1,0)</f>
        <v>0</v>
      </c>
      <c r="FM266" s="160">
        <f>IF([Occurrence17]=0,0,SUM($FL$2:FL266))</f>
        <v>0</v>
      </c>
      <c r="FN266" s="160">
        <f>IF([Chambre2]*1='CHAMBRES FILLES 1e ETAGE'!$A$5,1,0)</f>
        <v>0</v>
      </c>
      <c r="FO266" s="160">
        <f>IF([Occurrence18]=0,0,SUM($FN$2:FN266))</f>
        <v>0</v>
      </c>
      <c r="FP266" s="160">
        <f>IF([Chambre2]*1='CHAMBRES FILLES 1e ETAGE'!$A$11,1,0)</f>
        <v>0</v>
      </c>
      <c r="FQ266" s="160">
        <f>IF([Occurrence19]=0,0,SUM($FP$2:FP266))</f>
        <v>0</v>
      </c>
      <c r="FR266" s="160">
        <f>IF([Chambre2]*1='CHAMBRES FILLES 1e ETAGE'!$A$17,1,0)</f>
        <v>0</v>
      </c>
      <c r="FS266" s="160">
        <f>IF([Occurrence20]=0,0,SUM($FR$2:FR266))</f>
        <v>0</v>
      </c>
      <c r="FT266" s="160">
        <f>IF([Chambre2]*1='CHAMBRES FILLES 1e ETAGE'!$A$23,1,0)</f>
        <v>0</v>
      </c>
      <c r="FU266" s="160">
        <f>IF([Occurrence21]=0,0,SUM($FT$2:FT266))</f>
        <v>0</v>
      </c>
      <c r="FV266" s="160">
        <f>IF([Chambre2]*1='CHAMBRES FILLES 1e ETAGE'!$A$29,1,0)</f>
        <v>0</v>
      </c>
      <c r="FW266" s="160">
        <f>IF([Occurrence22]=0,0,SUM($FV$2:FV266))</f>
        <v>0</v>
      </c>
      <c r="FX266" s="160">
        <f>IF([Chambre2]*1='CHAMBRES FILLES 1e ETAGE'!$A$35,1,0)</f>
        <v>0</v>
      </c>
      <c r="FY266" s="160">
        <f>IF([Occurrence23]=0,0,SUM($FX$2:FX266))</f>
        <v>0</v>
      </c>
      <c r="FZ266" s="160">
        <f>IF([Chambre2]*1='CHAMBRES FILLES 1e ETAGE'!$A$41,1,0)</f>
        <v>0</v>
      </c>
      <c r="GA266" s="160">
        <f>IF([Occurrence24]=0,0,SUM($FZ$2:FZ266))</f>
        <v>0</v>
      </c>
      <c r="GB266" s="160">
        <f>IF([Chambre2]*1='CHAMBRES FILLES 1e ETAGE'!$A$47,1,0)</f>
        <v>0</v>
      </c>
      <c r="GC266" s="160">
        <f>IF([Occurrence25]=0,0,SUM($GB$2:GB266))</f>
        <v>0</v>
      </c>
      <c r="GD266" s="160">
        <f>IF([Chambre2]*1='CHAMBRES FILLES 1e ETAGE'!$A$53,1,0)</f>
        <v>0</v>
      </c>
      <c r="GE266" s="160">
        <f>IF([Occurrence26]=0,0,SUM($GD$2:GD266))</f>
        <v>0</v>
      </c>
      <c r="GF266" s="160">
        <f>IF([chambre4]*1='CHAMBRES GARCONS 1e ETAGE'!$A$5,1,0)</f>
        <v>0</v>
      </c>
      <c r="GG266" s="160">
        <f>IF([Occurrence27]=0,0,SUM($GF$2:GF266))</f>
        <v>0</v>
      </c>
      <c r="GH266" s="160">
        <f>IF([chambre4]*1='CHAMBRES GARCONS 1e ETAGE'!$A$11,1,0)</f>
        <v>0</v>
      </c>
      <c r="GI266" s="160">
        <f>IF([Occurrence28]=0,0,SUM($GH$2:GH266))</f>
        <v>0</v>
      </c>
      <c r="GJ266" s="160">
        <f>IF([chambre4]*1='CHAMBRES GARCONS 1e ETAGE'!$A$17,1,0)</f>
        <v>1</v>
      </c>
      <c r="GK266" s="160">
        <f>IF([Occurrence29]=0,0,SUM($GJ$2:GJ266))</f>
        <v>4</v>
      </c>
      <c r="GL266" s="160">
        <f>IF([chambre4]*1='CHAMBRES GARCONS 1e ETAGE'!$A$23,1,0)</f>
        <v>0</v>
      </c>
      <c r="GM266" s="160">
        <f>IF([Occurrence30]=0,0,SUM($GL$2:GL266))</f>
        <v>0</v>
      </c>
      <c r="GN266" s="160">
        <f>IF([chambre4]*1='CHAMBRES GARCONS 1e ETAGE'!$A$29,1,0)</f>
        <v>0</v>
      </c>
      <c r="GO266" s="160">
        <f>IF([Occurrence31]=0,0,SUM($GN$2:GN266))</f>
        <v>0</v>
      </c>
      <c r="GP266" s="160">
        <f>IF([chambre4]*1='CHAMBRES GARCONS 1e ETAGE'!$A$35,1,0)</f>
        <v>0</v>
      </c>
      <c r="GQ266" s="160">
        <f>IF([Occurrence32]=0,0,SUM($GP$2:GP266))</f>
        <v>0</v>
      </c>
      <c r="GR266" s="160">
        <f>IF([chambre3]*1='CHAMBRES GARCONS RDC'!$A$5,1,0)</f>
        <v>0</v>
      </c>
      <c r="GS266" s="160">
        <f>IF([Occurrence33]=0,0,SUM($GR$2:GR266))</f>
        <v>0</v>
      </c>
      <c r="GT266" s="160">
        <f>IF([chambre3]*1='CHAMBRES GARCONS RDC'!$A$11,1,0)</f>
        <v>0</v>
      </c>
      <c r="GU266" s="160">
        <f>IF([Occurrence34]=0,0,SUM($GT$2:GT266))</f>
        <v>0</v>
      </c>
      <c r="GV266" s="160">
        <f>IF([chambre3]*1='CHAMBRES GARCONS RDC'!$A$17,1,0)</f>
        <v>0</v>
      </c>
      <c r="GW266" s="160">
        <f>IF([Occurrence35]=0,0,SUM($GV$2:GV266))</f>
        <v>0</v>
      </c>
      <c r="GX266" s="160">
        <f>IF([chambre3]*1='CHAMBRES GARCONS RDC'!$A$23,1,0)</f>
        <v>0</v>
      </c>
      <c r="GY266" s="160">
        <f>IF([Occurrence36]=0,0,SUM($GX$2:GX266))</f>
        <v>0</v>
      </c>
      <c r="GZ266" s="160">
        <f>IF([chambre3]*1='CHAMBRES GARCONS RDC'!$A$29,1,0)</f>
        <v>0</v>
      </c>
      <c r="HA266" s="160">
        <f>IF([Occurrence37]=0,0,SUM($GZ$2:GZ266))</f>
        <v>0</v>
      </c>
      <c r="HB266" s="160">
        <f>IF([chambre3]*1='CHAMBRES GARCONS RDC'!$A$35,1,0)</f>
        <v>0</v>
      </c>
      <c r="HC266" s="160">
        <f>IF([Occurrence38]=0,0,SUM($HB$2:HB266))</f>
        <v>0</v>
      </c>
      <c r="HD266" s="160">
        <f>IF([chambre3]*1='CHAMBRES GARCONS RDC'!$A$41,1,0)</f>
        <v>0</v>
      </c>
      <c r="HE266" s="160">
        <f>IF([Occurrence39]=0,0,SUM($HD$2:HD266))</f>
        <v>0</v>
      </c>
      <c r="HF266" s="160">
        <f>IF([chambre3]*1='CHAMBRES GARCONS RDC'!$A$47,1,0)</f>
        <v>0</v>
      </c>
      <c r="HG266" s="160">
        <f>IF([Occurrence40]=0,0,SUM($HF$2:HF266))</f>
        <v>0</v>
      </c>
      <c r="HH266" s="160">
        <f>IF([chambre3]*1='CHAMBRES GARCONS RDC'!$A$53,1,0)</f>
        <v>0</v>
      </c>
      <c r="HI266" s="160">
        <f>IF([Occurrence41]=0,0,SUM($HH$2:HH266))</f>
        <v>0</v>
      </c>
      <c r="HJ266" s="160">
        <f>IF([chambre3]*1='CHAMBRES GARCONS RDC'!$A$59,1,0)</f>
        <v>0</v>
      </c>
      <c r="HK266" s="160">
        <f>IF([Occurrence42]=0,0,SUM($HJ$2:HJ266))</f>
        <v>0</v>
      </c>
      <c r="HL266" s="160">
        <f>IF([chambre3]*1='CHAMBRES GARCONS RDC'!$A$65,1,0)</f>
        <v>0</v>
      </c>
      <c r="HM266" s="160">
        <f>IF([Occurrence43]=0,0,SUM($HL$2:HL266))</f>
        <v>0</v>
      </c>
      <c r="HN266" s="160">
        <f>IF([chambre3]*1='CHAMBRES GARCONS RDC'!$A$71,1,0)</f>
        <v>0</v>
      </c>
      <c r="HO266" s="160">
        <f>IF([Occurrence44]=0,0,SUM($HN$2:HN266))</f>
        <v>0</v>
      </c>
      <c r="HP266" s="160">
        <f>IF([chambre3]*1='CHAMBRES GARCONS RDC'!$A$77,1,0)</f>
        <v>0</v>
      </c>
      <c r="HQ266" s="160">
        <f>IF([Occurrence45]=0,0,SUM($HP$2:HP266))</f>
        <v>0</v>
      </c>
      <c r="HR266" s="160">
        <f>IF([chambre3]*1='CHAMBRES GARCONS RDC'!$A$83,1,0)</f>
        <v>0</v>
      </c>
      <c r="HS266" s="160">
        <f>IF([Occurrence46]=0,0,SUM($HR$2:HR266))</f>
        <v>0</v>
      </c>
      <c r="HT266" s="160">
        <f>IF([chambre3]*1='CHAMBRES GARCONS RDC'!$A$89,1,0)</f>
        <v>0</v>
      </c>
      <c r="HU266" s="160">
        <f>IF([Occurrence47]=0,0,SUM($HT$2:HT266))</f>
        <v>0</v>
      </c>
      <c r="HV266" s="160">
        <f>IF([chambre3]*1='CHAMBRES GARCONS RDC'!$A$95,1,0)</f>
        <v>0</v>
      </c>
      <c r="HW266" s="160">
        <f>IF([Occurrence48]=0,0,SUM($HV$2:HV266))</f>
        <v>0</v>
      </c>
      <c r="HX266" s="160"/>
      <c r="HY266" s="160"/>
      <c r="HZ266" s="160">
        <f>IF([Classe]='Liste élève par classes'!$B$5,1,0)</f>
        <v>1</v>
      </c>
      <c r="IA266" s="160">
        <f>IF([Occurrence]=0,0,SUM($HZ$2:HZ266))</f>
        <v>19</v>
      </c>
      <c r="IB26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146</v>
      </c>
      <c r="IC266" s="208"/>
    </row>
    <row r="267" spans="1:237">
      <c r="A267" t="s">
        <v>682</v>
      </c>
      <c r="B267" t="s">
        <v>306</v>
      </c>
      <c r="C267" s="158">
        <v>36841</v>
      </c>
      <c r="D267" s="62">
        <f t="shared" ca="1" si="4"/>
        <v>17</v>
      </c>
      <c r="E267" t="s">
        <v>13</v>
      </c>
      <c r="F267" s="159" t="s">
        <v>50</v>
      </c>
      <c r="G267" t="s">
        <v>40</v>
      </c>
      <c r="H267" s="160"/>
      <c r="I267" s="161"/>
      <c r="J267" s="161"/>
      <c r="K267" s="161"/>
      <c r="L267" s="160"/>
      <c r="M267">
        <v>135</v>
      </c>
      <c r="N267" s="161"/>
      <c r="O267" s="161"/>
      <c r="P267" s="161"/>
      <c r="Q267" s="161"/>
      <c r="R267" s="161"/>
      <c r="S267" s="190"/>
      <c r="T267" s="161"/>
      <c r="U267" s="160"/>
      <c r="V267" s="161"/>
      <c r="W267" s="161"/>
      <c r="X267" s="161"/>
      <c r="Y267" s="161"/>
      <c r="Z267" s="161"/>
      <c r="AA267" s="161"/>
      <c r="AB267" s="161"/>
      <c r="AC267" s="161"/>
      <c r="AD267" s="161"/>
      <c r="AE267" s="161"/>
      <c r="AF267" s="163"/>
      <c r="AG267" s="163"/>
      <c r="AH267" s="163"/>
      <c r="AI267" s="163"/>
      <c r="AJ267" s="163"/>
      <c r="AK267" s="163"/>
      <c r="AL267" s="163"/>
      <c r="AM267" s="163"/>
      <c r="AN267" s="163"/>
      <c r="AO267" s="163"/>
      <c r="AP267" s="163"/>
      <c r="AQ267" s="163"/>
      <c r="AR267" s="163"/>
      <c r="AS267" s="163"/>
      <c r="AT267" s="163"/>
      <c r="AU267" s="163"/>
      <c r="AV267" s="163"/>
      <c r="AW267" s="163"/>
      <c r="AX267" s="163"/>
      <c r="AY267" s="163"/>
      <c r="AZ267" s="163"/>
      <c r="BA267" s="163"/>
      <c r="BB267" s="163"/>
      <c r="BC267" s="163" t="b">
        <v>0</v>
      </c>
      <c r="BD267" s="163" t="b">
        <v>1</v>
      </c>
      <c r="BE267" s="163" t="b">
        <v>1</v>
      </c>
      <c r="BF267" s="163" t="b">
        <v>0</v>
      </c>
      <c r="BG267" s="164" t="b">
        <v>0</v>
      </c>
      <c r="BH267" s="163" t="b">
        <v>1</v>
      </c>
      <c r="BI267" s="163"/>
      <c r="BJ267" s="163"/>
      <c r="BK267" s="163"/>
      <c r="BL267" s="163"/>
      <c r="BM267" s="163"/>
      <c r="BN267" s="163"/>
      <c r="BO267" s="163"/>
      <c r="BP267" s="163"/>
      <c r="BQ267" s="163" t="b">
        <v>0</v>
      </c>
      <c r="BR267" s="163"/>
      <c r="BS267" s="163"/>
      <c r="BT267" s="163"/>
      <c r="BU267" s="163"/>
      <c r="BV267" s="163"/>
      <c r="BW267" s="163"/>
      <c r="BX267" s="163"/>
      <c r="BY267" s="163"/>
      <c r="BZ267" s="163"/>
      <c r="CA267" s="163"/>
      <c r="CB267" s="163"/>
      <c r="CC267" s="163"/>
      <c r="CD267" s="163"/>
      <c r="CE267" s="163"/>
      <c r="CF267" s="163"/>
      <c r="CG267" s="163"/>
      <c r="CH267" s="163"/>
      <c r="CI267" s="163"/>
      <c r="CJ267" s="163"/>
      <c r="CK267" s="163"/>
      <c r="CL267" s="163"/>
      <c r="CM267" s="163"/>
      <c r="CN267" s="163"/>
      <c r="CO267" s="163"/>
      <c r="CP267" s="163"/>
      <c r="CQ267" s="163"/>
      <c r="CR267" s="163"/>
      <c r="CS267" s="163"/>
      <c r="CT267" s="163"/>
      <c r="CU267" s="163"/>
      <c r="CV267" s="163"/>
      <c r="CW267" s="163"/>
      <c r="CX267" s="163"/>
      <c r="CY267" s="163"/>
      <c r="CZ267" s="163"/>
      <c r="DA267" s="163">
        <v>124</v>
      </c>
      <c r="DB267" s="163"/>
      <c r="DC267" s="163"/>
      <c r="DD267" s="163"/>
      <c r="DE267" s="163"/>
      <c r="DF267" s="163"/>
      <c r="DG267" s="208"/>
      <c r="DH267" s="163"/>
      <c r="DI267" s="163"/>
      <c r="DJ267" s="163"/>
      <c r="DK267" s="163"/>
      <c r="DL267" s="163"/>
      <c r="DM267" s="163"/>
      <c r="DN267" s="163"/>
      <c r="DO267" s="163"/>
      <c r="DP267" s="163"/>
      <c r="DQ267" s="163"/>
      <c r="DR267" s="163"/>
      <c r="DS267" s="163"/>
      <c r="DT267" s="163"/>
      <c r="DU267" s="163"/>
      <c r="DV267" s="163"/>
      <c r="DW267" s="163"/>
      <c r="DX267" s="163"/>
      <c r="DY267" s="163"/>
      <c r="DZ267" s="163"/>
      <c r="EA267" s="163"/>
      <c r="EB267" s="163"/>
      <c r="EC267" s="163"/>
      <c r="ED267" s="163"/>
      <c r="EE267" s="163"/>
      <c r="EF267" s="163"/>
      <c r="EG267" s="163"/>
      <c r="EH267" s="160">
        <f>IF([Chambre]*1='CHAMBRES FILLES 2e ETAGE'!$A$5,1,0)</f>
        <v>0</v>
      </c>
      <c r="EI267" s="161">
        <f>IF([Occurrence2]=0,0,SUM($EH$2:EH267))</f>
        <v>0</v>
      </c>
      <c r="EJ267" s="160">
        <f>IF([Chambre]*1='CHAMBRES FILLES 2e ETAGE'!$A$11,1,0)</f>
        <v>0</v>
      </c>
      <c r="EK267" s="160">
        <f>IF([Occurrence3]=0,0,SUM($EJ$2:EJ267))</f>
        <v>0</v>
      </c>
      <c r="EL267" s="160">
        <f>IF([Chambre]*1='CHAMBRES FILLES 2e ETAGE'!$A$17,1,0)</f>
        <v>0</v>
      </c>
      <c r="EM267" s="160">
        <f>IF([Occurrence4]=0,0,SUM($EL$2:EL267))</f>
        <v>0</v>
      </c>
      <c r="EN267" s="160">
        <f>IF([Chambre]*1='CHAMBRES FILLES 2e ETAGE'!$A$23,1,0)</f>
        <v>0</v>
      </c>
      <c r="EO267" s="160">
        <f>IF([Occurrence5]=0,0,SUM($EN$2:EN267))</f>
        <v>0</v>
      </c>
      <c r="EP267" s="160">
        <f>IF([Chambre]*1='CHAMBRES FILLES 2e ETAGE'!$A$29,1,0)</f>
        <v>0</v>
      </c>
      <c r="EQ267" s="160">
        <f>IF([Occurrence6]=0,0,SUM($EP$2:EP267))</f>
        <v>0</v>
      </c>
      <c r="ER267" s="160">
        <f>IF([Chambre]*1='CHAMBRES FILLES 2e ETAGE'!$A$35,1,0)</f>
        <v>0</v>
      </c>
      <c r="ES267" s="160">
        <f>IF([Occurrence7]=0,0,SUM($ER$2:ER267))</f>
        <v>0</v>
      </c>
      <c r="ET267" s="160">
        <f>IF([Chambre]*1='CHAMBRES FILLES 2e ETAGE'!$A$41,1,0)</f>
        <v>0</v>
      </c>
      <c r="EU267" s="160">
        <f>IF([Occurrence8]=0,0,SUM($ET$2:ET267))</f>
        <v>0</v>
      </c>
      <c r="EV267" s="160">
        <f>IF([Chambre]*1='CHAMBRES FILLES 2e ETAGE'!$A$47,1,0)</f>
        <v>0</v>
      </c>
      <c r="EW267" s="160">
        <f>IF([Occurrence9]=0,0,SUM($EV$2:EV267))</f>
        <v>0</v>
      </c>
      <c r="EX267" s="160">
        <f>IF([Chambre]*1='CHAMBRES FILLES 2e ETAGE'!$A$53,1,0)</f>
        <v>0</v>
      </c>
      <c r="EY267" s="160">
        <f>IF([Occurrence10]=0,0,SUM($EX$2:EX267))</f>
        <v>0</v>
      </c>
      <c r="EZ267" s="160">
        <f>IF([Chambre]*1='CHAMBRES FILLES 2e ETAGE'!$A$59,1,0)</f>
        <v>0</v>
      </c>
      <c r="FA267" s="160">
        <f>IF([Occurrence11]=0,0,SUM($EZ$2:EZ267))</f>
        <v>0</v>
      </c>
      <c r="FB267" s="160">
        <f>IF([Chambre]*1='CHAMBRES FILLES 2e ETAGE'!$A$65,1,0)</f>
        <v>0</v>
      </c>
      <c r="FC267" s="160">
        <f>IF([Occurrence12]=0,0,SUM($FB$2:FB267))</f>
        <v>0</v>
      </c>
      <c r="FD267" s="160">
        <f>IF([Chambre]*1='CHAMBRES FILLES 2e ETAGE'!$A$71,1,0)</f>
        <v>0</v>
      </c>
      <c r="FE267" s="160">
        <f>IF([Occurrence13]=0,0,SUM($FD$2:FD267))</f>
        <v>0</v>
      </c>
      <c r="FF267" s="160">
        <f>IF([Chambre]*1='CHAMBRES FILLES 2e ETAGE'!$A$77,1,0)</f>
        <v>0</v>
      </c>
      <c r="FG267" s="160">
        <f>IF([Occurrence14]=0,0,SUM($FF$2:FF267))</f>
        <v>0</v>
      </c>
      <c r="FH267" s="160">
        <f>IF([Chambre]*1='CHAMBRES FILLES 2e ETAGE'!$A$83,1,0)</f>
        <v>0</v>
      </c>
      <c r="FI267" s="160">
        <f>IF([Occurrence15]=0,0,SUM($FH$2:FH267))</f>
        <v>0</v>
      </c>
      <c r="FJ267" s="160">
        <f>IF([Chambre]*1='CHAMBRES FILLES 2e ETAGE'!$A$89,1,0)</f>
        <v>0</v>
      </c>
      <c r="FK267" s="160">
        <f>IF([Occurrence16]=0,0,SUM($FJ$2:FJ267))</f>
        <v>0</v>
      </c>
      <c r="FL267" s="160">
        <f>IF([Chambre]*1='CHAMBRES FILLES 2e ETAGE'!$A$95,1,0)</f>
        <v>0</v>
      </c>
      <c r="FM267" s="160">
        <f>IF([Occurrence17]=0,0,SUM($FL$2:FL267))</f>
        <v>0</v>
      </c>
      <c r="FN267" s="160">
        <f>IF([Chambre2]*1='CHAMBRES FILLES 1e ETAGE'!$A$5,1,0)</f>
        <v>0</v>
      </c>
      <c r="FO267" s="160">
        <f>IF([Occurrence18]=0,0,SUM($FN$2:FN267))</f>
        <v>0</v>
      </c>
      <c r="FP267" s="160">
        <f>IF([Chambre2]*1='CHAMBRES FILLES 1e ETAGE'!$A$11,1,0)</f>
        <v>0</v>
      </c>
      <c r="FQ267" s="160">
        <f>IF([Occurrence19]=0,0,SUM($FP$2:FP267))</f>
        <v>0</v>
      </c>
      <c r="FR267" s="160">
        <f>IF([Chambre2]*1='CHAMBRES FILLES 1e ETAGE'!$A$17,1,0)</f>
        <v>0</v>
      </c>
      <c r="FS267" s="160">
        <f>IF([Occurrence20]=0,0,SUM($FR$2:FR267))</f>
        <v>0</v>
      </c>
      <c r="FT267" s="160">
        <f>IF([Chambre2]*1='CHAMBRES FILLES 1e ETAGE'!$A$23,1,0)</f>
        <v>0</v>
      </c>
      <c r="FU267" s="160">
        <f>IF([Occurrence21]=0,0,SUM($FT$2:FT267))</f>
        <v>0</v>
      </c>
      <c r="FV267" s="160">
        <f>IF([Chambre2]*1='CHAMBRES FILLES 1e ETAGE'!$A$29,1,0)</f>
        <v>0</v>
      </c>
      <c r="FW267" s="160">
        <f>IF([Occurrence22]=0,0,SUM($FV$2:FV267))</f>
        <v>0</v>
      </c>
      <c r="FX267" s="160">
        <f>IF([Chambre2]*1='CHAMBRES FILLES 1e ETAGE'!$A$35,1,0)</f>
        <v>0</v>
      </c>
      <c r="FY267" s="160">
        <f>IF([Occurrence23]=0,0,SUM($FX$2:FX267))</f>
        <v>0</v>
      </c>
      <c r="FZ267" s="160">
        <f>IF([Chambre2]*1='CHAMBRES FILLES 1e ETAGE'!$A$41,1,0)</f>
        <v>0</v>
      </c>
      <c r="GA267" s="160">
        <f>IF([Occurrence24]=0,0,SUM($FZ$2:FZ267))</f>
        <v>0</v>
      </c>
      <c r="GB267" s="160">
        <f>IF([Chambre2]*1='CHAMBRES FILLES 1e ETAGE'!$A$47,1,0)</f>
        <v>0</v>
      </c>
      <c r="GC267" s="160">
        <f>IF([Occurrence25]=0,0,SUM($GB$2:GB267))</f>
        <v>0</v>
      </c>
      <c r="GD267" s="160">
        <f>IF([Chambre2]*1='CHAMBRES FILLES 1e ETAGE'!$A$53,1,0)</f>
        <v>0</v>
      </c>
      <c r="GE267" s="160">
        <f>IF([Occurrence26]=0,0,SUM($GD$2:GD267))</f>
        <v>0</v>
      </c>
      <c r="GF267" s="160">
        <f>IF([chambre4]*1='CHAMBRES GARCONS 1e ETAGE'!$A$5,1,0)</f>
        <v>0</v>
      </c>
      <c r="GG267" s="160">
        <f>IF([Occurrence27]=0,0,SUM($GF$2:GF267))</f>
        <v>0</v>
      </c>
      <c r="GH267" s="160">
        <f>IF([chambre4]*1='CHAMBRES GARCONS 1e ETAGE'!$A$11,1,0)</f>
        <v>0</v>
      </c>
      <c r="GI267" s="160">
        <f>IF([Occurrence28]=0,0,SUM($GH$2:GH267))</f>
        <v>0</v>
      </c>
      <c r="GJ267" s="160">
        <f>IF([chambre4]*1='CHAMBRES GARCONS 1e ETAGE'!$A$17,1,0)</f>
        <v>0</v>
      </c>
      <c r="GK267" s="160">
        <f>IF([Occurrence29]=0,0,SUM($GJ$2:GJ267))</f>
        <v>0</v>
      </c>
      <c r="GL267" s="160">
        <f>IF([chambre4]*1='CHAMBRES GARCONS 1e ETAGE'!$A$23,1,0)</f>
        <v>0</v>
      </c>
      <c r="GM267" s="160">
        <f>IF([Occurrence30]=0,0,SUM($GL$2:GL267))</f>
        <v>0</v>
      </c>
      <c r="GN267" s="160">
        <f>IF([chambre4]*1='CHAMBRES GARCONS 1e ETAGE'!$A$29,1,0)</f>
        <v>0</v>
      </c>
      <c r="GO267" s="160">
        <f>IF([Occurrence31]=0,0,SUM($GN$2:GN267))</f>
        <v>0</v>
      </c>
      <c r="GP267" s="160">
        <f>IF([chambre4]*1='CHAMBRES GARCONS 1e ETAGE'!$A$35,1,0)</f>
        <v>0</v>
      </c>
      <c r="GQ267" s="160">
        <f>IF([Occurrence32]=0,0,SUM($GP$2:GP267))</f>
        <v>0</v>
      </c>
      <c r="GR267" s="160">
        <f>IF([chambre3]*1='CHAMBRES GARCONS RDC'!$A$5,1,0)</f>
        <v>0</v>
      </c>
      <c r="GS267" s="160">
        <f>IF([Occurrence33]=0,0,SUM($GR$2:GR267))</f>
        <v>0</v>
      </c>
      <c r="GT267" s="160">
        <f>IF([chambre3]*1='CHAMBRES GARCONS RDC'!$A$11,1,0)</f>
        <v>0</v>
      </c>
      <c r="GU267" s="160">
        <f>IF([Occurrence34]=0,0,SUM($GT$2:GT267))</f>
        <v>0</v>
      </c>
      <c r="GV267" s="160">
        <f>IF([chambre3]*1='CHAMBRES GARCONS RDC'!$A$17,1,0)</f>
        <v>0</v>
      </c>
      <c r="GW267" s="160">
        <f>IF([Occurrence35]=0,0,SUM($GV$2:GV267))</f>
        <v>0</v>
      </c>
      <c r="GX267" s="160">
        <f>IF([chambre3]*1='CHAMBRES GARCONS RDC'!$A$23,1,0)</f>
        <v>0</v>
      </c>
      <c r="GY267" s="160">
        <f>IF([Occurrence36]=0,0,SUM($GX$2:GX267))</f>
        <v>0</v>
      </c>
      <c r="GZ267" s="160">
        <f>IF([chambre3]*1='CHAMBRES GARCONS RDC'!$A$29,1,0)</f>
        <v>0</v>
      </c>
      <c r="HA267" s="160">
        <f>IF([Occurrence37]=0,0,SUM($GZ$2:GZ267))</f>
        <v>0</v>
      </c>
      <c r="HB267" s="160">
        <f>IF([chambre3]*1='CHAMBRES GARCONS RDC'!$A$35,1,0)</f>
        <v>0</v>
      </c>
      <c r="HC267" s="160">
        <f>IF([Occurrence38]=0,0,SUM($HB$2:HB267))</f>
        <v>0</v>
      </c>
      <c r="HD267" s="160">
        <f>IF([chambre3]*1='CHAMBRES GARCONS RDC'!$A$41,1,0)</f>
        <v>0</v>
      </c>
      <c r="HE267" s="160">
        <f>IF([Occurrence39]=0,0,SUM($HD$2:HD267))</f>
        <v>0</v>
      </c>
      <c r="HF267" s="160">
        <f>IF([chambre3]*1='CHAMBRES GARCONS RDC'!$A$47,1,0)</f>
        <v>0</v>
      </c>
      <c r="HG267" s="160">
        <f>IF([Occurrence40]=0,0,SUM($HF$2:HF267))</f>
        <v>0</v>
      </c>
      <c r="HH267" s="160">
        <f>IF([chambre3]*1='CHAMBRES GARCONS RDC'!$A$53,1,0)</f>
        <v>0</v>
      </c>
      <c r="HI267" s="160">
        <f>IF([Occurrence41]=0,0,SUM($HH$2:HH267))</f>
        <v>0</v>
      </c>
      <c r="HJ267" s="160">
        <f>IF([chambre3]*1='CHAMBRES GARCONS RDC'!$A$59,1,0)</f>
        <v>0</v>
      </c>
      <c r="HK267" s="160">
        <f>IF([Occurrence42]=0,0,SUM($HJ$2:HJ267))</f>
        <v>0</v>
      </c>
      <c r="HL267" s="160">
        <f>IF([chambre3]*1='CHAMBRES GARCONS RDC'!$A$65,1,0)</f>
        <v>0</v>
      </c>
      <c r="HM267" s="160">
        <f>IF([Occurrence43]=0,0,SUM($HL$2:HL267))</f>
        <v>0</v>
      </c>
      <c r="HN267" s="160">
        <f>IF([chambre3]*1='CHAMBRES GARCONS RDC'!$A$71,1,0)</f>
        <v>0</v>
      </c>
      <c r="HO267" s="160">
        <f>IF([Occurrence44]=0,0,SUM($HN$2:HN267))</f>
        <v>0</v>
      </c>
      <c r="HP267" s="160">
        <f>IF([chambre3]*1='CHAMBRES GARCONS RDC'!$A$77,1,0)</f>
        <v>0</v>
      </c>
      <c r="HQ267" s="160">
        <f>IF([Occurrence45]=0,0,SUM($HP$2:HP267))</f>
        <v>0</v>
      </c>
      <c r="HR267" s="160">
        <f>IF([chambre3]*1='CHAMBRES GARCONS RDC'!$A$83,1,0)</f>
        <v>0</v>
      </c>
      <c r="HS267" s="160">
        <f>IF([Occurrence46]=0,0,SUM($HR$2:HR267))</f>
        <v>0</v>
      </c>
      <c r="HT267" s="160">
        <f>IF([chambre3]*1='CHAMBRES GARCONS RDC'!$A$89,1,0)</f>
        <v>0</v>
      </c>
      <c r="HU267" s="160">
        <f>IF([Occurrence47]=0,0,SUM($HT$2:HT267))</f>
        <v>0</v>
      </c>
      <c r="HV267" s="160">
        <f>IF([chambre3]*1='CHAMBRES GARCONS RDC'!$A$95,1,0)</f>
        <v>1</v>
      </c>
      <c r="HW267" s="160">
        <f>IF([Occurrence48]=0,0,SUM($HV$2:HV267))</f>
        <v>4</v>
      </c>
      <c r="HX267" s="160"/>
      <c r="HY267" s="160"/>
      <c r="HZ267" s="160">
        <f>IF([Classe]='Liste élève par classes'!$B$5,1,0)</f>
        <v>0</v>
      </c>
      <c r="IA267" s="160">
        <f>IF([Occurrence]=0,0,SUM($HZ$2:HZ267))</f>
        <v>0</v>
      </c>
      <c r="IB26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124</v>
      </c>
      <c r="IC267" s="208"/>
    </row>
    <row r="268" spans="1:237">
      <c r="A268" t="s">
        <v>683</v>
      </c>
      <c r="B268" t="s">
        <v>378</v>
      </c>
      <c r="C268" s="158">
        <v>37043</v>
      </c>
      <c r="D268" s="62">
        <f t="shared" ca="1" si="4"/>
        <v>16</v>
      </c>
      <c r="E268" t="s">
        <v>14</v>
      </c>
      <c r="F268" s="7" t="s">
        <v>50</v>
      </c>
      <c r="G268" t="s">
        <v>40</v>
      </c>
      <c r="H268" s="160"/>
      <c r="I268" s="62"/>
      <c r="J268" s="62"/>
      <c r="K268" s="62"/>
      <c r="L268" s="61"/>
      <c r="M268">
        <v>188</v>
      </c>
      <c r="N268" s="62"/>
      <c r="O268" s="62"/>
      <c r="P268" s="62"/>
      <c r="Q268" s="62"/>
      <c r="R268" s="62"/>
      <c r="S268" s="191"/>
      <c r="T268" s="62"/>
      <c r="U268" s="61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163"/>
      <c r="AG268" s="163"/>
      <c r="AH268" s="163"/>
      <c r="AI268" s="163"/>
      <c r="AJ268" s="163"/>
      <c r="AK268" s="163"/>
      <c r="AL268" s="163"/>
      <c r="AM268" s="163"/>
      <c r="AN268" s="163"/>
      <c r="AO268" s="163"/>
      <c r="AP268" s="163"/>
      <c r="AQ268" s="163"/>
      <c r="AR268" s="163"/>
      <c r="AS268" s="163"/>
      <c r="AT268" s="163"/>
      <c r="AU268" s="163"/>
      <c r="AV268" s="163"/>
      <c r="AW268" s="163"/>
      <c r="AX268" s="163"/>
      <c r="AY268" s="163"/>
      <c r="AZ268" s="163"/>
      <c r="BA268" s="163"/>
      <c r="BB268" s="163"/>
      <c r="BC268" s="163" t="b">
        <v>0</v>
      </c>
      <c r="BD268" s="163" t="b">
        <v>1</v>
      </c>
      <c r="BE268" s="163" t="b">
        <v>1</v>
      </c>
      <c r="BF268" s="163" t="b">
        <v>0</v>
      </c>
      <c r="BG268" s="164" t="b">
        <v>0</v>
      </c>
      <c r="BH268" s="163" t="b">
        <v>1</v>
      </c>
      <c r="BI268" s="163"/>
      <c r="BJ268" s="163"/>
      <c r="BK268" s="163"/>
      <c r="BL268" s="163"/>
      <c r="BM268" s="163"/>
      <c r="BN268" s="163"/>
      <c r="BO268" s="163"/>
      <c r="BP268" s="163"/>
      <c r="BQ268" s="163" t="b">
        <v>1</v>
      </c>
      <c r="BR268" s="163"/>
      <c r="BS268" s="163"/>
      <c r="BT268" s="163"/>
      <c r="BU268" s="163"/>
      <c r="BV268" s="163"/>
      <c r="BW268" s="163"/>
      <c r="BX268" s="163"/>
      <c r="BY268" s="163"/>
      <c r="BZ268" s="163"/>
      <c r="CA268" s="163"/>
      <c r="CB268" s="163"/>
      <c r="CC268" s="163"/>
      <c r="CD268" s="163"/>
      <c r="CE268" s="163"/>
      <c r="CF268" s="163"/>
      <c r="CG268" s="163"/>
      <c r="CH268" s="163"/>
      <c r="CI268" s="163"/>
      <c r="CJ268" s="163"/>
      <c r="CK268" s="163"/>
      <c r="CL268" s="163"/>
      <c r="CM268" s="163"/>
      <c r="CN268" s="163"/>
      <c r="CO268" s="163"/>
      <c r="CP268" s="163"/>
      <c r="CQ268" s="163"/>
      <c r="CR268" s="163"/>
      <c r="CS268" s="163"/>
      <c r="CT268" s="163"/>
      <c r="CU268" s="163"/>
      <c r="CV268" s="163"/>
      <c r="CW268" s="163"/>
      <c r="CX268" s="163"/>
      <c r="CY268" s="163"/>
      <c r="CZ268" s="163"/>
      <c r="DA268" s="163">
        <v>116</v>
      </c>
      <c r="DB268" s="163"/>
      <c r="DC268" s="163"/>
      <c r="DD268" s="163"/>
      <c r="DE268" s="163"/>
      <c r="DF268" s="163"/>
      <c r="DG268" s="208"/>
      <c r="DH268" s="163"/>
      <c r="DI268" s="163"/>
      <c r="DJ268" s="163"/>
      <c r="DK268" s="163"/>
      <c r="DL268" s="163"/>
      <c r="DM268" s="163"/>
      <c r="DN268" s="163"/>
      <c r="DO268" s="163"/>
      <c r="DP268" s="163"/>
      <c r="DQ268" s="163"/>
      <c r="DR268" s="163"/>
      <c r="DS268" s="163"/>
      <c r="DT268" s="163"/>
      <c r="DU268" s="163"/>
      <c r="DV268" s="163"/>
      <c r="DW268" s="163"/>
      <c r="DX268" s="163"/>
      <c r="DY268" s="163"/>
      <c r="DZ268" s="163"/>
      <c r="EA268" s="163"/>
      <c r="EB268" s="163"/>
      <c r="EC268" s="163"/>
      <c r="ED268" s="163"/>
      <c r="EE268" s="163"/>
      <c r="EF268" s="163"/>
      <c r="EG268" s="163"/>
      <c r="EH268" s="160">
        <f>IF([Chambre]*1='CHAMBRES FILLES 2e ETAGE'!$A$5,1,0)</f>
        <v>0</v>
      </c>
      <c r="EI268" s="161">
        <f>IF([Occurrence2]=0,0,SUM($EH$2:EH268))</f>
        <v>0</v>
      </c>
      <c r="EJ268" s="160">
        <f>IF([Chambre]*1='CHAMBRES FILLES 2e ETAGE'!$A$11,1,0)</f>
        <v>0</v>
      </c>
      <c r="EK268" s="160">
        <f>IF([Occurrence3]=0,0,SUM($EJ$2:EJ268))</f>
        <v>0</v>
      </c>
      <c r="EL268" s="160">
        <f>IF([Chambre]*1='CHAMBRES FILLES 2e ETAGE'!$A$17,1,0)</f>
        <v>0</v>
      </c>
      <c r="EM268" s="160">
        <f>IF([Occurrence4]=0,0,SUM($EL$2:EL268))</f>
        <v>0</v>
      </c>
      <c r="EN268" s="160">
        <f>IF([Chambre]*1='CHAMBRES FILLES 2e ETAGE'!$A$23,1,0)</f>
        <v>0</v>
      </c>
      <c r="EO268" s="160">
        <f>IF([Occurrence5]=0,0,SUM($EN$2:EN268))</f>
        <v>0</v>
      </c>
      <c r="EP268" s="160">
        <f>IF([Chambre]*1='CHAMBRES FILLES 2e ETAGE'!$A$29,1,0)</f>
        <v>0</v>
      </c>
      <c r="EQ268" s="160">
        <f>IF([Occurrence6]=0,0,SUM($EP$2:EP268))</f>
        <v>0</v>
      </c>
      <c r="ER268" s="160">
        <f>IF([Chambre]*1='CHAMBRES FILLES 2e ETAGE'!$A$35,1,0)</f>
        <v>0</v>
      </c>
      <c r="ES268" s="160">
        <f>IF([Occurrence7]=0,0,SUM($ER$2:ER268))</f>
        <v>0</v>
      </c>
      <c r="ET268" s="160">
        <f>IF([Chambre]*1='CHAMBRES FILLES 2e ETAGE'!$A$41,1,0)</f>
        <v>0</v>
      </c>
      <c r="EU268" s="160">
        <f>IF([Occurrence8]=0,0,SUM($ET$2:ET268))</f>
        <v>0</v>
      </c>
      <c r="EV268" s="160">
        <f>IF([Chambre]*1='CHAMBRES FILLES 2e ETAGE'!$A$47,1,0)</f>
        <v>0</v>
      </c>
      <c r="EW268" s="160">
        <f>IF([Occurrence9]=0,0,SUM($EV$2:EV268))</f>
        <v>0</v>
      </c>
      <c r="EX268" s="160">
        <f>IF([Chambre]*1='CHAMBRES FILLES 2e ETAGE'!$A$53,1,0)</f>
        <v>0</v>
      </c>
      <c r="EY268" s="160">
        <f>IF([Occurrence10]=0,0,SUM($EX$2:EX268))</f>
        <v>0</v>
      </c>
      <c r="EZ268" s="160">
        <f>IF([Chambre]*1='CHAMBRES FILLES 2e ETAGE'!$A$59,1,0)</f>
        <v>0</v>
      </c>
      <c r="FA268" s="160">
        <f>IF([Occurrence11]=0,0,SUM($EZ$2:EZ268))</f>
        <v>0</v>
      </c>
      <c r="FB268" s="160">
        <f>IF([Chambre]*1='CHAMBRES FILLES 2e ETAGE'!$A$65,1,0)</f>
        <v>0</v>
      </c>
      <c r="FC268" s="160">
        <f>IF([Occurrence12]=0,0,SUM($FB$2:FB268))</f>
        <v>0</v>
      </c>
      <c r="FD268" s="160">
        <f>IF([Chambre]*1='CHAMBRES FILLES 2e ETAGE'!$A$71,1,0)</f>
        <v>0</v>
      </c>
      <c r="FE268" s="160">
        <f>IF([Occurrence13]=0,0,SUM($FD$2:FD268))</f>
        <v>0</v>
      </c>
      <c r="FF268" s="160">
        <f>IF([Chambre]*1='CHAMBRES FILLES 2e ETAGE'!$A$77,1,0)</f>
        <v>0</v>
      </c>
      <c r="FG268" s="160">
        <f>IF([Occurrence14]=0,0,SUM($FF$2:FF268))</f>
        <v>0</v>
      </c>
      <c r="FH268" s="160">
        <f>IF([Chambre]*1='CHAMBRES FILLES 2e ETAGE'!$A$83,1,0)</f>
        <v>0</v>
      </c>
      <c r="FI268" s="160">
        <f>IF([Occurrence15]=0,0,SUM($FH$2:FH268))</f>
        <v>0</v>
      </c>
      <c r="FJ268" s="160">
        <f>IF([Chambre]*1='CHAMBRES FILLES 2e ETAGE'!$A$89,1,0)</f>
        <v>0</v>
      </c>
      <c r="FK268" s="160">
        <f>IF([Occurrence16]=0,0,SUM($FJ$2:FJ268))</f>
        <v>0</v>
      </c>
      <c r="FL268" s="160">
        <f>IF([Chambre]*1='CHAMBRES FILLES 2e ETAGE'!$A$95,1,0)</f>
        <v>0</v>
      </c>
      <c r="FM268" s="160">
        <f>IF([Occurrence17]=0,0,SUM($FL$2:FL268))</f>
        <v>0</v>
      </c>
      <c r="FN268" s="160">
        <f>IF([Chambre2]*1='CHAMBRES FILLES 1e ETAGE'!$A$5,1,0)</f>
        <v>0</v>
      </c>
      <c r="FO268" s="160">
        <f>IF([Occurrence18]=0,0,SUM($FN$2:FN268))</f>
        <v>0</v>
      </c>
      <c r="FP268" s="160">
        <f>IF([Chambre2]*1='CHAMBRES FILLES 1e ETAGE'!$A$11,1,0)</f>
        <v>0</v>
      </c>
      <c r="FQ268" s="160">
        <f>IF([Occurrence19]=0,0,SUM($FP$2:FP268))</f>
        <v>0</v>
      </c>
      <c r="FR268" s="160">
        <f>IF([Chambre2]*1='CHAMBRES FILLES 1e ETAGE'!$A$17,1,0)</f>
        <v>0</v>
      </c>
      <c r="FS268" s="160">
        <f>IF([Occurrence20]=0,0,SUM($FR$2:FR268))</f>
        <v>0</v>
      </c>
      <c r="FT268" s="160">
        <f>IF([Chambre2]*1='CHAMBRES FILLES 1e ETAGE'!$A$23,1,0)</f>
        <v>0</v>
      </c>
      <c r="FU268" s="160">
        <f>IF([Occurrence21]=0,0,SUM($FT$2:FT268))</f>
        <v>0</v>
      </c>
      <c r="FV268" s="160">
        <f>IF([Chambre2]*1='CHAMBRES FILLES 1e ETAGE'!$A$29,1,0)</f>
        <v>0</v>
      </c>
      <c r="FW268" s="160">
        <f>IF([Occurrence22]=0,0,SUM($FV$2:FV268))</f>
        <v>0</v>
      </c>
      <c r="FX268" s="160">
        <f>IF([Chambre2]*1='CHAMBRES FILLES 1e ETAGE'!$A$35,1,0)</f>
        <v>0</v>
      </c>
      <c r="FY268" s="160">
        <f>IF([Occurrence23]=0,0,SUM($FX$2:FX268))</f>
        <v>0</v>
      </c>
      <c r="FZ268" s="160">
        <f>IF([Chambre2]*1='CHAMBRES FILLES 1e ETAGE'!$A$41,1,0)</f>
        <v>0</v>
      </c>
      <c r="GA268" s="160">
        <f>IF([Occurrence24]=0,0,SUM($FZ$2:FZ268))</f>
        <v>0</v>
      </c>
      <c r="GB268" s="160">
        <f>IF([Chambre2]*1='CHAMBRES FILLES 1e ETAGE'!$A$47,1,0)</f>
        <v>0</v>
      </c>
      <c r="GC268" s="160">
        <f>IF([Occurrence25]=0,0,SUM($GB$2:GB268))</f>
        <v>0</v>
      </c>
      <c r="GD268" s="160">
        <f>IF([Chambre2]*1='CHAMBRES FILLES 1e ETAGE'!$A$53,1,0)</f>
        <v>0</v>
      </c>
      <c r="GE268" s="160">
        <f>IF([Occurrence26]=0,0,SUM($GD$2:GD268))</f>
        <v>0</v>
      </c>
      <c r="GF268" s="160">
        <f>IF([chambre4]*1='CHAMBRES GARCONS 1e ETAGE'!$A$5,1,0)</f>
        <v>0</v>
      </c>
      <c r="GG268" s="160">
        <f>IF([Occurrence27]=0,0,SUM($GF$2:GF268))</f>
        <v>0</v>
      </c>
      <c r="GH268" s="160">
        <f>IF([chambre4]*1='CHAMBRES GARCONS 1e ETAGE'!$A$11,1,0)</f>
        <v>0</v>
      </c>
      <c r="GI268" s="160">
        <f>IF([Occurrence28]=0,0,SUM($GH$2:GH268))</f>
        <v>0</v>
      </c>
      <c r="GJ268" s="160">
        <f>IF([chambre4]*1='CHAMBRES GARCONS 1e ETAGE'!$A$17,1,0)</f>
        <v>0</v>
      </c>
      <c r="GK268" s="160">
        <f>IF([Occurrence29]=0,0,SUM($GJ$2:GJ268))</f>
        <v>0</v>
      </c>
      <c r="GL268" s="160">
        <f>IF([chambre4]*1='CHAMBRES GARCONS 1e ETAGE'!$A$23,1,0)</f>
        <v>0</v>
      </c>
      <c r="GM268" s="160">
        <f>IF([Occurrence30]=0,0,SUM($GL$2:GL268))</f>
        <v>0</v>
      </c>
      <c r="GN268" s="160">
        <f>IF([chambre4]*1='CHAMBRES GARCONS 1e ETAGE'!$A$29,1,0)</f>
        <v>0</v>
      </c>
      <c r="GO268" s="160">
        <f>IF([Occurrence31]=0,0,SUM($GN$2:GN268))</f>
        <v>0</v>
      </c>
      <c r="GP268" s="160">
        <f>IF([chambre4]*1='CHAMBRES GARCONS 1e ETAGE'!$A$35,1,0)</f>
        <v>0</v>
      </c>
      <c r="GQ268" s="160">
        <f>IF([Occurrence32]=0,0,SUM($GP$2:GP268))</f>
        <v>0</v>
      </c>
      <c r="GR268" s="160">
        <f>IF([chambre3]*1='CHAMBRES GARCONS RDC'!$A$5,1,0)</f>
        <v>0</v>
      </c>
      <c r="GS268" s="160">
        <f>IF([Occurrence33]=0,0,SUM($GR$2:GR268))</f>
        <v>0</v>
      </c>
      <c r="GT268" s="160">
        <f>IF([chambre3]*1='CHAMBRES GARCONS RDC'!$A$11,1,0)</f>
        <v>0</v>
      </c>
      <c r="GU268" s="160">
        <f>IF([Occurrence34]=0,0,SUM($GT$2:GT268))</f>
        <v>0</v>
      </c>
      <c r="GV268" s="160">
        <f>IF([chambre3]*1='CHAMBRES GARCONS RDC'!$A$17,1,0)</f>
        <v>0</v>
      </c>
      <c r="GW268" s="160">
        <f>IF([Occurrence35]=0,0,SUM($GV$2:GV268))</f>
        <v>0</v>
      </c>
      <c r="GX268" s="160">
        <f>IF([chambre3]*1='CHAMBRES GARCONS RDC'!$A$23,1,0)</f>
        <v>0</v>
      </c>
      <c r="GY268" s="160">
        <f>IF([Occurrence36]=0,0,SUM($GX$2:GX268))</f>
        <v>0</v>
      </c>
      <c r="GZ268" s="160">
        <f>IF([chambre3]*1='CHAMBRES GARCONS RDC'!$A$29,1,0)</f>
        <v>0</v>
      </c>
      <c r="HA268" s="160">
        <f>IF([Occurrence37]=0,0,SUM($GZ$2:GZ268))</f>
        <v>0</v>
      </c>
      <c r="HB268" s="160">
        <f>IF([chambre3]*1='CHAMBRES GARCONS RDC'!$A$35,1,0)</f>
        <v>0</v>
      </c>
      <c r="HC268" s="160">
        <f>IF([Occurrence38]=0,0,SUM($HB$2:HB268))</f>
        <v>0</v>
      </c>
      <c r="HD268" s="160">
        <f>IF([chambre3]*1='CHAMBRES GARCONS RDC'!$A$41,1,0)</f>
        <v>0</v>
      </c>
      <c r="HE268" s="160">
        <f>IF([Occurrence39]=0,0,SUM($HD$2:HD268))</f>
        <v>0</v>
      </c>
      <c r="HF268" s="160">
        <f>IF([chambre3]*1='CHAMBRES GARCONS RDC'!$A$47,1,0)</f>
        <v>0</v>
      </c>
      <c r="HG268" s="160">
        <f>IF([Occurrence40]=0,0,SUM($HF$2:HF268))</f>
        <v>0</v>
      </c>
      <c r="HH268" s="160">
        <f>IF([chambre3]*1='CHAMBRES GARCONS RDC'!$A$53,1,0)</f>
        <v>0</v>
      </c>
      <c r="HI268" s="160">
        <f>IF([Occurrence41]=0,0,SUM($HH$2:HH268))</f>
        <v>0</v>
      </c>
      <c r="HJ268" s="160">
        <f>IF([chambre3]*1='CHAMBRES GARCONS RDC'!$A$59,1,0)</f>
        <v>0</v>
      </c>
      <c r="HK268" s="160">
        <f>IF([Occurrence42]=0,0,SUM($HJ$2:HJ268))</f>
        <v>0</v>
      </c>
      <c r="HL268" s="160">
        <f>IF([chambre3]*1='CHAMBRES GARCONS RDC'!$A$65,1,0)</f>
        <v>0</v>
      </c>
      <c r="HM268" s="160">
        <f>IF([Occurrence43]=0,0,SUM($HL$2:HL268))</f>
        <v>0</v>
      </c>
      <c r="HN268" s="160">
        <f>IF([chambre3]*1='CHAMBRES GARCONS RDC'!$A$71,1,0)</f>
        <v>0</v>
      </c>
      <c r="HO268" s="160">
        <f>IF([Occurrence44]=0,0,SUM($HN$2:HN268))</f>
        <v>0</v>
      </c>
      <c r="HP268" s="160">
        <f>IF([chambre3]*1='CHAMBRES GARCONS RDC'!$A$77,1,0)</f>
        <v>1</v>
      </c>
      <c r="HQ268" s="160">
        <f>IF([Occurrence45]=0,0,SUM($HP$2:HP268))</f>
        <v>4</v>
      </c>
      <c r="HR268" s="160">
        <f>IF([chambre3]*1='CHAMBRES GARCONS RDC'!$A$83,1,0)</f>
        <v>0</v>
      </c>
      <c r="HS268" s="160">
        <f>IF([Occurrence46]=0,0,SUM($HR$2:HR268))</f>
        <v>0</v>
      </c>
      <c r="HT268" s="160">
        <f>IF([chambre3]*1='CHAMBRES GARCONS RDC'!$A$89,1,0)</f>
        <v>0</v>
      </c>
      <c r="HU268" s="160">
        <f>IF([Occurrence47]=0,0,SUM($HT$2:HT268))</f>
        <v>0</v>
      </c>
      <c r="HV268" s="160">
        <f>IF([chambre3]*1='CHAMBRES GARCONS RDC'!$A$95,1,0)</f>
        <v>0</v>
      </c>
      <c r="HW268" s="160">
        <f>IF([Occurrence48]=0,0,SUM($HV$2:HV268))</f>
        <v>0</v>
      </c>
      <c r="HX268" s="160"/>
      <c r="HY268" s="160"/>
      <c r="HZ268" s="160">
        <f>IF([Classe]='Liste élève par classes'!$B$5,1,0)</f>
        <v>0</v>
      </c>
      <c r="IA268" s="160">
        <f>IF([Occurrence]=0,0,SUM($HZ$2:HZ268))</f>
        <v>0</v>
      </c>
      <c r="IB26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116</v>
      </c>
      <c r="IC268" s="208"/>
    </row>
    <row r="269" spans="1:237">
      <c r="A269" t="s">
        <v>684</v>
      </c>
      <c r="B269" t="s">
        <v>685</v>
      </c>
      <c r="C269" s="158">
        <v>37414</v>
      </c>
      <c r="D269" s="62">
        <f t="shared" ca="1" si="4"/>
        <v>15</v>
      </c>
      <c r="E269" t="s">
        <v>11</v>
      </c>
      <c r="F269" s="159" t="s">
        <v>50</v>
      </c>
      <c r="G269" t="s">
        <v>40</v>
      </c>
      <c r="H269" s="160"/>
      <c r="I269" s="62"/>
      <c r="J269" s="161" t="s">
        <v>244</v>
      </c>
      <c r="K269" s="161"/>
      <c r="L269" s="160"/>
      <c r="M269">
        <v>171</v>
      </c>
      <c r="N269" s="161" t="s">
        <v>244</v>
      </c>
      <c r="O269" s="161" t="s">
        <v>244</v>
      </c>
      <c r="P269" s="161" t="s">
        <v>244</v>
      </c>
      <c r="Q269" s="161" t="s">
        <v>244</v>
      </c>
      <c r="R269" s="161" t="s">
        <v>244</v>
      </c>
      <c r="S269" s="190"/>
      <c r="T269" s="161" t="s">
        <v>244</v>
      </c>
      <c r="U269" s="160"/>
      <c r="V269" s="161" t="s">
        <v>244</v>
      </c>
      <c r="W269" s="161" t="s">
        <v>244</v>
      </c>
      <c r="X269" s="161" t="s">
        <v>244</v>
      </c>
      <c r="Y269" s="161" t="s">
        <v>244</v>
      </c>
      <c r="Z269" s="161" t="s">
        <v>244</v>
      </c>
      <c r="AA269" s="161" t="s">
        <v>244</v>
      </c>
      <c r="AB269" s="161" t="s">
        <v>244</v>
      </c>
      <c r="AC269" s="161" t="s">
        <v>244</v>
      </c>
      <c r="AD269" s="161" t="s">
        <v>244</v>
      </c>
      <c r="AE269" s="161" t="s">
        <v>244</v>
      </c>
      <c r="AF269" s="163" t="s">
        <v>244</v>
      </c>
      <c r="AG269" s="163" t="s">
        <v>244</v>
      </c>
      <c r="AH269" s="163" t="s">
        <v>244</v>
      </c>
      <c r="AI269" s="163"/>
      <c r="AJ269" s="163"/>
      <c r="AK269" s="163"/>
      <c r="AL269" s="163"/>
      <c r="AM269" s="163"/>
      <c r="AN269" s="163"/>
      <c r="AO269" s="163"/>
      <c r="AP269" s="163"/>
      <c r="AQ269" s="163"/>
      <c r="AR269" s="163"/>
      <c r="AS269" s="163"/>
      <c r="AT269" s="163"/>
      <c r="AU269" s="163"/>
      <c r="AV269" s="163"/>
      <c r="AW269" s="163"/>
      <c r="AX269" s="163"/>
      <c r="AY269" s="163"/>
      <c r="AZ269" s="163"/>
      <c r="BA269" s="163"/>
      <c r="BB269" s="163"/>
      <c r="BC269" s="163" t="b">
        <v>0</v>
      </c>
      <c r="BD269" s="163" t="b">
        <v>1</v>
      </c>
      <c r="BE269" s="163" t="b">
        <v>1</v>
      </c>
      <c r="BF269" s="163" t="b">
        <v>0</v>
      </c>
      <c r="BG269" s="164" t="b">
        <v>0</v>
      </c>
      <c r="BH269" s="163" t="b">
        <v>1</v>
      </c>
      <c r="BI269" s="163"/>
      <c r="BJ269" s="163"/>
      <c r="BK269" s="163"/>
      <c r="BL269" s="163"/>
      <c r="BM269" s="163"/>
      <c r="BN269" s="163"/>
      <c r="BO269" s="163"/>
      <c r="BP269" s="163"/>
      <c r="BQ269" s="163" t="b">
        <v>0</v>
      </c>
      <c r="BR269" s="163"/>
      <c r="BS269" s="163"/>
      <c r="BT269" s="163"/>
      <c r="BU269" s="163"/>
      <c r="BV269" s="163"/>
      <c r="BW269" s="163"/>
      <c r="BX269" s="163"/>
      <c r="BY269" s="163"/>
      <c r="BZ269" s="163"/>
      <c r="CA269" s="163"/>
      <c r="CB269" s="163"/>
      <c r="CC269" s="163"/>
      <c r="CD269" s="163"/>
      <c r="CE269" s="163"/>
      <c r="CF269" s="163"/>
      <c r="CG269" s="163"/>
      <c r="CH269" s="163"/>
      <c r="CI269" s="163"/>
      <c r="CJ269" s="163"/>
      <c r="CK269" s="163"/>
      <c r="CL269" s="163"/>
      <c r="CM269" s="163"/>
      <c r="CN269" s="163"/>
      <c r="CO269" s="163"/>
      <c r="CP269" s="163"/>
      <c r="CQ269" s="163"/>
      <c r="CR269" s="163"/>
      <c r="CS269" s="163"/>
      <c r="CT269" s="163"/>
      <c r="CU269" s="163"/>
      <c r="CV269" s="163"/>
      <c r="CW269" s="163"/>
      <c r="CX269" s="163"/>
      <c r="CY269" s="163"/>
      <c r="CZ269" s="163"/>
      <c r="DA269" s="163">
        <v>104</v>
      </c>
      <c r="DB269" s="163"/>
      <c r="DC269" s="163"/>
      <c r="DD269" s="163"/>
      <c r="DE269" s="163"/>
      <c r="DF269" s="163"/>
      <c r="DG269" s="208"/>
      <c r="DH269" s="163"/>
      <c r="DI269" s="163"/>
      <c r="DJ269" s="163"/>
      <c r="DK269" s="163"/>
      <c r="DL269" s="163"/>
      <c r="DM269" s="163"/>
      <c r="DN269" s="163"/>
      <c r="DO269" s="163"/>
      <c r="DP269" s="163"/>
      <c r="DQ269" s="163"/>
      <c r="DR269" s="163"/>
      <c r="DS269" s="163"/>
      <c r="DT269" s="163"/>
      <c r="DU269" s="163"/>
      <c r="DV269" s="163"/>
      <c r="DW269" s="163"/>
      <c r="DX269" s="163"/>
      <c r="DY269" s="163"/>
      <c r="DZ269" s="163"/>
      <c r="EA269" s="163"/>
      <c r="EB269" s="163"/>
      <c r="EC269" s="163"/>
      <c r="ED269" s="163"/>
      <c r="EE269" s="163"/>
      <c r="EF269" s="163"/>
      <c r="EG269" s="163"/>
      <c r="EH269" s="160">
        <f>IF([Chambre]*1='CHAMBRES FILLES 2e ETAGE'!$A$5,1,0)</f>
        <v>0</v>
      </c>
      <c r="EI269" s="161">
        <f>IF([Occurrence2]=0,0,SUM($EH$2:EH269))</f>
        <v>0</v>
      </c>
      <c r="EJ269" s="160">
        <f>IF([Chambre]*1='CHAMBRES FILLES 2e ETAGE'!$A$11,1,0)</f>
        <v>0</v>
      </c>
      <c r="EK269" s="160">
        <f>IF([Occurrence3]=0,0,SUM($EJ$2:EJ269))</f>
        <v>0</v>
      </c>
      <c r="EL269" s="160">
        <f>IF([Chambre]*1='CHAMBRES FILLES 2e ETAGE'!$A$17,1,0)</f>
        <v>0</v>
      </c>
      <c r="EM269" s="160">
        <f>IF([Occurrence4]=0,0,SUM($EL$2:EL269))</f>
        <v>0</v>
      </c>
      <c r="EN269" s="160">
        <f>IF([Chambre]*1='CHAMBRES FILLES 2e ETAGE'!$A$23,1,0)</f>
        <v>0</v>
      </c>
      <c r="EO269" s="160">
        <f>IF([Occurrence5]=0,0,SUM($EN$2:EN269))</f>
        <v>0</v>
      </c>
      <c r="EP269" s="160">
        <f>IF([Chambre]*1='CHAMBRES FILLES 2e ETAGE'!$A$29,1,0)</f>
        <v>0</v>
      </c>
      <c r="EQ269" s="160">
        <f>IF([Occurrence6]=0,0,SUM($EP$2:EP269))</f>
        <v>0</v>
      </c>
      <c r="ER269" s="160">
        <f>IF([Chambre]*1='CHAMBRES FILLES 2e ETAGE'!$A$35,1,0)</f>
        <v>0</v>
      </c>
      <c r="ES269" s="160">
        <f>IF([Occurrence7]=0,0,SUM($ER$2:ER269))</f>
        <v>0</v>
      </c>
      <c r="ET269" s="160">
        <f>IF([Chambre]*1='CHAMBRES FILLES 2e ETAGE'!$A$41,1,0)</f>
        <v>0</v>
      </c>
      <c r="EU269" s="160">
        <f>IF([Occurrence8]=0,0,SUM($ET$2:ET269))</f>
        <v>0</v>
      </c>
      <c r="EV269" s="160">
        <f>IF([Chambre]*1='CHAMBRES FILLES 2e ETAGE'!$A$47,1,0)</f>
        <v>0</v>
      </c>
      <c r="EW269" s="160">
        <f>IF([Occurrence9]=0,0,SUM($EV$2:EV269))</f>
        <v>0</v>
      </c>
      <c r="EX269" s="160">
        <f>IF([Chambre]*1='CHAMBRES FILLES 2e ETAGE'!$A$53,1,0)</f>
        <v>0</v>
      </c>
      <c r="EY269" s="160">
        <f>IF([Occurrence10]=0,0,SUM($EX$2:EX269))</f>
        <v>0</v>
      </c>
      <c r="EZ269" s="160">
        <f>IF([Chambre]*1='CHAMBRES FILLES 2e ETAGE'!$A$59,1,0)</f>
        <v>0</v>
      </c>
      <c r="FA269" s="160">
        <f>IF([Occurrence11]=0,0,SUM($EZ$2:EZ269))</f>
        <v>0</v>
      </c>
      <c r="FB269" s="160">
        <f>IF([Chambre]*1='CHAMBRES FILLES 2e ETAGE'!$A$65,1,0)</f>
        <v>0</v>
      </c>
      <c r="FC269" s="160">
        <f>IF([Occurrence12]=0,0,SUM($FB$2:FB269))</f>
        <v>0</v>
      </c>
      <c r="FD269" s="160">
        <f>IF([Chambre]*1='CHAMBRES FILLES 2e ETAGE'!$A$71,1,0)</f>
        <v>0</v>
      </c>
      <c r="FE269" s="160">
        <f>IF([Occurrence13]=0,0,SUM($FD$2:FD269))</f>
        <v>0</v>
      </c>
      <c r="FF269" s="160">
        <f>IF([Chambre]*1='CHAMBRES FILLES 2e ETAGE'!$A$77,1,0)</f>
        <v>0</v>
      </c>
      <c r="FG269" s="160">
        <f>IF([Occurrence14]=0,0,SUM($FF$2:FF269))</f>
        <v>0</v>
      </c>
      <c r="FH269" s="160">
        <f>IF([Chambre]*1='CHAMBRES FILLES 2e ETAGE'!$A$83,1,0)</f>
        <v>0</v>
      </c>
      <c r="FI269" s="160">
        <f>IF([Occurrence15]=0,0,SUM($FH$2:FH269))</f>
        <v>0</v>
      </c>
      <c r="FJ269" s="160">
        <f>IF([Chambre]*1='CHAMBRES FILLES 2e ETAGE'!$A$89,1,0)</f>
        <v>0</v>
      </c>
      <c r="FK269" s="160">
        <f>IF([Occurrence16]=0,0,SUM($FJ$2:FJ269))</f>
        <v>0</v>
      </c>
      <c r="FL269" s="160">
        <f>IF([Chambre]*1='CHAMBRES FILLES 2e ETAGE'!$A$95,1,0)</f>
        <v>0</v>
      </c>
      <c r="FM269" s="160">
        <f>IF([Occurrence17]=0,0,SUM($FL$2:FL269))</f>
        <v>0</v>
      </c>
      <c r="FN269" s="160">
        <f>IF([Chambre2]*1='CHAMBRES FILLES 1e ETAGE'!$A$5,1,0)</f>
        <v>0</v>
      </c>
      <c r="FO269" s="160">
        <f>IF([Occurrence18]=0,0,SUM($FN$2:FN269))</f>
        <v>0</v>
      </c>
      <c r="FP269" s="160">
        <f>IF([Chambre2]*1='CHAMBRES FILLES 1e ETAGE'!$A$11,1,0)</f>
        <v>0</v>
      </c>
      <c r="FQ269" s="160">
        <f>IF([Occurrence19]=0,0,SUM($FP$2:FP269))</f>
        <v>0</v>
      </c>
      <c r="FR269" s="160">
        <f>IF([Chambre2]*1='CHAMBRES FILLES 1e ETAGE'!$A$17,1,0)</f>
        <v>0</v>
      </c>
      <c r="FS269" s="160">
        <f>IF([Occurrence20]=0,0,SUM($FR$2:FR269))</f>
        <v>0</v>
      </c>
      <c r="FT269" s="160">
        <f>IF([Chambre2]*1='CHAMBRES FILLES 1e ETAGE'!$A$23,1,0)</f>
        <v>0</v>
      </c>
      <c r="FU269" s="160">
        <f>IF([Occurrence21]=0,0,SUM($FT$2:FT269))</f>
        <v>0</v>
      </c>
      <c r="FV269" s="160">
        <f>IF([Chambre2]*1='CHAMBRES FILLES 1e ETAGE'!$A$29,1,0)</f>
        <v>0</v>
      </c>
      <c r="FW269" s="160">
        <f>IF([Occurrence22]=0,0,SUM($FV$2:FV269))</f>
        <v>0</v>
      </c>
      <c r="FX269" s="160">
        <f>IF([Chambre2]*1='CHAMBRES FILLES 1e ETAGE'!$A$35,1,0)</f>
        <v>0</v>
      </c>
      <c r="FY269" s="160">
        <f>IF([Occurrence23]=0,0,SUM($FX$2:FX269))</f>
        <v>0</v>
      </c>
      <c r="FZ269" s="160">
        <f>IF([Chambre2]*1='CHAMBRES FILLES 1e ETAGE'!$A$41,1,0)</f>
        <v>0</v>
      </c>
      <c r="GA269" s="160">
        <f>IF([Occurrence24]=0,0,SUM($FZ$2:FZ269))</f>
        <v>0</v>
      </c>
      <c r="GB269" s="160">
        <f>IF([Chambre2]*1='CHAMBRES FILLES 1e ETAGE'!$A$47,1,0)</f>
        <v>0</v>
      </c>
      <c r="GC269" s="160">
        <f>IF([Occurrence25]=0,0,SUM($GB$2:GB269))</f>
        <v>0</v>
      </c>
      <c r="GD269" s="160">
        <f>IF([Chambre2]*1='CHAMBRES FILLES 1e ETAGE'!$A$53,1,0)</f>
        <v>0</v>
      </c>
      <c r="GE269" s="160">
        <f>IF([Occurrence26]=0,0,SUM($GD$2:GD269))</f>
        <v>0</v>
      </c>
      <c r="GF269" s="160">
        <f>IF([chambre4]*1='CHAMBRES GARCONS 1e ETAGE'!$A$5,1,0)</f>
        <v>0</v>
      </c>
      <c r="GG269" s="160">
        <f>IF([Occurrence27]=0,0,SUM($GF$2:GF269))</f>
        <v>0</v>
      </c>
      <c r="GH269" s="160">
        <f>IF([chambre4]*1='CHAMBRES GARCONS 1e ETAGE'!$A$11,1,0)</f>
        <v>0</v>
      </c>
      <c r="GI269" s="160">
        <f>IF([Occurrence28]=0,0,SUM($GH$2:GH269))</f>
        <v>0</v>
      </c>
      <c r="GJ269" s="160">
        <f>IF([chambre4]*1='CHAMBRES GARCONS 1e ETAGE'!$A$17,1,0)</f>
        <v>0</v>
      </c>
      <c r="GK269" s="160">
        <f>IF([Occurrence29]=0,0,SUM($GJ$2:GJ269))</f>
        <v>0</v>
      </c>
      <c r="GL269" s="160">
        <f>IF([chambre4]*1='CHAMBRES GARCONS 1e ETAGE'!$A$23,1,0)</f>
        <v>0</v>
      </c>
      <c r="GM269" s="160">
        <f>IF([Occurrence30]=0,0,SUM($GL$2:GL269))</f>
        <v>0</v>
      </c>
      <c r="GN269" s="160">
        <f>IF([chambre4]*1='CHAMBRES GARCONS 1e ETAGE'!$A$29,1,0)</f>
        <v>0</v>
      </c>
      <c r="GO269" s="160">
        <f>IF([Occurrence31]=0,0,SUM($GN$2:GN269))</f>
        <v>0</v>
      </c>
      <c r="GP269" s="160">
        <f>IF([chambre4]*1='CHAMBRES GARCONS 1e ETAGE'!$A$35,1,0)</f>
        <v>0</v>
      </c>
      <c r="GQ269" s="160">
        <f>IF([Occurrence32]=0,0,SUM($GP$2:GP269))</f>
        <v>0</v>
      </c>
      <c r="GR269" s="160">
        <f>IF([chambre3]*1='CHAMBRES GARCONS RDC'!$A$5,1,0)</f>
        <v>0</v>
      </c>
      <c r="GS269" s="160">
        <f>IF([Occurrence33]=0,0,SUM($GR$2:GR269))</f>
        <v>0</v>
      </c>
      <c r="GT269" s="160">
        <f>IF([chambre3]*1='CHAMBRES GARCONS RDC'!$A$11,1,0)</f>
        <v>0</v>
      </c>
      <c r="GU269" s="160">
        <f>IF([Occurrence34]=0,0,SUM($GT$2:GT269))</f>
        <v>0</v>
      </c>
      <c r="GV269" s="160">
        <f>IF([chambre3]*1='CHAMBRES GARCONS RDC'!$A$17,1,0)</f>
        <v>1</v>
      </c>
      <c r="GW269" s="160">
        <f>IF([Occurrence35]=0,0,SUM($GV$2:GV269))</f>
        <v>2</v>
      </c>
      <c r="GX269" s="160">
        <f>IF([chambre3]*1='CHAMBRES GARCONS RDC'!$A$23,1,0)</f>
        <v>0</v>
      </c>
      <c r="GY269" s="160">
        <f>IF([Occurrence36]=0,0,SUM($GX$2:GX269))</f>
        <v>0</v>
      </c>
      <c r="GZ269" s="160">
        <f>IF([chambre3]*1='CHAMBRES GARCONS RDC'!$A$29,1,0)</f>
        <v>0</v>
      </c>
      <c r="HA269" s="160">
        <f>IF([Occurrence37]=0,0,SUM($GZ$2:GZ269))</f>
        <v>0</v>
      </c>
      <c r="HB269" s="160">
        <f>IF([chambre3]*1='CHAMBRES GARCONS RDC'!$A$35,1,0)</f>
        <v>0</v>
      </c>
      <c r="HC269" s="160">
        <f>IF([Occurrence38]=0,0,SUM($HB$2:HB269))</f>
        <v>0</v>
      </c>
      <c r="HD269" s="160">
        <f>IF([chambre3]*1='CHAMBRES GARCONS RDC'!$A$41,1,0)</f>
        <v>0</v>
      </c>
      <c r="HE269" s="160">
        <f>IF([Occurrence39]=0,0,SUM($HD$2:HD269))</f>
        <v>0</v>
      </c>
      <c r="HF269" s="160">
        <f>IF([chambre3]*1='CHAMBRES GARCONS RDC'!$A$47,1,0)</f>
        <v>0</v>
      </c>
      <c r="HG269" s="160">
        <f>IF([Occurrence40]=0,0,SUM($HF$2:HF269))</f>
        <v>0</v>
      </c>
      <c r="HH269" s="160">
        <f>IF([chambre3]*1='CHAMBRES GARCONS RDC'!$A$53,1,0)</f>
        <v>0</v>
      </c>
      <c r="HI269" s="160">
        <f>IF([Occurrence41]=0,0,SUM($HH$2:HH269))</f>
        <v>0</v>
      </c>
      <c r="HJ269" s="160">
        <f>IF([chambre3]*1='CHAMBRES GARCONS RDC'!$A$59,1,0)</f>
        <v>0</v>
      </c>
      <c r="HK269" s="160">
        <f>IF([Occurrence42]=0,0,SUM($HJ$2:HJ269))</f>
        <v>0</v>
      </c>
      <c r="HL269" s="160">
        <f>IF([chambre3]*1='CHAMBRES GARCONS RDC'!$A$65,1,0)</f>
        <v>0</v>
      </c>
      <c r="HM269" s="160">
        <f>IF([Occurrence43]=0,0,SUM($HL$2:HL269))</f>
        <v>0</v>
      </c>
      <c r="HN269" s="160">
        <f>IF([chambre3]*1='CHAMBRES GARCONS RDC'!$A$71,1,0)</f>
        <v>0</v>
      </c>
      <c r="HO269" s="160">
        <f>IF([Occurrence44]=0,0,SUM($HN$2:HN269))</f>
        <v>0</v>
      </c>
      <c r="HP269" s="160">
        <f>IF([chambre3]*1='CHAMBRES GARCONS RDC'!$A$77,1,0)</f>
        <v>0</v>
      </c>
      <c r="HQ269" s="160">
        <f>IF([Occurrence45]=0,0,SUM($HP$2:HP269))</f>
        <v>0</v>
      </c>
      <c r="HR269" s="160">
        <f>IF([chambre3]*1='CHAMBRES GARCONS RDC'!$A$83,1,0)</f>
        <v>0</v>
      </c>
      <c r="HS269" s="160">
        <f>IF([Occurrence46]=0,0,SUM($HR$2:HR269))</f>
        <v>0</v>
      </c>
      <c r="HT269" s="160">
        <f>IF([chambre3]*1='CHAMBRES GARCONS RDC'!$A$89,1,0)</f>
        <v>0</v>
      </c>
      <c r="HU269" s="160">
        <f>IF([Occurrence47]=0,0,SUM($HT$2:HT269))</f>
        <v>0</v>
      </c>
      <c r="HV269" s="160">
        <f>IF([chambre3]*1='CHAMBRES GARCONS RDC'!$A$95,1,0)</f>
        <v>0</v>
      </c>
      <c r="HW269" s="160">
        <f>IF([Occurrence48]=0,0,SUM($HV$2:HV269))</f>
        <v>0</v>
      </c>
      <c r="HX269" s="160"/>
      <c r="HY269" s="160"/>
      <c r="HZ269" s="160">
        <f>IF([Classe]='Liste élève par classes'!$B$5,1,0)</f>
        <v>0</v>
      </c>
      <c r="IA269" s="160">
        <f>IF([Occurrence]=0,0,SUM($HZ$2:HZ269))</f>
        <v>0</v>
      </c>
      <c r="IB26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104</v>
      </c>
      <c r="IC269" s="208"/>
    </row>
    <row r="270" spans="1:237">
      <c r="A270" t="s">
        <v>686</v>
      </c>
      <c r="B270" t="s">
        <v>687</v>
      </c>
      <c r="C270" s="158">
        <v>37027</v>
      </c>
      <c r="D270" s="62">
        <f t="shared" ca="1" si="4"/>
        <v>16</v>
      </c>
      <c r="E270" t="s">
        <v>6</v>
      </c>
      <c r="F270" s="159" t="s">
        <v>46</v>
      </c>
      <c r="G270" t="s">
        <v>40</v>
      </c>
      <c r="H270" s="160"/>
      <c r="I270" s="62"/>
      <c r="J270" s="62"/>
      <c r="K270" s="62"/>
      <c r="L270" s="61"/>
      <c r="M270">
        <v>77</v>
      </c>
      <c r="N270" s="62"/>
      <c r="O270" s="62"/>
      <c r="P270" s="62"/>
      <c r="Q270" s="62"/>
      <c r="R270" s="62"/>
      <c r="S270" s="62"/>
      <c r="T270" s="62"/>
      <c r="U270" s="61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163"/>
      <c r="AG270" s="163"/>
      <c r="AH270" s="163"/>
      <c r="AI270" s="163"/>
      <c r="AJ270" s="163"/>
      <c r="AK270" s="163"/>
      <c r="AL270" s="163"/>
      <c r="AM270" s="163"/>
      <c r="AN270" s="163"/>
      <c r="AO270" s="163"/>
      <c r="AP270" s="163"/>
      <c r="AQ270" s="163"/>
      <c r="AR270" s="163"/>
      <c r="AS270" s="163"/>
      <c r="AT270" s="163"/>
      <c r="AU270" s="163"/>
      <c r="AV270" s="163"/>
      <c r="AW270" s="163"/>
      <c r="AX270" s="163"/>
      <c r="AY270" s="163"/>
      <c r="AZ270" s="163"/>
      <c r="BA270" s="163"/>
      <c r="BB270" s="163"/>
      <c r="BC270" s="163"/>
      <c r="BD270" s="163"/>
      <c r="BE270" s="163"/>
      <c r="BF270" s="163"/>
      <c r="BG270" s="163"/>
      <c r="BH270" s="163"/>
      <c r="BI270" s="163"/>
      <c r="BJ270" s="163"/>
      <c r="BK270" s="163"/>
      <c r="BL270" s="163"/>
      <c r="BM270" s="163"/>
      <c r="BN270" s="163"/>
      <c r="BO270" s="163"/>
      <c r="BP270" s="163"/>
      <c r="BQ270" s="163"/>
      <c r="BR270" s="163"/>
      <c r="BS270" s="163"/>
      <c r="BT270" s="163"/>
      <c r="BU270" s="163"/>
      <c r="BV270" s="163"/>
      <c r="BW270" s="163"/>
      <c r="BX270" s="163"/>
      <c r="BY270" s="163"/>
      <c r="BZ270" s="163"/>
      <c r="CA270" s="163"/>
      <c r="CB270" s="163"/>
      <c r="CC270" s="163"/>
      <c r="CD270" s="163"/>
      <c r="CE270" s="163"/>
      <c r="CF270" s="163"/>
      <c r="CG270" s="163"/>
      <c r="CH270" s="163"/>
      <c r="CI270" s="163"/>
      <c r="CJ270" s="163"/>
      <c r="CK270" s="163"/>
      <c r="CL270" s="163"/>
      <c r="CM270" s="163"/>
      <c r="CN270" s="163"/>
      <c r="CO270" s="163"/>
      <c r="CP270" s="163"/>
      <c r="CQ270" s="163"/>
      <c r="CR270" s="163"/>
      <c r="CS270" s="163"/>
      <c r="CT270" s="163"/>
      <c r="CU270" s="163"/>
      <c r="CV270" s="163"/>
      <c r="CW270" s="163"/>
      <c r="CX270" s="163"/>
      <c r="CY270" s="163"/>
      <c r="CZ270" s="163"/>
      <c r="DA270" s="163"/>
      <c r="DB270" s="163"/>
      <c r="DC270" s="163"/>
      <c r="DD270" s="163"/>
      <c r="DE270" s="163"/>
      <c r="DF270" s="163"/>
      <c r="DG270" s="163"/>
      <c r="DH270" s="163"/>
      <c r="DI270" s="163"/>
      <c r="DJ270" s="163"/>
      <c r="DK270" s="163"/>
      <c r="DL270" s="163"/>
      <c r="DM270" s="163"/>
      <c r="DN270" s="163"/>
      <c r="DO270" s="163"/>
      <c r="DP270" s="163"/>
      <c r="DQ270" s="163"/>
      <c r="DR270" s="163"/>
      <c r="DS270" s="163"/>
      <c r="DT270" s="163"/>
      <c r="DU270" s="163"/>
      <c r="DV270" s="163"/>
      <c r="DW270" s="163"/>
      <c r="DX270" s="163"/>
      <c r="DY270" s="163"/>
      <c r="DZ270" s="163"/>
      <c r="EA270" s="163"/>
      <c r="EB270" s="163"/>
      <c r="EC270" s="163"/>
      <c r="ED270" s="163"/>
      <c r="EE270" s="163"/>
      <c r="EF270" s="163"/>
      <c r="EG270" s="163"/>
      <c r="EH270" s="160">
        <f>IF([Chambre]*1='CHAMBRES FILLES 2e ETAGE'!$A$5,1,0)</f>
        <v>0</v>
      </c>
      <c r="EI270" s="161">
        <f>IF([Occurrence2]=0,0,SUM($EH$2:EH270))</f>
        <v>0</v>
      </c>
      <c r="EJ270" s="160">
        <f>IF([Chambre]*1='CHAMBRES FILLES 2e ETAGE'!$A$11,1,0)</f>
        <v>0</v>
      </c>
      <c r="EK270" s="160">
        <f>IF([Occurrence3]=0,0,SUM($EJ$2:EJ270))</f>
        <v>0</v>
      </c>
      <c r="EL270" s="160">
        <f>IF([Chambre]*1='CHAMBRES FILLES 2e ETAGE'!$A$17,1,0)</f>
        <v>0</v>
      </c>
      <c r="EM270" s="160">
        <f>IF([Occurrence4]=0,0,SUM($EL$2:EL270))</f>
        <v>0</v>
      </c>
      <c r="EN270" s="160">
        <f>IF([Chambre]*1='CHAMBRES FILLES 2e ETAGE'!$A$23,1,0)</f>
        <v>0</v>
      </c>
      <c r="EO270" s="160">
        <f>IF([Occurrence5]=0,0,SUM($EN$2:EN270))</f>
        <v>0</v>
      </c>
      <c r="EP270" s="160">
        <f>IF([Chambre]*1='CHAMBRES FILLES 2e ETAGE'!$A$29,1,0)</f>
        <v>0</v>
      </c>
      <c r="EQ270" s="160">
        <f>IF([Occurrence6]=0,0,SUM($EP$2:EP270))</f>
        <v>0</v>
      </c>
      <c r="ER270" s="160">
        <f>IF([Chambre]*1='CHAMBRES FILLES 2e ETAGE'!$A$35,1,0)</f>
        <v>0</v>
      </c>
      <c r="ES270" s="160">
        <f>IF([Occurrence7]=0,0,SUM($ER$2:ER270))</f>
        <v>0</v>
      </c>
      <c r="ET270" s="160">
        <f>IF([Chambre]*1='CHAMBRES FILLES 2e ETAGE'!$A$41,1,0)</f>
        <v>0</v>
      </c>
      <c r="EU270" s="160">
        <f>IF([Occurrence8]=0,0,SUM($ET$2:ET270))</f>
        <v>0</v>
      </c>
      <c r="EV270" s="160">
        <f>IF([Chambre]*1='CHAMBRES FILLES 2e ETAGE'!$A$47,1,0)</f>
        <v>0</v>
      </c>
      <c r="EW270" s="160">
        <f>IF([Occurrence9]=0,0,SUM($EV$2:EV270))</f>
        <v>0</v>
      </c>
      <c r="EX270" s="160">
        <f>IF([Chambre]*1='CHAMBRES FILLES 2e ETAGE'!$A$53,1,0)</f>
        <v>0</v>
      </c>
      <c r="EY270" s="160">
        <f>IF([Occurrence10]=0,0,SUM($EX$2:EX270))</f>
        <v>0</v>
      </c>
      <c r="EZ270" s="160">
        <f>IF([Chambre]*1='CHAMBRES FILLES 2e ETAGE'!$A$59,1,0)</f>
        <v>0</v>
      </c>
      <c r="FA270" s="160">
        <f>IF([Occurrence11]=0,0,SUM($EZ$2:EZ270))</f>
        <v>0</v>
      </c>
      <c r="FB270" s="160">
        <f>IF([Chambre]*1='CHAMBRES FILLES 2e ETAGE'!$A$65,1,0)</f>
        <v>0</v>
      </c>
      <c r="FC270" s="160">
        <f>IF([Occurrence12]=0,0,SUM($FB$2:FB270))</f>
        <v>0</v>
      </c>
      <c r="FD270" s="160">
        <f>IF([Chambre]*1='CHAMBRES FILLES 2e ETAGE'!$A$71,1,0)</f>
        <v>0</v>
      </c>
      <c r="FE270" s="160">
        <f>IF([Occurrence13]=0,0,SUM($FD$2:FD270))</f>
        <v>0</v>
      </c>
      <c r="FF270" s="160">
        <f>IF([Chambre]*1='CHAMBRES FILLES 2e ETAGE'!$A$77,1,0)</f>
        <v>0</v>
      </c>
      <c r="FG270" s="160">
        <f>IF([Occurrence14]=0,0,SUM($FF$2:FF270))</f>
        <v>0</v>
      </c>
      <c r="FH270" s="160">
        <f>IF([Chambre]*1='CHAMBRES FILLES 2e ETAGE'!$A$83,1,0)</f>
        <v>0</v>
      </c>
      <c r="FI270" s="160">
        <f>IF([Occurrence15]=0,0,SUM($FH$2:FH270))</f>
        <v>0</v>
      </c>
      <c r="FJ270" s="160">
        <f>IF([Chambre]*1='CHAMBRES FILLES 2e ETAGE'!$A$89,1,0)</f>
        <v>0</v>
      </c>
      <c r="FK270" s="160">
        <f>IF([Occurrence16]=0,0,SUM($FJ$2:FJ270))</f>
        <v>0</v>
      </c>
      <c r="FL270" s="160">
        <f>IF([Chambre]*1='CHAMBRES FILLES 2e ETAGE'!$A$95,1,0)</f>
        <v>0</v>
      </c>
      <c r="FM270" s="160">
        <f>IF([Occurrence17]=0,0,SUM($FL$2:FL270))</f>
        <v>0</v>
      </c>
      <c r="FN270" s="160">
        <f>IF([Chambre2]*1='CHAMBRES FILLES 1e ETAGE'!$A$5,1,0)</f>
        <v>0</v>
      </c>
      <c r="FO270" s="160">
        <f>IF([Occurrence18]=0,0,SUM($FN$2:FN270))</f>
        <v>0</v>
      </c>
      <c r="FP270" s="160">
        <f>IF([Chambre2]*1='CHAMBRES FILLES 1e ETAGE'!$A$11,1,0)</f>
        <v>0</v>
      </c>
      <c r="FQ270" s="160">
        <f>IF([Occurrence19]=0,0,SUM($FP$2:FP270))</f>
        <v>0</v>
      </c>
      <c r="FR270" s="160">
        <f>IF([Chambre2]*1='CHAMBRES FILLES 1e ETAGE'!$A$17,1,0)</f>
        <v>0</v>
      </c>
      <c r="FS270" s="160">
        <f>IF([Occurrence20]=0,0,SUM($FR$2:FR270))</f>
        <v>0</v>
      </c>
      <c r="FT270" s="160">
        <f>IF([Chambre2]*1='CHAMBRES FILLES 1e ETAGE'!$A$23,1,0)</f>
        <v>0</v>
      </c>
      <c r="FU270" s="160">
        <f>IF([Occurrence21]=0,0,SUM($FT$2:FT270))</f>
        <v>0</v>
      </c>
      <c r="FV270" s="160">
        <f>IF([Chambre2]*1='CHAMBRES FILLES 1e ETAGE'!$A$29,1,0)</f>
        <v>0</v>
      </c>
      <c r="FW270" s="160">
        <f>IF([Occurrence22]=0,0,SUM($FV$2:FV270))</f>
        <v>0</v>
      </c>
      <c r="FX270" s="160">
        <f>IF([Chambre2]*1='CHAMBRES FILLES 1e ETAGE'!$A$35,1,0)</f>
        <v>0</v>
      </c>
      <c r="FY270" s="160">
        <f>IF([Occurrence23]=0,0,SUM($FX$2:FX270))</f>
        <v>0</v>
      </c>
      <c r="FZ270" s="160">
        <f>IF([Chambre2]*1='CHAMBRES FILLES 1e ETAGE'!$A$41,1,0)</f>
        <v>0</v>
      </c>
      <c r="GA270" s="160">
        <f>IF([Occurrence24]=0,0,SUM($FZ$2:FZ270))</f>
        <v>0</v>
      </c>
      <c r="GB270" s="160">
        <f>IF([Chambre2]*1='CHAMBRES FILLES 1e ETAGE'!$A$47,1,0)</f>
        <v>0</v>
      </c>
      <c r="GC270" s="160">
        <f>IF([Occurrence25]=0,0,SUM($GB$2:GB270))</f>
        <v>0</v>
      </c>
      <c r="GD270" s="160">
        <f>IF([Chambre2]*1='CHAMBRES FILLES 1e ETAGE'!$A$53,1,0)</f>
        <v>0</v>
      </c>
      <c r="GE270" s="160">
        <f>IF([Occurrence26]=0,0,SUM($GD$2:GD270))</f>
        <v>0</v>
      </c>
      <c r="GF270" s="160">
        <f>IF([chambre4]*1='CHAMBRES GARCONS 1e ETAGE'!$A$5,1,0)</f>
        <v>0</v>
      </c>
      <c r="GG270" s="160">
        <f>IF([Occurrence27]=0,0,SUM($GF$2:GF270))</f>
        <v>0</v>
      </c>
      <c r="GH270" s="160">
        <f>IF([chambre4]*1='CHAMBRES GARCONS 1e ETAGE'!$A$11,1,0)</f>
        <v>0</v>
      </c>
      <c r="GI270" s="160">
        <f>IF([Occurrence28]=0,0,SUM($GH$2:GH270))</f>
        <v>0</v>
      </c>
      <c r="GJ270" s="160">
        <f>IF([chambre4]*1='CHAMBRES GARCONS 1e ETAGE'!$A$17,1,0)</f>
        <v>0</v>
      </c>
      <c r="GK270" s="160">
        <f>IF([Occurrence29]=0,0,SUM($GJ$2:GJ270))</f>
        <v>0</v>
      </c>
      <c r="GL270" s="160">
        <f>IF([chambre4]*1='CHAMBRES GARCONS 1e ETAGE'!$A$23,1,0)</f>
        <v>0</v>
      </c>
      <c r="GM270" s="160">
        <f>IF([Occurrence30]=0,0,SUM($GL$2:GL270))</f>
        <v>0</v>
      </c>
      <c r="GN270" s="160">
        <f>IF([chambre4]*1='CHAMBRES GARCONS 1e ETAGE'!$A$29,1,0)</f>
        <v>0</v>
      </c>
      <c r="GO270" s="160">
        <f>IF([Occurrence31]=0,0,SUM($GN$2:GN270))</f>
        <v>0</v>
      </c>
      <c r="GP270" s="160">
        <f>IF([chambre4]*1='CHAMBRES GARCONS 1e ETAGE'!$A$35,1,0)</f>
        <v>0</v>
      </c>
      <c r="GQ270" s="160">
        <f>IF([Occurrence32]=0,0,SUM($GP$2:GP270))</f>
        <v>0</v>
      </c>
      <c r="GR270" s="160">
        <f>IF([chambre3]*1='CHAMBRES GARCONS RDC'!$A$5,1,0)</f>
        <v>0</v>
      </c>
      <c r="GS270" s="160">
        <f>IF([Occurrence33]=0,0,SUM($GR$2:GR270))</f>
        <v>0</v>
      </c>
      <c r="GT270" s="160">
        <f>IF([chambre3]*1='CHAMBRES GARCONS RDC'!$A$11,1,0)</f>
        <v>0</v>
      </c>
      <c r="GU270" s="160">
        <f>IF([Occurrence34]=0,0,SUM($GT$2:GT270))</f>
        <v>0</v>
      </c>
      <c r="GV270" s="160">
        <f>IF([chambre3]*1='CHAMBRES GARCONS RDC'!$A$17,1,0)</f>
        <v>0</v>
      </c>
      <c r="GW270" s="160">
        <f>IF([Occurrence35]=0,0,SUM($GV$2:GV270))</f>
        <v>0</v>
      </c>
      <c r="GX270" s="160">
        <f>IF([chambre3]*1='CHAMBRES GARCONS RDC'!$A$23,1,0)</f>
        <v>0</v>
      </c>
      <c r="GY270" s="160">
        <f>IF([Occurrence36]=0,0,SUM($GX$2:GX270))</f>
        <v>0</v>
      </c>
      <c r="GZ270" s="160">
        <f>IF([chambre3]*1='CHAMBRES GARCONS RDC'!$A$29,1,0)</f>
        <v>0</v>
      </c>
      <c r="HA270" s="160">
        <f>IF([Occurrence37]=0,0,SUM($GZ$2:GZ270))</f>
        <v>0</v>
      </c>
      <c r="HB270" s="160">
        <f>IF([chambre3]*1='CHAMBRES GARCONS RDC'!$A$35,1,0)</f>
        <v>0</v>
      </c>
      <c r="HC270" s="160">
        <f>IF([Occurrence38]=0,0,SUM($HB$2:HB270))</f>
        <v>0</v>
      </c>
      <c r="HD270" s="160">
        <f>IF([chambre3]*1='CHAMBRES GARCONS RDC'!$A$41,1,0)</f>
        <v>0</v>
      </c>
      <c r="HE270" s="160">
        <f>IF([Occurrence39]=0,0,SUM($HD$2:HD270))</f>
        <v>0</v>
      </c>
      <c r="HF270" s="160">
        <f>IF([chambre3]*1='CHAMBRES GARCONS RDC'!$A$47,1,0)</f>
        <v>0</v>
      </c>
      <c r="HG270" s="160">
        <f>IF([Occurrence40]=0,0,SUM($HF$2:HF270))</f>
        <v>0</v>
      </c>
      <c r="HH270" s="160">
        <f>IF([chambre3]*1='CHAMBRES GARCONS RDC'!$A$53,1,0)</f>
        <v>0</v>
      </c>
      <c r="HI270" s="160">
        <f>IF([Occurrence41]=0,0,SUM($HH$2:HH270))</f>
        <v>0</v>
      </c>
      <c r="HJ270" s="160">
        <f>IF([chambre3]*1='CHAMBRES GARCONS RDC'!$A$59,1,0)</f>
        <v>0</v>
      </c>
      <c r="HK270" s="160">
        <f>IF([Occurrence42]=0,0,SUM($HJ$2:HJ270))</f>
        <v>0</v>
      </c>
      <c r="HL270" s="160">
        <f>IF([chambre3]*1='CHAMBRES GARCONS RDC'!$A$65,1,0)</f>
        <v>0</v>
      </c>
      <c r="HM270" s="160">
        <f>IF([Occurrence43]=0,0,SUM($HL$2:HL270))</f>
        <v>0</v>
      </c>
      <c r="HN270" s="160">
        <f>IF([chambre3]*1='CHAMBRES GARCONS RDC'!$A$71,1,0)</f>
        <v>0</v>
      </c>
      <c r="HO270" s="160">
        <f>IF([Occurrence44]=0,0,SUM($HN$2:HN270))</f>
        <v>0</v>
      </c>
      <c r="HP270" s="160">
        <f>IF([chambre3]*1='CHAMBRES GARCONS RDC'!$A$77,1,0)</f>
        <v>0</v>
      </c>
      <c r="HQ270" s="160">
        <f>IF([Occurrence45]=0,0,SUM($HP$2:HP270))</f>
        <v>0</v>
      </c>
      <c r="HR270" s="160">
        <f>IF([chambre3]*1='CHAMBRES GARCONS RDC'!$A$83,1,0)</f>
        <v>0</v>
      </c>
      <c r="HS270" s="160">
        <f>IF([Occurrence46]=0,0,SUM($HR$2:HR270))</f>
        <v>0</v>
      </c>
      <c r="HT270" s="160">
        <f>IF([chambre3]*1='CHAMBRES GARCONS RDC'!$A$89,1,0)</f>
        <v>0</v>
      </c>
      <c r="HU270" s="160">
        <f>IF([Occurrence47]=0,0,SUM($HT$2:HT270))</f>
        <v>0</v>
      </c>
      <c r="HV270" s="160">
        <f>IF([chambre3]*1='CHAMBRES GARCONS RDC'!$A$95,1,0)</f>
        <v>0</v>
      </c>
      <c r="HW270" s="160">
        <f>IF([Occurrence48]=0,0,SUM($HV$2:HV270))</f>
        <v>0</v>
      </c>
      <c r="HX270" s="160"/>
      <c r="HY270" s="160"/>
      <c r="HZ270" s="160">
        <f>IF([Classe]='Liste élève par classes'!$B$5,1,0)</f>
        <v>0</v>
      </c>
      <c r="IA270" s="160">
        <f>IF([Occurrence]=0,0,SUM($HZ$2:HZ270))</f>
        <v>0</v>
      </c>
      <c r="IB270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70" s="208"/>
    </row>
    <row r="271" spans="1:237">
      <c r="A271" t="s">
        <v>686</v>
      </c>
      <c r="B271" t="s">
        <v>269</v>
      </c>
      <c r="C271" s="158">
        <v>36205</v>
      </c>
      <c r="D271" s="62">
        <f t="shared" ca="1" si="4"/>
        <v>18</v>
      </c>
      <c r="E271" t="s">
        <v>3</v>
      </c>
      <c r="F271" s="165" t="s">
        <v>46</v>
      </c>
      <c r="G271" t="s">
        <v>40</v>
      </c>
      <c r="H271" s="160"/>
      <c r="I271" s="62"/>
      <c r="J271" s="62" t="s">
        <v>244</v>
      </c>
      <c r="K271" s="62"/>
      <c r="L271" s="61"/>
      <c r="M271" s="62"/>
      <c r="N271" s="62" t="s">
        <v>244</v>
      </c>
      <c r="O271" s="62" t="s">
        <v>244</v>
      </c>
      <c r="P271" s="62" t="s">
        <v>244</v>
      </c>
      <c r="Q271" s="62" t="s">
        <v>244</v>
      </c>
      <c r="R271" s="62" t="s">
        <v>244</v>
      </c>
      <c r="S271" s="62"/>
      <c r="T271" s="62" t="s">
        <v>244</v>
      </c>
      <c r="U271" s="61"/>
      <c r="V271" s="62" t="s">
        <v>244</v>
      </c>
      <c r="W271" s="62" t="s">
        <v>244</v>
      </c>
      <c r="X271" s="62" t="s">
        <v>244</v>
      </c>
      <c r="Y271" s="62" t="s">
        <v>244</v>
      </c>
      <c r="Z271" s="62" t="s">
        <v>244</v>
      </c>
      <c r="AA271" s="62" t="s">
        <v>244</v>
      </c>
      <c r="AB271" s="62" t="s">
        <v>244</v>
      </c>
      <c r="AC271" s="62" t="s">
        <v>244</v>
      </c>
      <c r="AD271" s="62" t="s">
        <v>244</v>
      </c>
      <c r="AE271" s="62" t="s">
        <v>244</v>
      </c>
      <c r="AF271" s="163" t="s">
        <v>244</v>
      </c>
      <c r="AG271" s="163" t="s">
        <v>244</v>
      </c>
      <c r="AH271" s="163" t="s">
        <v>244</v>
      </c>
      <c r="AI271" s="163"/>
      <c r="AJ271" s="163"/>
      <c r="AK271" s="163"/>
      <c r="AL271" s="163"/>
      <c r="AM271" s="163"/>
      <c r="AN271" s="163"/>
      <c r="AO271" s="163"/>
      <c r="AP271" s="163"/>
      <c r="AQ271" s="163"/>
      <c r="AR271" s="163"/>
      <c r="AS271" s="163"/>
      <c r="AT271" s="163"/>
      <c r="AU271" s="163"/>
      <c r="AV271" s="163"/>
      <c r="AW271" s="163"/>
      <c r="AX271" s="163"/>
      <c r="AY271" s="163"/>
      <c r="AZ271" s="163"/>
      <c r="BA271" s="163"/>
      <c r="BB271" s="163"/>
      <c r="BC271" s="163" t="b">
        <v>0</v>
      </c>
      <c r="BD271" s="163" t="b">
        <v>0</v>
      </c>
      <c r="BE271" s="163" t="b">
        <v>0</v>
      </c>
      <c r="BF271" s="163" t="b">
        <v>0</v>
      </c>
      <c r="BG271" s="163" t="b">
        <v>0</v>
      </c>
      <c r="BH271" s="163" t="b">
        <v>0</v>
      </c>
      <c r="BI271" s="163" t="b">
        <v>1</v>
      </c>
      <c r="BJ271" s="163" t="b">
        <v>0</v>
      </c>
      <c r="BK271" s="163" t="b">
        <v>0</v>
      </c>
      <c r="BL271" s="163" t="b">
        <v>0</v>
      </c>
      <c r="BM271" s="163"/>
      <c r="BN271" s="163"/>
      <c r="BO271" s="163"/>
      <c r="BP271" s="163"/>
      <c r="BQ271" s="163"/>
      <c r="BR271" s="163"/>
      <c r="BS271" s="163"/>
      <c r="BT271" s="163"/>
      <c r="BU271" s="163"/>
      <c r="BV271" s="163"/>
      <c r="BW271" s="163"/>
      <c r="BX271" s="163"/>
      <c r="BY271" s="163"/>
      <c r="BZ271" s="163"/>
      <c r="CA271" s="163"/>
      <c r="CB271" s="163"/>
      <c r="CC271" s="163"/>
      <c r="CD271" s="163"/>
      <c r="CE271" s="163"/>
      <c r="CF271" s="163"/>
      <c r="CG271" s="163"/>
      <c r="CH271" s="163"/>
      <c r="CI271" s="163"/>
      <c r="CJ271" s="163"/>
      <c r="CK271" s="163"/>
      <c r="CL271" s="163"/>
      <c r="CM271" s="163"/>
      <c r="CN271" s="163"/>
      <c r="CO271" s="163"/>
      <c r="CP271" s="163"/>
      <c r="CQ271" s="163"/>
      <c r="CR271" s="163"/>
      <c r="CS271" s="163"/>
      <c r="CT271" s="163"/>
      <c r="CU271" s="163"/>
      <c r="CV271" s="163"/>
      <c r="CW271" s="163"/>
      <c r="CX271" s="163"/>
      <c r="CY271" s="163"/>
      <c r="CZ271" s="163"/>
      <c r="DA271" s="163"/>
      <c r="DB271" s="163"/>
      <c r="DC271" s="163"/>
      <c r="DD271" s="163"/>
      <c r="DE271" s="163"/>
      <c r="DF271" s="163"/>
      <c r="DG271" s="163"/>
      <c r="DH271" s="163"/>
      <c r="DI271" s="163"/>
      <c r="DJ271" s="163"/>
      <c r="DK271" s="163"/>
      <c r="DL271" s="163"/>
      <c r="DM271" s="163"/>
      <c r="DN271" s="163"/>
      <c r="DO271" s="163"/>
      <c r="DP271" s="163"/>
      <c r="DQ271" s="163"/>
      <c r="DR271" s="163"/>
      <c r="DS271" s="163"/>
      <c r="DT271" s="163"/>
      <c r="DU271" s="163"/>
      <c r="DV271" s="163"/>
      <c r="DW271" s="163"/>
      <c r="DX271" s="163"/>
      <c r="DY271" s="163"/>
      <c r="DZ271" s="163"/>
      <c r="EA271" s="163"/>
      <c r="EB271" s="163"/>
      <c r="EC271" s="163"/>
      <c r="ED271" s="163"/>
      <c r="EE271" s="163"/>
      <c r="EF271" s="163"/>
      <c r="EG271" s="163"/>
      <c r="EH271" s="160">
        <f>IF([Chambre]*1='CHAMBRES FILLES 2e ETAGE'!$A$5,1,0)</f>
        <v>0</v>
      </c>
      <c r="EI271" s="161">
        <f>IF([Occurrence2]=0,0,SUM($EH$2:EH271))</f>
        <v>0</v>
      </c>
      <c r="EJ271" s="160">
        <f>IF([Chambre]*1='CHAMBRES FILLES 2e ETAGE'!$A$11,1,0)</f>
        <v>0</v>
      </c>
      <c r="EK271" s="160">
        <f>IF([Occurrence3]=0,0,SUM($EJ$2:EJ271))</f>
        <v>0</v>
      </c>
      <c r="EL271" s="160">
        <f>IF([Chambre]*1='CHAMBRES FILLES 2e ETAGE'!$A$17,1,0)</f>
        <v>0</v>
      </c>
      <c r="EM271" s="160">
        <f>IF([Occurrence4]=0,0,SUM($EL$2:EL271))</f>
        <v>0</v>
      </c>
      <c r="EN271" s="160">
        <f>IF([Chambre]*1='CHAMBRES FILLES 2e ETAGE'!$A$23,1,0)</f>
        <v>0</v>
      </c>
      <c r="EO271" s="160">
        <f>IF([Occurrence5]=0,0,SUM($EN$2:EN271))</f>
        <v>0</v>
      </c>
      <c r="EP271" s="160">
        <f>IF([Chambre]*1='CHAMBRES FILLES 2e ETAGE'!$A$29,1,0)</f>
        <v>0</v>
      </c>
      <c r="EQ271" s="160">
        <f>IF([Occurrence6]=0,0,SUM($EP$2:EP271))</f>
        <v>0</v>
      </c>
      <c r="ER271" s="160">
        <f>IF([Chambre]*1='CHAMBRES FILLES 2e ETAGE'!$A$35,1,0)</f>
        <v>0</v>
      </c>
      <c r="ES271" s="160">
        <f>IF([Occurrence7]=0,0,SUM($ER$2:ER271))</f>
        <v>0</v>
      </c>
      <c r="ET271" s="160">
        <f>IF([Chambre]*1='CHAMBRES FILLES 2e ETAGE'!$A$41,1,0)</f>
        <v>0</v>
      </c>
      <c r="EU271" s="160">
        <f>IF([Occurrence8]=0,0,SUM($ET$2:ET271))</f>
        <v>0</v>
      </c>
      <c r="EV271" s="160">
        <f>IF([Chambre]*1='CHAMBRES FILLES 2e ETAGE'!$A$47,1,0)</f>
        <v>0</v>
      </c>
      <c r="EW271" s="160">
        <f>IF([Occurrence9]=0,0,SUM($EV$2:EV271))</f>
        <v>0</v>
      </c>
      <c r="EX271" s="160">
        <f>IF([Chambre]*1='CHAMBRES FILLES 2e ETAGE'!$A$53,1,0)</f>
        <v>0</v>
      </c>
      <c r="EY271" s="160">
        <f>IF([Occurrence10]=0,0,SUM($EX$2:EX271))</f>
        <v>0</v>
      </c>
      <c r="EZ271" s="160">
        <f>IF([Chambre]*1='CHAMBRES FILLES 2e ETAGE'!$A$59,1,0)</f>
        <v>0</v>
      </c>
      <c r="FA271" s="160">
        <f>IF([Occurrence11]=0,0,SUM($EZ$2:EZ271))</f>
        <v>0</v>
      </c>
      <c r="FB271" s="160">
        <f>IF([Chambre]*1='CHAMBRES FILLES 2e ETAGE'!$A$65,1,0)</f>
        <v>0</v>
      </c>
      <c r="FC271" s="160">
        <f>IF([Occurrence12]=0,0,SUM($FB$2:FB271))</f>
        <v>0</v>
      </c>
      <c r="FD271" s="160">
        <f>IF([Chambre]*1='CHAMBRES FILLES 2e ETAGE'!$A$71,1,0)</f>
        <v>0</v>
      </c>
      <c r="FE271" s="160">
        <f>IF([Occurrence13]=0,0,SUM($FD$2:FD271))</f>
        <v>0</v>
      </c>
      <c r="FF271" s="160">
        <f>IF([Chambre]*1='CHAMBRES FILLES 2e ETAGE'!$A$77,1,0)</f>
        <v>0</v>
      </c>
      <c r="FG271" s="160">
        <f>IF([Occurrence14]=0,0,SUM($FF$2:FF271))</f>
        <v>0</v>
      </c>
      <c r="FH271" s="160">
        <f>IF([Chambre]*1='CHAMBRES FILLES 2e ETAGE'!$A$83,1,0)</f>
        <v>0</v>
      </c>
      <c r="FI271" s="160">
        <f>IF([Occurrence15]=0,0,SUM($FH$2:FH271))</f>
        <v>0</v>
      </c>
      <c r="FJ271" s="160">
        <f>IF([Chambre]*1='CHAMBRES FILLES 2e ETAGE'!$A$89,1,0)</f>
        <v>0</v>
      </c>
      <c r="FK271" s="160">
        <f>IF([Occurrence16]=0,0,SUM($FJ$2:FJ271))</f>
        <v>0</v>
      </c>
      <c r="FL271" s="160">
        <f>IF([Chambre]*1='CHAMBRES FILLES 2e ETAGE'!$A$95,1,0)</f>
        <v>0</v>
      </c>
      <c r="FM271" s="160">
        <f>IF([Occurrence17]=0,0,SUM($FL$2:FL271))</f>
        <v>0</v>
      </c>
      <c r="FN271" s="160">
        <f>IF([Chambre2]*1='CHAMBRES FILLES 1e ETAGE'!$A$5,1,0)</f>
        <v>0</v>
      </c>
      <c r="FO271" s="160">
        <f>IF([Occurrence18]=0,0,SUM($FN$2:FN271))</f>
        <v>0</v>
      </c>
      <c r="FP271" s="160">
        <f>IF([Chambre2]*1='CHAMBRES FILLES 1e ETAGE'!$A$11,1,0)</f>
        <v>0</v>
      </c>
      <c r="FQ271" s="160">
        <f>IF([Occurrence19]=0,0,SUM($FP$2:FP271))</f>
        <v>0</v>
      </c>
      <c r="FR271" s="160">
        <f>IF([Chambre2]*1='CHAMBRES FILLES 1e ETAGE'!$A$17,1,0)</f>
        <v>0</v>
      </c>
      <c r="FS271" s="160">
        <f>IF([Occurrence20]=0,0,SUM($FR$2:FR271))</f>
        <v>0</v>
      </c>
      <c r="FT271" s="160">
        <f>IF([Chambre2]*1='CHAMBRES FILLES 1e ETAGE'!$A$23,1,0)</f>
        <v>0</v>
      </c>
      <c r="FU271" s="160">
        <f>IF([Occurrence21]=0,0,SUM($FT$2:FT271))</f>
        <v>0</v>
      </c>
      <c r="FV271" s="160">
        <f>IF([Chambre2]*1='CHAMBRES FILLES 1e ETAGE'!$A$29,1,0)</f>
        <v>0</v>
      </c>
      <c r="FW271" s="160">
        <f>IF([Occurrence22]=0,0,SUM($FV$2:FV271))</f>
        <v>0</v>
      </c>
      <c r="FX271" s="160">
        <f>IF([Chambre2]*1='CHAMBRES FILLES 1e ETAGE'!$A$35,1,0)</f>
        <v>0</v>
      </c>
      <c r="FY271" s="160">
        <f>IF([Occurrence23]=0,0,SUM($FX$2:FX271))</f>
        <v>0</v>
      </c>
      <c r="FZ271" s="160">
        <f>IF([Chambre2]*1='CHAMBRES FILLES 1e ETAGE'!$A$41,1,0)</f>
        <v>0</v>
      </c>
      <c r="GA271" s="160">
        <f>IF([Occurrence24]=0,0,SUM($FZ$2:FZ271))</f>
        <v>0</v>
      </c>
      <c r="GB271" s="160">
        <f>IF([Chambre2]*1='CHAMBRES FILLES 1e ETAGE'!$A$47,1,0)</f>
        <v>0</v>
      </c>
      <c r="GC271" s="160">
        <f>IF([Occurrence25]=0,0,SUM($GB$2:GB271))</f>
        <v>0</v>
      </c>
      <c r="GD271" s="160">
        <f>IF([Chambre2]*1='CHAMBRES FILLES 1e ETAGE'!$A$53,1,0)</f>
        <v>0</v>
      </c>
      <c r="GE271" s="160">
        <f>IF([Occurrence26]=0,0,SUM($GD$2:GD271))</f>
        <v>0</v>
      </c>
      <c r="GF271" s="160">
        <f>IF([chambre4]*1='CHAMBRES GARCONS 1e ETAGE'!$A$5,1,0)</f>
        <v>0</v>
      </c>
      <c r="GG271" s="160">
        <f>IF([Occurrence27]=0,0,SUM($GF$2:GF271))</f>
        <v>0</v>
      </c>
      <c r="GH271" s="160">
        <f>IF([chambre4]*1='CHAMBRES GARCONS 1e ETAGE'!$A$11,1,0)</f>
        <v>0</v>
      </c>
      <c r="GI271" s="160">
        <f>IF([Occurrence28]=0,0,SUM($GH$2:GH271))</f>
        <v>0</v>
      </c>
      <c r="GJ271" s="160">
        <f>IF([chambre4]*1='CHAMBRES GARCONS 1e ETAGE'!$A$17,1,0)</f>
        <v>0</v>
      </c>
      <c r="GK271" s="160">
        <f>IF([Occurrence29]=0,0,SUM($GJ$2:GJ271))</f>
        <v>0</v>
      </c>
      <c r="GL271" s="160">
        <f>IF([chambre4]*1='CHAMBRES GARCONS 1e ETAGE'!$A$23,1,0)</f>
        <v>0</v>
      </c>
      <c r="GM271" s="160">
        <f>IF([Occurrence30]=0,0,SUM($GL$2:GL271))</f>
        <v>0</v>
      </c>
      <c r="GN271" s="160">
        <f>IF([chambre4]*1='CHAMBRES GARCONS 1e ETAGE'!$A$29,1,0)</f>
        <v>0</v>
      </c>
      <c r="GO271" s="160">
        <f>IF([Occurrence31]=0,0,SUM($GN$2:GN271))</f>
        <v>0</v>
      </c>
      <c r="GP271" s="160">
        <f>IF([chambre4]*1='CHAMBRES GARCONS 1e ETAGE'!$A$35,1,0)</f>
        <v>0</v>
      </c>
      <c r="GQ271" s="160">
        <f>IF([Occurrence32]=0,0,SUM($GP$2:GP271))</f>
        <v>0</v>
      </c>
      <c r="GR271" s="160">
        <f>IF([chambre3]*1='CHAMBRES GARCONS RDC'!$A$5,1,0)</f>
        <v>0</v>
      </c>
      <c r="GS271" s="160">
        <f>IF([Occurrence33]=0,0,SUM($GR$2:GR271))</f>
        <v>0</v>
      </c>
      <c r="GT271" s="160">
        <f>IF([chambre3]*1='CHAMBRES GARCONS RDC'!$A$11,1,0)</f>
        <v>0</v>
      </c>
      <c r="GU271" s="160">
        <f>IF([Occurrence34]=0,0,SUM($GT$2:GT271))</f>
        <v>0</v>
      </c>
      <c r="GV271" s="160">
        <f>IF([chambre3]*1='CHAMBRES GARCONS RDC'!$A$17,1,0)</f>
        <v>0</v>
      </c>
      <c r="GW271" s="160">
        <f>IF([Occurrence35]=0,0,SUM($GV$2:GV271))</f>
        <v>0</v>
      </c>
      <c r="GX271" s="160">
        <f>IF([chambre3]*1='CHAMBRES GARCONS RDC'!$A$23,1,0)</f>
        <v>0</v>
      </c>
      <c r="GY271" s="160">
        <f>IF([Occurrence36]=0,0,SUM($GX$2:GX271))</f>
        <v>0</v>
      </c>
      <c r="GZ271" s="160">
        <f>IF([chambre3]*1='CHAMBRES GARCONS RDC'!$A$29,1,0)</f>
        <v>0</v>
      </c>
      <c r="HA271" s="160">
        <f>IF([Occurrence37]=0,0,SUM($GZ$2:GZ271))</f>
        <v>0</v>
      </c>
      <c r="HB271" s="160">
        <f>IF([chambre3]*1='CHAMBRES GARCONS RDC'!$A$35,1,0)</f>
        <v>0</v>
      </c>
      <c r="HC271" s="160">
        <f>IF([Occurrence38]=0,0,SUM($HB$2:HB271))</f>
        <v>0</v>
      </c>
      <c r="HD271" s="160">
        <f>IF([chambre3]*1='CHAMBRES GARCONS RDC'!$A$41,1,0)</f>
        <v>0</v>
      </c>
      <c r="HE271" s="160">
        <f>IF([Occurrence39]=0,0,SUM($HD$2:HD271))</f>
        <v>0</v>
      </c>
      <c r="HF271" s="160">
        <f>IF([chambre3]*1='CHAMBRES GARCONS RDC'!$A$47,1,0)</f>
        <v>0</v>
      </c>
      <c r="HG271" s="160">
        <f>IF([Occurrence40]=0,0,SUM($HF$2:HF271))</f>
        <v>0</v>
      </c>
      <c r="HH271" s="160">
        <f>IF([chambre3]*1='CHAMBRES GARCONS RDC'!$A$53,1,0)</f>
        <v>0</v>
      </c>
      <c r="HI271" s="160">
        <f>IF([Occurrence41]=0,0,SUM($HH$2:HH271))</f>
        <v>0</v>
      </c>
      <c r="HJ271" s="160">
        <f>IF([chambre3]*1='CHAMBRES GARCONS RDC'!$A$59,1,0)</f>
        <v>0</v>
      </c>
      <c r="HK271" s="160">
        <f>IF([Occurrence42]=0,0,SUM($HJ$2:HJ271))</f>
        <v>0</v>
      </c>
      <c r="HL271" s="160">
        <f>IF([chambre3]*1='CHAMBRES GARCONS RDC'!$A$65,1,0)</f>
        <v>0</v>
      </c>
      <c r="HM271" s="160">
        <f>IF([Occurrence43]=0,0,SUM($HL$2:HL271))</f>
        <v>0</v>
      </c>
      <c r="HN271" s="160">
        <f>IF([chambre3]*1='CHAMBRES GARCONS RDC'!$A$71,1,0)</f>
        <v>0</v>
      </c>
      <c r="HO271" s="160">
        <f>IF([Occurrence44]=0,0,SUM($HN$2:HN271))</f>
        <v>0</v>
      </c>
      <c r="HP271" s="160">
        <f>IF([chambre3]*1='CHAMBRES GARCONS RDC'!$A$77,1,0)</f>
        <v>0</v>
      </c>
      <c r="HQ271" s="160">
        <f>IF([Occurrence45]=0,0,SUM($HP$2:HP271))</f>
        <v>0</v>
      </c>
      <c r="HR271" s="160">
        <f>IF([chambre3]*1='CHAMBRES GARCONS RDC'!$A$83,1,0)</f>
        <v>0</v>
      </c>
      <c r="HS271" s="160">
        <f>IF([Occurrence46]=0,0,SUM($HR$2:HR271))</f>
        <v>0</v>
      </c>
      <c r="HT271" s="160">
        <f>IF([chambre3]*1='CHAMBRES GARCONS RDC'!$A$89,1,0)</f>
        <v>0</v>
      </c>
      <c r="HU271" s="160">
        <f>IF([Occurrence47]=0,0,SUM($HT$2:HT271))</f>
        <v>0</v>
      </c>
      <c r="HV271" s="160">
        <f>IF([chambre3]*1='CHAMBRES GARCONS RDC'!$A$95,1,0)</f>
        <v>0</v>
      </c>
      <c r="HW271" s="160">
        <f>IF([Occurrence48]=0,0,SUM($HV$2:HV271))</f>
        <v>0</v>
      </c>
      <c r="HX271" s="160"/>
      <c r="HY271" s="160"/>
      <c r="HZ271" s="160">
        <f>IF([Classe]='Liste élève par classes'!$B$5,1,0)</f>
        <v>0</v>
      </c>
      <c r="IA271" s="160">
        <f>IF([Occurrence]=0,0,SUM($HZ$2:HZ271))</f>
        <v>0</v>
      </c>
      <c r="IB271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71" s="208"/>
    </row>
    <row r="272" spans="1:237">
      <c r="A272" t="s">
        <v>688</v>
      </c>
      <c r="B272" t="s">
        <v>620</v>
      </c>
      <c r="C272" s="158">
        <v>37750</v>
      </c>
      <c r="D272" s="62">
        <f t="shared" ca="1" si="4"/>
        <v>14</v>
      </c>
      <c r="E272" t="s">
        <v>12</v>
      </c>
      <c r="F272" s="159" t="s">
        <v>50</v>
      </c>
      <c r="G272" t="s">
        <v>45</v>
      </c>
      <c r="H272" s="160"/>
      <c r="I272" s="62"/>
      <c r="J272" s="62"/>
      <c r="K272" s="62"/>
      <c r="L272" s="61"/>
      <c r="M272">
        <v>92</v>
      </c>
      <c r="N272" s="62"/>
      <c r="O272" s="62"/>
      <c r="P272" s="62"/>
      <c r="Q272" s="62"/>
      <c r="R272" s="62"/>
      <c r="S272" s="191"/>
      <c r="T272" s="62"/>
      <c r="U272" s="61">
        <v>143</v>
      </c>
      <c r="V272" s="62"/>
      <c r="W272" s="62"/>
      <c r="X272" s="62"/>
      <c r="Y272" s="62"/>
      <c r="Z272" s="62"/>
      <c r="AA272" s="62"/>
      <c r="AB272" s="62"/>
      <c r="AC272" s="62"/>
      <c r="AD272" s="62"/>
      <c r="AE272" s="62"/>
      <c r="AF272" s="163"/>
      <c r="AG272" s="163"/>
      <c r="AH272" s="163"/>
      <c r="AI272" s="163"/>
      <c r="AJ272" s="163"/>
      <c r="AK272" s="163"/>
      <c r="AL272" s="163"/>
      <c r="AM272" s="163"/>
      <c r="AN272" s="163"/>
      <c r="AO272" s="163"/>
      <c r="AP272" s="163"/>
      <c r="AQ272" s="163"/>
      <c r="AR272" s="163"/>
      <c r="AS272" s="163"/>
      <c r="AT272" s="163"/>
      <c r="AU272" s="163"/>
      <c r="AV272" s="163"/>
      <c r="AW272" s="163"/>
      <c r="AX272" s="163"/>
      <c r="AY272" s="163"/>
      <c r="AZ272" s="163"/>
      <c r="BA272" s="163"/>
      <c r="BB272" s="163"/>
      <c r="BC272" s="163" t="b">
        <v>0</v>
      </c>
      <c r="BD272" s="163" t="b">
        <v>1</v>
      </c>
      <c r="BE272" s="163" t="b">
        <v>1</v>
      </c>
      <c r="BF272" s="163" t="b">
        <v>0</v>
      </c>
      <c r="BG272" s="164" t="b">
        <v>0</v>
      </c>
      <c r="BH272" s="163" t="b">
        <v>1</v>
      </c>
      <c r="BI272" s="163"/>
      <c r="BJ272" s="163"/>
      <c r="BK272" s="163"/>
      <c r="BL272" s="163"/>
      <c r="BM272" s="163"/>
      <c r="BN272" s="163"/>
      <c r="BO272" s="163"/>
      <c r="BP272" s="163"/>
      <c r="BQ272" s="163" t="b">
        <v>0</v>
      </c>
      <c r="BR272" s="163"/>
      <c r="BS272" s="163"/>
      <c r="BT272" s="163"/>
      <c r="BU272" s="163"/>
      <c r="BV272" s="163"/>
      <c r="BW272" s="163"/>
      <c r="BX272" s="163"/>
      <c r="BY272" s="163"/>
      <c r="BZ272" s="163"/>
      <c r="CA272" s="163"/>
      <c r="CB272" s="163"/>
      <c r="CC272" s="163"/>
      <c r="CD272" s="163"/>
      <c r="CE272" s="163"/>
      <c r="CF272" s="163"/>
      <c r="CG272" s="163"/>
      <c r="CH272" s="163"/>
      <c r="CI272" s="163"/>
      <c r="CJ272" s="163"/>
      <c r="CK272" s="163"/>
      <c r="CL272" s="163"/>
      <c r="CM272" s="163"/>
      <c r="CN272" s="163"/>
      <c r="CO272" s="163"/>
      <c r="CP272" s="163"/>
      <c r="CQ272" s="163"/>
      <c r="CR272" s="163"/>
      <c r="CS272" s="163"/>
      <c r="CT272" s="163"/>
      <c r="CU272" s="163"/>
      <c r="CV272" s="163"/>
      <c r="CW272" s="163"/>
      <c r="CX272" s="163"/>
      <c r="CY272" s="163"/>
      <c r="CZ272" s="163"/>
      <c r="DA272" s="163"/>
      <c r="DB272" s="163"/>
      <c r="DC272" s="163"/>
      <c r="DD272" s="163"/>
      <c r="DE272" s="163"/>
      <c r="DF272" s="163"/>
      <c r="DG272" s="208"/>
      <c r="DH272" s="163"/>
      <c r="DI272" s="163"/>
      <c r="DJ272" s="163"/>
      <c r="DK272" s="163"/>
      <c r="DL272" s="163"/>
      <c r="DM272" s="163"/>
      <c r="DN272" s="163"/>
      <c r="DO272" s="163"/>
      <c r="DP272" s="163"/>
      <c r="DQ272" s="163"/>
      <c r="DR272" s="163"/>
      <c r="DS272" s="163"/>
      <c r="DT272" s="163"/>
      <c r="DU272" s="163"/>
      <c r="DV272" s="163"/>
      <c r="DW272" s="163"/>
      <c r="DX272" s="163"/>
      <c r="DY272" s="163"/>
      <c r="DZ272" s="163"/>
      <c r="EA272" s="163"/>
      <c r="EB272" s="163"/>
      <c r="EC272" s="163"/>
      <c r="ED272" s="163"/>
      <c r="EE272" s="163"/>
      <c r="EF272" s="163"/>
      <c r="EG272" s="163"/>
      <c r="EH272" s="160">
        <f>IF([Chambre]*1='CHAMBRES FILLES 2e ETAGE'!$A$5,1,0)</f>
        <v>0</v>
      </c>
      <c r="EI272" s="161">
        <f>IF([Occurrence2]=0,0,SUM($EH$2:EH272))</f>
        <v>0</v>
      </c>
      <c r="EJ272" s="160">
        <f>IF([Chambre]*1='CHAMBRES FILLES 2e ETAGE'!$A$11,1,0)</f>
        <v>0</v>
      </c>
      <c r="EK272" s="160">
        <f>IF([Occurrence3]=0,0,SUM($EJ$2:EJ272))</f>
        <v>0</v>
      </c>
      <c r="EL272" s="160">
        <f>IF([Chambre]*1='CHAMBRES FILLES 2e ETAGE'!$A$17,1,0)</f>
        <v>0</v>
      </c>
      <c r="EM272" s="160">
        <f>IF([Occurrence4]=0,0,SUM($EL$2:EL272))</f>
        <v>0</v>
      </c>
      <c r="EN272" s="160">
        <f>IF([Chambre]*1='CHAMBRES FILLES 2e ETAGE'!$A$23,1,0)</f>
        <v>0</v>
      </c>
      <c r="EO272" s="160">
        <f>IF([Occurrence5]=0,0,SUM($EN$2:EN272))</f>
        <v>0</v>
      </c>
      <c r="EP272" s="160">
        <f>IF([Chambre]*1='CHAMBRES FILLES 2e ETAGE'!$A$29,1,0)</f>
        <v>0</v>
      </c>
      <c r="EQ272" s="160">
        <f>IF([Occurrence6]=0,0,SUM($EP$2:EP272))</f>
        <v>0</v>
      </c>
      <c r="ER272" s="160">
        <f>IF([Chambre]*1='CHAMBRES FILLES 2e ETAGE'!$A$35,1,0)</f>
        <v>0</v>
      </c>
      <c r="ES272" s="160">
        <f>IF([Occurrence7]=0,0,SUM($ER$2:ER272))</f>
        <v>0</v>
      </c>
      <c r="ET272" s="160">
        <f>IF([Chambre]*1='CHAMBRES FILLES 2e ETAGE'!$A$41,1,0)</f>
        <v>0</v>
      </c>
      <c r="EU272" s="160">
        <f>IF([Occurrence8]=0,0,SUM($ET$2:ET272))</f>
        <v>0</v>
      </c>
      <c r="EV272" s="160">
        <f>IF([Chambre]*1='CHAMBRES FILLES 2e ETAGE'!$A$47,1,0)</f>
        <v>0</v>
      </c>
      <c r="EW272" s="160">
        <f>IF([Occurrence9]=0,0,SUM($EV$2:EV272))</f>
        <v>0</v>
      </c>
      <c r="EX272" s="160">
        <f>IF([Chambre]*1='CHAMBRES FILLES 2e ETAGE'!$A$53,1,0)</f>
        <v>0</v>
      </c>
      <c r="EY272" s="160">
        <f>IF([Occurrence10]=0,0,SUM($EX$2:EX272))</f>
        <v>0</v>
      </c>
      <c r="EZ272" s="160">
        <f>IF([Chambre]*1='CHAMBRES FILLES 2e ETAGE'!$A$59,1,0)</f>
        <v>0</v>
      </c>
      <c r="FA272" s="160">
        <f>IF([Occurrence11]=0,0,SUM($EZ$2:EZ272))</f>
        <v>0</v>
      </c>
      <c r="FB272" s="160">
        <f>IF([Chambre]*1='CHAMBRES FILLES 2e ETAGE'!$A$65,1,0)</f>
        <v>0</v>
      </c>
      <c r="FC272" s="160">
        <f>IF([Occurrence12]=0,0,SUM($FB$2:FB272))</f>
        <v>0</v>
      </c>
      <c r="FD272" s="160">
        <f>IF([Chambre]*1='CHAMBRES FILLES 2e ETAGE'!$A$71,1,0)</f>
        <v>0</v>
      </c>
      <c r="FE272" s="160">
        <f>IF([Occurrence13]=0,0,SUM($FD$2:FD272))</f>
        <v>0</v>
      </c>
      <c r="FF272" s="160">
        <f>IF([Chambre]*1='CHAMBRES FILLES 2e ETAGE'!$A$77,1,0)</f>
        <v>0</v>
      </c>
      <c r="FG272" s="160">
        <f>IF([Occurrence14]=0,0,SUM($FF$2:FF272))</f>
        <v>0</v>
      </c>
      <c r="FH272" s="160">
        <f>IF([Chambre]*1='CHAMBRES FILLES 2e ETAGE'!$A$83,1,0)</f>
        <v>0</v>
      </c>
      <c r="FI272" s="160">
        <f>IF([Occurrence15]=0,0,SUM($FH$2:FH272))</f>
        <v>0</v>
      </c>
      <c r="FJ272" s="160">
        <f>IF([Chambre]*1='CHAMBRES FILLES 2e ETAGE'!$A$89,1,0)</f>
        <v>0</v>
      </c>
      <c r="FK272" s="160">
        <f>IF([Occurrence16]=0,0,SUM($FJ$2:FJ272))</f>
        <v>0</v>
      </c>
      <c r="FL272" s="160">
        <f>IF([Chambre]*1='CHAMBRES FILLES 2e ETAGE'!$A$95,1,0)</f>
        <v>0</v>
      </c>
      <c r="FM272" s="160">
        <f>IF([Occurrence17]=0,0,SUM($FL$2:FL272))</f>
        <v>0</v>
      </c>
      <c r="FN272" s="160">
        <f>IF([Chambre2]*1='CHAMBRES FILLES 1e ETAGE'!$A$5,1,0)</f>
        <v>0</v>
      </c>
      <c r="FO272" s="160">
        <f>IF([Occurrence18]=0,0,SUM($FN$2:FN272))</f>
        <v>0</v>
      </c>
      <c r="FP272" s="160">
        <f>IF([Chambre2]*1='CHAMBRES FILLES 1e ETAGE'!$A$11,1,0)</f>
        <v>0</v>
      </c>
      <c r="FQ272" s="160">
        <f>IF([Occurrence19]=0,0,SUM($FP$2:FP272))</f>
        <v>0</v>
      </c>
      <c r="FR272" s="160">
        <f>IF([Chambre2]*1='CHAMBRES FILLES 1e ETAGE'!$A$17,1,0)</f>
        <v>0</v>
      </c>
      <c r="FS272" s="160">
        <f>IF([Occurrence20]=0,0,SUM($FR$2:FR272))</f>
        <v>0</v>
      </c>
      <c r="FT272" s="160">
        <f>IF([Chambre2]*1='CHAMBRES FILLES 1e ETAGE'!$A$23,1,0)</f>
        <v>0</v>
      </c>
      <c r="FU272" s="160">
        <f>IF([Occurrence21]=0,0,SUM($FT$2:FT272))</f>
        <v>0</v>
      </c>
      <c r="FV272" s="160">
        <f>IF([Chambre2]*1='CHAMBRES FILLES 1e ETAGE'!$A$29,1,0)</f>
        <v>0</v>
      </c>
      <c r="FW272" s="160">
        <f>IF([Occurrence22]=0,0,SUM($FV$2:FV272))</f>
        <v>0</v>
      </c>
      <c r="FX272" s="160">
        <f>IF([Chambre2]*1='CHAMBRES FILLES 1e ETAGE'!$A$35,1,0)</f>
        <v>0</v>
      </c>
      <c r="FY272" s="160">
        <f>IF([Occurrence23]=0,0,SUM($FX$2:FX272))</f>
        <v>0</v>
      </c>
      <c r="FZ272" s="160">
        <f>IF([Chambre2]*1='CHAMBRES FILLES 1e ETAGE'!$A$41,1,0)</f>
        <v>1</v>
      </c>
      <c r="GA272" s="160">
        <f>IF([Occurrence24]=0,0,SUM($FZ$2:FZ272))</f>
        <v>4</v>
      </c>
      <c r="GB272" s="160">
        <f>IF([Chambre2]*1='CHAMBRES FILLES 1e ETAGE'!$A$47,1,0)</f>
        <v>0</v>
      </c>
      <c r="GC272" s="160">
        <f>IF([Occurrence25]=0,0,SUM($GB$2:GB272))</f>
        <v>0</v>
      </c>
      <c r="GD272" s="160">
        <f>IF([Chambre2]*1='CHAMBRES FILLES 1e ETAGE'!$A$53,1,0)</f>
        <v>0</v>
      </c>
      <c r="GE272" s="160">
        <f>IF([Occurrence26]=0,0,SUM($GD$2:GD272))</f>
        <v>0</v>
      </c>
      <c r="GF272" s="160">
        <f>IF([chambre4]*1='CHAMBRES GARCONS 1e ETAGE'!$A$5,1,0)</f>
        <v>0</v>
      </c>
      <c r="GG272" s="160">
        <f>IF([Occurrence27]=0,0,SUM($GF$2:GF272))</f>
        <v>0</v>
      </c>
      <c r="GH272" s="160">
        <f>IF([chambre4]*1='CHAMBRES GARCONS 1e ETAGE'!$A$11,1,0)</f>
        <v>0</v>
      </c>
      <c r="GI272" s="160">
        <f>IF([Occurrence28]=0,0,SUM($GH$2:GH272))</f>
        <v>0</v>
      </c>
      <c r="GJ272" s="160">
        <f>IF([chambre4]*1='CHAMBRES GARCONS 1e ETAGE'!$A$17,1,0)</f>
        <v>0</v>
      </c>
      <c r="GK272" s="160">
        <f>IF([Occurrence29]=0,0,SUM($GJ$2:GJ272))</f>
        <v>0</v>
      </c>
      <c r="GL272" s="160">
        <f>IF([chambre4]*1='CHAMBRES GARCONS 1e ETAGE'!$A$23,1,0)</f>
        <v>0</v>
      </c>
      <c r="GM272" s="160">
        <f>IF([Occurrence30]=0,0,SUM($GL$2:GL272))</f>
        <v>0</v>
      </c>
      <c r="GN272" s="160">
        <f>IF([chambre4]*1='CHAMBRES GARCONS 1e ETAGE'!$A$29,1,0)</f>
        <v>0</v>
      </c>
      <c r="GO272" s="160">
        <f>IF([Occurrence31]=0,0,SUM($GN$2:GN272))</f>
        <v>0</v>
      </c>
      <c r="GP272" s="160">
        <f>IF([chambre4]*1='CHAMBRES GARCONS 1e ETAGE'!$A$35,1,0)</f>
        <v>0</v>
      </c>
      <c r="GQ272" s="160">
        <f>IF([Occurrence32]=0,0,SUM($GP$2:GP272))</f>
        <v>0</v>
      </c>
      <c r="GR272" s="160">
        <f>IF([chambre3]*1='CHAMBRES GARCONS RDC'!$A$5,1,0)</f>
        <v>0</v>
      </c>
      <c r="GS272" s="160">
        <f>IF([Occurrence33]=0,0,SUM($GR$2:GR272))</f>
        <v>0</v>
      </c>
      <c r="GT272" s="160">
        <f>IF([chambre3]*1='CHAMBRES GARCONS RDC'!$A$11,1,0)</f>
        <v>0</v>
      </c>
      <c r="GU272" s="160">
        <f>IF([Occurrence34]=0,0,SUM($GT$2:GT272))</f>
        <v>0</v>
      </c>
      <c r="GV272" s="160">
        <f>IF([chambre3]*1='CHAMBRES GARCONS RDC'!$A$17,1,0)</f>
        <v>0</v>
      </c>
      <c r="GW272" s="160">
        <f>IF([Occurrence35]=0,0,SUM($GV$2:GV272))</f>
        <v>0</v>
      </c>
      <c r="GX272" s="160">
        <f>IF([chambre3]*1='CHAMBRES GARCONS RDC'!$A$23,1,0)</f>
        <v>0</v>
      </c>
      <c r="GY272" s="160">
        <f>IF([Occurrence36]=0,0,SUM($GX$2:GX272))</f>
        <v>0</v>
      </c>
      <c r="GZ272" s="160">
        <f>IF([chambre3]*1='CHAMBRES GARCONS RDC'!$A$29,1,0)</f>
        <v>0</v>
      </c>
      <c r="HA272" s="160">
        <f>IF([Occurrence37]=0,0,SUM($GZ$2:GZ272))</f>
        <v>0</v>
      </c>
      <c r="HB272" s="160">
        <f>IF([chambre3]*1='CHAMBRES GARCONS RDC'!$A$35,1,0)</f>
        <v>0</v>
      </c>
      <c r="HC272" s="160">
        <f>IF([Occurrence38]=0,0,SUM($HB$2:HB272))</f>
        <v>0</v>
      </c>
      <c r="HD272" s="160">
        <f>IF([chambre3]*1='CHAMBRES GARCONS RDC'!$A$41,1,0)</f>
        <v>0</v>
      </c>
      <c r="HE272" s="160">
        <f>IF([Occurrence39]=0,0,SUM($HD$2:HD272))</f>
        <v>0</v>
      </c>
      <c r="HF272" s="160">
        <f>IF([chambre3]*1='CHAMBRES GARCONS RDC'!$A$47,1,0)</f>
        <v>0</v>
      </c>
      <c r="HG272" s="160">
        <f>IF([Occurrence40]=0,0,SUM($HF$2:HF272))</f>
        <v>0</v>
      </c>
      <c r="HH272" s="160">
        <f>IF([chambre3]*1='CHAMBRES GARCONS RDC'!$A$53,1,0)</f>
        <v>0</v>
      </c>
      <c r="HI272" s="160">
        <f>IF([Occurrence41]=0,0,SUM($HH$2:HH272))</f>
        <v>0</v>
      </c>
      <c r="HJ272" s="160">
        <f>IF([chambre3]*1='CHAMBRES GARCONS RDC'!$A$59,1,0)</f>
        <v>0</v>
      </c>
      <c r="HK272" s="160">
        <f>IF([Occurrence42]=0,0,SUM($HJ$2:HJ272))</f>
        <v>0</v>
      </c>
      <c r="HL272" s="160">
        <f>IF([chambre3]*1='CHAMBRES GARCONS RDC'!$A$65,1,0)</f>
        <v>0</v>
      </c>
      <c r="HM272" s="160">
        <f>IF([Occurrence43]=0,0,SUM($HL$2:HL272))</f>
        <v>0</v>
      </c>
      <c r="HN272" s="160">
        <f>IF([chambre3]*1='CHAMBRES GARCONS RDC'!$A$71,1,0)</f>
        <v>0</v>
      </c>
      <c r="HO272" s="160">
        <f>IF([Occurrence44]=0,0,SUM($HN$2:HN272))</f>
        <v>0</v>
      </c>
      <c r="HP272" s="160">
        <f>IF([chambre3]*1='CHAMBRES GARCONS RDC'!$A$77,1,0)</f>
        <v>0</v>
      </c>
      <c r="HQ272" s="160">
        <f>IF([Occurrence45]=0,0,SUM($HP$2:HP272))</f>
        <v>0</v>
      </c>
      <c r="HR272" s="160">
        <f>IF([chambre3]*1='CHAMBRES GARCONS RDC'!$A$83,1,0)</f>
        <v>0</v>
      </c>
      <c r="HS272" s="160">
        <f>IF([Occurrence46]=0,0,SUM($HR$2:HR272))</f>
        <v>0</v>
      </c>
      <c r="HT272" s="160">
        <f>IF([chambre3]*1='CHAMBRES GARCONS RDC'!$A$89,1,0)</f>
        <v>0</v>
      </c>
      <c r="HU272" s="160">
        <f>IF([Occurrence47]=0,0,SUM($HT$2:HT272))</f>
        <v>0</v>
      </c>
      <c r="HV272" s="160">
        <f>IF([chambre3]*1='CHAMBRES GARCONS RDC'!$A$95,1,0)</f>
        <v>0</v>
      </c>
      <c r="HW272" s="160">
        <f>IF([Occurrence48]=0,0,SUM($HV$2:HV272))</f>
        <v>0</v>
      </c>
      <c r="HX272" s="160"/>
      <c r="HY272" s="160"/>
      <c r="HZ272" s="160">
        <f>IF([Classe]='Liste élève par classes'!$B$5,1,0)</f>
        <v>0</v>
      </c>
      <c r="IA272" s="160">
        <f>IF([Occurrence]=0,0,SUM($HZ$2:HZ272))</f>
        <v>0</v>
      </c>
      <c r="IB272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143</v>
      </c>
      <c r="IC272" s="208"/>
    </row>
    <row r="273" spans="1:237">
      <c r="A273" t="s">
        <v>689</v>
      </c>
      <c r="B273" t="s">
        <v>383</v>
      </c>
      <c r="C273" s="158">
        <v>36918</v>
      </c>
      <c r="D273" s="62">
        <f t="shared" ca="1" si="4"/>
        <v>16</v>
      </c>
      <c r="E273" t="s">
        <v>10</v>
      </c>
      <c r="F273" s="159" t="s">
        <v>50</v>
      </c>
      <c r="G273" t="s">
        <v>45</v>
      </c>
      <c r="H273" s="160"/>
      <c r="I273" s="62"/>
      <c r="J273" s="62" t="s">
        <v>244</v>
      </c>
      <c r="K273" s="62"/>
      <c r="L273" s="61"/>
      <c r="M273">
        <v>203</v>
      </c>
      <c r="N273" s="62" t="s">
        <v>244</v>
      </c>
      <c r="O273" s="62" t="s">
        <v>244</v>
      </c>
      <c r="P273" s="62" t="s">
        <v>244</v>
      </c>
      <c r="Q273" s="62" t="s">
        <v>244</v>
      </c>
      <c r="R273" s="62" t="s">
        <v>244</v>
      </c>
      <c r="S273" s="191"/>
      <c r="T273" s="62" t="s">
        <v>244</v>
      </c>
      <c r="U273" s="61">
        <v>149</v>
      </c>
      <c r="V273" s="62" t="s">
        <v>244</v>
      </c>
      <c r="W273" s="62" t="s">
        <v>244</v>
      </c>
      <c r="X273" s="62" t="s">
        <v>244</v>
      </c>
      <c r="Y273" s="62" t="s">
        <v>244</v>
      </c>
      <c r="Z273" s="62" t="s">
        <v>244</v>
      </c>
      <c r="AA273" s="62" t="s">
        <v>244</v>
      </c>
      <c r="AB273" s="62" t="s">
        <v>244</v>
      </c>
      <c r="AC273" s="62" t="s">
        <v>244</v>
      </c>
      <c r="AD273" s="62" t="s">
        <v>244</v>
      </c>
      <c r="AE273" s="62" t="s">
        <v>244</v>
      </c>
      <c r="AF273" s="163" t="s">
        <v>244</v>
      </c>
      <c r="AG273" s="163" t="s">
        <v>244</v>
      </c>
      <c r="AH273" s="163" t="s">
        <v>244</v>
      </c>
      <c r="AI273" s="163"/>
      <c r="AJ273" s="163"/>
      <c r="AK273" s="163"/>
      <c r="AL273" s="163"/>
      <c r="AM273" s="163"/>
      <c r="AN273" s="163"/>
      <c r="AO273" s="163"/>
      <c r="AP273" s="163"/>
      <c r="AQ273" s="163"/>
      <c r="AR273" s="163"/>
      <c r="AS273" s="163"/>
      <c r="AT273" s="163"/>
      <c r="AU273" s="163"/>
      <c r="AV273" s="163"/>
      <c r="AW273" s="163"/>
      <c r="AX273" s="163"/>
      <c r="AY273" s="163"/>
      <c r="AZ273" s="163"/>
      <c r="BA273" s="163"/>
      <c r="BB273" s="163"/>
      <c r="BC273" s="163" t="b">
        <v>0</v>
      </c>
      <c r="BD273" s="163" t="b">
        <v>1</v>
      </c>
      <c r="BE273" s="163" t="b">
        <v>1</v>
      </c>
      <c r="BF273" s="163" t="b">
        <v>0</v>
      </c>
      <c r="BG273" s="163" t="b">
        <v>1</v>
      </c>
      <c r="BH273" s="163" t="b">
        <v>0</v>
      </c>
      <c r="BI273" s="163"/>
      <c r="BJ273" s="163"/>
      <c r="BK273" s="163"/>
      <c r="BL273" s="163"/>
      <c r="BM273" s="163"/>
      <c r="BN273" s="163"/>
      <c r="BO273" s="163"/>
      <c r="BP273" s="163"/>
      <c r="BQ273" s="163" t="b">
        <v>0</v>
      </c>
      <c r="BR273" s="163"/>
      <c r="BS273" s="163"/>
      <c r="BT273" s="163"/>
      <c r="BU273" s="163"/>
      <c r="BV273" s="163"/>
      <c r="BW273" s="163"/>
      <c r="BX273" s="163"/>
      <c r="BY273" s="163"/>
      <c r="BZ273" s="163"/>
      <c r="CA273" s="163"/>
      <c r="CB273" s="163"/>
      <c r="CC273" s="163"/>
      <c r="CD273" s="163"/>
      <c r="CE273" s="163"/>
      <c r="CF273" s="163"/>
      <c r="CG273" s="163"/>
      <c r="CH273" s="163"/>
      <c r="CI273" s="163"/>
      <c r="CJ273" s="163"/>
      <c r="CK273" s="163"/>
      <c r="CL273" s="163"/>
      <c r="CM273" s="163"/>
      <c r="CN273" s="163"/>
      <c r="CO273" s="163"/>
      <c r="CP273" s="163"/>
      <c r="CQ273" s="163"/>
      <c r="CR273" s="163"/>
      <c r="CS273" s="163"/>
      <c r="CT273" s="163"/>
      <c r="CU273" s="163"/>
      <c r="CV273" s="163"/>
      <c r="CW273" s="163"/>
      <c r="CX273" s="163"/>
      <c r="CY273" s="163"/>
      <c r="CZ273" s="163"/>
      <c r="DA273" s="163"/>
      <c r="DB273" s="163"/>
      <c r="DC273" s="163"/>
      <c r="DD273" s="163"/>
      <c r="DE273" s="163"/>
      <c r="DF273" s="163"/>
      <c r="DG273" s="208"/>
      <c r="DH273" s="163"/>
      <c r="DI273" s="163"/>
      <c r="DJ273" s="163"/>
      <c r="DK273" s="163"/>
      <c r="DL273" s="163"/>
      <c r="DM273" s="163"/>
      <c r="DN273" s="163"/>
      <c r="DO273" s="163"/>
      <c r="DP273" s="163"/>
      <c r="DQ273" s="163"/>
      <c r="DR273" s="163"/>
      <c r="DS273" s="163"/>
      <c r="DT273" s="163"/>
      <c r="DU273" s="163"/>
      <c r="DV273" s="163"/>
      <c r="DW273" s="163"/>
      <c r="DX273" s="163"/>
      <c r="DY273" s="163"/>
      <c r="DZ273" s="163"/>
      <c r="EA273" s="163"/>
      <c r="EB273" s="163"/>
      <c r="EC273" s="163"/>
      <c r="ED273" s="163"/>
      <c r="EE273" s="163"/>
      <c r="EF273" s="163"/>
      <c r="EG273" s="163"/>
      <c r="EH273" s="160">
        <f>IF([Chambre]*1='CHAMBRES FILLES 2e ETAGE'!$A$5,1,0)</f>
        <v>0</v>
      </c>
      <c r="EI273" s="161">
        <f>IF([Occurrence2]=0,0,SUM($EH$2:EH273))</f>
        <v>0</v>
      </c>
      <c r="EJ273" s="160">
        <f>IF([Chambre]*1='CHAMBRES FILLES 2e ETAGE'!$A$11,1,0)</f>
        <v>0</v>
      </c>
      <c r="EK273" s="160">
        <f>IF([Occurrence3]=0,0,SUM($EJ$2:EJ273))</f>
        <v>0</v>
      </c>
      <c r="EL273" s="160">
        <f>IF([Chambre]*1='CHAMBRES FILLES 2e ETAGE'!$A$17,1,0)</f>
        <v>0</v>
      </c>
      <c r="EM273" s="160">
        <f>IF([Occurrence4]=0,0,SUM($EL$2:EL273))</f>
        <v>0</v>
      </c>
      <c r="EN273" s="160">
        <f>IF([Chambre]*1='CHAMBRES FILLES 2e ETAGE'!$A$23,1,0)</f>
        <v>0</v>
      </c>
      <c r="EO273" s="160">
        <f>IF([Occurrence5]=0,0,SUM($EN$2:EN273))</f>
        <v>0</v>
      </c>
      <c r="EP273" s="160">
        <f>IF([Chambre]*1='CHAMBRES FILLES 2e ETAGE'!$A$29,1,0)</f>
        <v>0</v>
      </c>
      <c r="EQ273" s="160">
        <f>IF([Occurrence6]=0,0,SUM($EP$2:EP273))</f>
        <v>0</v>
      </c>
      <c r="ER273" s="160">
        <f>IF([Chambre]*1='CHAMBRES FILLES 2e ETAGE'!$A$35,1,0)</f>
        <v>0</v>
      </c>
      <c r="ES273" s="160">
        <f>IF([Occurrence7]=0,0,SUM($ER$2:ER273))</f>
        <v>0</v>
      </c>
      <c r="ET273" s="160">
        <f>IF([Chambre]*1='CHAMBRES FILLES 2e ETAGE'!$A$41,1,0)</f>
        <v>0</v>
      </c>
      <c r="EU273" s="160">
        <f>IF([Occurrence8]=0,0,SUM($ET$2:ET273))</f>
        <v>0</v>
      </c>
      <c r="EV273" s="160">
        <f>IF([Chambre]*1='CHAMBRES FILLES 2e ETAGE'!$A$47,1,0)</f>
        <v>0</v>
      </c>
      <c r="EW273" s="160">
        <f>IF([Occurrence9]=0,0,SUM($EV$2:EV273))</f>
        <v>0</v>
      </c>
      <c r="EX273" s="160">
        <f>IF([Chambre]*1='CHAMBRES FILLES 2e ETAGE'!$A$53,1,0)</f>
        <v>0</v>
      </c>
      <c r="EY273" s="160">
        <f>IF([Occurrence10]=0,0,SUM($EX$2:EX273))</f>
        <v>0</v>
      </c>
      <c r="EZ273" s="160">
        <f>IF([Chambre]*1='CHAMBRES FILLES 2e ETAGE'!$A$59,1,0)</f>
        <v>0</v>
      </c>
      <c r="FA273" s="160">
        <f>IF([Occurrence11]=0,0,SUM($EZ$2:EZ273))</f>
        <v>0</v>
      </c>
      <c r="FB273" s="160">
        <f>IF([Chambre]*1='CHAMBRES FILLES 2e ETAGE'!$A$65,1,0)</f>
        <v>0</v>
      </c>
      <c r="FC273" s="160">
        <f>IF([Occurrence12]=0,0,SUM($FB$2:FB273))</f>
        <v>0</v>
      </c>
      <c r="FD273" s="160">
        <f>IF([Chambre]*1='CHAMBRES FILLES 2e ETAGE'!$A$71,1,0)</f>
        <v>0</v>
      </c>
      <c r="FE273" s="160">
        <f>IF([Occurrence13]=0,0,SUM($FD$2:FD273))</f>
        <v>0</v>
      </c>
      <c r="FF273" s="160">
        <f>IF([Chambre]*1='CHAMBRES FILLES 2e ETAGE'!$A$77,1,0)</f>
        <v>0</v>
      </c>
      <c r="FG273" s="160">
        <f>IF([Occurrence14]=0,0,SUM($FF$2:FF273))</f>
        <v>0</v>
      </c>
      <c r="FH273" s="160">
        <f>IF([Chambre]*1='CHAMBRES FILLES 2e ETAGE'!$A$83,1,0)</f>
        <v>0</v>
      </c>
      <c r="FI273" s="160">
        <f>IF([Occurrence15]=0,0,SUM($FH$2:FH273))</f>
        <v>0</v>
      </c>
      <c r="FJ273" s="160">
        <f>IF([Chambre]*1='CHAMBRES FILLES 2e ETAGE'!$A$89,1,0)</f>
        <v>0</v>
      </c>
      <c r="FK273" s="160">
        <f>IF([Occurrence16]=0,0,SUM($FJ$2:FJ273))</f>
        <v>0</v>
      </c>
      <c r="FL273" s="160">
        <f>IF([Chambre]*1='CHAMBRES FILLES 2e ETAGE'!$A$95,1,0)</f>
        <v>0</v>
      </c>
      <c r="FM273" s="160">
        <f>IF([Occurrence17]=0,0,SUM($FL$2:FL273))</f>
        <v>0</v>
      </c>
      <c r="FN273" s="160">
        <f>IF([Chambre2]*1='CHAMBRES FILLES 1e ETAGE'!$A$5,1,0)</f>
        <v>0</v>
      </c>
      <c r="FO273" s="160">
        <f>IF([Occurrence18]=0,0,SUM($FN$2:FN273))</f>
        <v>0</v>
      </c>
      <c r="FP273" s="160">
        <f>IF([Chambre2]*1='CHAMBRES FILLES 1e ETAGE'!$A$11,1,0)</f>
        <v>0</v>
      </c>
      <c r="FQ273" s="160">
        <f>IF([Occurrence19]=0,0,SUM($FP$2:FP273))</f>
        <v>0</v>
      </c>
      <c r="FR273" s="160">
        <f>IF([Chambre2]*1='CHAMBRES FILLES 1e ETAGE'!$A$17,1,0)</f>
        <v>0</v>
      </c>
      <c r="FS273" s="160">
        <f>IF([Occurrence20]=0,0,SUM($FR$2:FR273))</f>
        <v>0</v>
      </c>
      <c r="FT273" s="160">
        <f>IF([Chambre2]*1='CHAMBRES FILLES 1e ETAGE'!$A$23,1,0)</f>
        <v>0</v>
      </c>
      <c r="FU273" s="160">
        <f>IF([Occurrence21]=0,0,SUM($FT$2:FT273))</f>
        <v>0</v>
      </c>
      <c r="FV273" s="160">
        <f>IF([Chambre2]*1='CHAMBRES FILLES 1e ETAGE'!$A$29,1,0)</f>
        <v>1</v>
      </c>
      <c r="FW273" s="160">
        <f>IF([Occurrence22]=0,0,SUM($FV$2:FV273))</f>
        <v>4</v>
      </c>
      <c r="FX273" s="160">
        <f>IF([Chambre2]*1='CHAMBRES FILLES 1e ETAGE'!$A$35,1,0)</f>
        <v>0</v>
      </c>
      <c r="FY273" s="160">
        <f>IF([Occurrence23]=0,0,SUM($FX$2:FX273))</f>
        <v>0</v>
      </c>
      <c r="FZ273" s="160">
        <f>IF([Chambre2]*1='CHAMBRES FILLES 1e ETAGE'!$A$41,1,0)</f>
        <v>0</v>
      </c>
      <c r="GA273" s="160">
        <f>IF([Occurrence24]=0,0,SUM($FZ$2:FZ273))</f>
        <v>0</v>
      </c>
      <c r="GB273" s="160">
        <f>IF([Chambre2]*1='CHAMBRES FILLES 1e ETAGE'!$A$47,1,0)</f>
        <v>0</v>
      </c>
      <c r="GC273" s="160">
        <f>IF([Occurrence25]=0,0,SUM($GB$2:GB273))</f>
        <v>0</v>
      </c>
      <c r="GD273" s="160">
        <f>IF([Chambre2]*1='CHAMBRES FILLES 1e ETAGE'!$A$53,1,0)</f>
        <v>0</v>
      </c>
      <c r="GE273" s="160">
        <f>IF([Occurrence26]=0,0,SUM($GD$2:GD273))</f>
        <v>0</v>
      </c>
      <c r="GF273" s="160">
        <f>IF([chambre4]*1='CHAMBRES GARCONS 1e ETAGE'!$A$5,1,0)</f>
        <v>0</v>
      </c>
      <c r="GG273" s="160">
        <f>IF([Occurrence27]=0,0,SUM($GF$2:GF273))</f>
        <v>0</v>
      </c>
      <c r="GH273" s="160">
        <f>IF([chambre4]*1='CHAMBRES GARCONS 1e ETAGE'!$A$11,1,0)</f>
        <v>0</v>
      </c>
      <c r="GI273" s="160">
        <f>IF([Occurrence28]=0,0,SUM($GH$2:GH273))</f>
        <v>0</v>
      </c>
      <c r="GJ273" s="160">
        <f>IF([chambre4]*1='CHAMBRES GARCONS 1e ETAGE'!$A$17,1,0)</f>
        <v>0</v>
      </c>
      <c r="GK273" s="160">
        <f>IF([Occurrence29]=0,0,SUM($GJ$2:GJ273))</f>
        <v>0</v>
      </c>
      <c r="GL273" s="160">
        <f>IF([chambre4]*1='CHAMBRES GARCONS 1e ETAGE'!$A$23,1,0)</f>
        <v>0</v>
      </c>
      <c r="GM273" s="160">
        <f>IF([Occurrence30]=0,0,SUM($GL$2:GL273))</f>
        <v>0</v>
      </c>
      <c r="GN273" s="160">
        <f>IF([chambre4]*1='CHAMBRES GARCONS 1e ETAGE'!$A$29,1,0)</f>
        <v>0</v>
      </c>
      <c r="GO273" s="160">
        <f>IF([Occurrence31]=0,0,SUM($GN$2:GN273))</f>
        <v>0</v>
      </c>
      <c r="GP273" s="160">
        <f>IF([chambre4]*1='CHAMBRES GARCONS 1e ETAGE'!$A$35,1,0)</f>
        <v>0</v>
      </c>
      <c r="GQ273" s="160">
        <f>IF([Occurrence32]=0,0,SUM($GP$2:GP273))</f>
        <v>0</v>
      </c>
      <c r="GR273" s="160">
        <f>IF([chambre3]*1='CHAMBRES GARCONS RDC'!$A$5,1,0)</f>
        <v>0</v>
      </c>
      <c r="GS273" s="160">
        <f>IF([Occurrence33]=0,0,SUM($GR$2:GR273))</f>
        <v>0</v>
      </c>
      <c r="GT273" s="160">
        <f>IF([chambre3]*1='CHAMBRES GARCONS RDC'!$A$11,1,0)</f>
        <v>0</v>
      </c>
      <c r="GU273" s="160">
        <f>IF([Occurrence34]=0,0,SUM($GT$2:GT273))</f>
        <v>0</v>
      </c>
      <c r="GV273" s="160">
        <f>IF([chambre3]*1='CHAMBRES GARCONS RDC'!$A$17,1,0)</f>
        <v>0</v>
      </c>
      <c r="GW273" s="160">
        <f>IF([Occurrence35]=0,0,SUM($GV$2:GV273))</f>
        <v>0</v>
      </c>
      <c r="GX273" s="160">
        <f>IF([chambre3]*1='CHAMBRES GARCONS RDC'!$A$23,1,0)</f>
        <v>0</v>
      </c>
      <c r="GY273" s="160">
        <f>IF([Occurrence36]=0,0,SUM($GX$2:GX273))</f>
        <v>0</v>
      </c>
      <c r="GZ273" s="160">
        <f>IF([chambre3]*1='CHAMBRES GARCONS RDC'!$A$29,1,0)</f>
        <v>0</v>
      </c>
      <c r="HA273" s="160">
        <f>IF([Occurrence37]=0,0,SUM($GZ$2:GZ273))</f>
        <v>0</v>
      </c>
      <c r="HB273" s="160">
        <f>IF([chambre3]*1='CHAMBRES GARCONS RDC'!$A$35,1,0)</f>
        <v>0</v>
      </c>
      <c r="HC273" s="160">
        <f>IF([Occurrence38]=0,0,SUM($HB$2:HB273))</f>
        <v>0</v>
      </c>
      <c r="HD273" s="160">
        <f>IF([chambre3]*1='CHAMBRES GARCONS RDC'!$A$41,1,0)</f>
        <v>0</v>
      </c>
      <c r="HE273" s="160">
        <f>IF([Occurrence39]=0,0,SUM($HD$2:HD273))</f>
        <v>0</v>
      </c>
      <c r="HF273" s="160">
        <f>IF([chambre3]*1='CHAMBRES GARCONS RDC'!$A$47,1,0)</f>
        <v>0</v>
      </c>
      <c r="HG273" s="160">
        <f>IF([Occurrence40]=0,0,SUM($HF$2:HF273))</f>
        <v>0</v>
      </c>
      <c r="HH273" s="160">
        <f>IF([chambre3]*1='CHAMBRES GARCONS RDC'!$A$53,1,0)</f>
        <v>0</v>
      </c>
      <c r="HI273" s="160">
        <f>IF([Occurrence41]=0,0,SUM($HH$2:HH273))</f>
        <v>0</v>
      </c>
      <c r="HJ273" s="160">
        <f>IF([chambre3]*1='CHAMBRES GARCONS RDC'!$A$59,1,0)</f>
        <v>0</v>
      </c>
      <c r="HK273" s="160">
        <f>IF([Occurrence42]=0,0,SUM($HJ$2:HJ273))</f>
        <v>0</v>
      </c>
      <c r="HL273" s="160">
        <f>IF([chambre3]*1='CHAMBRES GARCONS RDC'!$A$65,1,0)</f>
        <v>0</v>
      </c>
      <c r="HM273" s="160">
        <f>IF([Occurrence43]=0,0,SUM($HL$2:HL273))</f>
        <v>0</v>
      </c>
      <c r="HN273" s="160">
        <f>IF([chambre3]*1='CHAMBRES GARCONS RDC'!$A$71,1,0)</f>
        <v>0</v>
      </c>
      <c r="HO273" s="160">
        <f>IF([Occurrence44]=0,0,SUM($HN$2:HN273))</f>
        <v>0</v>
      </c>
      <c r="HP273" s="160">
        <f>IF([chambre3]*1='CHAMBRES GARCONS RDC'!$A$77,1,0)</f>
        <v>0</v>
      </c>
      <c r="HQ273" s="160">
        <f>IF([Occurrence45]=0,0,SUM($HP$2:HP273))</f>
        <v>0</v>
      </c>
      <c r="HR273" s="160">
        <f>IF([chambre3]*1='CHAMBRES GARCONS RDC'!$A$83,1,0)</f>
        <v>0</v>
      </c>
      <c r="HS273" s="160">
        <f>IF([Occurrence46]=0,0,SUM($HR$2:HR273))</f>
        <v>0</v>
      </c>
      <c r="HT273" s="160">
        <f>IF([chambre3]*1='CHAMBRES GARCONS RDC'!$A$89,1,0)</f>
        <v>0</v>
      </c>
      <c r="HU273" s="160">
        <f>IF([Occurrence47]=0,0,SUM($HT$2:HT273))</f>
        <v>0</v>
      </c>
      <c r="HV273" s="160">
        <f>IF([chambre3]*1='CHAMBRES GARCONS RDC'!$A$95,1,0)</f>
        <v>0</v>
      </c>
      <c r="HW273" s="160">
        <f>IF([Occurrence48]=0,0,SUM($HV$2:HV273))</f>
        <v>0</v>
      </c>
      <c r="HX273" s="160"/>
      <c r="HY273" s="160"/>
      <c r="HZ273" s="160">
        <f>IF([Classe]='Liste élève par classes'!$B$5,1,0)</f>
        <v>0</v>
      </c>
      <c r="IA273" s="160">
        <f>IF([Occurrence]=0,0,SUM($HZ$2:HZ273))</f>
        <v>0</v>
      </c>
      <c r="IB273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149</v>
      </c>
      <c r="IC273" s="208"/>
    </row>
    <row r="274" spans="1:237">
      <c r="A274" t="s">
        <v>690</v>
      </c>
      <c r="B274" t="s">
        <v>691</v>
      </c>
      <c r="C274" s="158">
        <v>36475</v>
      </c>
      <c r="D274" s="62">
        <f t="shared" ca="1" si="4"/>
        <v>18</v>
      </c>
      <c r="E274" t="s">
        <v>6</v>
      </c>
      <c r="F274" s="159" t="s">
        <v>46</v>
      </c>
      <c r="G274" t="s">
        <v>45</v>
      </c>
      <c r="H274" s="160"/>
      <c r="I274" s="62"/>
      <c r="J274" s="62"/>
      <c r="K274" s="62"/>
      <c r="L274" s="61"/>
      <c r="M274">
        <v>78</v>
      </c>
      <c r="N274" s="62"/>
      <c r="O274" s="62"/>
      <c r="P274" s="62"/>
      <c r="Q274" s="62"/>
      <c r="R274" s="62"/>
      <c r="S274" s="62"/>
      <c r="T274" s="62"/>
      <c r="U274" s="61"/>
      <c r="V274" s="62"/>
      <c r="W274" s="62"/>
      <c r="X274" s="62"/>
      <c r="Y274" s="62"/>
      <c r="Z274" s="62"/>
      <c r="AA274" s="62"/>
      <c r="AB274" s="62"/>
      <c r="AC274" s="62"/>
      <c r="AD274" s="62"/>
      <c r="AE274" s="62"/>
      <c r="AF274" s="163"/>
      <c r="AG274" s="163"/>
      <c r="AH274" s="163"/>
      <c r="AI274" s="163"/>
      <c r="AJ274" s="163"/>
      <c r="AK274" s="163"/>
      <c r="AL274" s="163"/>
      <c r="AM274" s="163"/>
      <c r="AN274" s="163"/>
      <c r="AO274" s="163"/>
      <c r="AP274" s="163"/>
      <c r="AQ274" s="163"/>
      <c r="AR274" s="163"/>
      <c r="AS274" s="163"/>
      <c r="AT274" s="163"/>
      <c r="AU274" s="163"/>
      <c r="AV274" s="163"/>
      <c r="AW274" s="163"/>
      <c r="AX274" s="163"/>
      <c r="AY274" s="163"/>
      <c r="AZ274" s="163"/>
      <c r="BA274" s="163"/>
      <c r="BB274" s="163"/>
      <c r="BC274" s="163"/>
      <c r="BD274" s="163"/>
      <c r="BE274" s="163"/>
      <c r="BF274" s="163"/>
      <c r="BG274" s="163"/>
      <c r="BH274" s="163"/>
      <c r="BI274" s="163"/>
      <c r="BJ274" s="163"/>
      <c r="BK274" s="163"/>
      <c r="BL274" s="163"/>
      <c r="BM274" s="163"/>
      <c r="BN274" s="163"/>
      <c r="BO274" s="163"/>
      <c r="BP274" s="163"/>
      <c r="BQ274" s="163"/>
      <c r="BR274" s="163"/>
      <c r="BS274" s="163"/>
      <c r="BT274" s="163"/>
      <c r="BU274" s="163"/>
      <c r="BV274" s="163"/>
      <c r="BW274" s="163"/>
      <c r="BX274" s="163"/>
      <c r="BY274" s="163"/>
      <c r="BZ274" s="163"/>
      <c r="CA274" s="163"/>
      <c r="CB274" s="163"/>
      <c r="CC274" s="163"/>
      <c r="CD274" s="163"/>
      <c r="CE274" s="163"/>
      <c r="CF274" s="163"/>
      <c r="CG274" s="163"/>
      <c r="CH274" s="163"/>
      <c r="CI274" s="163"/>
      <c r="CJ274" s="163"/>
      <c r="CK274" s="163"/>
      <c r="CL274" s="163"/>
      <c r="CM274" s="163"/>
      <c r="CN274" s="163"/>
      <c r="CO274" s="163"/>
      <c r="CP274" s="163"/>
      <c r="CQ274" s="163"/>
      <c r="CR274" s="163"/>
      <c r="CS274" s="163"/>
      <c r="CT274" s="163"/>
      <c r="CU274" s="163"/>
      <c r="CV274" s="163"/>
      <c r="CW274" s="163"/>
      <c r="CX274" s="163"/>
      <c r="CY274" s="163"/>
      <c r="CZ274" s="163"/>
      <c r="DA274" s="163"/>
      <c r="DB274" s="163"/>
      <c r="DC274" s="163"/>
      <c r="DD274" s="163"/>
      <c r="DE274" s="163"/>
      <c r="DF274" s="163"/>
      <c r="DG274" s="163"/>
      <c r="DH274" s="163"/>
      <c r="DI274" s="163"/>
      <c r="DJ274" s="163"/>
      <c r="DK274" s="163"/>
      <c r="DL274" s="163"/>
      <c r="DM274" s="163"/>
      <c r="DN274" s="163"/>
      <c r="DO274" s="163"/>
      <c r="DP274" s="163"/>
      <c r="DQ274" s="163"/>
      <c r="DR274" s="163"/>
      <c r="DS274" s="163"/>
      <c r="DT274" s="163"/>
      <c r="DU274" s="163"/>
      <c r="DV274" s="163"/>
      <c r="DW274" s="163"/>
      <c r="DX274" s="163"/>
      <c r="DY274" s="163"/>
      <c r="DZ274" s="163"/>
      <c r="EA274" s="163"/>
      <c r="EB274" s="163"/>
      <c r="EC274" s="163"/>
      <c r="ED274" s="163"/>
      <c r="EE274" s="163"/>
      <c r="EF274" s="163"/>
      <c r="EG274" s="163"/>
      <c r="EH274" s="160">
        <f>IF([Chambre]*1='CHAMBRES FILLES 2e ETAGE'!$A$5,1,0)</f>
        <v>0</v>
      </c>
      <c r="EI274" s="161">
        <f>IF([Occurrence2]=0,0,SUM($EH$2:EH274))</f>
        <v>0</v>
      </c>
      <c r="EJ274" s="160">
        <f>IF([Chambre]*1='CHAMBRES FILLES 2e ETAGE'!$A$11,1,0)</f>
        <v>0</v>
      </c>
      <c r="EK274" s="160">
        <f>IF([Occurrence3]=0,0,SUM($EJ$2:EJ274))</f>
        <v>0</v>
      </c>
      <c r="EL274" s="160">
        <f>IF([Chambre]*1='CHAMBRES FILLES 2e ETAGE'!$A$17,1,0)</f>
        <v>0</v>
      </c>
      <c r="EM274" s="160">
        <f>IF([Occurrence4]=0,0,SUM($EL$2:EL274))</f>
        <v>0</v>
      </c>
      <c r="EN274" s="160">
        <f>IF([Chambre]*1='CHAMBRES FILLES 2e ETAGE'!$A$23,1,0)</f>
        <v>0</v>
      </c>
      <c r="EO274" s="160">
        <f>IF([Occurrence5]=0,0,SUM($EN$2:EN274))</f>
        <v>0</v>
      </c>
      <c r="EP274" s="160">
        <f>IF([Chambre]*1='CHAMBRES FILLES 2e ETAGE'!$A$29,1,0)</f>
        <v>0</v>
      </c>
      <c r="EQ274" s="160">
        <f>IF([Occurrence6]=0,0,SUM($EP$2:EP274))</f>
        <v>0</v>
      </c>
      <c r="ER274" s="160">
        <f>IF([Chambre]*1='CHAMBRES FILLES 2e ETAGE'!$A$35,1,0)</f>
        <v>0</v>
      </c>
      <c r="ES274" s="160">
        <f>IF([Occurrence7]=0,0,SUM($ER$2:ER274))</f>
        <v>0</v>
      </c>
      <c r="ET274" s="160">
        <f>IF([Chambre]*1='CHAMBRES FILLES 2e ETAGE'!$A$41,1,0)</f>
        <v>0</v>
      </c>
      <c r="EU274" s="160">
        <f>IF([Occurrence8]=0,0,SUM($ET$2:ET274))</f>
        <v>0</v>
      </c>
      <c r="EV274" s="160">
        <f>IF([Chambre]*1='CHAMBRES FILLES 2e ETAGE'!$A$47,1,0)</f>
        <v>0</v>
      </c>
      <c r="EW274" s="160">
        <f>IF([Occurrence9]=0,0,SUM($EV$2:EV274))</f>
        <v>0</v>
      </c>
      <c r="EX274" s="160">
        <f>IF([Chambre]*1='CHAMBRES FILLES 2e ETAGE'!$A$53,1,0)</f>
        <v>0</v>
      </c>
      <c r="EY274" s="160">
        <f>IF([Occurrence10]=0,0,SUM($EX$2:EX274))</f>
        <v>0</v>
      </c>
      <c r="EZ274" s="160">
        <f>IF([Chambre]*1='CHAMBRES FILLES 2e ETAGE'!$A$59,1,0)</f>
        <v>0</v>
      </c>
      <c r="FA274" s="160">
        <f>IF([Occurrence11]=0,0,SUM($EZ$2:EZ274))</f>
        <v>0</v>
      </c>
      <c r="FB274" s="160">
        <f>IF([Chambre]*1='CHAMBRES FILLES 2e ETAGE'!$A$65,1,0)</f>
        <v>0</v>
      </c>
      <c r="FC274" s="160">
        <f>IF([Occurrence12]=0,0,SUM($FB$2:FB274))</f>
        <v>0</v>
      </c>
      <c r="FD274" s="160">
        <f>IF([Chambre]*1='CHAMBRES FILLES 2e ETAGE'!$A$71,1,0)</f>
        <v>0</v>
      </c>
      <c r="FE274" s="160">
        <f>IF([Occurrence13]=0,0,SUM($FD$2:FD274))</f>
        <v>0</v>
      </c>
      <c r="FF274" s="160">
        <f>IF([Chambre]*1='CHAMBRES FILLES 2e ETAGE'!$A$77,1,0)</f>
        <v>0</v>
      </c>
      <c r="FG274" s="160">
        <f>IF([Occurrence14]=0,0,SUM($FF$2:FF274))</f>
        <v>0</v>
      </c>
      <c r="FH274" s="160">
        <f>IF([Chambre]*1='CHAMBRES FILLES 2e ETAGE'!$A$83,1,0)</f>
        <v>0</v>
      </c>
      <c r="FI274" s="160">
        <f>IF([Occurrence15]=0,0,SUM($FH$2:FH274))</f>
        <v>0</v>
      </c>
      <c r="FJ274" s="160">
        <f>IF([Chambre]*1='CHAMBRES FILLES 2e ETAGE'!$A$89,1,0)</f>
        <v>0</v>
      </c>
      <c r="FK274" s="160">
        <f>IF([Occurrence16]=0,0,SUM($FJ$2:FJ274))</f>
        <v>0</v>
      </c>
      <c r="FL274" s="160">
        <f>IF([Chambre]*1='CHAMBRES FILLES 2e ETAGE'!$A$95,1,0)</f>
        <v>0</v>
      </c>
      <c r="FM274" s="160">
        <f>IF([Occurrence17]=0,0,SUM($FL$2:FL274))</f>
        <v>0</v>
      </c>
      <c r="FN274" s="160">
        <f>IF([Chambre2]*1='CHAMBRES FILLES 1e ETAGE'!$A$5,1,0)</f>
        <v>0</v>
      </c>
      <c r="FO274" s="160">
        <f>IF([Occurrence18]=0,0,SUM($FN$2:FN274))</f>
        <v>0</v>
      </c>
      <c r="FP274" s="160">
        <f>IF([Chambre2]*1='CHAMBRES FILLES 1e ETAGE'!$A$11,1,0)</f>
        <v>0</v>
      </c>
      <c r="FQ274" s="160">
        <f>IF([Occurrence19]=0,0,SUM($FP$2:FP274))</f>
        <v>0</v>
      </c>
      <c r="FR274" s="160">
        <f>IF([Chambre2]*1='CHAMBRES FILLES 1e ETAGE'!$A$17,1,0)</f>
        <v>0</v>
      </c>
      <c r="FS274" s="160">
        <f>IF([Occurrence20]=0,0,SUM($FR$2:FR274))</f>
        <v>0</v>
      </c>
      <c r="FT274" s="160">
        <f>IF([Chambre2]*1='CHAMBRES FILLES 1e ETAGE'!$A$23,1,0)</f>
        <v>0</v>
      </c>
      <c r="FU274" s="160">
        <f>IF([Occurrence21]=0,0,SUM($FT$2:FT274))</f>
        <v>0</v>
      </c>
      <c r="FV274" s="160">
        <f>IF([Chambre2]*1='CHAMBRES FILLES 1e ETAGE'!$A$29,1,0)</f>
        <v>0</v>
      </c>
      <c r="FW274" s="160">
        <f>IF([Occurrence22]=0,0,SUM($FV$2:FV274))</f>
        <v>0</v>
      </c>
      <c r="FX274" s="160">
        <f>IF([Chambre2]*1='CHAMBRES FILLES 1e ETAGE'!$A$35,1,0)</f>
        <v>0</v>
      </c>
      <c r="FY274" s="160">
        <f>IF([Occurrence23]=0,0,SUM($FX$2:FX274))</f>
        <v>0</v>
      </c>
      <c r="FZ274" s="160">
        <f>IF([Chambre2]*1='CHAMBRES FILLES 1e ETAGE'!$A$41,1,0)</f>
        <v>0</v>
      </c>
      <c r="GA274" s="160">
        <f>IF([Occurrence24]=0,0,SUM($FZ$2:FZ274))</f>
        <v>0</v>
      </c>
      <c r="GB274" s="160">
        <f>IF([Chambre2]*1='CHAMBRES FILLES 1e ETAGE'!$A$47,1,0)</f>
        <v>0</v>
      </c>
      <c r="GC274" s="160">
        <f>IF([Occurrence25]=0,0,SUM($GB$2:GB274))</f>
        <v>0</v>
      </c>
      <c r="GD274" s="160">
        <f>IF([Chambre2]*1='CHAMBRES FILLES 1e ETAGE'!$A$53,1,0)</f>
        <v>0</v>
      </c>
      <c r="GE274" s="160">
        <f>IF([Occurrence26]=0,0,SUM($GD$2:GD274))</f>
        <v>0</v>
      </c>
      <c r="GF274" s="160">
        <f>IF([chambre4]*1='CHAMBRES GARCONS 1e ETAGE'!$A$5,1,0)</f>
        <v>0</v>
      </c>
      <c r="GG274" s="160">
        <f>IF([Occurrence27]=0,0,SUM($GF$2:GF274))</f>
        <v>0</v>
      </c>
      <c r="GH274" s="160">
        <f>IF([chambre4]*1='CHAMBRES GARCONS 1e ETAGE'!$A$11,1,0)</f>
        <v>0</v>
      </c>
      <c r="GI274" s="160">
        <f>IF([Occurrence28]=0,0,SUM($GH$2:GH274))</f>
        <v>0</v>
      </c>
      <c r="GJ274" s="160">
        <f>IF([chambre4]*1='CHAMBRES GARCONS 1e ETAGE'!$A$17,1,0)</f>
        <v>0</v>
      </c>
      <c r="GK274" s="160">
        <f>IF([Occurrence29]=0,0,SUM($GJ$2:GJ274))</f>
        <v>0</v>
      </c>
      <c r="GL274" s="160">
        <f>IF([chambre4]*1='CHAMBRES GARCONS 1e ETAGE'!$A$23,1,0)</f>
        <v>0</v>
      </c>
      <c r="GM274" s="160">
        <f>IF([Occurrence30]=0,0,SUM($GL$2:GL274))</f>
        <v>0</v>
      </c>
      <c r="GN274" s="160">
        <f>IF([chambre4]*1='CHAMBRES GARCONS 1e ETAGE'!$A$29,1,0)</f>
        <v>0</v>
      </c>
      <c r="GO274" s="160">
        <f>IF([Occurrence31]=0,0,SUM($GN$2:GN274))</f>
        <v>0</v>
      </c>
      <c r="GP274" s="160">
        <f>IF([chambre4]*1='CHAMBRES GARCONS 1e ETAGE'!$A$35,1,0)</f>
        <v>0</v>
      </c>
      <c r="GQ274" s="160">
        <f>IF([Occurrence32]=0,0,SUM($GP$2:GP274))</f>
        <v>0</v>
      </c>
      <c r="GR274" s="160">
        <f>IF([chambre3]*1='CHAMBRES GARCONS RDC'!$A$5,1,0)</f>
        <v>0</v>
      </c>
      <c r="GS274" s="160">
        <f>IF([Occurrence33]=0,0,SUM($GR$2:GR274))</f>
        <v>0</v>
      </c>
      <c r="GT274" s="160">
        <f>IF([chambre3]*1='CHAMBRES GARCONS RDC'!$A$11,1,0)</f>
        <v>0</v>
      </c>
      <c r="GU274" s="160">
        <f>IF([Occurrence34]=0,0,SUM($GT$2:GT274))</f>
        <v>0</v>
      </c>
      <c r="GV274" s="160">
        <f>IF([chambre3]*1='CHAMBRES GARCONS RDC'!$A$17,1,0)</f>
        <v>0</v>
      </c>
      <c r="GW274" s="160">
        <f>IF([Occurrence35]=0,0,SUM($GV$2:GV274))</f>
        <v>0</v>
      </c>
      <c r="GX274" s="160">
        <f>IF([chambre3]*1='CHAMBRES GARCONS RDC'!$A$23,1,0)</f>
        <v>0</v>
      </c>
      <c r="GY274" s="160">
        <f>IF([Occurrence36]=0,0,SUM($GX$2:GX274))</f>
        <v>0</v>
      </c>
      <c r="GZ274" s="160">
        <f>IF([chambre3]*1='CHAMBRES GARCONS RDC'!$A$29,1,0)</f>
        <v>0</v>
      </c>
      <c r="HA274" s="160">
        <f>IF([Occurrence37]=0,0,SUM($GZ$2:GZ274))</f>
        <v>0</v>
      </c>
      <c r="HB274" s="160">
        <f>IF([chambre3]*1='CHAMBRES GARCONS RDC'!$A$35,1,0)</f>
        <v>0</v>
      </c>
      <c r="HC274" s="160">
        <f>IF([Occurrence38]=0,0,SUM($HB$2:HB274))</f>
        <v>0</v>
      </c>
      <c r="HD274" s="160">
        <f>IF([chambre3]*1='CHAMBRES GARCONS RDC'!$A$41,1,0)</f>
        <v>0</v>
      </c>
      <c r="HE274" s="160">
        <f>IF([Occurrence39]=0,0,SUM($HD$2:HD274))</f>
        <v>0</v>
      </c>
      <c r="HF274" s="160">
        <f>IF([chambre3]*1='CHAMBRES GARCONS RDC'!$A$47,1,0)</f>
        <v>0</v>
      </c>
      <c r="HG274" s="160">
        <f>IF([Occurrence40]=0,0,SUM($HF$2:HF274))</f>
        <v>0</v>
      </c>
      <c r="HH274" s="160">
        <f>IF([chambre3]*1='CHAMBRES GARCONS RDC'!$A$53,1,0)</f>
        <v>0</v>
      </c>
      <c r="HI274" s="160">
        <f>IF([Occurrence41]=0,0,SUM($HH$2:HH274))</f>
        <v>0</v>
      </c>
      <c r="HJ274" s="160">
        <f>IF([chambre3]*1='CHAMBRES GARCONS RDC'!$A$59,1,0)</f>
        <v>0</v>
      </c>
      <c r="HK274" s="160">
        <f>IF([Occurrence42]=0,0,SUM($HJ$2:HJ274))</f>
        <v>0</v>
      </c>
      <c r="HL274" s="160">
        <f>IF([chambre3]*1='CHAMBRES GARCONS RDC'!$A$65,1,0)</f>
        <v>0</v>
      </c>
      <c r="HM274" s="160">
        <f>IF([Occurrence43]=0,0,SUM($HL$2:HL274))</f>
        <v>0</v>
      </c>
      <c r="HN274" s="160">
        <f>IF([chambre3]*1='CHAMBRES GARCONS RDC'!$A$71,1,0)</f>
        <v>0</v>
      </c>
      <c r="HO274" s="160">
        <f>IF([Occurrence44]=0,0,SUM($HN$2:HN274))</f>
        <v>0</v>
      </c>
      <c r="HP274" s="160">
        <f>IF([chambre3]*1='CHAMBRES GARCONS RDC'!$A$77,1,0)</f>
        <v>0</v>
      </c>
      <c r="HQ274" s="160">
        <f>IF([Occurrence45]=0,0,SUM($HP$2:HP274))</f>
        <v>0</v>
      </c>
      <c r="HR274" s="160">
        <f>IF([chambre3]*1='CHAMBRES GARCONS RDC'!$A$83,1,0)</f>
        <v>0</v>
      </c>
      <c r="HS274" s="160">
        <f>IF([Occurrence46]=0,0,SUM($HR$2:HR274))</f>
        <v>0</v>
      </c>
      <c r="HT274" s="160">
        <f>IF([chambre3]*1='CHAMBRES GARCONS RDC'!$A$89,1,0)</f>
        <v>0</v>
      </c>
      <c r="HU274" s="160">
        <f>IF([Occurrence47]=0,0,SUM($HT$2:HT274))</f>
        <v>0</v>
      </c>
      <c r="HV274" s="160">
        <f>IF([chambre3]*1='CHAMBRES GARCONS RDC'!$A$95,1,0)</f>
        <v>0</v>
      </c>
      <c r="HW274" s="160">
        <f>IF([Occurrence48]=0,0,SUM($HV$2:HV274))</f>
        <v>0</v>
      </c>
      <c r="HX274" s="160"/>
      <c r="HY274" s="160"/>
      <c r="HZ274" s="160">
        <f>IF([Classe]='Liste élève par classes'!$B$5,1,0)</f>
        <v>0</v>
      </c>
      <c r="IA274" s="160">
        <f>IF([Occurrence]=0,0,SUM($HZ$2:HZ274))</f>
        <v>0</v>
      </c>
      <c r="IB274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74" s="208"/>
    </row>
    <row r="275" spans="1:237">
      <c r="A275" t="s">
        <v>692</v>
      </c>
      <c r="B275" t="s">
        <v>427</v>
      </c>
      <c r="C275" s="158">
        <v>37561</v>
      </c>
      <c r="D275" s="62">
        <f t="shared" ca="1" si="4"/>
        <v>15</v>
      </c>
      <c r="E275" t="s">
        <v>5</v>
      </c>
      <c r="F275" s="159" t="s">
        <v>50</v>
      </c>
      <c r="G275" t="s">
        <v>40</v>
      </c>
      <c r="H275" s="160"/>
      <c r="I275" s="62"/>
      <c r="J275" s="62" t="s">
        <v>244</v>
      </c>
      <c r="K275" s="62"/>
      <c r="L275" s="61"/>
      <c r="M275">
        <v>264</v>
      </c>
      <c r="N275" s="62" t="s">
        <v>244</v>
      </c>
      <c r="O275" s="62" t="s">
        <v>244</v>
      </c>
      <c r="P275" s="62" t="s">
        <v>244</v>
      </c>
      <c r="Q275" s="62" t="s">
        <v>244</v>
      </c>
      <c r="R275" s="62" t="s">
        <v>244</v>
      </c>
      <c r="S275" s="191"/>
      <c r="T275" s="62" t="s">
        <v>244</v>
      </c>
      <c r="U275" s="61"/>
      <c r="V275" s="62" t="s">
        <v>244</v>
      </c>
      <c r="W275" s="62" t="s">
        <v>244</v>
      </c>
      <c r="X275" s="62" t="s">
        <v>244</v>
      </c>
      <c r="Y275" s="62" t="s">
        <v>244</v>
      </c>
      <c r="Z275" s="62" t="s">
        <v>244</v>
      </c>
      <c r="AA275" s="62" t="s">
        <v>244</v>
      </c>
      <c r="AB275" s="62" t="s">
        <v>244</v>
      </c>
      <c r="AC275" s="62" t="s">
        <v>244</v>
      </c>
      <c r="AD275" s="62" t="s">
        <v>244</v>
      </c>
      <c r="AE275" s="62" t="s">
        <v>244</v>
      </c>
      <c r="AF275" s="163" t="s">
        <v>244</v>
      </c>
      <c r="AG275" s="163" t="s">
        <v>244</v>
      </c>
      <c r="AH275" s="163" t="s">
        <v>244</v>
      </c>
      <c r="AI275" s="163"/>
      <c r="AJ275" s="163"/>
      <c r="AK275" s="163"/>
      <c r="AL275" s="163"/>
      <c r="AM275" s="163"/>
      <c r="AN275" s="163"/>
      <c r="AO275" s="163"/>
      <c r="AP275" s="163"/>
      <c r="AQ275" s="163"/>
      <c r="AR275" s="163"/>
      <c r="AS275" s="163"/>
      <c r="AT275" s="163"/>
      <c r="AU275" s="163"/>
      <c r="AV275" s="163"/>
      <c r="AW275" s="163"/>
      <c r="AX275" s="163"/>
      <c r="AY275" s="163"/>
      <c r="AZ275" s="163"/>
      <c r="BA275" s="163"/>
      <c r="BB275" s="163"/>
      <c r="BC275" s="163" t="b">
        <v>0</v>
      </c>
      <c r="BD275" s="163" t="b">
        <v>1</v>
      </c>
      <c r="BE275" s="163" t="b">
        <v>1</v>
      </c>
      <c r="BF275" s="163" t="b">
        <v>0</v>
      </c>
      <c r="BG275" s="163" t="b">
        <v>1</v>
      </c>
      <c r="BH275" s="163" t="b">
        <v>0</v>
      </c>
      <c r="BI275" s="163"/>
      <c r="BJ275" s="163"/>
      <c r="BK275" s="163"/>
      <c r="BL275" s="163"/>
      <c r="BM275" s="163"/>
      <c r="BN275" s="163"/>
      <c r="BO275" s="163"/>
      <c r="BP275" s="163"/>
      <c r="BQ275" s="163" t="b">
        <v>0</v>
      </c>
      <c r="BR275" s="163"/>
      <c r="BS275" s="163"/>
      <c r="BT275" s="163"/>
      <c r="BU275" s="163"/>
      <c r="BV275" s="163"/>
      <c r="BW275" s="163"/>
      <c r="BX275" s="163"/>
      <c r="BY275" s="163"/>
      <c r="BZ275" s="163"/>
      <c r="CA275" s="163"/>
      <c r="CB275" s="163"/>
      <c r="CC275" s="163"/>
      <c r="CD275" s="163"/>
      <c r="CE275" s="163"/>
      <c r="CF275" s="163"/>
      <c r="CG275" s="163"/>
      <c r="CH275" s="163"/>
      <c r="CI275" s="163"/>
      <c r="CJ275" s="163"/>
      <c r="CK275" s="163"/>
      <c r="CL275" s="163"/>
      <c r="CM275" s="163"/>
      <c r="CN275" s="163"/>
      <c r="CO275" s="163"/>
      <c r="CP275" s="163"/>
      <c r="CQ275" s="163"/>
      <c r="CR275" s="163"/>
      <c r="CS275" s="163"/>
      <c r="CT275" s="163"/>
      <c r="CU275" s="163"/>
      <c r="CV275" s="163"/>
      <c r="CW275" s="163"/>
      <c r="CX275" s="163"/>
      <c r="CY275" s="163"/>
      <c r="CZ275" s="163"/>
      <c r="DA275" s="163">
        <v>111</v>
      </c>
      <c r="DB275" s="163"/>
      <c r="DC275" s="163"/>
      <c r="DD275" s="163"/>
      <c r="DE275" s="163"/>
      <c r="DF275" s="163"/>
      <c r="DG275" s="208"/>
      <c r="DH275" s="163"/>
      <c r="DI275" s="163"/>
      <c r="DJ275" s="163"/>
      <c r="DK275" s="163"/>
      <c r="DL275" s="163"/>
      <c r="DM275" s="163"/>
      <c r="DN275" s="163"/>
      <c r="DO275" s="163"/>
      <c r="DP275" s="163"/>
      <c r="DQ275" s="163"/>
      <c r="DR275" s="163"/>
      <c r="DS275" s="163"/>
      <c r="DT275" s="163"/>
      <c r="DU275" s="163"/>
      <c r="DV275" s="163"/>
      <c r="DW275" s="163"/>
      <c r="DX275" s="163"/>
      <c r="DY275" s="163"/>
      <c r="DZ275" s="163"/>
      <c r="EA275" s="163"/>
      <c r="EB275" s="163"/>
      <c r="EC275" s="163"/>
      <c r="ED275" s="163"/>
      <c r="EE275" s="163"/>
      <c r="EF275" s="163"/>
      <c r="EG275" s="163"/>
      <c r="EH275" s="160">
        <f>IF([Chambre]*1='CHAMBRES FILLES 2e ETAGE'!$A$5,1,0)</f>
        <v>0</v>
      </c>
      <c r="EI275" s="161">
        <f>IF([Occurrence2]=0,0,SUM($EH$2:EH275))</f>
        <v>0</v>
      </c>
      <c r="EJ275" s="160">
        <f>IF([Chambre]*1='CHAMBRES FILLES 2e ETAGE'!$A$11,1,0)</f>
        <v>0</v>
      </c>
      <c r="EK275" s="160">
        <f>IF([Occurrence3]=0,0,SUM($EJ$2:EJ275))</f>
        <v>0</v>
      </c>
      <c r="EL275" s="160">
        <f>IF([Chambre]*1='CHAMBRES FILLES 2e ETAGE'!$A$17,1,0)</f>
        <v>0</v>
      </c>
      <c r="EM275" s="160">
        <f>IF([Occurrence4]=0,0,SUM($EL$2:EL275))</f>
        <v>0</v>
      </c>
      <c r="EN275" s="160">
        <f>IF([Chambre]*1='CHAMBRES FILLES 2e ETAGE'!$A$23,1,0)</f>
        <v>0</v>
      </c>
      <c r="EO275" s="160">
        <f>IF([Occurrence5]=0,0,SUM($EN$2:EN275))</f>
        <v>0</v>
      </c>
      <c r="EP275" s="160">
        <f>IF([Chambre]*1='CHAMBRES FILLES 2e ETAGE'!$A$29,1,0)</f>
        <v>0</v>
      </c>
      <c r="EQ275" s="160">
        <f>IF([Occurrence6]=0,0,SUM($EP$2:EP275))</f>
        <v>0</v>
      </c>
      <c r="ER275" s="160">
        <f>IF([Chambre]*1='CHAMBRES FILLES 2e ETAGE'!$A$35,1,0)</f>
        <v>0</v>
      </c>
      <c r="ES275" s="160">
        <f>IF([Occurrence7]=0,0,SUM($ER$2:ER275))</f>
        <v>0</v>
      </c>
      <c r="ET275" s="160">
        <f>IF([Chambre]*1='CHAMBRES FILLES 2e ETAGE'!$A$41,1,0)</f>
        <v>0</v>
      </c>
      <c r="EU275" s="160">
        <f>IF([Occurrence8]=0,0,SUM($ET$2:ET275))</f>
        <v>0</v>
      </c>
      <c r="EV275" s="160">
        <f>IF([Chambre]*1='CHAMBRES FILLES 2e ETAGE'!$A$47,1,0)</f>
        <v>0</v>
      </c>
      <c r="EW275" s="160">
        <f>IF([Occurrence9]=0,0,SUM($EV$2:EV275))</f>
        <v>0</v>
      </c>
      <c r="EX275" s="160">
        <f>IF([Chambre]*1='CHAMBRES FILLES 2e ETAGE'!$A$53,1,0)</f>
        <v>0</v>
      </c>
      <c r="EY275" s="160">
        <f>IF([Occurrence10]=0,0,SUM($EX$2:EX275))</f>
        <v>0</v>
      </c>
      <c r="EZ275" s="160">
        <f>IF([Chambre]*1='CHAMBRES FILLES 2e ETAGE'!$A$59,1,0)</f>
        <v>0</v>
      </c>
      <c r="FA275" s="160">
        <f>IF([Occurrence11]=0,0,SUM($EZ$2:EZ275))</f>
        <v>0</v>
      </c>
      <c r="FB275" s="160">
        <f>IF([Chambre]*1='CHAMBRES FILLES 2e ETAGE'!$A$65,1,0)</f>
        <v>0</v>
      </c>
      <c r="FC275" s="160">
        <f>IF([Occurrence12]=0,0,SUM($FB$2:FB275))</f>
        <v>0</v>
      </c>
      <c r="FD275" s="160">
        <f>IF([Chambre]*1='CHAMBRES FILLES 2e ETAGE'!$A$71,1,0)</f>
        <v>0</v>
      </c>
      <c r="FE275" s="160">
        <f>IF([Occurrence13]=0,0,SUM($FD$2:FD275))</f>
        <v>0</v>
      </c>
      <c r="FF275" s="160">
        <f>IF([Chambre]*1='CHAMBRES FILLES 2e ETAGE'!$A$77,1,0)</f>
        <v>0</v>
      </c>
      <c r="FG275" s="160">
        <f>IF([Occurrence14]=0,0,SUM($FF$2:FF275))</f>
        <v>0</v>
      </c>
      <c r="FH275" s="160">
        <f>IF([Chambre]*1='CHAMBRES FILLES 2e ETAGE'!$A$83,1,0)</f>
        <v>0</v>
      </c>
      <c r="FI275" s="160">
        <f>IF([Occurrence15]=0,0,SUM($FH$2:FH275))</f>
        <v>0</v>
      </c>
      <c r="FJ275" s="160">
        <f>IF([Chambre]*1='CHAMBRES FILLES 2e ETAGE'!$A$89,1,0)</f>
        <v>0</v>
      </c>
      <c r="FK275" s="160">
        <f>IF([Occurrence16]=0,0,SUM($FJ$2:FJ275))</f>
        <v>0</v>
      </c>
      <c r="FL275" s="160">
        <f>IF([Chambre]*1='CHAMBRES FILLES 2e ETAGE'!$A$95,1,0)</f>
        <v>0</v>
      </c>
      <c r="FM275" s="160">
        <f>IF([Occurrence17]=0,0,SUM($FL$2:FL275))</f>
        <v>0</v>
      </c>
      <c r="FN275" s="160">
        <f>IF([Chambre2]*1='CHAMBRES FILLES 1e ETAGE'!$A$5,1,0)</f>
        <v>0</v>
      </c>
      <c r="FO275" s="160">
        <f>IF([Occurrence18]=0,0,SUM($FN$2:FN275))</f>
        <v>0</v>
      </c>
      <c r="FP275" s="160">
        <f>IF([Chambre2]*1='CHAMBRES FILLES 1e ETAGE'!$A$11,1,0)</f>
        <v>0</v>
      </c>
      <c r="FQ275" s="160">
        <f>IF([Occurrence19]=0,0,SUM($FP$2:FP275))</f>
        <v>0</v>
      </c>
      <c r="FR275" s="160">
        <f>IF([Chambre2]*1='CHAMBRES FILLES 1e ETAGE'!$A$17,1,0)</f>
        <v>0</v>
      </c>
      <c r="FS275" s="160">
        <f>IF([Occurrence20]=0,0,SUM($FR$2:FR275))</f>
        <v>0</v>
      </c>
      <c r="FT275" s="160">
        <f>IF([Chambre2]*1='CHAMBRES FILLES 1e ETAGE'!$A$23,1,0)</f>
        <v>0</v>
      </c>
      <c r="FU275" s="160">
        <f>IF([Occurrence21]=0,0,SUM($FT$2:FT275))</f>
        <v>0</v>
      </c>
      <c r="FV275" s="160">
        <f>IF([Chambre2]*1='CHAMBRES FILLES 1e ETAGE'!$A$29,1,0)</f>
        <v>0</v>
      </c>
      <c r="FW275" s="160">
        <f>IF([Occurrence22]=0,0,SUM($FV$2:FV275))</f>
        <v>0</v>
      </c>
      <c r="FX275" s="160">
        <f>IF([Chambre2]*1='CHAMBRES FILLES 1e ETAGE'!$A$35,1,0)</f>
        <v>0</v>
      </c>
      <c r="FY275" s="160">
        <f>IF([Occurrence23]=0,0,SUM($FX$2:FX275))</f>
        <v>0</v>
      </c>
      <c r="FZ275" s="160">
        <f>IF([Chambre2]*1='CHAMBRES FILLES 1e ETAGE'!$A$41,1,0)</f>
        <v>0</v>
      </c>
      <c r="GA275" s="160">
        <f>IF([Occurrence24]=0,0,SUM($FZ$2:FZ275))</f>
        <v>0</v>
      </c>
      <c r="GB275" s="160">
        <f>IF([Chambre2]*1='CHAMBRES FILLES 1e ETAGE'!$A$47,1,0)</f>
        <v>0</v>
      </c>
      <c r="GC275" s="160">
        <f>IF([Occurrence25]=0,0,SUM($GB$2:GB275))</f>
        <v>0</v>
      </c>
      <c r="GD275" s="160">
        <f>IF([Chambre2]*1='CHAMBRES FILLES 1e ETAGE'!$A$53,1,0)</f>
        <v>0</v>
      </c>
      <c r="GE275" s="160">
        <f>IF([Occurrence26]=0,0,SUM($GD$2:GD275))</f>
        <v>0</v>
      </c>
      <c r="GF275" s="160">
        <f>IF([chambre4]*1='CHAMBRES GARCONS 1e ETAGE'!$A$5,1,0)</f>
        <v>0</v>
      </c>
      <c r="GG275" s="160">
        <f>IF([Occurrence27]=0,0,SUM($GF$2:GF275))</f>
        <v>0</v>
      </c>
      <c r="GH275" s="160">
        <f>IF([chambre4]*1='CHAMBRES GARCONS 1e ETAGE'!$A$11,1,0)</f>
        <v>0</v>
      </c>
      <c r="GI275" s="160">
        <f>IF([Occurrence28]=0,0,SUM($GH$2:GH275))</f>
        <v>0</v>
      </c>
      <c r="GJ275" s="160">
        <f>IF([chambre4]*1='CHAMBRES GARCONS 1e ETAGE'!$A$17,1,0)</f>
        <v>0</v>
      </c>
      <c r="GK275" s="160">
        <f>IF([Occurrence29]=0,0,SUM($GJ$2:GJ275))</f>
        <v>0</v>
      </c>
      <c r="GL275" s="160">
        <f>IF([chambre4]*1='CHAMBRES GARCONS 1e ETAGE'!$A$23,1,0)</f>
        <v>0</v>
      </c>
      <c r="GM275" s="160">
        <f>IF([Occurrence30]=0,0,SUM($GL$2:GL275))</f>
        <v>0</v>
      </c>
      <c r="GN275" s="160">
        <f>IF([chambre4]*1='CHAMBRES GARCONS 1e ETAGE'!$A$29,1,0)</f>
        <v>0</v>
      </c>
      <c r="GO275" s="160">
        <f>IF([Occurrence31]=0,0,SUM($GN$2:GN275))</f>
        <v>0</v>
      </c>
      <c r="GP275" s="160">
        <f>IF([chambre4]*1='CHAMBRES GARCONS 1e ETAGE'!$A$35,1,0)</f>
        <v>0</v>
      </c>
      <c r="GQ275" s="160">
        <f>IF([Occurrence32]=0,0,SUM($GP$2:GP275))</f>
        <v>0</v>
      </c>
      <c r="GR275" s="160">
        <f>IF([chambre3]*1='CHAMBRES GARCONS RDC'!$A$5,1,0)</f>
        <v>0</v>
      </c>
      <c r="GS275" s="160">
        <f>IF([Occurrence33]=0,0,SUM($GR$2:GR275))</f>
        <v>0</v>
      </c>
      <c r="GT275" s="160">
        <f>IF([chambre3]*1='CHAMBRES GARCONS RDC'!$A$11,1,0)</f>
        <v>0</v>
      </c>
      <c r="GU275" s="160">
        <f>IF([Occurrence34]=0,0,SUM($GT$2:GT275))</f>
        <v>0</v>
      </c>
      <c r="GV275" s="160">
        <f>IF([chambre3]*1='CHAMBRES GARCONS RDC'!$A$17,1,0)</f>
        <v>0</v>
      </c>
      <c r="GW275" s="160">
        <f>IF([Occurrence35]=0,0,SUM($GV$2:GV275))</f>
        <v>0</v>
      </c>
      <c r="GX275" s="160">
        <f>IF([chambre3]*1='CHAMBRES GARCONS RDC'!$A$23,1,0)</f>
        <v>0</v>
      </c>
      <c r="GY275" s="160">
        <f>IF([Occurrence36]=0,0,SUM($GX$2:GX275))</f>
        <v>0</v>
      </c>
      <c r="GZ275" s="160">
        <f>IF([chambre3]*1='CHAMBRES GARCONS RDC'!$A$29,1,0)</f>
        <v>0</v>
      </c>
      <c r="HA275" s="160">
        <f>IF([Occurrence37]=0,0,SUM($GZ$2:GZ275))</f>
        <v>0</v>
      </c>
      <c r="HB275" s="160">
        <f>IF([chambre3]*1='CHAMBRES GARCONS RDC'!$A$35,1,0)</f>
        <v>0</v>
      </c>
      <c r="HC275" s="160">
        <f>IF([Occurrence38]=0,0,SUM($HB$2:HB275))</f>
        <v>0</v>
      </c>
      <c r="HD275" s="160">
        <f>IF([chambre3]*1='CHAMBRES GARCONS RDC'!$A$41,1,0)</f>
        <v>0</v>
      </c>
      <c r="HE275" s="160">
        <f>IF([Occurrence39]=0,0,SUM($HD$2:HD275))</f>
        <v>0</v>
      </c>
      <c r="HF275" s="160">
        <f>IF([chambre3]*1='CHAMBRES GARCONS RDC'!$A$47,1,0)</f>
        <v>0</v>
      </c>
      <c r="HG275" s="160">
        <f>IF([Occurrence40]=0,0,SUM($HF$2:HF275))</f>
        <v>0</v>
      </c>
      <c r="HH275" s="160">
        <f>IF([chambre3]*1='CHAMBRES GARCONS RDC'!$A$53,1,0)</f>
        <v>0</v>
      </c>
      <c r="HI275" s="160">
        <f>IF([Occurrence41]=0,0,SUM($HH$2:HH275))</f>
        <v>0</v>
      </c>
      <c r="HJ275" s="160">
        <f>IF([chambre3]*1='CHAMBRES GARCONS RDC'!$A$59,1,0)</f>
        <v>1</v>
      </c>
      <c r="HK275" s="160">
        <f>IF([Occurrence42]=0,0,SUM($HJ$2:HJ275))</f>
        <v>4</v>
      </c>
      <c r="HL275" s="160">
        <f>IF([chambre3]*1='CHAMBRES GARCONS RDC'!$A$65,1,0)</f>
        <v>0</v>
      </c>
      <c r="HM275" s="160">
        <f>IF([Occurrence43]=0,0,SUM($HL$2:HL275))</f>
        <v>0</v>
      </c>
      <c r="HN275" s="160">
        <f>IF([chambre3]*1='CHAMBRES GARCONS RDC'!$A$71,1,0)</f>
        <v>0</v>
      </c>
      <c r="HO275" s="160">
        <f>IF([Occurrence44]=0,0,SUM($HN$2:HN275))</f>
        <v>0</v>
      </c>
      <c r="HP275" s="160">
        <f>IF([chambre3]*1='CHAMBRES GARCONS RDC'!$A$77,1,0)</f>
        <v>0</v>
      </c>
      <c r="HQ275" s="160">
        <f>IF([Occurrence45]=0,0,SUM($HP$2:HP275))</f>
        <v>0</v>
      </c>
      <c r="HR275" s="160">
        <f>IF([chambre3]*1='CHAMBRES GARCONS RDC'!$A$83,1,0)</f>
        <v>0</v>
      </c>
      <c r="HS275" s="160">
        <f>IF([Occurrence46]=0,0,SUM($HR$2:HR275))</f>
        <v>0</v>
      </c>
      <c r="HT275" s="160">
        <f>IF([chambre3]*1='CHAMBRES GARCONS RDC'!$A$89,1,0)</f>
        <v>0</v>
      </c>
      <c r="HU275" s="160">
        <f>IF([Occurrence47]=0,0,SUM($HT$2:HT275))</f>
        <v>0</v>
      </c>
      <c r="HV275" s="160">
        <f>IF([chambre3]*1='CHAMBRES GARCONS RDC'!$A$95,1,0)</f>
        <v>0</v>
      </c>
      <c r="HW275" s="160">
        <f>IF([Occurrence48]=0,0,SUM($HV$2:HV275))</f>
        <v>0</v>
      </c>
      <c r="HX275" s="160"/>
      <c r="HY275" s="160"/>
      <c r="HZ275" s="160">
        <f>IF([Classe]='Liste élève par classes'!$B$5,1,0)</f>
        <v>0</v>
      </c>
      <c r="IA275" s="160">
        <f>IF([Occurrence]=0,0,SUM($HZ$2:HZ275))</f>
        <v>0</v>
      </c>
      <c r="IB275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111</v>
      </c>
      <c r="IC275" s="208"/>
    </row>
    <row r="276" spans="1:237">
      <c r="A276" t="s">
        <v>693</v>
      </c>
      <c r="B276" t="s">
        <v>381</v>
      </c>
      <c r="C276" s="158">
        <v>37343</v>
      </c>
      <c r="D276" s="62">
        <f t="shared" ca="1" si="4"/>
        <v>15</v>
      </c>
      <c r="E276" t="s">
        <v>11</v>
      </c>
      <c r="F276" s="159" t="s">
        <v>50</v>
      </c>
      <c r="G276" t="s">
        <v>45</v>
      </c>
      <c r="H276" s="160"/>
      <c r="I276" s="62"/>
      <c r="J276" s="161" t="s">
        <v>244</v>
      </c>
      <c r="K276" s="161"/>
      <c r="L276" s="61"/>
      <c r="M276">
        <v>172</v>
      </c>
      <c r="N276" s="161" t="s">
        <v>244</v>
      </c>
      <c r="O276" s="161" t="s">
        <v>244</v>
      </c>
      <c r="P276" s="161" t="s">
        <v>244</v>
      </c>
      <c r="Q276" s="161" t="s">
        <v>244</v>
      </c>
      <c r="R276" s="161" t="s">
        <v>244</v>
      </c>
      <c r="S276" s="161"/>
      <c r="T276" s="161" t="s">
        <v>244</v>
      </c>
      <c r="U276" s="160">
        <v>143</v>
      </c>
      <c r="V276" s="161" t="s">
        <v>244</v>
      </c>
      <c r="W276" s="161" t="s">
        <v>244</v>
      </c>
      <c r="X276" s="161" t="s">
        <v>244</v>
      </c>
      <c r="Y276" s="161" t="s">
        <v>244</v>
      </c>
      <c r="Z276" s="161" t="s">
        <v>244</v>
      </c>
      <c r="AA276" s="161" t="s">
        <v>244</v>
      </c>
      <c r="AB276" s="161" t="s">
        <v>244</v>
      </c>
      <c r="AC276" s="161" t="s">
        <v>244</v>
      </c>
      <c r="AD276" s="161" t="s">
        <v>244</v>
      </c>
      <c r="AE276" s="161" t="s">
        <v>244</v>
      </c>
      <c r="AF276" s="163" t="s">
        <v>244</v>
      </c>
      <c r="AG276" s="163" t="s">
        <v>244</v>
      </c>
      <c r="AH276" s="163" t="s">
        <v>244</v>
      </c>
      <c r="AI276" s="163"/>
      <c r="AJ276" s="163"/>
      <c r="AK276" s="163"/>
      <c r="AL276" s="163"/>
      <c r="AM276" s="163"/>
      <c r="AN276" s="163"/>
      <c r="AO276" s="163"/>
      <c r="AP276" s="163"/>
      <c r="AQ276" s="163"/>
      <c r="AR276" s="163"/>
      <c r="AS276" s="163"/>
      <c r="AT276" s="163"/>
      <c r="AU276" s="163"/>
      <c r="AV276" s="163"/>
      <c r="AW276" s="163"/>
      <c r="AX276" s="163"/>
      <c r="AY276" s="163"/>
      <c r="AZ276" s="163"/>
      <c r="BA276" s="163"/>
      <c r="BB276" s="163"/>
      <c r="BC276" s="163" t="b">
        <v>1</v>
      </c>
      <c r="BD276" s="163" t="b">
        <v>0</v>
      </c>
      <c r="BE276" s="163" t="b">
        <v>0</v>
      </c>
      <c r="BF276" s="163" t="b">
        <v>1</v>
      </c>
      <c r="BG276" s="164" t="b">
        <v>0</v>
      </c>
      <c r="BH276" s="163" t="b">
        <v>1</v>
      </c>
      <c r="BI276" s="163" t="b">
        <v>0</v>
      </c>
      <c r="BJ276" s="163" t="b">
        <v>1</v>
      </c>
      <c r="BK276" s="163" t="b">
        <v>1</v>
      </c>
      <c r="BL276" s="163" t="b">
        <v>0</v>
      </c>
      <c r="BM276" s="163"/>
      <c r="BN276" s="163"/>
      <c r="BO276" s="163"/>
      <c r="BP276" s="163"/>
      <c r="BQ276" s="163"/>
      <c r="BR276" s="163"/>
      <c r="BS276" s="163"/>
      <c r="BT276" s="163"/>
      <c r="BU276" s="163"/>
      <c r="BV276" s="163"/>
      <c r="BW276" s="163"/>
      <c r="BX276" s="163"/>
      <c r="BY276" s="163"/>
      <c r="BZ276" s="163"/>
      <c r="CA276" s="163"/>
      <c r="CB276" s="163"/>
      <c r="CC276" s="163"/>
      <c r="CD276" s="163"/>
      <c r="CE276" s="163"/>
      <c r="CF276" s="163"/>
      <c r="CG276" s="163"/>
      <c r="CH276" s="163"/>
      <c r="CI276" s="163"/>
      <c r="CJ276" s="163"/>
      <c r="CK276" s="163"/>
      <c r="CL276" s="163"/>
      <c r="CM276" s="163"/>
      <c r="CN276" s="163"/>
      <c r="CO276" s="163"/>
      <c r="CP276" s="163"/>
      <c r="CQ276" s="163"/>
      <c r="CR276" s="163"/>
      <c r="CS276" s="163"/>
      <c r="CT276" s="163"/>
      <c r="CU276" s="163"/>
      <c r="CV276" s="163"/>
      <c r="CW276" s="163"/>
      <c r="CX276" s="163"/>
      <c r="CY276" s="163"/>
      <c r="CZ276" s="163"/>
      <c r="DA276" s="163"/>
      <c r="DB276" s="163"/>
      <c r="DC276" s="163"/>
      <c r="DD276" s="163"/>
      <c r="DE276" s="163"/>
      <c r="DF276" s="163"/>
      <c r="DG276" s="208"/>
      <c r="DH276" s="163"/>
      <c r="DI276" s="163"/>
      <c r="DJ276" s="163"/>
      <c r="DK276" s="163"/>
      <c r="DL276" s="163"/>
      <c r="DM276" s="163"/>
      <c r="DN276" s="163"/>
      <c r="DO276" s="163"/>
      <c r="DP276" s="163"/>
      <c r="DQ276" s="163"/>
      <c r="DR276" s="163"/>
      <c r="DS276" s="163"/>
      <c r="DT276" s="163"/>
      <c r="DU276" s="163"/>
      <c r="DV276" s="163"/>
      <c r="DW276" s="163"/>
      <c r="DX276" s="163"/>
      <c r="DY276" s="163"/>
      <c r="DZ276" s="163"/>
      <c r="EA276" s="163"/>
      <c r="EB276" s="163"/>
      <c r="EC276" s="163"/>
      <c r="ED276" s="163"/>
      <c r="EE276" s="163"/>
      <c r="EF276" s="163"/>
      <c r="EG276" s="163"/>
      <c r="EH276" s="160">
        <f>IF([Chambre]*1='CHAMBRES FILLES 2e ETAGE'!$A$5,1,0)</f>
        <v>0</v>
      </c>
      <c r="EI276" s="161">
        <f>IF([Occurrence2]=0,0,SUM($EH$2:EH276))</f>
        <v>0</v>
      </c>
      <c r="EJ276" s="160">
        <f>IF([Chambre]*1='CHAMBRES FILLES 2e ETAGE'!$A$11,1,0)</f>
        <v>0</v>
      </c>
      <c r="EK276" s="160">
        <f>IF([Occurrence3]=0,0,SUM($EJ$2:EJ276))</f>
        <v>0</v>
      </c>
      <c r="EL276" s="160">
        <f>IF([Chambre]*1='CHAMBRES FILLES 2e ETAGE'!$A$17,1,0)</f>
        <v>0</v>
      </c>
      <c r="EM276" s="160">
        <f>IF([Occurrence4]=0,0,SUM($EL$2:EL276))</f>
        <v>0</v>
      </c>
      <c r="EN276" s="160">
        <f>IF([Chambre]*1='CHAMBRES FILLES 2e ETAGE'!$A$23,1,0)</f>
        <v>0</v>
      </c>
      <c r="EO276" s="160">
        <f>IF([Occurrence5]=0,0,SUM($EN$2:EN276))</f>
        <v>0</v>
      </c>
      <c r="EP276" s="160">
        <f>IF([Chambre]*1='CHAMBRES FILLES 2e ETAGE'!$A$29,1,0)</f>
        <v>0</v>
      </c>
      <c r="EQ276" s="160">
        <f>IF([Occurrence6]=0,0,SUM($EP$2:EP276))</f>
        <v>0</v>
      </c>
      <c r="ER276" s="160">
        <f>IF([Chambre]*1='CHAMBRES FILLES 2e ETAGE'!$A$35,1,0)</f>
        <v>0</v>
      </c>
      <c r="ES276" s="160">
        <f>IF([Occurrence7]=0,0,SUM($ER$2:ER276))</f>
        <v>0</v>
      </c>
      <c r="ET276" s="160">
        <f>IF([Chambre]*1='CHAMBRES FILLES 2e ETAGE'!$A$41,1,0)</f>
        <v>0</v>
      </c>
      <c r="EU276" s="160">
        <f>IF([Occurrence8]=0,0,SUM($ET$2:ET276))</f>
        <v>0</v>
      </c>
      <c r="EV276" s="160">
        <f>IF([Chambre]*1='CHAMBRES FILLES 2e ETAGE'!$A$47,1,0)</f>
        <v>0</v>
      </c>
      <c r="EW276" s="160">
        <f>IF([Occurrence9]=0,0,SUM($EV$2:EV276))</f>
        <v>0</v>
      </c>
      <c r="EX276" s="160">
        <f>IF([Chambre]*1='CHAMBRES FILLES 2e ETAGE'!$A$53,1,0)</f>
        <v>0</v>
      </c>
      <c r="EY276" s="160">
        <f>IF([Occurrence10]=0,0,SUM($EX$2:EX276))</f>
        <v>0</v>
      </c>
      <c r="EZ276" s="160">
        <f>IF([Chambre]*1='CHAMBRES FILLES 2e ETAGE'!$A$59,1,0)</f>
        <v>0</v>
      </c>
      <c r="FA276" s="160">
        <f>IF([Occurrence11]=0,0,SUM($EZ$2:EZ276))</f>
        <v>0</v>
      </c>
      <c r="FB276" s="160">
        <f>IF([Chambre]*1='CHAMBRES FILLES 2e ETAGE'!$A$65,1,0)</f>
        <v>0</v>
      </c>
      <c r="FC276" s="160">
        <f>IF([Occurrence12]=0,0,SUM($FB$2:FB276))</f>
        <v>0</v>
      </c>
      <c r="FD276" s="160">
        <f>IF([Chambre]*1='CHAMBRES FILLES 2e ETAGE'!$A$71,1,0)</f>
        <v>0</v>
      </c>
      <c r="FE276" s="160">
        <f>IF([Occurrence13]=0,0,SUM($FD$2:FD276))</f>
        <v>0</v>
      </c>
      <c r="FF276" s="160">
        <f>IF([Chambre]*1='CHAMBRES FILLES 2e ETAGE'!$A$77,1,0)</f>
        <v>0</v>
      </c>
      <c r="FG276" s="160">
        <f>IF([Occurrence14]=0,0,SUM($FF$2:FF276))</f>
        <v>0</v>
      </c>
      <c r="FH276" s="160">
        <f>IF([Chambre]*1='CHAMBRES FILLES 2e ETAGE'!$A$83,1,0)</f>
        <v>0</v>
      </c>
      <c r="FI276" s="160">
        <f>IF([Occurrence15]=0,0,SUM($FH$2:FH276))</f>
        <v>0</v>
      </c>
      <c r="FJ276" s="160">
        <f>IF([Chambre]*1='CHAMBRES FILLES 2e ETAGE'!$A$89,1,0)</f>
        <v>0</v>
      </c>
      <c r="FK276" s="160">
        <f>IF([Occurrence16]=0,0,SUM($FJ$2:FJ276))</f>
        <v>0</v>
      </c>
      <c r="FL276" s="160">
        <f>IF([Chambre]*1='CHAMBRES FILLES 2e ETAGE'!$A$95,1,0)</f>
        <v>0</v>
      </c>
      <c r="FM276" s="160">
        <f>IF([Occurrence17]=0,0,SUM($FL$2:FL276))</f>
        <v>0</v>
      </c>
      <c r="FN276" s="160">
        <f>IF([Chambre2]*1='CHAMBRES FILLES 1e ETAGE'!$A$5,1,0)</f>
        <v>0</v>
      </c>
      <c r="FO276" s="160">
        <f>IF([Occurrence18]=0,0,SUM($FN$2:FN276))</f>
        <v>0</v>
      </c>
      <c r="FP276" s="160">
        <f>IF([Chambre2]*1='CHAMBRES FILLES 1e ETAGE'!$A$11,1,0)</f>
        <v>0</v>
      </c>
      <c r="FQ276" s="160">
        <f>IF([Occurrence19]=0,0,SUM($FP$2:FP276))</f>
        <v>0</v>
      </c>
      <c r="FR276" s="160">
        <f>IF([Chambre2]*1='CHAMBRES FILLES 1e ETAGE'!$A$17,1,0)</f>
        <v>0</v>
      </c>
      <c r="FS276" s="160">
        <f>IF([Occurrence20]=0,0,SUM($FR$2:FR276))</f>
        <v>0</v>
      </c>
      <c r="FT276" s="160">
        <f>IF([Chambre2]*1='CHAMBRES FILLES 1e ETAGE'!$A$23,1,0)</f>
        <v>0</v>
      </c>
      <c r="FU276" s="160">
        <f>IF([Occurrence21]=0,0,SUM($FT$2:FT276))</f>
        <v>0</v>
      </c>
      <c r="FV276" s="160">
        <f>IF([Chambre2]*1='CHAMBRES FILLES 1e ETAGE'!$A$29,1,0)</f>
        <v>0</v>
      </c>
      <c r="FW276" s="160">
        <f>IF([Occurrence22]=0,0,SUM($FV$2:FV276))</f>
        <v>0</v>
      </c>
      <c r="FX276" s="160">
        <f>IF([Chambre2]*1='CHAMBRES FILLES 1e ETAGE'!$A$35,1,0)</f>
        <v>0</v>
      </c>
      <c r="FY276" s="160">
        <f>IF([Occurrence23]=0,0,SUM($FX$2:FX276))</f>
        <v>0</v>
      </c>
      <c r="FZ276" s="160">
        <f>IF([Chambre2]*1='CHAMBRES FILLES 1e ETAGE'!$A$41,1,0)</f>
        <v>1</v>
      </c>
      <c r="GA276" s="160">
        <f>IF([Occurrence24]=0,0,SUM($FZ$2:FZ276))</f>
        <v>5</v>
      </c>
      <c r="GB276" s="160">
        <f>IF([Chambre2]*1='CHAMBRES FILLES 1e ETAGE'!$A$47,1,0)</f>
        <v>0</v>
      </c>
      <c r="GC276" s="160">
        <f>IF([Occurrence25]=0,0,SUM($GB$2:GB276))</f>
        <v>0</v>
      </c>
      <c r="GD276" s="160">
        <f>IF([Chambre2]*1='CHAMBRES FILLES 1e ETAGE'!$A$53,1,0)</f>
        <v>0</v>
      </c>
      <c r="GE276" s="160">
        <f>IF([Occurrence26]=0,0,SUM($GD$2:GD276))</f>
        <v>0</v>
      </c>
      <c r="GF276" s="160">
        <f>IF([chambre4]*1='CHAMBRES GARCONS 1e ETAGE'!$A$5,1,0)</f>
        <v>0</v>
      </c>
      <c r="GG276" s="160">
        <f>IF([Occurrence27]=0,0,SUM($GF$2:GF276))</f>
        <v>0</v>
      </c>
      <c r="GH276" s="160">
        <f>IF([chambre4]*1='CHAMBRES GARCONS 1e ETAGE'!$A$11,1,0)</f>
        <v>0</v>
      </c>
      <c r="GI276" s="160">
        <f>IF([Occurrence28]=0,0,SUM($GH$2:GH276))</f>
        <v>0</v>
      </c>
      <c r="GJ276" s="160">
        <f>IF([chambre4]*1='CHAMBRES GARCONS 1e ETAGE'!$A$17,1,0)</f>
        <v>0</v>
      </c>
      <c r="GK276" s="160">
        <f>IF([Occurrence29]=0,0,SUM($GJ$2:GJ276))</f>
        <v>0</v>
      </c>
      <c r="GL276" s="160">
        <f>IF([chambre4]*1='CHAMBRES GARCONS 1e ETAGE'!$A$23,1,0)</f>
        <v>0</v>
      </c>
      <c r="GM276" s="160">
        <f>IF([Occurrence30]=0,0,SUM($GL$2:GL276))</f>
        <v>0</v>
      </c>
      <c r="GN276" s="160">
        <f>IF([chambre4]*1='CHAMBRES GARCONS 1e ETAGE'!$A$29,1,0)</f>
        <v>0</v>
      </c>
      <c r="GO276" s="160">
        <f>IF([Occurrence31]=0,0,SUM($GN$2:GN276))</f>
        <v>0</v>
      </c>
      <c r="GP276" s="160">
        <f>IF([chambre4]*1='CHAMBRES GARCONS 1e ETAGE'!$A$35,1,0)</f>
        <v>0</v>
      </c>
      <c r="GQ276" s="160">
        <f>IF([Occurrence32]=0,0,SUM($GP$2:GP276))</f>
        <v>0</v>
      </c>
      <c r="GR276" s="160">
        <f>IF([chambre3]*1='CHAMBRES GARCONS RDC'!$A$5,1,0)</f>
        <v>0</v>
      </c>
      <c r="GS276" s="160">
        <f>IF([Occurrence33]=0,0,SUM($GR$2:GR276))</f>
        <v>0</v>
      </c>
      <c r="GT276" s="160">
        <f>IF([chambre3]*1='CHAMBRES GARCONS RDC'!$A$11,1,0)</f>
        <v>0</v>
      </c>
      <c r="GU276" s="160">
        <f>IF([Occurrence34]=0,0,SUM($GT$2:GT276))</f>
        <v>0</v>
      </c>
      <c r="GV276" s="160">
        <f>IF([chambre3]*1='CHAMBRES GARCONS RDC'!$A$17,1,0)</f>
        <v>0</v>
      </c>
      <c r="GW276" s="160">
        <f>IF([Occurrence35]=0,0,SUM($GV$2:GV276))</f>
        <v>0</v>
      </c>
      <c r="GX276" s="160">
        <f>IF([chambre3]*1='CHAMBRES GARCONS RDC'!$A$23,1,0)</f>
        <v>0</v>
      </c>
      <c r="GY276" s="160">
        <f>IF([Occurrence36]=0,0,SUM($GX$2:GX276))</f>
        <v>0</v>
      </c>
      <c r="GZ276" s="160">
        <f>IF([chambre3]*1='CHAMBRES GARCONS RDC'!$A$29,1,0)</f>
        <v>0</v>
      </c>
      <c r="HA276" s="160">
        <f>IF([Occurrence37]=0,0,SUM($GZ$2:GZ276))</f>
        <v>0</v>
      </c>
      <c r="HB276" s="160">
        <f>IF([chambre3]*1='CHAMBRES GARCONS RDC'!$A$35,1,0)</f>
        <v>0</v>
      </c>
      <c r="HC276" s="160">
        <f>IF([Occurrence38]=0,0,SUM($HB$2:HB276))</f>
        <v>0</v>
      </c>
      <c r="HD276" s="160">
        <f>IF([chambre3]*1='CHAMBRES GARCONS RDC'!$A$41,1,0)</f>
        <v>0</v>
      </c>
      <c r="HE276" s="160">
        <f>IF([Occurrence39]=0,0,SUM($HD$2:HD276))</f>
        <v>0</v>
      </c>
      <c r="HF276" s="160">
        <f>IF([chambre3]*1='CHAMBRES GARCONS RDC'!$A$47,1,0)</f>
        <v>0</v>
      </c>
      <c r="HG276" s="160">
        <f>IF([Occurrence40]=0,0,SUM($HF$2:HF276))</f>
        <v>0</v>
      </c>
      <c r="HH276" s="160">
        <f>IF([chambre3]*1='CHAMBRES GARCONS RDC'!$A$53,1,0)</f>
        <v>0</v>
      </c>
      <c r="HI276" s="160">
        <f>IF([Occurrence41]=0,0,SUM($HH$2:HH276))</f>
        <v>0</v>
      </c>
      <c r="HJ276" s="160">
        <f>IF([chambre3]*1='CHAMBRES GARCONS RDC'!$A$59,1,0)</f>
        <v>0</v>
      </c>
      <c r="HK276" s="160">
        <f>IF([Occurrence42]=0,0,SUM($HJ$2:HJ276))</f>
        <v>0</v>
      </c>
      <c r="HL276" s="160">
        <f>IF([chambre3]*1='CHAMBRES GARCONS RDC'!$A$65,1,0)</f>
        <v>0</v>
      </c>
      <c r="HM276" s="160">
        <f>IF([Occurrence43]=0,0,SUM($HL$2:HL276))</f>
        <v>0</v>
      </c>
      <c r="HN276" s="160">
        <f>IF([chambre3]*1='CHAMBRES GARCONS RDC'!$A$71,1,0)</f>
        <v>0</v>
      </c>
      <c r="HO276" s="160">
        <f>IF([Occurrence44]=0,0,SUM($HN$2:HN276))</f>
        <v>0</v>
      </c>
      <c r="HP276" s="160">
        <f>IF([chambre3]*1='CHAMBRES GARCONS RDC'!$A$77,1,0)</f>
        <v>0</v>
      </c>
      <c r="HQ276" s="160">
        <f>IF([Occurrence45]=0,0,SUM($HP$2:HP276))</f>
        <v>0</v>
      </c>
      <c r="HR276" s="160">
        <f>IF([chambre3]*1='CHAMBRES GARCONS RDC'!$A$83,1,0)</f>
        <v>0</v>
      </c>
      <c r="HS276" s="160">
        <f>IF([Occurrence46]=0,0,SUM($HR$2:HR276))</f>
        <v>0</v>
      </c>
      <c r="HT276" s="160">
        <f>IF([chambre3]*1='CHAMBRES GARCONS RDC'!$A$89,1,0)</f>
        <v>0</v>
      </c>
      <c r="HU276" s="160">
        <f>IF([Occurrence47]=0,0,SUM($HT$2:HT276))</f>
        <v>0</v>
      </c>
      <c r="HV276" s="160">
        <f>IF([chambre3]*1='CHAMBRES GARCONS RDC'!$A$95,1,0)</f>
        <v>0</v>
      </c>
      <c r="HW276" s="160">
        <f>IF([Occurrence48]=0,0,SUM($HV$2:HV276))</f>
        <v>0</v>
      </c>
      <c r="HX276" s="160"/>
      <c r="HY276" s="160"/>
      <c r="HZ276" s="160">
        <f>IF([Classe]='Liste élève par classes'!$B$5,1,0)</f>
        <v>0</v>
      </c>
      <c r="IA276" s="160">
        <f>IF([Occurrence]=0,0,SUM($HZ$2:HZ276))</f>
        <v>0</v>
      </c>
      <c r="IB276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143</v>
      </c>
      <c r="IC276" s="208"/>
    </row>
    <row r="277" spans="1:237">
      <c r="A277" t="s">
        <v>694</v>
      </c>
      <c r="B277" t="s">
        <v>494</v>
      </c>
      <c r="C277" s="158">
        <v>37324</v>
      </c>
      <c r="D277" s="62">
        <f t="shared" ca="1" si="4"/>
        <v>15</v>
      </c>
      <c r="E277" t="s">
        <v>5</v>
      </c>
      <c r="F277" s="159" t="s">
        <v>50</v>
      </c>
      <c r="G277" t="s">
        <v>45</v>
      </c>
      <c r="H277" s="160"/>
      <c r="I277" s="62"/>
      <c r="J277" s="62"/>
      <c r="K277" s="62"/>
      <c r="L277" s="61"/>
      <c r="M277">
        <v>265</v>
      </c>
      <c r="N277" s="62"/>
      <c r="O277" s="62"/>
      <c r="P277" s="62"/>
      <c r="Q277" s="62"/>
      <c r="R277" s="62"/>
      <c r="S277" s="191"/>
      <c r="T277" s="62"/>
      <c r="U277" s="61">
        <v>133</v>
      </c>
      <c r="V277" s="62"/>
      <c r="W277" s="62"/>
      <c r="X277" s="62"/>
      <c r="Y277" s="62"/>
      <c r="Z277" s="62"/>
      <c r="AA277" s="62"/>
      <c r="AB277" s="62"/>
      <c r="AC277" s="62"/>
      <c r="AD277" s="62"/>
      <c r="AE277" s="62"/>
      <c r="AF277" s="163"/>
      <c r="AG277" s="163"/>
      <c r="AH277" s="163"/>
      <c r="AI277" s="163"/>
      <c r="AJ277" s="163"/>
      <c r="AK277" s="163"/>
      <c r="AL277" s="163"/>
      <c r="AM277" s="163"/>
      <c r="AN277" s="163"/>
      <c r="AO277" s="163"/>
      <c r="AP277" s="163"/>
      <c r="AQ277" s="163"/>
      <c r="AR277" s="163"/>
      <c r="AS277" s="163"/>
      <c r="AT277" s="163"/>
      <c r="AU277" s="163"/>
      <c r="AV277" s="163"/>
      <c r="AW277" s="163"/>
      <c r="AX277" s="163"/>
      <c r="AY277" s="163"/>
      <c r="AZ277" s="163"/>
      <c r="BA277" s="163"/>
      <c r="BB277" s="163"/>
      <c r="BC277" s="163" t="b">
        <v>0</v>
      </c>
      <c r="BD277" s="163" t="b">
        <v>1</v>
      </c>
      <c r="BE277" s="163" t="b">
        <v>1</v>
      </c>
      <c r="BF277" s="163" t="b">
        <v>0</v>
      </c>
      <c r="BG277" s="163" t="b">
        <v>1</v>
      </c>
      <c r="BH277" s="163" t="b">
        <v>0</v>
      </c>
      <c r="BI277" s="163"/>
      <c r="BJ277" s="163"/>
      <c r="BK277" s="163"/>
      <c r="BL277" s="163"/>
      <c r="BM277" s="163"/>
      <c r="BN277" s="163"/>
      <c r="BO277" s="163"/>
      <c r="BP277" s="163"/>
      <c r="BQ277" s="163" t="b">
        <v>0</v>
      </c>
      <c r="BR277" s="163"/>
      <c r="BS277" s="163"/>
      <c r="BT277" s="163"/>
      <c r="BU277" s="163"/>
      <c r="BV277" s="163"/>
      <c r="BW277" s="163"/>
      <c r="BX277" s="163"/>
      <c r="BY277" s="163"/>
      <c r="BZ277" s="163"/>
      <c r="CA277" s="163"/>
      <c r="CB277" s="163"/>
      <c r="CC277" s="163"/>
      <c r="CD277" s="163"/>
      <c r="CE277" s="163"/>
      <c r="CF277" s="163"/>
      <c r="CG277" s="163"/>
      <c r="CH277" s="163"/>
      <c r="CI277" s="163"/>
      <c r="CJ277" s="163"/>
      <c r="CK277" s="163"/>
      <c r="CL277" s="163"/>
      <c r="CM277" s="163"/>
      <c r="CN277" s="163"/>
      <c r="CO277" s="163"/>
      <c r="CP277" s="163"/>
      <c r="CQ277" s="163"/>
      <c r="CR277" s="163"/>
      <c r="CS277" s="163"/>
      <c r="CT277" s="163"/>
      <c r="CU277" s="163"/>
      <c r="CV277" s="163"/>
      <c r="CW277" s="163"/>
      <c r="CX277" s="163"/>
      <c r="CY277" s="163"/>
      <c r="CZ277" s="163"/>
      <c r="DA277" s="163"/>
      <c r="DB277" s="163"/>
      <c r="DC277" s="163"/>
      <c r="DD277" s="163"/>
      <c r="DE277" s="163"/>
      <c r="DF277" s="163"/>
      <c r="DG277" s="208"/>
      <c r="DH277" s="163"/>
      <c r="DI277" s="163"/>
      <c r="DJ277" s="163"/>
      <c r="DK277" s="163"/>
      <c r="DL277" s="163"/>
      <c r="DM277" s="163"/>
      <c r="DN277" s="163"/>
      <c r="DO277" s="163"/>
      <c r="DP277" s="163"/>
      <c r="DQ277" s="163"/>
      <c r="DR277" s="163"/>
      <c r="DS277" s="163"/>
      <c r="DT277" s="163"/>
      <c r="DU277" s="163"/>
      <c r="DV277" s="163"/>
      <c r="DW277" s="163"/>
      <c r="DX277" s="163"/>
      <c r="DY277" s="163"/>
      <c r="DZ277" s="163"/>
      <c r="EA277" s="163"/>
      <c r="EB277" s="163"/>
      <c r="EC277" s="163"/>
      <c r="ED277" s="163"/>
      <c r="EE277" s="163"/>
      <c r="EF277" s="163"/>
      <c r="EG277" s="163"/>
      <c r="EH277" s="160">
        <f>IF([Chambre]*1='CHAMBRES FILLES 2e ETAGE'!$A$5,1,0)</f>
        <v>0</v>
      </c>
      <c r="EI277" s="161">
        <f>IF([Occurrence2]=0,0,SUM($EH$2:EH277))</f>
        <v>0</v>
      </c>
      <c r="EJ277" s="160">
        <f>IF([Chambre]*1='CHAMBRES FILLES 2e ETAGE'!$A$11,1,0)</f>
        <v>0</v>
      </c>
      <c r="EK277" s="160">
        <f>IF([Occurrence3]=0,0,SUM($EJ$2:EJ277))</f>
        <v>0</v>
      </c>
      <c r="EL277" s="160">
        <f>IF([Chambre]*1='CHAMBRES FILLES 2e ETAGE'!$A$17,1,0)</f>
        <v>0</v>
      </c>
      <c r="EM277" s="160">
        <f>IF([Occurrence4]=0,0,SUM($EL$2:EL277))</f>
        <v>0</v>
      </c>
      <c r="EN277" s="160">
        <f>IF([Chambre]*1='CHAMBRES FILLES 2e ETAGE'!$A$23,1,0)</f>
        <v>0</v>
      </c>
      <c r="EO277" s="160">
        <f>IF([Occurrence5]=0,0,SUM($EN$2:EN277))</f>
        <v>0</v>
      </c>
      <c r="EP277" s="160">
        <f>IF([Chambre]*1='CHAMBRES FILLES 2e ETAGE'!$A$29,1,0)</f>
        <v>0</v>
      </c>
      <c r="EQ277" s="160">
        <f>IF([Occurrence6]=0,0,SUM($EP$2:EP277))</f>
        <v>0</v>
      </c>
      <c r="ER277" s="160">
        <f>IF([Chambre]*1='CHAMBRES FILLES 2e ETAGE'!$A$35,1,0)</f>
        <v>0</v>
      </c>
      <c r="ES277" s="160">
        <f>IF([Occurrence7]=0,0,SUM($ER$2:ER277))</f>
        <v>0</v>
      </c>
      <c r="ET277" s="160">
        <f>IF([Chambre]*1='CHAMBRES FILLES 2e ETAGE'!$A$41,1,0)</f>
        <v>0</v>
      </c>
      <c r="EU277" s="160">
        <f>IF([Occurrence8]=0,0,SUM($ET$2:ET277))</f>
        <v>0</v>
      </c>
      <c r="EV277" s="160">
        <f>IF([Chambre]*1='CHAMBRES FILLES 2e ETAGE'!$A$47,1,0)</f>
        <v>0</v>
      </c>
      <c r="EW277" s="160">
        <f>IF([Occurrence9]=0,0,SUM($EV$2:EV277))</f>
        <v>0</v>
      </c>
      <c r="EX277" s="160">
        <f>IF([Chambre]*1='CHAMBRES FILLES 2e ETAGE'!$A$53,1,0)</f>
        <v>0</v>
      </c>
      <c r="EY277" s="160">
        <f>IF([Occurrence10]=0,0,SUM($EX$2:EX277))</f>
        <v>0</v>
      </c>
      <c r="EZ277" s="160">
        <f>IF([Chambre]*1='CHAMBRES FILLES 2e ETAGE'!$A$59,1,0)</f>
        <v>0</v>
      </c>
      <c r="FA277" s="160">
        <f>IF([Occurrence11]=0,0,SUM($EZ$2:EZ277))</f>
        <v>0</v>
      </c>
      <c r="FB277" s="160">
        <f>IF([Chambre]*1='CHAMBRES FILLES 2e ETAGE'!$A$65,1,0)</f>
        <v>0</v>
      </c>
      <c r="FC277" s="160">
        <f>IF([Occurrence12]=0,0,SUM($FB$2:FB277))</f>
        <v>0</v>
      </c>
      <c r="FD277" s="160">
        <f>IF([Chambre]*1='CHAMBRES FILLES 2e ETAGE'!$A$71,1,0)</f>
        <v>0</v>
      </c>
      <c r="FE277" s="160">
        <f>IF([Occurrence13]=0,0,SUM($FD$2:FD277))</f>
        <v>0</v>
      </c>
      <c r="FF277" s="160">
        <f>IF([Chambre]*1='CHAMBRES FILLES 2e ETAGE'!$A$77,1,0)</f>
        <v>0</v>
      </c>
      <c r="FG277" s="160">
        <f>IF([Occurrence14]=0,0,SUM($FF$2:FF277))</f>
        <v>0</v>
      </c>
      <c r="FH277" s="160">
        <f>IF([Chambre]*1='CHAMBRES FILLES 2e ETAGE'!$A$83,1,0)</f>
        <v>0</v>
      </c>
      <c r="FI277" s="160">
        <f>IF([Occurrence15]=0,0,SUM($FH$2:FH277))</f>
        <v>0</v>
      </c>
      <c r="FJ277" s="160">
        <f>IF([Chambre]*1='CHAMBRES FILLES 2e ETAGE'!$A$89,1,0)</f>
        <v>0</v>
      </c>
      <c r="FK277" s="160">
        <f>IF([Occurrence16]=0,0,SUM($FJ$2:FJ277))</f>
        <v>0</v>
      </c>
      <c r="FL277" s="160">
        <f>IF([Chambre]*1='CHAMBRES FILLES 2e ETAGE'!$A$95,1,0)</f>
        <v>0</v>
      </c>
      <c r="FM277" s="160">
        <f>IF([Occurrence17]=0,0,SUM($FL$2:FL277))</f>
        <v>0</v>
      </c>
      <c r="FN277" s="160">
        <f>IF([Chambre2]*1='CHAMBRES FILLES 1e ETAGE'!$A$5,1,0)</f>
        <v>0</v>
      </c>
      <c r="FO277" s="160">
        <f>IF([Occurrence18]=0,0,SUM($FN$2:FN277))</f>
        <v>0</v>
      </c>
      <c r="FP277" s="160">
        <f>IF([Chambre2]*1='CHAMBRES FILLES 1e ETAGE'!$A$11,1,0)</f>
        <v>1</v>
      </c>
      <c r="FQ277" s="160">
        <f>IF([Occurrence19]=0,0,SUM($FP$2:FP277))</f>
        <v>3</v>
      </c>
      <c r="FR277" s="160">
        <f>IF([Chambre2]*1='CHAMBRES FILLES 1e ETAGE'!$A$17,1,0)</f>
        <v>0</v>
      </c>
      <c r="FS277" s="160">
        <f>IF([Occurrence20]=0,0,SUM($FR$2:FR277))</f>
        <v>0</v>
      </c>
      <c r="FT277" s="160">
        <f>IF([Chambre2]*1='CHAMBRES FILLES 1e ETAGE'!$A$23,1,0)</f>
        <v>0</v>
      </c>
      <c r="FU277" s="160">
        <f>IF([Occurrence21]=0,0,SUM($FT$2:FT277))</f>
        <v>0</v>
      </c>
      <c r="FV277" s="160">
        <f>IF([Chambre2]*1='CHAMBRES FILLES 1e ETAGE'!$A$29,1,0)</f>
        <v>0</v>
      </c>
      <c r="FW277" s="160">
        <f>IF([Occurrence22]=0,0,SUM($FV$2:FV277))</f>
        <v>0</v>
      </c>
      <c r="FX277" s="160">
        <f>IF([Chambre2]*1='CHAMBRES FILLES 1e ETAGE'!$A$35,1,0)</f>
        <v>0</v>
      </c>
      <c r="FY277" s="160">
        <f>IF([Occurrence23]=0,0,SUM($FX$2:FX277))</f>
        <v>0</v>
      </c>
      <c r="FZ277" s="160">
        <f>IF([Chambre2]*1='CHAMBRES FILLES 1e ETAGE'!$A$41,1,0)</f>
        <v>0</v>
      </c>
      <c r="GA277" s="160">
        <f>IF([Occurrence24]=0,0,SUM($FZ$2:FZ277))</f>
        <v>0</v>
      </c>
      <c r="GB277" s="160">
        <f>IF([Chambre2]*1='CHAMBRES FILLES 1e ETAGE'!$A$47,1,0)</f>
        <v>0</v>
      </c>
      <c r="GC277" s="160">
        <f>IF([Occurrence25]=0,0,SUM($GB$2:GB277))</f>
        <v>0</v>
      </c>
      <c r="GD277" s="160">
        <f>IF([Chambre2]*1='CHAMBRES FILLES 1e ETAGE'!$A$53,1,0)</f>
        <v>0</v>
      </c>
      <c r="GE277" s="160">
        <f>IF([Occurrence26]=0,0,SUM($GD$2:GD277))</f>
        <v>0</v>
      </c>
      <c r="GF277" s="160">
        <f>IF([chambre4]*1='CHAMBRES GARCONS 1e ETAGE'!$A$5,1,0)</f>
        <v>0</v>
      </c>
      <c r="GG277" s="160">
        <f>IF([Occurrence27]=0,0,SUM($GF$2:GF277))</f>
        <v>0</v>
      </c>
      <c r="GH277" s="160">
        <f>IF([chambre4]*1='CHAMBRES GARCONS 1e ETAGE'!$A$11,1,0)</f>
        <v>0</v>
      </c>
      <c r="GI277" s="160">
        <f>IF([Occurrence28]=0,0,SUM($GH$2:GH277))</f>
        <v>0</v>
      </c>
      <c r="GJ277" s="160">
        <f>IF([chambre4]*1='CHAMBRES GARCONS 1e ETAGE'!$A$17,1,0)</f>
        <v>0</v>
      </c>
      <c r="GK277" s="160">
        <f>IF([Occurrence29]=0,0,SUM($GJ$2:GJ277))</f>
        <v>0</v>
      </c>
      <c r="GL277" s="160">
        <f>IF([chambre4]*1='CHAMBRES GARCONS 1e ETAGE'!$A$23,1,0)</f>
        <v>0</v>
      </c>
      <c r="GM277" s="160">
        <f>IF([Occurrence30]=0,0,SUM($GL$2:GL277))</f>
        <v>0</v>
      </c>
      <c r="GN277" s="160">
        <f>IF([chambre4]*1='CHAMBRES GARCONS 1e ETAGE'!$A$29,1,0)</f>
        <v>0</v>
      </c>
      <c r="GO277" s="160">
        <f>IF([Occurrence31]=0,0,SUM($GN$2:GN277))</f>
        <v>0</v>
      </c>
      <c r="GP277" s="160">
        <f>IF([chambre4]*1='CHAMBRES GARCONS 1e ETAGE'!$A$35,1,0)</f>
        <v>0</v>
      </c>
      <c r="GQ277" s="160">
        <f>IF([Occurrence32]=0,0,SUM($GP$2:GP277))</f>
        <v>0</v>
      </c>
      <c r="GR277" s="160">
        <f>IF([chambre3]*1='CHAMBRES GARCONS RDC'!$A$5,1,0)</f>
        <v>0</v>
      </c>
      <c r="GS277" s="160">
        <f>IF([Occurrence33]=0,0,SUM($GR$2:GR277))</f>
        <v>0</v>
      </c>
      <c r="GT277" s="160">
        <f>IF([chambre3]*1='CHAMBRES GARCONS RDC'!$A$11,1,0)</f>
        <v>0</v>
      </c>
      <c r="GU277" s="160">
        <f>IF([Occurrence34]=0,0,SUM($GT$2:GT277))</f>
        <v>0</v>
      </c>
      <c r="GV277" s="160">
        <f>IF([chambre3]*1='CHAMBRES GARCONS RDC'!$A$17,1,0)</f>
        <v>0</v>
      </c>
      <c r="GW277" s="160">
        <f>IF([Occurrence35]=0,0,SUM($GV$2:GV277))</f>
        <v>0</v>
      </c>
      <c r="GX277" s="160">
        <f>IF([chambre3]*1='CHAMBRES GARCONS RDC'!$A$23,1,0)</f>
        <v>0</v>
      </c>
      <c r="GY277" s="160">
        <f>IF([Occurrence36]=0,0,SUM($GX$2:GX277))</f>
        <v>0</v>
      </c>
      <c r="GZ277" s="160">
        <f>IF([chambre3]*1='CHAMBRES GARCONS RDC'!$A$29,1,0)</f>
        <v>0</v>
      </c>
      <c r="HA277" s="160">
        <f>IF([Occurrence37]=0,0,SUM($GZ$2:GZ277))</f>
        <v>0</v>
      </c>
      <c r="HB277" s="160">
        <f>IF([chambre3]*1='CHAMBRES GARCONS RDC'!$A$35,1,0)</f>
        <v>0</v>
      </c>
      <c r="HC277" s="160">
        <f>IF([Occurrence38]=0,0,SUM($HB$2:HB277))</f>
        <v>0</v>
      </c>
      <c r="HD277" s="160">
        <f>IF([chambre3]*1='CHAMBRES GARCONS RDC'!$A$41,1,0)</f>
        <v>0</v>
      </c>
      <c r="HE277" s="160">
        <f>IF([Occurrence39]=0,0,SUM($HD$2:HD277))</f>
        <v>0</v>
      </c>
      <c r="HF277" s="160">
        <f>IF([chambre3]*1='CHAMBRES GARCONS RDC'!$A$47,1,0)</f>
        <v>0</v>
      </c>
      <c r="HG277" s="160">
        <f>IF([Occurrence40]=0,0,SUM($HF$2:HF277))</f>
        <v>0</v>
      </c>
      <c r="HH277" s="160">
        <f>IF([chambre3]*1='CHAMBRES GARCONS RDC'!$A$53,1,0)</f>
        <v>0</v>
      </c>
      <c r="HI277" s="160">
        <f>IF([Occurrence41]=0,0,SUM($HH$2:HH277))</f>
        <v>0</v>
      </c>
      <c r="HJ277" s="160">
        <f>IF([chambre3]*1='CHAMBRES GARCONS RDC'!$A$59,1,0)</f>
        <v>0</v>
      </c>
      <c r="HK277" s="160">
        <f>IF([Occurrence42]=0,0,SUM($HJ$2:HJ277))</f>
        <v>0</v>
      </c>
      <c r="HL277" s="160">
        <f>IF([chambre3]*1='CHAMBRES GARCONS RDC'!$A$65,1,0)</f>
        <v>0</v>
      </c>
      <c r="HM277" s="160">
        <f>IF([Occurrence43]=0,0,SUM($HL$2:HL277))</f>
        <v>0</v>
      </c>
      <c r="HN277" s="160">
        <f>IF([chambre3]*1='CHAMBRES GARCONS RDC'!$A$71,1,0)</f>
        <v>0</v>
      </c>
      <c r="HO277" s="160">
        <f>IF([Occurrence44]=0,0,SUM($HN$2:HN277))</f>
        <v>0</v>
      </c>
      <c r="HP277" s="160">
        <f>IF([chambre3]*1='CHAMBRES GARCONS RDC'!$A$77,1,0)</f>
        <v>0</v>
      </c>
      <c r="HQ277" s="160">
        <f>IF([Occurrence45]=0,0,SUM($HP$2:HP277))</f>
        <v>0</v>
      </c>
      <c r="HR277" s="160">
        <f>IF([chambre3]*1='CHAMBRES GARCONS RDC'!$A$83,1,0)</f>
        <v>0</v>
      </c>
      <c r="HS277" s="160">
        <f>IF([Occurrence46]=0,0,SUM($HR$2:HR277))</f>
        <v>0</v>
      </c>
      <c r="HT277" s="160">
        <f>IF([chambre3]*1='CHAMBRES GARCONS RDC'!$A$89,1,0)</f>
        <v>0</v>
      </c>
      <c r="HU277" s="160">
        <f>IF([Occurrence47]=0,0,SUM($HT$2:HT277))</f>
        <v>0</v>
      </c>
      <c r="HV277" s="160">
        <f>IF([chambre3]*1='CHAMBRES GARCONS RDC'!$A$95,1,0)</f>
        <v>0</v>
      </c>
      <c r="HW277" s="160">
        <f>IF([Occurrence48]=0,0,SUM($HV$2:HV277))</f>
        <v>0</v>
      </c>
      <c r="HX277" s="160"/>
      <c r="HY277" s="160"/>
      <c r="HZ277" s="160">
        <f>IF([Classe]='Liste élève par classes'!$B$5,1,0)</f>
        <v>0</v>
      </c>
      <c r="IA277" s="160">
        <f>IF([Occurrence]=0,0,SUM($HZ$2:HZ277))</f>
        <v>0</v>
      </c>
      <c r="IB277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133</v>
      </c>
      <c r="IC277" s="208"/>
    </row>
    <row r="278" spans="1:237">
      <c r="A278" t="s">
        <v>695</v>
      </c>
      <c r="B278" t="s">
        <v>550</v>
      </c>
      <c r="C278" s="158">
        <v>37432</v>
      </c>
      <c r="D278" s="62">
        <f t="shared" ca="1" si="4"/>
        <v>15</v>
      </c>
      <c r="E278" t="s">
        <v>5</v>
      </c>
      <c r="F278" s="159" t="s">
        <v>50</v>
      </c>
      <c r="G278" t="s">
        <v>45</v>
      </c>
      <c r="H278" s="160"/>
      <c r="I278" s="62"/>
      <c r="J278" s="62"/>
      <c r="K278" s="62"/>
      <c r="L278" s="61"/>
      <c r="M278">
        <v>266</v>
      </c>
      <c r="N278" s="62"/>
      <c r="O278" s="62"/>
      <c r="P278" s="62"/>
      <c r="Q278" s="62"/>
      <c r="R278" s="62"/>
      <c r="S278" s="191"/>
      <c r="T278" s="62"/>
      <c r="U278" s="61">
        <v>133</v>
      </c>
      <c r="V278" s="62"/>
      <c r="W278" s="62"/>
      <c r="X278" s="62"/>
      <c r="Y278" s="62"/>
      <c r="Z278" s="62"/>
      <c r="AA278" s="62"/>
      <c r="AB278" s="62"/>
      <c r="AC278" s="62"/>
      <c r="AD278" s="62"/>
      <c r="AE278" s="62"/>
      <c r="AF278" s="163"/>
      <c r="AG278" s="163"/>
      <c r="AH278" s="163"/>
      <c r="AI278" s="163"/>
      <c r="AJ278" s="163"/>
      <c r="AK278" s="163"/>
      <c r="AL278" s="163"/>
      <c r="AM278" s="163"/>
      <c r="AN278" s="163"/>
      <c r="AO278" s="163"/>
      <c r="AP278" s="163"/>
      <c r="AQ278" s="163"/>
      <c r="AR278" s="163"/>
      <c r="AS278" s="163"/>
      <c r="AT278" s="163"/>
      <c r="AU278" s="163"/>
      <c r="AV278" s="163"/>
      <c r="AW278" s="163"/>
      <c r="AX278" s="163"/>
      <c r="AY278" s="163"/>
      <c r="AZ278" s="163"/>
      <c r="BA278" s="163"/>
      <c r="BB278" s="163"/>
      <c r="BC278" s="163" t="b">
        <v>0</v>
      </c>
      <c r="BD278" s="163" t="b">
        <v>1</v>
      </c>
      <c r="BE278" s="163" t="b">
        <v>1</v>
      </c>
      <c r="BF278" s="163" t="b">
        <v>0</v>
      </c>
      <c r="BG278" s="164" t="b">
        <v>0</v>
      </c>
      <c r="BH278" s="163" t="b">
        <v>1</v>
      </c>
      <c r="BI278" s="163"/>
      <c r="BJ278" s="163"/>
      <c r="BK278" s="163"/>
      <c r="BL278" s="163"/>
      <c r="BM278" s="163"/>
      <c r="BN278" s="163"/>
      <c r="BO278" s="163"/>
      <c r="BP278" s="163"/>
      <c r="BQ278" s="163" t="b">
        <v>0</v>
      </c>
      <c r="BR278" s="163"/>
      <c r="BS278" s="163"/>
      <c r="BT278" s="163"/>
      <c r="BU278" s="163"/>
      <c r="BV278" s="163"/>
      <c r="BW278" s="163"/>
      <c r="BX278" s="163"/>
      <c r="BY278" s="163"/>
      <c r="BZ278" s="163"/>
      <c r="CA278" s="163"/>
      <c r="CB278" s="163"/>
      <c r="CC278" s="163"/>
      <c r="CD278" s="163"/>
      <c r="CE278" s="163"/>
      <c r="CF278" s="163"/>
      <c r="CG278" s="163"/>
      <c r="CH278" s="163"/>
      <c r="CI278" s="163"/>
      <c r="CJ278" s="163"/>
      <c r="CK278" s="163"/>
      <c r="CL278" s="163"/>
      <c r="CM278" s="163"/>
      <c r="CN278" s="163"/>
      <c r="CO278" s="163"/>
      <c r="CP278" s="163"/>
      <c r="CQ278" s="163"/>
      <c r="CR278" s="163"/>
      <c r="CS278" s="163"/>
      <c r="CT278" s="163"/>
      <c r="CU278" s="163"/>
      <c r="CV278" s="163"/>
      <c r="CW278" s="163"/>
      <c r="CX278" s="163"/>
      <c r="CY278" s="163"/>
      <c r="CZ278" s="163"/>
      <c r="DA278" s="163"/>
      <c r="DB278" s="163"/>
      <c r="DC278" s="163"/>
      <c r="DD278" s="163"/>
      <c r="DE278" s="163"/>
      <c r="DF278" s="163"/>
      <c r="DG278" s="208"/>
      <c r="DH278" s="163"/>
      <c r="DI278" s="163"/>
      <c r="DJ278" s="163"/>
      <c r="DK278" s="163"/>
      <c r="DL278" s="163"/>
      <c r="DM278" s="163"/>
      <c r="DN278" s="163"/>
      <c r="DO278" s="163"/>
      <c r="DP278" s="163"/>
      <c r="DQ278" s="163"/>
      <c r="DR278" s="163"/>
      <c r="DS278" s="163"/>
      <c r="DT278" s="163"/>
      <c r="DU278" s="163"/>
      <c r="DV278" s="163"/>
      <c r="DW278" s="163"/>
      <c r="DX278" s="163"/>
      <c r="DY278" s="163"/>
      <c r="DZ278" s="163"/>
      <c r="EA278" s="163"/>
      <c r="EB278" s="163"/>
      <c r="EC278" s="163"/>
      <c r="ED278" s="163"/>
      <c r="EE278" s="163"/>
      <c r="EF278" s="163"/>
      <c r="EG278" s="163"/>
      <c r="EH278" s="160">
        <f>IF([Chambre]*1='CHAMBRES FILLES 2e ETAGE'!$A$5,1,0)</f>
        <v>0</v>
      </c>
      <c r="EI278" s="161">
        <f>IF([Occurrence2]=0,0,SUM($EH$2:EH278))</f>
        <v>0</v>
      </c>
      <c r="EJ278" s="160">
        <f>IF([Chambre]*1='CHAMBRES FILLES 2e ETAGE'!$A$11,1,0)</f>
        <v>0</v>
      </c>
      <c r="EK278" s="160">
        <f>IF([Occurrence3]=0,0,SUM($EJ$2:EJ278))</f>
        <v>0</v>
      </c>
      <c r="EL278" s="160">
        <f>IF([Chambre]*1='CHAMBRES FILLES 2e ETAGE'!$A$17,1,0)</f>
        <v>0</v>
      </c>
      <c r="EM278" s="160">
        <f>IF([Occurrence4]=0,0,SUM($EL$2:EL278))</f>
        <v>0</v>
      </c>
      <c r="EN278" s="160">
        <f>IF([Chambre]*1='CHAMBRES FILLES 2e ETAGE'!$A$23,1,0)</f>
        <v>0</v>
      </c>
      <c r="EO278" s="160">
        <f>IF([Occurrence5]=0,0,SUM($EN$2:EN278))</f>
        <v>0</v>
      </c>
      <c r="EP278" s="160">
        <f>IF([Chambre]*1='CHAMBRES FILLES 2e ETAGE'!$A$29,1,0)</f>
        <v>0</v>
      </c>
      <c r="EQ278" s="160">
        <f>IF([Occurrence6]=0,0,SUM($EP$2:EP278))</f>
        <v>0</v>
      </c>
      <c r="ER278" s="160">
        <f>IF([Chambre]*1='CHAMBRES FILLES 2e ETAGE'!$A$35,1,0)</f>
        <v>0</v>
      </c>
      <c r="ES278" s="160">
        <f>IF([Occurrence7]=0,0,SUM($ER$2:ER278))</f>
        <v>0</v>
      </c>
      <c r="ET278" s="160">
        <f>IF([Chambre]*1='CHAMBRES FILLES 2e ETAGE'!$A$41,1,0)</f>
        <v>0</v>
      </c>
      <c r="EU278" s="160">
        <f>IF([Occurrence8]=0,0,SUM($ET$2:ET278))</f>
        <v>0</v>
      </c>
      <c r="EV278" s="160">
        <f>IF([Chambre]*1='CHAMBRES FILLES 2e ETAGE'!$A$47,1,0)</f>
        <v>0</v>
      </c>
      <c r="EW278" s="160">
        <f>IF([Occurrence9]=0,0,SUM($EV$2:EV278))</f>
        <v>0</v>
      </c>
      <c r="EX278" s="160">
        <f>IF([Chambre]*1='CHAMBRES FILLES 2e ETAGE'!$A$53,1,0)</f>
        <v>0</v>
      </c>
      <c r="EY278" s="160">
        <f>IF([Occurrence10]=0,0,SUM($EX$2:EX278))</f>
        <v>0</v>
      </c>
      <c r="EZ278" s="160">
        <f>IF([Chambre]*1='CHAMBRES FILLES 2e ETAGE'!$A$59,1,0)</f>
        <v>0</v>
      </c>
      <c r="FA278" s="160">
        <f>IF([Occurrence11]=0,0,SUM($EZ$2:EZ278))</f>
        <v>0</v>
      </c>
      <c r="FB278" s="160">
        <f>IF([Chambre]*1='CHAMBRES FILLES 2e ETAGE'!$A$65,1,0)</f>
        <v>0</v>
      </c>
      <c r="FC278" s="160">
        <f>IF([Occurrence12]=0,0,SUM($FB$2:FB278))</f>
        <v>0</v>
      </c>
      <c r="FD278" s="160">
        <f>IF([Chambre]*1='CHAMBRES FILLES 2e ETAGE'!$A$71,1,0)</f>
        <v>0</v>
      </c>
      <c r="FE278" s="160">
        <f>IF([Occurrence13]=0,0,SUM($FD$2:FD278))</f>
        <v>0</v>
      </c>
      <c r="FF278" s="160">
        <f>IF([Chambre]*1='CHAMBRES FILLES 2e ETAGE'!$A$77,1,0)</f>
        <v>0</v>
      </c>
      <c r="FG278" s="160">
        <f>IF([Occurrence14]=0,0,SUM($FF$2:FF278))</f>
        <v>0</v>
      </c>
      <c r="FH278" s="160">
        <f>IF([Chambre]*1='CHAMBRES FILLES 2e ETAGE'!$A$83,1,0)</f>
        <v>0</v>
      </c>
      <c r="FI278" s="160">
        <f>IF([Occurrence15]=0,0,SUM($FH$2:FH278))</f>
        <v>0</v>
      </c>
      <c r="FJ278" s="160">
        <f>IF([Chambre]*1='CHAMBRES FILLES 2e ETAGE'!$A$89,1,0)</f>
        <v>0</v>
      </c>
      <c r="FK278" s="160">
        <f>IF([Occurrence16]=0,0,SUM($FJ$2:FJ278))</f>
        <v>0</v>
      </c>
      <c r="FL278" s="160">
        <f>IF([Chambre]*1='CHAMBRES FILLES 2e ETAGE'!$A$95,1,0)</f>
        <v>0</v>
      </c>
      <c r="FM278" s="160">
        <f>IF([Occurrence17]=0,0,SUM($FL$2:FL278))</f>
        <v>0</v>
      </c>
      <c r="FN278" s="160">
        <f>IF([Chambre2]*1='CHAMBRES FILLES 1e ETAGE'!$A$5,1,0)</f>
        <v>0</v>
      </c>
      <c r="FO278" s="160">
        <f>IF([Occurrence18]=0,0,SUM($FN$2:FN278))</f>
        <v>0</v>
      </c>
      <c r="FP278" s="160">
        <f>IF([Chambre2]*1='CHAMBRES FILLES 1e ETAGE'!$A$11,1,0)</f>
        <v>1</v>
      </c>
      <c r="FQ278" s="160">
        <f>IF([Occurrence19]=0,0,SUM($FP$2:FP278))</f>
        <v>4</v>
      </c>
      <c r="FR278" s="160">
        <f>IF([Chambre2]*1='CHAMBRES FILLES 1e ETAGE'!$A$17,1,0)</f>
        <v>0</v>
      </c>
      <c r="FS278" s="160">
        <f>IF([Occurrence20]=0,0,SUM($FR$2:FR278))</f>
        <v>0</v>
      </c>
      <c r="FT278" s="160">
        <f>IF([Chambre2]*1='CHAMBRES FILLES 1e ETAGE'!$A$23,1,0)</f>
        <v>0</v>
      </c>
      <c r="FU278" s="160">
        <f>IF([Occurrence21]=0,0,SUM($FT$2:FT278))</f>
        <v>0</v>
      </c>
      <c r="FV278" s="160">
        <f>IF([Chambre2]*1='CHAMBRES FILLES 1e ETAGE'!$A$29,1,0)</f>
        <v>0</v>
      </c>
      <c r="FW278" s="160">
        <f>IF([Occurrence22]=0,0,SUM($FV$2:FV278))</f>
        <v>0</v>
      </c>
      <c r="FX278" s="160">
        <f>IF([Chambre2]*1='CHAMBRES FILLES 1e ETAGE'!$A$35,1,0)</f>
        <v>0</v>
      </c>
      <c r="FY278" s="160">
        <f>IF([Occurrence23]=0,0,SUM($FX$2:FX278))</f>
        <v>0</v>
      </c>
      <c r="FZ278" s="160">
        <f>IF([Chambre2]*1='CHAMBRES FILLES 1e ETAGE'!$A$41,1,0)</f>
        <v>0</v>
      </c>
      <c r="GA278" s="160">
        <f>IF([Occurrence24]=0,0,SUM($FZ$2:FZ278))</f>
        <v>0</v>
      </c>
      <c r="GB278" s="160">
        <f>IF([Chambre2]*1='CHAMBRES FILLES 1e ETAGE'!$A$47,1,0)</f>
        <v>0</v>
      </c>
      <c r="GC278" s="160">
        <f>IF([Occurrence25]=0,0,SUM($GB$2:GB278))</f>
        <v>0</v>
      </c>
      <c r="GD278" s="160">
        <f>IF([Chambre2]*1='CHAMBRES FILLES 1e ETAGE'!$A$53,1,0)</f>
        <v>0</v>
      </c>
      <c r="GE278" s="160">
        <f>IF([Occurrence26]=0,0,SUM($GD$2:GD278))</f>
        <v>0</v>
      </c>
      <c r="GF278" s="160">
        <f>IF([chambre4]*1='CHAMBRES GARCONS 1e ETAGE'!$A$5,1,0)</f>
        <v>0</v>
      </c>
      <c r="GG278" s="160">
        <f>IF([Occurrence27]=0,0,SUM($GF$2:GF278))</f>
        <v>0</v>
      </c>
      <c r="GH278" s="160">
        <f>IF([chambre4]*1='CHAMBRES GARCONS 1e ETAGE'!$A$11,1,0)</f>
        <v>0</v>
      </c>
      <c r="GI278" s="160">
        <f>IF([Occurrence28]=0,0,SUM($GH$2:GH278))</f>
        <v>0</v>
      </c>
      <c r="GJ278" s="160">
        <f>IF([chambre4]*1='CHAMBRES GARCONS 1e ETAGE'!$A$17,1,0)</f>
        <v>0</v>
      </c>
      <c r="GK278" s="160">
        <f>IF([Occurrence29]=0,0,SUM($GJ$2:GJ278))</f>
        <v>0</v>
      </c>
      <c r="GL278" s="160">
        <f>IF([chambre4]*1='CHAMBRES GARCONS 1e ETAGE'!$A$23,1,0)</f>
        <v>0</v>
      </c>
      <c r="GM278" s="160">
        <f>IF([Occurrence30]=0,0,SUM($GL$2:GL278))</f>
        <v>0</v>
      </c>
      <c r="GN278" s="160">
        <f>IF([chambre4]*1='CHAMBRES GARCONS 1e ETAGE'!$A$29,1,0)</f>
        <v>0</v>
      </c>
      <c r="GO278" s="160">
        <f>IF([Occurrence31]=0,0,SUM($GN$2:GN278))</f>
        <v>0</v>
      </c>
      <c r="GP278" s="160">
        <f>IF([chambre4]*1='CHAMBRES GARCONS 1e ETAGE'!$A$35,1,0)</f>
        <v>0</v>
      </c>
      <c r="GQ278" s="160">
        <f>IF([Occurrence32]=0,0,SUM($GP$2:GP278))</f>
        <v>0</v>
      </c>
      <c r="GR278" s="160">
        <f>IF([chambre3]*1='CHAMBRES GARCONS RDC'!$A$5,1,0)</f>
        <v>0</v>
      </c>
      <c r="GS278" s="160">
        <f>IF([Occurrence33]=0,0,SUM($GR$2:GR278))</f>
        <v>0</v>
      </c>
      <c r="GT278" s="160">
        <f>IF([chambre3]*1='CHAMBRES GARCONS RDC'!$A$11,1,0)</f>
        <v>0</v>
      </c>
      <c r="GU278" s="160">
        <f>IF([Occurrence34]=0,0,SUM($GT$2:GT278))</f>
        <v>0</v>
      </c>
      <c r="GV278" s="160">
        <f>IF([chambre3]*1='CHAMBRES GARCONS RDC'!$A$17,1,0)</f>
        <v>0</v>
      </c>
      <c r="GW278" s="160">
        <f>IF([Occurrence35]=0,0,SUM($GV$2:GV278))</f>
        <v>0</v>
      </c>
      <c r="GX278" s="160">
        <f>IF([chambre3]*1='CHAMBRES GARCONS RDC'!$A$23,1,0)</f>
        <v>0</v>
      </c>
      <c r="GY278" s="160">
        <f>IF([Occurrence36]=0,0,SUM($GX$2:GX278))</f>
        <v>0</v>
      </c>
      <c r="GZ278" s="160">
        <f>IF([chambre3]*1='CHAMBRES GARCONS RDC'!$A$29,1,0)</f>
        <v>0</v>
      </c>
      <c r="HA278" s="160">
        <f>IF([Occurrence37]=0,0,SUM($GZ$2:GZ278))</f>
        <v>0</v>
      </c>
      <c r="HB278" s="160">
        <f>IF([chambre3]*1='CHAMBRES GARCONS RDC'!$A$35,1,0)</f>
        <v>0</v>
      </c>
      <c r="HC278" s="160">
        <f>IF([Occurrence38]=0,0,SUM($HB$2:HB278))</f>
        <v>0</v>
      </c>
      <c r="HD278" s="160">
        <f>IF([chambre3]*1='CHAMBRES GARCONS RDC'!$A$41,1,0)</f>
        <v>0</v>
      </c>
      <c r="HE278" s="160">
        <f>IF([Occurrence39]=0,0,SUM($HD$2:HD278))</f>
        <v>0</v>
      </c>
      <c r="HF278" s="160">
        <f>IF([chambre3]*1='CHAMBRES GARCONS RDC'!$A$47,1,0)</f>
        <v>0</v>
      </c>
      <c r="HG278" s="160">
        <f>IF([Occurrence40]=0,0,SUM($HF$2:HF278))</f>
        <v>0</v>
      </c>
      <c r="HH278" s="160">
        <f>IF([chambre3]*1='CHAMBRES GARCONS RDC'!$A$53,1,0)</f>
        <v>0</v>
      </c>
      <c r="HI278" s="160">
        <f>IF([Occurrence41]=0,0,SUM($HH$2:HH278))</f>
        <v>0</v>
      </c>
      <c r="HJ278" s="160">
        <f>IF([chambre3]*1='CHAMBRES GARCONS RDC'!$A$59,1,0)</f>
        <v>0</v>
      </c>
      <c r="HK278" s="160">
        <f>IF([Occurrence42]=0,0,SUM($HJ$2:HJ278))</f>
        <v>0</v>
      </c>
      <c r="HL278" s="160">
        <f>IF([chambre3]*1='CHAMBRES GARCONS RDC'!$A$65,1,0)</f>
        <v>0</v>
      </c>
      <c r="HM278" s="160">
        <f>IF([Occurrence43]=0,0,SUM($HL$2:HL278))</f>
        <v>0</v>
      </c>
      <c r="HN278" s="160">
        <f>IF([chambre3]*1='CHAMBRES GARCONS RDC'!$A$71,1,0)</f>
        <v>0</v>
      </c>
      <c r="HO278" s="160">
        <f>IF([Occurrence44]=0,0,SUM($HN$2:HN278))</f>
        <v>0</v>
      </c>
      <c r="HP278" s="160">
        <f>IF([chambre3]*1='CHAMBRES GARCONS RDC'!$A$77,1,0)</f>
        <v>0</v>
      </c>
      <c r="HQ278" s="160">
        <f>IF([Occurrence45]=0,0,SUM($HP$2:HP278))</f>
        <v>0</v>
      </c>
      <c r="HR278" s="160">
        <f>IF([chambre3]*1='CHAMBRES GARCONS RDC'!$A$83,1,0)</f>
        <v>0</v>
      </c>
      <c r="HS278" s="160">
        <f>IF([Occurrence46]=0,0,SUM($HR$2:HR278))</f>
        <v>0</v>
      </c>
      <c r="HT278" s="160">
        <f>IF([chambre3]*1='CHAMBRES GARCONS RDC'!$A$89,1,0)</f>
        <v>0</v>
      </c>
      <c r="HU278" s="160">
        <f>IF([Occurrence47]=0,0,SUM($HT$2:HT278))</f>
        <v>0</v>
      </c>
      <c r="HV278" s="160">
        <f>IF([chambre3]*1='CHAMBRES GARCONS RDC'!$A$95,1,0)</f>
        <v>0</v>
      </c>
      <c r="HW278" s="160">
        <f>IF([Occurrence48]=0,0,SUM($HV$2:HV278))</f>
        <v>0</v>
      </c>
      <c r="HX278" s="160"/>
      <c r="HY278" s="160"/>
      <c r="HZ278" s="160">
        <f>IF([Classe]='Liste élève par classes'!$B$5,1,0)</f>
        <v>0</v>
      </c>
      <c r="IA278" s="160">
        <f>IF([Occurrence]=0,0,SUM($HZ$2:HZ278))</f>
        <v>0</v>
      </c>
      <c r="IB278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>133</v>
      </c>
      <c r="IC278" s="208"/>
    </row>
    <row r="279" spans="1:237">
      <c r="A279" t="s">
        <v>696</v>
      </c>
      <c r="B279" t="s">
        <v>697</v>
      </c>
      <c r="C279" s="158">
        <v>36395</v>
      </c>
      <c r="D279" s="62">
        <f t="shared" ca="1" si="4"/>
        <v>18</v>
      </c>
      <c r="E279" t="s">
        <v>3</v>
      </c>
      <c r="F279" s="165" t="s">
        <v>46</v>
      </c>
      <c r="G279" t="s">
        <v>45</v>
      </c>
      <c r="H279" s="160"/>
      <c r="I279" s="62"/>
      <c r="J279" s="62"/>
      <c r="K279" s="62"/>
      <c r="L279" s="61"/>
      <c r="M279" s="62"/>
      <c r="N279" s="62"/>
      <c r="O279" s="62"/>
      <c r="P279" s="62"/>
      <c r="Q279" s="62"/>
      <c r="R279" s="62"/>
      <c r="S279" s="62"/>
      <c r="T279" s="62"/>
      <c r="U279" s="61"/>
      <c r="V279" s="62"/>
      <c r="W279" s="62"/>
      <c r="X279" s="62"/>
      <c r="Y279" s="62"/>
      <c r="Z279" s="62"/>
      <c r="AA279" s="62"/>
      <c r="AB279" s="62"/>
      <c r="AC279" s="62"/>
      <c r="AD279" s="62"/>
      <c r="AE279" s="62"/>
      <c r="AF279" s="163"/>
      <c r="AG279" s="163"/>
      <c r="AH279" s="163"/>
      <c r="AI279" s="163"/>
      <c r="AJ279" s="163"/>
      <c r="AK279" s="163"/>
      <c r="AL279" s="163"/>
      <c r="AM279" s="163"/>
      <c r="AN279" s="163"/>
      <c r="AO279" s="163"/>
      <c r="AP279" s="163"/>
      <c r="AQ279" s="163"/>
      <c r="AR279" s="163"/>
      <c r="AS279" s="163"/>
      <c r="AT279" s="163"/>
      <c r="AU279" s="163"/>
      <c r="AV279" s="163"/>
      <c r="AW279" s="163"/>
      <c r="AX279" s="163"/>
      <c r="AY279" s="163"/>
      <c r="AZ279" s="163"/>
      <c r="BA279" s="163"/>
      <c r="BB279" s="163"/>
      <c r="BC279" s="163" t="b">
        <v>0</v>
      </c>
      <c r="BD279" s="163" t="b">
        <v>0</v>
      </c>
      <c r="BE279" s="163" t="b">
        <v>0</v>
      </c>
      <c r="BF279" s="163" t="b">
        <v>0</v>
      </c>
      <c r="BG279" s="163" t="b">
        <v>0</v>
      </c>
      <c r="BH279" s="163" t="b">
        <v>0</v>
      </c>
      <c r="BI279" s="163" t="b">
        <v>1</v>
      </c>
      <c r="BJ279" s="163" t="b">
        <v>0</v>
      </c>
      <c r="BK279" s="163" t="b">
        <v>0</v>
      </c>
      <c r="BL279" s="163" t="b">
        <v>0</v>
      </c>
      <c r="BM279" s="163"/>
      <c r="BN279" s="163"/>
      <c r="BO279" s="163"/>
      <c r="BP279" s="163"/>
      <c r="BQ279" s="163"/>
      <c r="BR279" s="163"/>
      <c r="BS279" s="163"/>
      <c r="BT279" s="163"/>
      <c r="BU279" s="163"/>
      <c r="BV279" s="163"/>
      <c r="BW279" s="163"/>
      <c r="BX279" s="163"/>
      <c r="BY279" s="163"/>
      <c r="BZ279" s="163"/>
      <c r="CA279" s="163"/>
      <c r="CB279" s="163"/>
      <c r="CC279" s="163"/>
      <c r="CD279" s="163"/>
      <c r="CE279" s="163"/>
      <c r="CF279" s="163"/>
      <c r="CG279" s="163"/>
      <c r="CH279" s="163"/>
      <c r="CI279" s="163"/>
      <c r="CJ279" s="163"/>
      <c r="CK279" s="163"/>
      <c r="CL279" s="163"/>
      <c r="CM279" s="163"/>
      <c r="CN279" s="163"/>
      <c r="CO279" s="163"/>
      <c r="CP279" s="163"/>
      <c r="CQ279" s="163"/>
      <c r="CR279" s="163"/>
      <c r="CS279" s="163"/>
      <c r="CT279" s="163"/>
      <c r="CU279" s="163"/>
      <c r="CV279" s="163"/>
      <c r="CW279" s="163"/>
      <c r="CX279" s="163"/>
      <c r="CY279" s="163"/>
      <c r="CZ279" s="163"/>
      <c r="DA279" s="163"/>
      <c r="DB279" s="163"/>
      <c r="DC279" s="163"/>
      <c r="DD279" s="163"/>
      <c r="DE279" s="163"/>
      <c r="DF279" s="163"/>
      <c r="DG279" s="163"/>
      <c r="DH279" s="163"/>
      <c r="DI279" s="163"/>
      <c r="DJ279" s="163"/>
      <c r="DK279" s="163"/>
      <c r="DL279" s="163"/>
      <c r="DM279" s="163"/>
      <c r="DN279" s="163"/>
      <c r="DO279" s="163"/>
      <c r="DP279" s="163"/>
      <c r="DQ279" s="163"/>
      <c r="DR279" s="163"/>
      <c r="DS279" s="163"/>
      <c r="DT279" s="163"/>
      <c r="DU279" s="163"/>
      <c r="DV279" s="163"/>
      <c r="DW279" s="163"/>
      <c r="DX279" s="163"/>
      <c r="DY279" s="163"/>
      <c r="DZ279" s="163"/>
      <c r="EA279" s="163"/>
      <c r="EB279" s="163"/>
      <c r="EC279" s="163"/>
      <c r="ED279" s="163"/>
      <c r="EE279" s="163"/>
      <c r="EF279" s="163"/>
      <c r="EG279" s="163"/>
      <c r="EH279" s="160">
        <f>IF([Chambre]*1='CHAMBRES FILLES 2e ETAGE'!$A$5,1,0)</f>
        <v>0</v>
      </c>
      <c r="EI279" s="161">
        <f>IF([Occurrence2]=0,0,SUM($EH$2:EH279))</f>
        <v>0</v>
      </c>
      <c r="EJ279" s="160">
        <f>IF([Chambre]*1='CHAMBRES FILLES 2e ETAGE'!$A$11,1,0)</f>
        <v>0</v>
      </c>
      <c r="EK279" s="160">
        <f>IF([Occurrence3]=0,0,SUM($EJ$2:EJ279))</f>
        <v>0</v>
      </c>
      <c r="EL279" s="160">
        <f>IF([Chambre]*1='CHAMBRES FILLES 2e ETAGE'!$A$17,1,0)</f>
        <v>0</v>
      </c>
      <c r="EM279" s="160">
        <f>IF([Occurrence4]=0,0,SUM($EL$2:EL279))</f>
        <v>0</v>
      </c>
      <c r="EN279" s="160">
        <f>IF([Chambre]*1='CHAMBRES FILLES 2e ETAGE'!$A$23,1,0)</f>
        <v>0</v>
      </c>
      <c r="EO279" s="160">
        <f>IF([Occurrence5]=0,0,SUM($EN$2:EN279))</f>
        <v>0</v>
      </c>
      <c r="EP279" s="160">
        <f>IF([Chambre]*1='CHAMBRES FILLES 2e ETAGE'!$A$29,1,0)</f>
        <v>0</v>
      </c>
      <c r="EQ279" s="160">
        <f>IF([Occurrence6]=0,0,SUM($EP$2:EP279))</f>
        <v>0</v>
      </c>
      <c r="ER279" s="160">
        <f>IF([Chambre]*1='CHAMBRES FILLES 2e ETAGE'!$A$35,1,0)</f>
        <v>0</v>
      </c>
      <c r="ES279" s="160">
        <f>IF([Occurrence7]=0,0,SUM($ER$2:ER279))</f>
        <v>0</v>
      </c>
      <c r="ET279" s="160">
        <f>IF([Chambre]*1='CHAMBRES FILLES 2e ETAGE'!$A$41,1,0)</f>
        <v>0</v>
      </c>
      <c r="EU279" s="160">
        <f>IF([Occurrence8]=0,0,SUM($ET$2:ET279))</f>
        <v>0</v>
      </c>
      <c r="EV279" s="160">
        <f>IF([Chambre]*1='CHAMBRES FILLES 2e ETAGE'!$A$47,1,0)</f>
        <v>0</v>
      </c>
      <c r="EW279" s="160">
        <f>IF([Occurrence9]=0,0,SUM($EV$2:EV279))</f>
        <v>0</v>
      </c>
      <c r="EX279" s="160">
        <f>IF([Chambre]*1='CHAMBRES FILLES 2e ETAGE'!$A$53,1,0)</f>
        <v>0</v>
      </c>
      <c r="EY279" s="160">
        <f>IF([Occurrence10]=0,0,SUM($EX$2:EX279))</f>
        <v>0</v>
      </c>
      <c r="EZ279" s="160">
        <f>IF([Chambre]*1='CHAMBRES FILLES 2e ETAGE'!$A$59,1,0)</f>
        <v>0</v>
      </c>
      <c r="FA279" s="160">
        <f>IF([Occurrence11]=0,0,SUM($EZ$2:EZ279))</f>
        <v>0</v>
      </c>
      <c r="FB279" s="160">
        <f>IF([Chambre]*1='CHAMBRES FILLES 2e ETAGE'!$A$65,1,0)</f>
        <v>0</v>
      </c>
      <c r="FC279" s="160">
        <f>IF([Occurrence12]=0,0,SUM($FB$2:FB279))</f>
        <v>0</v>
      </c>
      <c r="FD279" s="160">
        <f>IF([Chambre]*1='CHAMBRES FILLES 2e ETAGE'!$A$71,1,0)</f>
        <v>0</v>
      </c>
      <c r="FE279" s="160">
        <f>IF([Occurrence13]=0,0,SUM($FD$2:FD279))</f>
        <v>0</v>
      </c>
      <c r="FF279" s="160">
        <f>IF([Chambre]*1='CHAMBRES FILLES 2e ETAGE'!$A$77,1,0)</f>
        <v>0</v>
      </c>
      <c r="FG279" s="160">
        <f>IF([Occurrence14]=0,0,SUM($FF$2:FF279))</f>
        <v>0</v>
      </c>
      <c r="FH279" s="160">
        <f>IF([Chambre]*1='CHAMBRES FILLES 2e ETAGE'!$A$83,1,0)</f>
        <v>0</v>
      </c>
      <c r="FI279" s="163"/>
      <c r="FJ279" s="160">
        <f>IF([Chambre]*1='CHAMBRES FILLES 2e ETAGE'!$A$89,1,0)</f>
        <v>0</v>
      </c>
      <c r="FK279" s="160">
        <f>IF([Occurrence16]=0,0,SUM($FJ$2:FJ279))</f>
        <v>0</v>
      </c>
      <c r="FL279" s="160">
        <f>IF([Chambre]*1='CHAMBRES FILLES 2e ETAGE'!$A$95,1,0)</f>
        <v>0</v>
      </c>
      <c r="FM279" s="160">
        <f>IF([Occurrence17]=0,0,SUM($FL$2:FL279))</f>
        <v>0</v>
      </c>
      <c r="FN279" s="160">
        <f>IF([Chambre2]*1='CHAMBRES FILLES 1e ETAGE'!$A$5,1,0)</f>
        <v>0</v>
      </c>
      <c r="FO279" s="160">
        <f>IF([Occurrence18]=0,0,SUM($FN$2:FN279))</f>
        <v>0</v>
      </c>
      <c r="FP279" s="160">
        <f>IF([Chambre2]*1='CHAMBRES FILLES 1e ETAGE'!$A$11,1,0)</f>
        <v>0</v>
      </c>
      <c r="FQ279" s="160">
        <f>IF([Occurrence19]=0,0,SUM($FP$2:FP279))</f>
        <v>0</v>
      </c>
      <c r="FR279" s="160">
        <f>IF([Chambre2]*1='CHAMBRES FILLES 1e ETAGE'!$A$17,1,0)</f>
        <v>0</v>
      </c>
      <c r="FS279" s="160">
        <f>IF([Occurrence20]=0,0,SUM($FR$2:FR279))</f>
        <v>0</v>
      </c>
      <c r="FT279" s="160">
        <f>IF([Chambre2]*1='CHAMBRES FILLES 1e ETAGE'!$A$23,1,0)</f>
        <v>0</v>
      </c>
      <c r="FU279" s="160">
        <f>IF([Occurrence21]=0,0,SUM($FT$2:FT279))</f>
        <v>0</v>
      </c>
      <c r="FV279" s="160">
        <f>IF([Chambre2]*1='CHAMBRES FILLES 1e ETAGE'!$A$29,1,0)</f>
        <v>0</v>
      </c>
      <c r="FW279" s="160">
        <f>IF([Occurrence22]=0,0,SUM($FV$2:FV279))</f>
        <v>0</v>
      </c>
      <c r="FX279" s="160">
        <f>IF([Chambre2]*1='CHAMBRES FILLES 1e ETAGE'!$A$35,1,0)</f>
        <v>0</v>
      </c>
      <c r="FY279" s="160">
        <f>IF([Occurrence23]=0,0,SUM($FX$2:FX279))</f>
        <v>0</v>
      </c>
      <c r="FZ279" s="160">
        <f>IF([Chambre2]*1='CHAMBRES FILLES 1e ETAGE'!$A$41,1,0)</f>
        <v>0</v>
      </c>
      <c r="GA279" s="160">
        <f>IF([Occurrence24]=0,0,SUM($FZ$2:FZ279))</f>
        <v>0</v>
      </c>
      <c r="GB279" s="160">
        <f>IF([Chambre2]*1='CHAMBRES FILLES 1e ETAGE'!$A$47,1,0)</f>
        <v>0</v>
      </c>
      <c r="GC279" s="160">
        <f>IF([Occurrence25]=0,0,SUM($GB$2:GB279))</f>
        <v>0</v>
      </c>
      <c r="GD279" s="160">
        <f>IF([Chambre2]*1='CHAMBRES FILLES 1e ETAGE'!$A$53,1,0)</f>
        <v>0</v>
      </c>
      <c r="GE279" s="160">
        <f>IF([Occurrence26]=0,0,SUM($GD$2:GD279))</f>
        <v>0</v>
      </c>
      <c r="GF279" s="160">
        <f>IF([chambre4]*1='CHAMBRES GARCONS 1e ETAGE'!$A$5,1,0)</f>
        <v>0</v>
      </c>
      <c r="GG279" s="160">
        <f>IF([Occurrence27]=0,0,SUM($GF$2:GF279))</f>
        <v>0</v>
      </c>
      <c r="GH279" s="160">
        <f>IF([chambre4]*1='CHAMBRES GARCONS 1e ETAGE'!$A$11,1,0)</f>
        <v>0</v>
      </c>
      <c r="GI279" s="160">
        <f>IF([Occurrence28]=0,0,SUM($GH$2:GH279))</f>
        <v>0</v>
      </c>
      <c r="GJ279" s="160">
        <f>IF([chambre4]*1='CHAMBRES GARCONS 1e ETAGE'!$A$17,1,0)</f>
        <v>0</v>
      </c>
      <c r="GK279" s="160">
        <f>IF([Occurrence29]=0,0,SUM($GJ$2:GJ279))</f>
        <v>0</v>
      </c>
      <c r="GL279" s="160">
        <f>IF([chambre4]*1='CHAMBRES GARCONS 1e ETAGE'!$A$23,1,0)</f>
        <v>0</v>
      </c>
      <c r="GM279" s="160">
        <f>IF([Occurrence30]=0,0,SUM($GL$2:GL279))</f>
        <v>0</v>
      </c>
      <c r="GN279" s="160">
        <f>IF([chambre4]*1='CHAMBRES GARCONS 1e ETAGE'!$A$29,1,0)</f>
        <v>0</v>
      </c>
      <c r="GO279" s="160">
        <f>IF([Occurrence31]=0,0,SUM($GN$2:GN279))</f>
        <v>0</v>
      </c>
      <c r="GP279" s="160">
        <f>IF([chambre4]*1='CHAMBRES GARCONS 1e ETAGE'!$A$35,1,0)</f>
        <v>0</v>
      </c>
      <c r="GQ279" s="160">
        <f>IF([Occurrence32]=0,0,SUM($GP$2:GP279))</f>
        <v>0</v>
      </c>
      <c r="GR279" s="160">
        <f>IF([chambre3]*1='CHAMBRES GARCONS RDC'!$A$5,1,0)</f>
        <v>0</v>
      </c>
      <c r="GS279" s="160">
        <f>IF([Occurrence33]=0,0,SUM($GR$2:GR279))</f>
        <v>0</v>
      </c>
      <c r="GT279" s="160">
        <f>IF([chambre3]*1='CHAMBRES GARCONS RDC'!$A$11,1,0)</f>
        <v>0</v>
      </c>
      <c r="GU279" s="160">
        <f>IF([Occurrence34]=0,0,SUM($GT$2:GT279))</f>
        <v>0</v>
      </c>
      <c r="GV279" s="160">
        <f>IF([chambre3]*1='CHAMBRES GARCONS RDC'!$A$17,1,0)</f>
        <v>0</v>
      </c>
      <c r="GW279" s="160">
        <f>IF([Occurrence35]=0,0,SUM($GV$2:GV279))</f>
        <v>0</v>
      </c>
      <c r="GX279" s="160">
        <f>IF([chambre3]*1='CHAMBRES GARCONS RDC'!$A$23,1,0)</f>
        <v>0</v>
      </c>
      <c r="GY279" s="160">
        <f>IF([Occurrence36]=0,0,SUM($GX$2:GX279))</f>
        <v>0</v>
      </c>
      <c r="GZ279" s="160">
        <f>IF([chambre3]*1='CHAMBRES GARCONS RDC'!$A$29,1,0)</f>
        <v>0</v>
      </c>
      <c r="HA279" s="160">
        <f>IF([Occurrence37]=0,0,SUM($GZ$2:GZ279))</f>
        <v>0</v>
      </c>
      <c r="HB279" s="160">
        <f>IF([chambre3]*1='CHAMBRES GARCONS RDC'!$A$35,1,0)</f>
        <v>0</v>
      </c>
      <c r="HC279" s="160">
        <f>IF([Occurrence38]=0,0,SUM($HB$2:HB279))</f>
        <v>0</v>
      </c>
      <c r="HD279" s="160">
        <f>IF([chambre3]*1='CHAMBRES GARCONS RDC'!$A$41,1,0)</f>
        <v>0</v>
      </c>
      <c r="HE279" s="160">
        <f>IF([Occurrence39]=0,0,SUM($HD$2:HD279))</f>
        <v>0</v>
      </c>
      <c r="HF279" s="160">
        <f>IF([chambre3]*1='CHAMBRES GARCONS RDC'!$A$47,1,0)</f>
        <v>0</v>
      </c>
      <c r="HG279" s="160">
        <f>IF([Occurrence40]=0,0,SUM($HF$2:HF279))</f>
        <v>0</v>
      </c>
      <c r="HH279" s="160">
        <f>IF([chambre3]*1='CHAMBRES GARCONS RDC'!$A$53,1,0)</f>
        <v>0</v>
      </c>
      <c r="HI279" s="160">
        <f>IF([Occurrence41]=0,0,SUM($HH$2:HH279))</f>
        <v>0</v>
      </c>
      <c r="HJ279" s="160">
        <f>IF([chambre3]*1='CHAMBRES GARCONS RDC'!$A$59,1,0)</f>
        <v>0</v>
      </c>
      <c r="HK279" s="160">
        <f>IF([Occurrence42]=0,0,SUM($HJ$2:HJ279))</f>
        <v>0</v>
      </c>
      <c r="HL279" s="160">
        <f>IF([chambre3]*1='CHAMBRES GARCONS RDC'!$A$65,1,0)</f>
        <v>0</v>
      </c>
      <c r="HM279" s="160">
        <f>IF([Occurrence43]=0,0,SUM($HL$2:HL279))</f>
        <v>0</v>
      </c>
      <c r="HN279" s="160">
        <f>IF([chambre3]*1='CHAMBRES GARCONS RDC'!$A$71,1,0)</f>
        <v>0</v>
      </c>
      <c r="HO279" s="160">
        <f>IF([Occurrence44]=0,0,SUM($HN$2:HN279))</f>
        <v>0</v>
      </c>
      <c r="HP279" s="160">
        <f>IF([chambre3]*1='CHAMBRES GARCONS RDC'!$A$77,1,0)</f>
        <v>0</v>
      </c>
      <c r="HQ279" s="160">
        <f>IF([Occurrence45]=0,0,SUM($HP$2:HP279))</f>
        <v>0</v>
      </c>
      <c r="HR279" s="160">
        <f>IF([chambre3]*1='CHAMBRES GARCONS RDC'!$A$83,1,0)</f>
        <v>0</v>
      </c>
      <c r="HS279" s="160">
        <f>IF([Occurrence46]=0,0,SUM($HR$2:HR279))</f>
        <v>0</v>
      </c>
      <c r="HT279" s="160">
        <f>IF([chambre3]*1='CHAMBRES GARCONS RDC'!$A$89,1,0)</f>
        <v>0</v>
      </c>
      <c r="HU279" s="160">
        <f>IF([Occurrence47]=0,0,SUM($HT$2:HT279))</f>
        <v>0</v>
      </c>
      <c r="HV279" s="160">
        <f>IF([chambre3]*1='CHAMBRES GARCONS RDC'!$A$95,1,0)</f>
        <v>0</v>
      </c>
      <c r="HW279" s="160">
        <f>IF([Occurrence48]=0,0,SUM($HV$2:HV279))</f>
        <v>0</v>
      </c>
      <c r="HX279" s="160"/>
      <c r="HY279" s="160"/>
      <c r="HZ279" s="160">
        <f>IF([Classe]='Liste élève par classes'!$B$5,1,0)</f>
        <v>0</v>
      </c>
      <c r="IA279" s="160">
        <f>IF([Occurrence]=0,0,SUM($HZ$2:HZ279))</f>
        <v>0</v>
      </c>
      <c r="IB279" s="160" t="str">
        <f>IF(Tableaulistesenfants[[#This Row],[Chambre]]&lt;&gt;"",Tableaulistesenfants[[#This Row],[Chambre]],"")&amp;IF(Tableaulistesenfants[[#This Row],[Chambre2]]&lt;&gt;"",Tableaulistesenfants[[#This Row],[Chambre2]],"")&amp;IF(Tableaulistesenfants[[#This Row],[chambre3]]&lt;&gt;"",Tableaulistesenfants[[#This Row],[chambre3]],"")&amp;IF(Tableaulistesenfants[[#This Row],[chambre4]]&lt;&gt;"",Tableaulistesenfants[[#This Row],[chambre4]],"")</f>
        <v/>
      </c>
      <c r="IC279" s="208"/>
    </row>
    <row r="282" spans="1:237">
      <c r="H282"/>
      <c r="I282"/>
      <c r="J282"/>
      <c r="K282"/>
    </row>
    <row r="283" spans="1:237">
      <c r="H283"/>
      <c r="I283"/>
      <c r="J283"/>
      <c r="K283"/>
    </row>
    <row r="284" spans="1:237" ht="15.75">
      <c r="H284"/>
      <c r="I284" s="174"/>
      <c r="J284" s="174"/>
      <c r="K284" s="174"/>
    </row>
    <row r="285" spans="1:237" ht="15.75">
      <c r="H285"/>
      <c r="I285" s="174"/>
      <c r="J285" s="174"/>
      <c r="K285" s="174"/>
    </row>
    <row r="286" spans="1:237">
      <c r="H286"/>
      <c r="I286"/>
      <c r="J286"/>
      <c r="K286"/>
    </row>
  </sheetData>
  <sortState ref="A2:GG279">
    <sortCondition ref="A1"/>
  </sortState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9"/>
  <dimension ref="A1:AO70"/>
  <sheetViews>
    <sheetView showGridLines="0" showRowColHeaders="0" workbookViewId="0">
      <selection activeCell="AI47" sqref="AI47"/>
    </sheetView>
  </sheetViews>
  <sheetFormatPr baseColWidth="10" defaultRowHeight="9"/>
  <cols>
    <col min="1" max="1" width="10.85546875" style="233" customWidth="1"/>
    <col min="2" max="2" width="7.5703125" style="291" customWidth="1"/>
    <col min="3" max="8" width="2.140625" style="233" customWidth="1"/>
    <col min="9" max="9" width="10.5703125" style="233" customWidth="1"/>
    <col min="10" max="10" width="7.7109375" style="233" customWidth="1"/>
    <col min="11" max="16" width="2.140625" style="233" customWidth="1"/>
    <col min="17" max="17" width="11.42578125" style="233"/>
    <col min="18" max="18" width="7.42578125" style="233" customWidth="1"/>
    <col min="19" max="24" width="2.140625" style="233" customWidth="1"/>
    <col min="25" max="25" width="11.42578125" style="233"/>
    <col min="26" max="26" width="7.42578125" style="233" customWidth="1"/>
    <col min="27" max="32" width="2.140625" style="233" customWidth="1"/>
    <col min="33" max="16384" width="11.42578125" style="233"/>
  </cols>
  <sheetData>
    <row r="1" spans="1:40" ht="9.75" thickBot="1">
      <c r="A1" s="300" t="s">
        <v>815</v>
      </c>
      <c r="B1" s="300"/>
      <c r="C1" s="300"/>
      <c r="D1" s="301"/>
      <c r="E1" s="301"/>
      <c r="F1" s="301"/>
      <c r="G1" s="301"/>
      <c r="H1" s="301"/>
      <c r="I1" s="300" t="s">
        <v>816</v>
      </c>
      <c r="J1" s="300"/>
      <c r="K1" s="300"/>
      <c r="L1" s="300"/>
      <c r="M1" s="300"/>
      <c r="N1" s="300"/>
      <c r="O1" s="300"/>
      <c r="P1" s="300"/>
      <c r="Q1" s="300" t="s">
        <v>817</v>
      </c>
      <c r="R1" s="300"/>
      <c r="S1" s="300"/>
      <c r="T1" s="300"/>
      <c r="U1" s="300"/>
      <c r="V1" s="300"/>
      <c r="W1" s="300"/>
      <c r="X1" s="300"/>
      <c r="Y1" s="300" t="s">
        <v>818</v>
      </c>
      <c r="Z1" s="300"/>
      <c r="AA1" s="300"/>
      <c r="AB1" s="300"/>
      <c r="AC1" s="300"/>
      <c r="AD1" s="300"/>
      <c r="AE1" s="300"/>
      <c r="AF1" s="300"/>
    </row>
    <row r="2" spans="1:40">
      <c r="A2" s="234" t="s">
        <v>298</v>
      </c>
      <c r="B2" s="234" t="s">
        <v>299</v>
      </c>
      <c r="C2" s="235"/>
      <c r="D2" s="235"/>
      <c r="E2" s="235"/>
      <c r="F2" s="235"/>
      <c r="G2" s="235"/>
      <c r="H2" s="235"/>
      <c r="I2" s="236" t="s">
        <v>819</v>
      </c>
      <c r="J2" s="236" t="s">
        <v>249</v>
      </c>
      <c r="K2" s="235"/>
      <c r="L2" s="235"/>
      <c r="M2" s="235"/>
      <c r="N2" s="235"/>
      <c r="O2" s="235"/>
      <c r="P2" s="235"/>
      <c r="Q2" s="236" t="s">
        <v>256</v>
      </c>
      <c r="R2" s="236" t="s">
        <v>257</v>
      </c>
      <c r="S2" s="237"/>
      <c r="T2" s="237"/>
      <c r="U2" s="237"/>
      <c r="V2" s="237"/>
      <c r="W2" s="237"/>
      <c r="X2" s="238"/>
      <c r="Y2" s="236" t="s">
        <v>278</v>
      </c>
      <c r="Z2" s="236" t="s">
        <v>255</v>
      </c>
      <c r="AA2" s="239"/>
      <c r="AB2" s="239"/>
      <c r="AC2" s="239"/>
      <c r="AD2" s="239"/>
      <c r="AE2" s="239"/>
      <c r="AF2" s="235"/>
    </row>
    <row r="3" spans="1:40">
      <c r="A3" s="240" t="s">
        <v>418</v>
      </c>
      <c r="B3" s="240" t="s">
        <v>297</v>
      </c>
      <c r="C3" s="241"/>
      <c r="D3" s="241"/>
      <c r="E3" s="241"/>
      <c r="F3" s="241"/>
      <c r="G3" s="241"/>
      <c r="H3" s="241"/>
      <c r="I3" s="242" t="s">
        <v>294</v>
      </c>
      <c r="J3" s="242" t="s">
        <v>295</v>
      </c>
      <c r="K3" s="241"/>
      <c r="L3" s="241"/>
      <c r="M3" s="241"/>
      <c r="N3" s="241"/>
      <c r="O3" s="241"/>
      <c r="P3" s="241"/>
      <c r="Q3" s="242" t="s">
        <v>325</v>
      </c>
      <c r="R3" s="242" t="s">
        <v>326</v>
      </c>
      <c r="S3" s="243"/>
      <c r="T3" s="243"/>
      <c r="U3" s="243"/>
      <c r="V3" s="243"/>
      <c r="W3" s="244"/>
      <c r="X3" s="245"/>
      <c r="Y3" s="242" t="s">
        <v>311</v>
      </c>
      <c r="Z3" s="242" t="s">
        <v>312</v>
      </c>
      <c r="AA3" s="246"/>
      <c r="AB3" s="246"/>
      <c r="AC3" s="246"/>
      <c r="AD3" s="246"/>
      <c r="AE3" s="246"/>
      <c r="AF3" s="241"/>
    </row>
    <row r="4" spans="1:40">
      <c r="A4" s="247" t="s">
        <v>426</v>
      </c>
      <c r="B4" s="247" t="s">
        <v>427</v>
      </c>
      <c r="C4" s="241"/>
      <c r="D4" s="241"/>
      <c r="E4" s="241"/>
      <c r="F4" s="241"/>
      <c r="G4" s="241"/>
      <c r="H4" s="241"/>
      <c r="I4" s="242" t="s">
        <v>309</v>
      </c>
      <c r="J4" s="242" t="s">
        <v>310</v>
      </c>
      <c r="K4" s="241"/>
      <c r="L4" s="241"/>
      <c r="M4" s="241"/>
      <c r="N4" s="241"/>
      <c r="O4" s="241"/>
      <c r="P4" s="241"/>
      <c r="Q4" s="242" t="s">
        <v>331</v>
      </c>
      <c r="R4" s="242" t="s">
        <v>249</v>
      </c>
      <c r="S4" s="243"/>
      <c r="T4" s="243"/>
      <c r="U4" s="243"/>
      <c r="V4" s="243"/>
      <c r="W4" s="244"/>
      <c r="X4" s="245"/>
      <c r="Y4" s="242" t="s">
        <v>313</v>
      </c>
      <c r="Z4" s="242" t="s">
        <v>314</v>
      </c>
      <c r="AA4" s="246"/>
      <c r="AB4" s="246"/>
      <c r="AC4" s="246"/>
      <c r="AD4" s="246"/>
      <c r="AE4" s="246"/>
      <c r="AF4" s="241"/>
    </row>
    <row r="5" spans="1:40">
      <c r="A5" s="248" t="s">
        <v>462</v>
      </c>
      <c r="B5" s="248" t="s">
        <v>261</v>
      </c>
      <c r="C5" s="241"/>
      <c r="D5" s="241"/>
      <c r="E5" s="241"/>
      <c r="F5" s="241"/>
      <c r="G5" s="241"/>
      <c r="H5" s="241"/>
      <c r="I5" s="242" t="s">
        <v>379</v>
      </c>
      <c r="J5" s="242" t="s">
        <v>820</v>
      </c>
      <c r="K5" s="241"/>
      <c r="L5" s="241"/>
      <c r="M5" s="241"/>
      <c r="N5" s="241"/>
      <c r="O5" s="241"/>
      <c r="P5" s="241"/>
      <c r="Q5" s="249" t="s">
        <v>402</v>
      </c>
      <c r="R5" s="249" t="s">
        <v>821</v>
      </c>
      <c r="S5" s="244"/>
      <c r="T5" s="244"/>
      <c r="U5" s="244"/>
      <c r="V5" s="244"/>
      <c r="W5" s="244"/>
      <c r="X5" s="245"/>
      <c r="Y5" s="249" t="s">
        <v>384</v>
      </c>
      <c r="Z5" s="249" t="s">
        <v>275</v>
      </c>
      <c r="AA5" s="246"/>
      <c r="AB5" s="246"/>
      <c r="AC5" s="246"/>
      <c r="AD5" s="246"/>
      <c r="AE5" s="246"/>
      <c r="AF5" s="241"/>
      <c r="AH5" s="250"/>
    </row>
    <row r="6" spans="1:40">
      <c r="A6" s="247" t="s">
        <v>464</v>
      </c>
      <c r="B6" s="247" t="s">
        <v>431</v>
      </c>
      <c r="C6" s="241"/>
      <c r="D6" s="241"/>
      <c r="E6" s="241"/>
      <c r="F6" s="241"/>
      <c r="G6" s="241"/>
      <c r="H6" s="241"/>
      <c r="I6" s="242" t="s">
        <v>822</v>
      </c>
      <c r="J6" s="242" t="s">
        <v>401</v>
      </c>
      <c r="K6" s="251"/>
      <c r="L6" s="251"/>
      <c r="M6" s="251"/>
      <c r="N6" s="251"/>
      <c r="O6" s="251"/>
      <c r="P6" s="251"/>
      <c r="Q6" s="242" t="s">
        <v>430</v>
      </c>
      <c r="R6" s="242" t="s">
        <v>431</v>
      </c>
      <c r="S6" s="244"/>
      <c r="T6" s="244"/>
      <c r="U6" s="244"/>
      <c r="V6" s="244"/>
      <c r="W6" s="244"/>
      <c r="X6" s="245"/>
      <c r="Y6" s="249" t="s">
        <v>396</v>
      </c>
      <c r="Z6" s="249" t="s">
        <v>397</v>
      </c>
      <c r="AA6" s="246"/>
      <c r="AB6" s="246"/>
      <c r="AC6" s="246"/>
      <c r="AD6" s="246"/>
      <c r="AE6" s="246"/>
      <c r="AF6" s="241"/>
    </row>
    <row r="7" spans="1:40">
      <c r="A7" s="247" t="s">
        <v>491</v>
      </c>
      <c r="B7" s="247" t="s">
        <v>405</v>
      </c>
      <c r="C7" s="241"/>
      <c r="D7" s="241"/>
      <c r="E7" s="241"/>
      <c r="F7" s="241"/>
      <c r="G7" s="241"/>
      <c r="H7" s="241"/>
      <c r="I7" s="249" t="s">
        <v>414</v>
      </c>
      <c r="J7" s="249" t="s">
        <v>415</v>
      </c>
      <c r="K7" s="241"/>
      <c r="L7" s="241"/>
      <c r="M7" s="241"/>
      <c r="N7" s="241"/>
      <c r="O7" s="241"/>
      <c r="P7" s="241"/>
      <c r="Q7" s="252" t="s">
        <v>444</v>
      </c>
      <c r="R7" s="252" t="s">
        <v>445</v>
      </c>
      <c r="S7" s="253"/>
      <c r="T7" s="253"/>
      <c r="U7" s="253"/>
      <c r="V7" s="253"/>
      <c r="W7" s="253"/>
      <c r="X7" s="241"/>
      <c r="Y7" s="242" t="s">
        <v>398</v>
      </c>
      <c r="Z7" s="242" t="s">
        <v>399</v>
      </c>
      <c r="AA7" s="241"/>
      <c r="AB7" s="241"/>
      <c r="AC7" s="241"/>
      <c r="AD7" s="241"/>
      <c r="AE7" s="241"/>
      <c r="AF7" s="241"/>
    </row>
    <row r="8" spans="1:40">
      <c r="A8" s="247" t="s">
        <v>511</v>
      </c>
      <c r="B8" s="247" t="s">
        <v>512</v>
      </c>
      <c r="C8" s="241"/>
      <c r="D8" s="241"/>
      <c r="E8" s="241"/>
      <c r="F8" s="241"/>
      <c r="G8" s="241"/>
      <c r="H8" s="241"/>
      <c r="I8" s="249" t="s">
        <v>433</v>
      </c>
      <c r="J8" s="249" t="s">
        <v>434</v>
      </c>
      <c r="K8" s="241"/>
      <c r="L8" s="241"/>
      <c r="M8" s="241"/>
      <c r="N8" s="241"/>
      <c r="O8" s="241"/>
      <c r="P8" s="241"/>
      <c r="Q8" s="249" t="s">
        <v>446</v>
      </c>
      <c r="R8" s="249" t="s">
        <v>371</v>
      </c>
      <c r="S8" s="243"/>
      <c r="T8" s="243"/>
      <c r="U8" s="243"/>
      <c r="V8" s="244"/>
      <c r="W8" s="243"/>
      <c r="X8" s="254"/>
      <c r="Y8" s="249" t="s">
        <v>407</v>
      </c>
      <c r="Z8" s="249" t="s">
        <v>360</v>
      </c>
      <c r="AA8" s="253"/>
      <c r="AB8" s="253"/>
      <c r="AC8" s="253"/>
      <c r="AD8" s="253"/>
      <c r="AE8" s="253"/>
      <c r="AF8" s="241"/>
    </row>
    <row r="9" spans="1:40">
      <c r="A9" s="247" t="s">
        <v>515</v>
      </c>
      <c r="B9" s="247" t="s">
        <v>516</v>
      </c>
      <c r="C9" s="241"/>
      <c r="D9" s="241"/>
      <c r="E9" s="241"/>
      <c r="F9" s="241"/>
      <c r="G9" s="241"/>
      <c r="H9" s="241"/>
      <c r="I9" s="255" t="s">
        <v>483</v>
      </c>
      <c r="J9" s="255" t="s">
        <v>484</v>
      </c>
      <c r="K9" s="241"/>
      <c r="L9" s="241"/>
      <c r="M9" s="241"/>
      <c r="N9" s="241"/>
      <c r="O9" s="241"/>
      <c r="P9" s="241"/>
      <c r="Q9" s="249" t="s">
        <v>488</v>
      </c>
      <c r="R9" s="249" t="s">
        <v>823</v>
      </c>
      <c r="S9" s="256"/>
      <c r="T9" s="256"/>
      <c r="U9" s="256"/>
      <c r="V9" s="256"/>
      <c r="W9" s="256"/>
      <c r="X9" s="245"/>
      <c r="Y9" s="249" t="s">
        <v>423</v>
      </c>
      <c r="Z9" s="249" t="s">
        <v>824</v>
      </c>
      <c r="AA9" s="253"/>
      <c r="AB9" s="253"/>
      <c r="AC9" s="253"/>
      <c r="AD9" s="253"/>
      <c r="AE9" s="253"/>
      <c r="AF9" s="241"/>
    </row>
    <row r="10" spans="1:40">
      <c r="A10" s="240" t="s">
        <v>549</v>
      </c>
      <c r="B10" s="240" t="s">
        <v>550</v>
      </c>
      <c r="C10" s="251"/>
      <c r="D10" s="251"/>
      <c r="E10" s="251"/>
      <c r="F10" s="251"/>
      <c r="G10" s="251"/>
      <c r="H10" s="251"/>
      <c r="I10" s="242" t="s">
        <v>510</v>
      </c>
      <c r="J10" s="242" t="s">
        <v>505</v>
      </c>
      <c r="K10" s="241"/>
      <c r="L10" s="241"/>
      <c r="M10" s="241"/>
      <c r="N10" s="241"/>
      <c r="O10" s="241"/>
      <c r="P10" s="241"/>
      <c r="Q10" s="242" t="s">
        <v>490</v>
      </c>
      <c r="R10" s="242" t="s">
        <v>312</v>
      </c>
      <c r="S10" s="244"/>
      <c r="T10" s="244"/>
      <c r="U10" s="244"/>
      <c r="V10" s="244"/>
      <c r="W10" s="244"/>
      <c r="X10" s="245"/>
      <c r="Y10" s="257" t="s">
        <v>474</v>
      </c>
      <c r="Z10" s="257" t="s">
        <v>475</v>
      </c>
      <c r="AA10" s="253"/>
      <c r="AB10" s="253"/>
      <c r="AC10" s="253"/>
      <c r="AD10" s="253"/>
      <c r="AE10" s="253"/>
      <c r="AF10" s="241"/>
      <c r="AH10" s="298" t="s">
        <v>825</v>
      </c>
      <c r="AI10" s="302"/>
      <c r="AJ10" s="302"/>
      <c r="AK10" s="302"/>
      <c r="AL10" s="302"/>
      <c r="AM10" s="302"/>
      <c r="AN10" s="302"/>
    </row>
    <row r="11" spans="1:40" ht="9.75" thickBot="1">
      <c r="A11" s="258" t="s">
        <v>688</v>
      </c>
      <c r="B11" s="258" t="s">
        <v>620</v>
      </c>
      <c r="C11" s="259"/>
      <c r="D11" s="259"/>
      <c r="E11" s="259"/>
      <c r="F11" s="259"/>
      <c r="G11" s="259"/>
      <c r="H11" s="259"/>
      <c r="I11" s="255" t="s">
        <v>547</v>
      </c>
      <c r="J11" s="255" t="s">
        <v>445</v>
      </c>
      <c r="K11" s="241"/>
      <c r="L11" s="241"/>
      <c r="M11" s="241"/>
      <c r="N11" s="241"/>
      <c r="O11" s="241"/>
      <c r="P11" s="241"/>
      <c r="Q11" s="242" t="s">
        <v>502</v>
      </c>
      <c r="R11" s="242" t="s">
        <v>503</v>
      </c>
      <c r="S11" s="244"/>
      <c r="T11" s="244"/>
      <c r="U11" s="244"/>
      <c r="V11" s="244"/>
      <c r="W11" s="244"/>
      <c r="X11" s="245"/>
      <c r="Y11" s="242" t="s">
        <v>478</v>
      </c>
      <c r="Z11" s="242" t="s">
        <v>371</v>
      </c>
      <c r="AA11" s="246"/>
      <c r="AB11" s="246"/>
      <c r="AC11" s="246"/>
      <c r="AD11" s="246"/>
      <c r="AE11" s="246"/>
      <c r="AF11" s="241"/>
      <c r="AH11" s="302"/>
      <c r="AI11" s="302"/>
      <c r="AJ11" s="302"/>
      <c r="AK11" s="302"/>
      <c r="AL11" s="302"/>
      <c r="AM11" s="302"/>
      <c r="AN11" s="302"/>
    </row>
    <row r="12" spans="1:40" ht="9.75" thickBot="1">
      <c r="A12" s="300" t="s">
        <v>826</v>
      </c>
      <c r="B12" s="301"/>
      <c r="C12" s="301"/>
      <c r="D12" s="301"/>
      <c r="E12" s="301"/>
      <c r="F12" s="301"/>
      <c r="G12" s="301"/>
      <c r="H12" s="301"/>
      <c r="I12" s="249" t="s">
        <v>557</v>
      </c>
      <c r="J12" s="249" t="s">
        <v>512</v>
      </c>
      <c r="K12" s="241"/>
      <c r="L12" s="241"/>
      <c r="M12" s="241"/>
      <c r="N12" s="241"/>
      <c r="O12" s="241"/>
      <c r="P12" s="241"/>
      <c r="Q12" s="257" t="s">
        <v>532</v>
      </c>
      <c r="R12" s="257" t="s">
        <v>497</v>
      </c>
      <c r="S12" s="241"/>
      <c r="T12" s="241"/>
      <c r="U12" s="241"/>
      <c r="V12" s="241"/>
      <c r="W12" s="241"/>
      <c r="X12" s="241"/>
      <c r="Y12" s="242" t="s">
        <v>526</v>
      </c>
      <c r="Z12" s="242" t="s">
        <v>326</v>
      </c>
      <c r="AA12" s="246"/>
      <c r="AB12" s="246"/>
      <c r="AC12" s="246"/>
      <c r="AD12" s="246"/>
      <c r="AE12" s="246"/>
      <c r="AF12" s="241"/>
      <c r="AH12" s="302"/>
      <c r="AI12" s="302"/>
      <c r="AJ12" s="302"/>
      <c r="AK12" s="302"/>
      <c r="AL12" s="302"/>
      <c r="AM12" s="302"/>
      <c r="AN12" s="302"/>
    </row>
    <row r="13" spans="1:40" ht="15">
      <c r="A13" s="236" t="s">
        <v>276</v>
      </c>
      <c r="B13" s="236" t="s">
        <v>277</v>
      </c>
      <c r="C13" s="235"/>
      <c r="D13" s="235"/>
      <c r="E13" s="235"/>
      <c r="F13" s="235"/>
      <c r="G13" s="235"/>
      <c r="H13" s="235"/>
      <c r="I13" s="242" t="s">
        <v>574</v>
      </c>
      <c r="J13" s="242" t="s">
        <v>575</v>
      </c>
      <c r="K13" s="241"/>
      <c r="L13" s="241"/>
      <c r="M13" s="241"/>
      <c r="N13" s="241"/>
      <c r="O13" s="241"/>
      <c r="P13" s="241"/>
      <c r="Q13" s="252" t="s">
        <v>570</v>
      </c>
      <c r="R13" s="252" t="s">
        <v>413</v>
      </c>
      <c r="S13" s="241"/>
      <c r="T13" s="241"/>
      <c r="U13" s="241"/>
      <c r="V13" s="241"/>
      <c r="W13" s="241"/>
      <c r="X13" s="241"/>
      <c r="Y13" s="255" t="s">
        <v>541</v>
      </c>
      <c r="Z13" s="255" t="s">
        <v>371</v>
      </c>
      <c r="AA13" s="253"/>
      <c r="AB13" s="253"/>
      <c r="AC13" s="253"/>
      <c r="AD13" s="253"/>
      <c r="AE13" s="253"/>
      <c r="AF13" s="241"/>
      <c r="AH13" s="260"/>
      <c r="AI13" s="260"/>
      <c r="AJ13" s="260"/>
      <c r="AK13" s="260"/>
      <c r="AL13" s="260"/>
      <c r="AM13" s="260"/>
      <c r="AN13" s="260"/>
    </row>
    <row r="14" spans="1:40">
      <c r="A14" s="242" t="s">
        <v>345</v>
      </c>
      <c r="B14" s="242" t="s">
        <v>346</v>
      </c>
      <c r="C14" s="241"/>
      <c r="D14" s="241"/>
      <c r="E14" s="241"/>
      <c r="F14" s="241"/>
      <c r="G14" s="241"/>
      <c r="H14" s="241"/>
      <c r="I14" s="261" t="s">
        <v>587</v>
      </c>
      <c r="J14" s="261" t="s">
        <v>588</v>
      </c>
      <c r="K14" s="241"/>
      <c r="L14" s="241"/>
      <c r="M14" s="241"/>
      <c r="N14" s="241"/>
      <c r="O14" s="241"/>
      <c r="P14" s="241"/>
      <c r="Q14" s="255" t="s">
        <v>694</v>
      </c>
      <c r="R14" s="255" t="s">
        <v>494</v>
      </c>
      <c r="S14" s="253"/>
      <c r="T14" s="253"/>
      <c r="U14" s="253"/>
      <c r="V14" s="253"/>
      <c r="W14" s="253"/>
      <c r="X14" s="241"/>
      <c r="Y14" s="242" t="s">
        <v>583</v>
      </c>
      <c r="Z14" s="242" t="s">
        <v>584</v>
      </c>
      <c r="AA14" s="253"/>
      <c r="AB14" s="253"/>
      <c r="AC14" s="253"/>
      <c r="AD14" s="253"/>
      <c r="AE14" s="253"/>
      <c r="AF14" s="241"/>
      <c r="AH14" s="298" t="s">
        <v>827</v>
      </c>
      <c r="AI14" s="302"/>
      <c r="AJ14" s="302"/>
      <c r="AK14" s="302"/>
      <c r="AL14" s="302"/>
      <c r="AM14" s="302"/>
      <c r="AN14" s="302"/>
    </row>
    <row r="15" spans="1:40" ht="9.75" thickBot="1">
      <c r="A15" s="242" t="s">
        <v>372</v>
      </c>
      <c r="B15" s="242" t="s">
        <v>326</v>
      </c>
      <c r="C15" s="241"/>
      <c r="D15" s="241"/>
      <c r="E15" s="241"/>
      <c r="F15" s="241"/>
      <c r="G15" s="241"/>
      <c r="H15" s="241"/>
      <c r="I15" s="262" t="s">
        <v>676</v>
      </c>
      <c r="J15" s="262" t="s">
        <v>677</v>
      </c>
      <c r="K15" s="259"/>
      <c r="L15" s="259"/>
      <c r="M15" s="259"/>
      <c r="N15" s="259"/>
      <c r="O15" s="259"/>
      <c r="P15" s="259"/>
      <c r="Q15" s="263" t="s">
        <v>695</v>
      </c>
      <c r="R15" s="263" t="s">
        <v>550</v>
      </c>
      <c r="S15" s="264"/>
      <c r="T15" s="264"/>
      <c r="U15" s="264"/>
      <c r="V15" s="264"/>
      <c r="W15" s="264"/>
      <c r="X15" s="265"/>
      <c r="Y15" s="242" t="s">
        <v>592</v>
      </c>
      <c r="Z15" s="242" t="s">
        <v>593</v>
      </c>
      <c r="AA15" s="253"/>
      <c r="AB15" s="253"/>
      <c r="AC15" s="253"/>
      <c r="AD15" s="253"/>
      <c r="AE15" s="253"/>
      <c r="AF15" s="241"/>
      <c r="AH15" s="302"/>
      <c r="AI15" s="302"/>
      <c r="AJ15" s="302"/>
      <c r="AK15" s="302"/>
      <c r="AL15" s="302"/>
      <c r="AM15" s="302"/>
      <c r="AN15" s="302"/>
    </row>
    <row r="16" spans="1:40" ht="9.75" thickBot="1">
      <c r="A16" s="242" t="s">
        <v>411</v>
      </c>
      <c r="B16" s="242" t="s">
        <v>413</v>
      </c>
      <c r="C16" s="241"/>
      <c r="D16" s="241"/>
      <c r="E16" s="241"/>
      <c r="F16" s="241"/>
      <c r="G16" s="241"/>
      <c r="H16" s="241"/>
      <c r="I16" s="300" t="s">
        <v>828</v>
      </c>
      <c r="J16" s="300"/>
      <c r="K16" s="300"/>
      <c r="L16" s="300"/>
      <c r="M16" s="300"/>
      <c r="N16" s="300"/>
      <c r="O16" s="300"/>
      <c r="P16" s="300"/>
      <c r="Q16" s="300" t="s">
        <v>829</v>
      </c>
      <c r="R16" s="300"/>
      <c r="S16" s="300"/>
      <c r="T16" s="300"/>
      <c r="U16" s="300"/>
      <c r="V16" s="300"/>
      <c r="W16" s="300"/>
      <c r="X16" s="300"/>
      <c r="Y16" s="242" t="s">
        <v>625</v>
      </c>
      <c r="Z16" s="242" t="s">
        <v>537</v>
      </c>
      <c r="AA16" s="253"/>
      <c r="AB16" s="253"/>
      <c r="AC16" s="253"/>
      <c r="AD16" s="253"/>
      <c r="AE16" s="253"/>
      <c r="AF16" s="241"/>
      <c r="AH16" s="302"/>
      <c r="AI16" s="302"/>
      <c r="AJ16" s="302"/>
      <c r="AK16" s="302"/>
      <c r="AL16" s="302"/>
      <c r="AM16" s="302"/>
      <c r="AN16" s="302"/>
    </row>
    <row r="17" spans="1:41" ht="9" customHeight="1" thickBot="1">
      <c r="A17" s="255" t="s">
        <v>460</v>
      </c>
      <c r="B17" s="255" t="s">
        <v>461</v>
      </c>
      <c r="C17" s="241"/>
      <c r="D17" s="241"/>
      <c r="E17" s="241"/>
      <c r="F17" s="241"/>
      <c r="G17" s="241"/>
      <c r="H17" s="241"/>
      <c r="I17" s="266" t="s">
        <v>327</v>
      </c>
      <c r="J17" s="266" t="s">
        <v>328</v>
      </c>
      <c r="K17" s="239"/>
      <c r="L17" s="239"/>
      <c r="M17" s="239"/>
      <c r="N17" s="239"/>
      <c r="O17" s="239"/>
      <c r="P17" s="235"/>
      <c r="Q17" s="236" t="s">
        <v>266</v>
      </c>
      <c r="R17" s="236" t="s">
        <v>267</v>
      </c>
      <c r="S17" s="267"/>
      <c r="T17" s="267"/>
      <c r="U17" s="267"/>
      <c r="V17" s="267"/>
      <c r="W17" s="267"/>
      <c r="X17" s="268"/>
      <c r="Y17" s="262" t="s">
        <v>673</v>
      </c>
      <c r="Z17" s="262" t="s">
        <v>830</v>
      </c>
      <c r="AA17" s="269"/>
      <c r="AB17" s="269"/>
      <c r="AC17" s="269"/>
      <c r="AD17" s="269"/>
      <c r="AE17" s="269"/>
      <c r="AF17" s="259"/>
      <c r="AH17" s="298" t="s">
        <v>831</v>
      </c>
      <c r="AI17" s="302"/>
      <c r="AJ17" s="302"/>
      <c r="AK17" s="302"/>
      <c r="AL17" s="302"/>
      <c r="AM17" s="302"/>
      <c r="AN17" s="302"/>
    </row>
    <row r="18" spans="1:41" ht="9" customHeight="1" thickBot="1">
      <c r="A18" s="249" t="s">
        <v>520</v>
      </c>
      <c r="B18" s="249" t="s">
        <v>399</v>
      </c>
      <c r="C18" s="241"/>
      <c r="D18" s="241"/>
      <c r="E18" s="241"/>
      <c r="F18" s="241"/>
      <c r="G18" s="241"/>
      <c r="H18" s="241"/>
      <c r="I18" s="242" t="s">
        <v>385</v>
      </c>
      <c r="J18" s="242" t="s">
        <v>386</v>
      </c>
      <c r="K18" s="246"/>
      <c r="L18" s="246"/>
      <c r="M18" s="246"/>
      <c r="N18" s="246"/>
      <c r="O18" s="246"/>
      <c r="P18" s="241"/>
      <c r="Q18" s="242" t="s">
        <v>296</v>
      </c>
      <c r="R18" s="242" t="s">
        <v>297</v>
      </c>
      <c r="S18" s="270"/>
      <c r="T18" s="270"/>
      <c r="U18" s="270"/>
      <c r="V18" s="270"/>
      <c r="W18" s="270"/>
      <c r="X18" s="271"/>
      <c r="Y18" s="303" t="s">
        <v>832</v>
      </c>
      <c r="Z18" s="304"/>
      <c r="AA18" s="304"/>
      <c r="AB18" s="304"/>
      <c r="AC18" s="304"/>
      <c r="AD18" s="304"/>
      <c r="AE18" s="304"/>
      <c r="AF18" s="305"/>
      <c r="AH18" s="302"/>
      <c r="AI18" s="302"/>
      <c r="AJ18" s="302"/>
      <c r="AK18" s="302"/>
      <c r="AL18" s="302"/>
      <c r="AM18" s="302"/>
      <c r="AN18" s="302"/>
    </row>
    <row r="19" spans="1:41" ht="9" customHeight="1">
      <c r="A19" s="249" t="s">
        <v>523</v>
      </c>
      <c r="B19" s="249" t="s">
        <v>261</v>
      </c>
      <c r="C19" s="241"/>
      <c r="D19" s="241"/>
      <c r="E19" s="241"/>
      <c r="F19" s="241"/>
      <c r="G19" s="241"/>
      <c r="H19" s="241"/>
      <c r="I19" s="249" t="s">
        <v>435</v>
      </c>
      <c r="J19" s="249" t="s">
        <v>367</v>
      </c>
      <c r="K19" s="246"/>
      <c r="L19" s="246"/>
      <c r="M19" s="246"/>
      <c r="N19" s="246"/>
      <c r="O19" s="246"/>
      <c r="P19" s="241"/>
      <c r="Q19" s="242" t="s">
        <v>347</v>
      </c>
      <c r="R19" s="242" t="s">
        <v>282</v>
      </c>
      <c r="S19" s="270"/>
      <c r="T19" s="270"/>
      <c r="U19" s="270"/>
      <c r="V19" s="270"/>
      <c r="W19" s="270"/>
      <c r="X19" s="271"/>
      <c r="Y19" s="236" t="s">
        <v>262</v>
      </c>
      <c r="Z19" s="236" t="s">
        <v>263</v>
      </c>
      <c r="AA19" s="239"/>
      <c r="AB19" s="239"/>
      <c r="AC19" s="239"/>
      <c r="AD19" s="239"/>
      <c r="AE19" s="239"/>
      <c r="AF19" s="235"/>
      <c r="AH19" s="302"/>
      <c r="AI19" s="302"/>
      <c r="AJ19" s="302"/>
      <c r="AK19" s="302"/>
      <c r="AL19" s="302"/>
      <c r="AM19" s="302"/>
      <c r="AN19" s="302"/>
    </row>
    <row r="20" spans="1:41" ht="9" customHeight="1">
      <c r="A20" s="249" t="s">
        <v>542</v>
      </c>
      <c r="B20" s="249" t="s">
        <v>306</v>
      </c>
      <c r="C20" s="241"/>
      <c r="D20" s="241"/>
      <c r="E20" s="241"/>
      <c r="F20" s="241"/>
      <c r="G20" s="241"/>
      <c r="H20" s="241"/>
      <c r="I20" s="249" t="s">
        <v>436</v>
      </c>
      <c r="J20" s="249" t="s">
        <v>437</v>
      </c>
      <c r="K20" s="246"/>
      <c r="L20" s="246"/>
      <c r="M20" s="246"/>
      <c r="N20" s="246"/>
      <c r="O20" s="246"/>
      <c r="P20" s="241"/>
      <c r="Q20" s="242" t="s">
        <v>349</v>
      </c>
      <c r="R20" s="242" t="s">
        <v>350</v>
      </c>
      <c r="S20" s="256"/>
      <c r="T20" s="256"/>
      <c r="U20" s="256"/>
      <c r="V20" s="256"/>
      <c r="W20" s="256"/>
      <c r="X20" s="271"/>
      <c r="Y20" s="242" t="s">
        <v>272</v>
      </c>
      <c r="Z20" s="242" t="s">
        <v>273</v>
      </c>
      <c r="AA20" s="253"/>
      <c r="AB20" s="253"/>
      <c r="AC20" s="253"/>
      <c r="AD20" s="253"/>
      <c r="AE20" s="253"/>
      <c r="AF20" s="241"/>
      <c r="AH20" s="272"/>
      <c r="AO20" s="260"/>
    </row>
    <row r="21" spans="1:41" ht="9" customHeight="1">
      <c r="A21" s="242" t="s">
        <v>551</v>
      </c>
      <c r="B21" s="242" t="s">
        <v>552</v>
      </c>
      <c r="C21" s="241"/>
      <c r="D21" s="241"/>
      <c r="E21" s="241"/>
      <c r="F21" s="241"/>
      <c r="G21" s="241"/>
      <c r="H21" s="241"/>
      <c r="I21" s="249" t="s">
        <v>442</v>
      </c>
      <c r="J21" s="249" t="s">
        <v>443</v>
      </c>
      <c r="K21" s="246"/>
      <c r="L21" s="246"/>
      <c r="M21" s="246"/>
      <c r="N21" s="246"/>
      <c r="O21" s="246"/>
      <c r="P21" s="241"/>
      <c r="Q21" s="249" t="s">
        <v>364</v>
      </c>
      <c r="R21" s="249" t="s">
        <v>365</v>
      </c>
      <c r="S21" s="256"/>
      <c r="T21" s="256"/>
      <c r="U21" s="256"/>
      <c r="V21" s="256"/>
      <c r="W21" s="256"/>
      <c r="X21" s="271"/>
      <c r="Y21" s="242" t="s">
        <v>833</v>
      </c>
      <c r="Z21" s="242" t="s">
        <v>291</v>
      </c>
      <c r="AA21" s="253"/>
      <c r="AB21" s="253"/>
      <c r="AC21" s="253"/>
      <c r="AD21" s="253"/>
      <c r="AE21" s="253"/>
      <c r="AF21" s="241"/>
      <c r="AO21" s="260"/>
    </row>
    <row r="22" spans="1:41" ht="9" customHeight="1">
      <c r="A22" s="242" t="s">
        <v>573</v>
      </c>
      <c r="B22" s="242" t="s">
        <v>381</v>
      </c>
      <c r="C22" s="241"/>
      <c r="D22" s="241"/>
      <c r="E22" s="241"/>
      <c r="F22" s="241"/>
      <c r="G22" s="241"/>
      <c r="H22" s="241"/>
      <c r="I22" s="249" t="s">
        <v>506</v>
      </c>
      <c r="J22" s="249" t="s">
        <v>507</v>
      </c>
      <c r="K22" s="253"/>
      <c r="L22" s="253"/>
      <c r="M22" s="253"/>
      <c r="N22" s="253"/>
      <c r="O22" s="253"/>
      <c r="P22" s="241"/>
      <c r="Q22" s="249" t="s">
        <v>470</v>
      </c>
      <c r="R22" s="249" t="s">
        <v>471</v>
      </c>
      <c r="S22" s="256"/>
      <c r="T22" s="256"/>
      <c r="U22" s="256"/>
      <c r="V22" s="256"/>
      <c r="W22" s="256"/>
      <c r="X22" s="271"/>
      <c r="Y22" s="249" t="s">
        <v>307</v>
      </c>
      <c r="Z22" s="249" t="s">
        <v>308</v>
      </c>
      <c r="AA22" s="253"/>
      <c r="AB22" s="253"/>
      <c r="AC22" s="253"/>
      <c r="AD22" s="253"/>
      <c r="AE22" s="253"/>
      <c r="AF22" s="241"/>
      <c r="AO22" s="260"/>
    </row>
    <row r="23" spans="1:41" ht="9" customHeight="1">
      <c r="A23" s="262" t="s">
        <v>684</v>
      </c>
      <c r="B23" s="262" t="s">
        <v>685</v>
      </c>
      <c r="C23" s="259"/>
      <c r="D23" s="259"/>
      <c r="E23" s="259"/>
      <c r="F23" s="259"/>
      <c r="G23" s="259"/>
      <c r="H23" s="259"/>
      <c r="I23" s="242" t="s">
        <v>558</v>
      </c>
      <c r="J23" s="242" t="s">
        <v>253</v>
      </c>
      <c r="K23" s="253"/>
      <c r="L23" s="253"/>
      <c r="M23" s="253"/>
      <c r="N23" s="253"/>
      <c r="O23" s="253"/>
      <c r="P23" s="241"/>
      <c r="Q23" s="249" t="s">
        <v>571</v>
      </c>
      <c r="R23" s="249" t="s">
        <v>834</v>
      </c>
      <c r="S23" s="270"/>
      <c r="T23" s="270"/>
      <c r="U23" s="270"/>
      <c r="V23" s="270"/>
      <c r="W23" s="270"/>
      <c r="X23" s="271"/>
      <c r="Y23" s="249" t="s">
        <v>322</v>
      </c>
      <c r="Z23" s="249" t="s">
        <v>323</v>
      </c>
      <c r="AA23" s="246"/>
      <c r="AB23" s="246"/>
      <c r="AC23" s="246"/>
      <c r="AD23" s="246"/>
      <c r="AE23" s="246"/>
      <c r="AF23" s="241"/>
      <c r="AH23" s="298" t="s">
        <v>835</v>
      </c>
      <c r="AI23" s="299"/>
      <c r="AJ23" s="299"/>
    </row>
    <row r="24" spans="1:41" ht="9" customHeight="1" thickBot="1">
      <c r="A24" s="273" t="s">
        <v>693</v>
      </c>
      <c r="B24" s="273" t="s">
        <v>381</v>
      </c>
      <c r="C24" s="259"/>
      <c r="D24" s="259"/>
      <c r="E24" s="259"/>
      <c r="F24" s="259"/>
      <c r="G24" s="259"/>
      <c r="H24" s="259"/>
      <c r="I24" s="249" t="s">
        <v>597</v>
      </c>
      <c r="J24" s="249" t="s">
        <v>598</v>
      </c>
      <c r="K24" s="253"/>
      <c r="L24" s="253"/>
      <c r="M24" s="253"/>
      <c r="N24" s="253"/>
      <c r="O24" s="253"/>
      <c r="P24" s="241"/>
      <c r="Q24" s="242" t="s">
        <v>581</v>
      </c>
      <c r="R24" s="242" t="s">
        <v>836</v>
      </c>
      <c r="S24" s="274"/>
      <c r="T24" s="274"/>
      <c r="U24" s="274"/>
      <c r="V24" s="274"/>
      <c r="W24" s="274"/>
      <c r="X24" s="254"/>
      <c r="Y24" s="249" t="s">
        <v>837</v>
      </c>
      <c r="Z24" s="249" t="s">
        <v>335</v>
      </c>
      <c r="AA24" s="241"/>
      <c r="AB24" s="241"/>
      <c r="AC24" s="241"/>
      <c r="AD24" s="241"/>
      <c r="AE24" s="241"/>
      <c r="AF24" s="241"/>
      <c r="AH24" s="299"/>
      <c r="AI24" s="299"/>
      <c r="AJ24" s="299"/>
    </row>
    <row r="25" spans="1:41" ht="9" customHeight="1" thickBot="1">
      <c r="A25" s="300" t="s">
        <v>838</v>
      </c>
      <c r="B25" s="301"/>
      <c r="C25" s="300"/>
      <c r="D25" s="300"/>
      <c r="E25" s="300"/>
      <c r="F25" s="300"/>
      <c r="G25" s="300"/>
      <c r="H25" s="300"/>
      <c r="I25" s="249" t="s">
        <v>601</v>
      </c>
      <c r="J25" s="249" t="s">
        <v>367</v>
      </c>
      <c r="K25" s="253"/>
      <c r="L25" s="253"/>
      <c r="M25" s="253"/>
      <c r="N25" s="253"/>
      <c r="O25" s="253"/>
      <c r="P25" s="241"/>
      <c r="Q25" s="242" t="s">
        <v>599</v>
      </c>
      <c r="R25" s="242" t="s">
        <v>839</v>
      </c>
      <c r="S25" s="256"/>
      <c r="T25" s="256"/>
      <c r="U25" s="256"/>
      <c r="V25" s="256"/>
      <c r="W25" s="256"/>
      <c r="X25" s="271"/>
      <c r="Y25" s="242" t="s">
        <v>387</v>
      </c>
      <c r="Z25" s="242" t="s">
        <v>388</v>
      </c>
      <c r="AA25" s="253"/>
      <c r="AB25" s="253"/>
      <c r="AC25" s="253"/>
      <c r="AD25" s="253"/>
      <c r="AE25" s="253"/>
      <c r="AF25" s="241"/>
      <c r="AH25" s="299"/>
      <c r="AI25" s="299"/>
      <c r="AJ25" s="299"/>
    </row>
    <row r="26" spans="1:41" ht="9" customHeight="1">
      <c r="A26" s="236" t="s">
        <v>274</v>
      </c>
      <c r="B26" s="236" t="s">
        <v>275</v>
      </c>
      <c r="C26" s="239"/>
      <c r="D26" s="239"/>
      <c r="E26" s="239"/>
      <c r="F26" s="239"/>
      <c r="G26" s="239"/>
      <c r="H26" s="235"/>
      <c r="I26" s="242" t="s">
        <v>655</v>
      </c>
      <c r="J26" s="242" t="s">
        <v>656</v>
      </c>
      <c r="K26" s="253"/>
      <c r="L26" s="253"/>
      <c r="M26" s="253"/>
      <c r="N26" s="253"/>
      <c r="O26" s="253"/>
      <c r="P26" s="241"/>
      <c r="Q26" s="242" t="s">
        <v>606</v>
      </c>
      <c r="R26" s="242" t="s">
        <v>367</v>
      </c>
      <c r="S26" s="256"/>
      <c r="T26" s="256"/>
      <c r="U26" s="256"/>
      <c r="V26" s="256"/>
      <c r="W26" s="256"/>
      <c r="X26" s="271"/>
      <c r="Y26" s="242" t="s">
        <v>391</v>
      </c>
      <c r="Z26" s="242" t="s">
        <v>286</v>
      </c>
      <c r="AA26" s="253"/>
      <c r="AB26" s="253"/>
      <c r="AC26" s="253"/>
      <c r="AD26" s="253"/>
      <c r="AE26" s="253"/>
      <c r="AF26" s="241"/>
    </row>
    <row r="27" spans="1:41" ht="9" customHeight="1">
      <c r="A27" s="242" t="s">
        <v>281</v>
      </c>
      <c r="B27" s="242" t="s">
        <v>282</v>
      </c>
      <c r="C27" s="253"/>
      <c r="D27" s="253"/>
      <c r="E27" s="253"/>
      <c r="F27" s="253"/>
      <c r="G27" s="253"/>
      <c r="H27" s="241"/>
      <c r="I27" s="262" t="s">
        <v>663</v>
      </c>
      <c r="J27" s="262" t="s">
        <v>664</v>
      </c>
      <c r="K27" s="269"/>
      <c r="L27" s="269"/>
      <c r="M27" s="269"/>
      <c r="N27" s="269"/>
      <c r="O27" s="269"/>
      <c r="P27" s="259"/>
      <c r="Q27" s="242" t="s">
        <v>659</v>
      </c>
      <c r="R27" s="242" t="s">
        <v>660</v>
      </c>
      <c r="S27" s="256"/>
      <c r="T27" s="256"/>
      <c r="U27" s="256"/>
      <c r="V27" s="256"/>
      <c r="W27" s="256"/>
      <c r="X27" s="245"/>
      <c r="Y27" s="249" t="s">
        <v>410</v>
      </c>
      <c r="Z27" s="249" t="s">
        <v>367</v>
      </c>
      <c r="AA27" s="253"/>
      <c r="AB27" s="253"/>
      <c r="AC27" s="253"/>
      <c r="AD27" s="253"/>
      <c r="AE27" s="253"/>
      <c r="AF27" s="241"/>
    </row>
    <row r="28" spans="1:41" ht="9" customHeight="1" thickBot="1">
      <c r="A28" s="242" t="s">
        <v>840</v>
      </c>
      <c r="B28" s="242" t="s">
        <v>455</v>
      </c>
      <c r="C28" s="246"/>
      <c r="D28" s="246"/>
      <c r="E28" s="246"/>
      <c r="F28" s="246"/>
      <c r="G28" s="246"/>
      <c r="H28" s="241"/>
      <c r="I28" s="262" t="s">
        <v>683</v>
      </c>
      <c r="J28" s="262" t="s">
        <v>378</v>
      </c>
      <c r="K28" s="269"/>
      <c r="L28" s="269"/>
      <c r="M28" s="269"/>
      <c r="N28" s="269"/>
      <c r="O28" s="269"/>
      <c r="P28" s="259"/>
      <c r="Q28" s="262" t="s">
        <v>680</v>
      </c>
      <c r="R28" s="262" t="s">
        <v>681</v>
      </c>
      <c r="S28" s="275"/>
      <c r="T28" s="275"/>
      <c r="U28" s="275"/>
      <c r="V28" s="275"/>
      <c r="W28" s="275"/>
      <c r="X28" s="276"/>
      <c r="Y28" s="242" t="s">
        <v>498</v>
      </c>
      <c r="Z28" s="242" t="s">
        <v>489</v>
      </c>
      <c r="AA28" s="241"/>
      <c r="AB28" s="241"/>
      <c r="AC28" s="241"/>
      <c r="AD28" s="241"/>
      <c r="AE28" s="241"/>
      <c r="AF28" s="241"/>
    </row>
    <row r="29" spans="1:41" ht="9" customHeight="1" thickBot="1">
      <c r="A29" s="242" t="s">
        <v>463</v>
      </c>
      <c r="B29" s="242" t="s">
        <v>841</v>
      </c>
      <c r="C29" s="253"/>
      <c r="D29" s="253"/>
      <c r="E29" s="253"/>
      <c r="F29" s="253"/>
      <c r="G29" s="253"/>
      <c r="H29" s="241"/>
      <c r="I29" s="300" t="s">
        <v>842</v>
      </c>
      <c r="J29" s="300"/>
      <c r="K29" s="300"/>
      <c r="L29" s="300"/>
      <c r="M29" s="300"/>
      <c r="N29" s="300"/>
      <c r="O29" s="300"/>
      <c r="P29" s="300"/>
      <c r="Q29" s="300" t="s">
        <v>843</v>
      </c>
      <c r="R29" s="300"/>
      <c r="S29" s="300"/>
      <c r="T29" s="300"/>
      <c r="U29" s="300"/>
      <c r="V29" s="300"/>
      <c r="W29" s="300"/>
      <c r="X29" s="300"/>
      <c r="Y29" s="242" t="s">
        <v>844</v>
      </c>
      <c r="Z29" s="242" t="s">
        <v>505</v>
      </c>
      <c r="AA29" s="241"/>
      <c r="AB29" s="241"/>
      <c r="AC29" s="241"/>
      <c r="AD29" s="241"/>
      <c r="AE29" s="241"/>
      <c r="AF29" s="241"/>
    </row>
    <row r="30" spans="1:41" ht="9" customHeight="1">
      <c r="A30" s="249" t="s">
        <v>472</v>
      </c>
      <c r="B30" s="249" t="s">
        <v>473</v>
      </c>
      <c r="C30" s="246"/>
      <c r="D30" s="246"/>
      <c r="E30" s="246"/>
      <c r="F30" s="246"/>
      <c r="G30" s="246"/>
      <c r="H30" s="241"/>
      <c r="I30" s="236" t="s">
        <v>241</v>
      </c>
      <c r="J30" s="236" t="s">
        <v>242</v>
      </c>
      <c r="K30" s="239"/>
      <c r="L30" s="239"/>
      <c r="M30" s="239"/>
      <c r="N30" s="239"/>
      <c r="O30" s="239"/>
      <c r="P30" s="239"/>
      <c r="Q30" s="236" t="s">
        <v>300</v>
      </c>
      <c r="R30" s="236" t="s">
        <v>301</v>
      </c>
      <c r="S30" s="277"/>
      <c r="T30" s="277"/>
      <c r="U30" s="277"/>
      <c r="V30" s="277"/>
      <c r="W30" s="277"/>
      <c r="X30" s="277"/>
      <c r="Y30" s="249" t="s">
        <v>570</v>
      </c>
      <c r="Z30" s="249" t="s">
        <v>371</v>
      </c>
      <c r="AA30" s="253"/>
      <c r="AB30" s="253"/>
      <c r="AC30" s="253"/>
      <c r="AD30" s="253"/>
      <c r="AE30" s="253"/>
      <c r="AF30" s="241"/>
    </row>
    <row r="31" spans="1:41" ht="9" customHeight="1">
      <c r="A31" s="249" t="s">
        <v>845</v>
      </c>
      <c r="B31" s="249" t="s">
        <v>509</v>
      </c>
      <c r="C31" s="253"/>
      <c r="D31" s="253"/>
      <c r="E31" s="253"/>
      <c r="F31" s="253"/>
      <c r="G31" s="253"/>
      <c r="H31" s="241"/>
      <c r="I31" s="242" t="s">
        <v>285</v>
      </c>
      <c r="J31" s="242" t="s">
        <v>287</v>
      </c>
      <c r="K31" s="246"/>
      <c r="L31" s="246"/>
      <c r="M31" s="246"/>
      <c r="N31" s="246"/>
      <c r="O31" s="246"/>
      <c r="P31" s="246"/>
      <c r="Q31" s="242" t="s">
        <v>315</v>
      </c>
      <c r="R31" s="242" t="s">
        <v>846</v>
      </c>
      <c r="S31" s="246"/>
      <c r="T31" s="246"/>
      <c r="U31" s="246"/>
      <c r="V31" s="246"/>
      <c r="W31" s="246"/>
      <c r="X31" s="246"/>
      <c r="Y31" s="252" t="s">
        <v>579</v>
      </c>
      <c r="Z31" s="252" t="s">
        <v>580</v>
      </c>
      <c r="AA31" s="253"/>
      <c r="AB31" s="253"/>
      <c r="AC31" s="253"/>
      <c r="AD31" s="253"/>
      <c r="AE31" s="253"/>
      <c r="AF31" s="241"/>
    </row>
    <row r="32" spans="1:41" ht="9" customHeight="1">
      <c r="A32" s="249" t="s">
        <v>527</v>
      </c>
      <c r="B32" s="249" t="s">
        <v>420</v>
      </c>
      <c r="C32" s="253"/>
      <c r="D32" s="253"/>
      <c r="E32" s="253"/>
      <c r="F32" s="253"/>
      <c r="G32" s="253"/>
      <c r="H32" s="241"/>
      <c r="I32" s="242" t="s">
        <v>305</v>
      </c>
      <c r="J32" s="242" t="s">
        <v>306</v>
      </c>
      <c r="K32" s="253"/>
      <c r="L32" s="253"/>
      <c r="M32" s="253"/>
      <c r="N32" s="253"/>
      <c r="O32" s="253"/>
      <c r="P32" s="253"/>
      <c r="Q32" s="242" t="s">
        <v>392</v>
      </c>
      <c r="R32" s="242" t="s">
        <v>393</v>
      </c>
      <c r="S32" s="246"/>
      <c r="T32" s="246"/>
      <c r="U32" s="246"/>
      <c r="V32" s="246"/>
      <c r="W32" s="246"/>
      <c r="X32" s="246"/>
      <c r="Y32" s="242" t="s">
        <v>585</v>
      </c>
      <c r="Z32" s="242" t="s">
        <v>282</v>
      </c>
      <c r="AA32" s="253"/>
      <c r="AB32" s="253"/>
      <c r="AC32" s="253"/>
      <c r="AD32" s="253"/>
      <c r="AE32" s="253"/>
      <c r="AF32" s="241"/>
    </row>
    <row r="33" spans="1:32">
      <c r="A33" s="242" t="s">
        <v>566</v>
      </c>
      <c r="B33" s="242" t="s">
        <v>567</v>
      </c>
      <c r="C33" s="253"/>
      <c r="D33" s="253"/>
      <c r="E33" s="253"/>
      <c r="F33" s="253"/>
      <c r="G33" s="253"/>
      <c r="H33" s="241"/>
      <c r="I33" s="242" t="s">
        <v>332</v>
      </c>
      <c r="J33" s="242" t="s">
        <v>333</v>
      </c>
      <c r="K33" s="253"/>
      <c r="L33" s="253"/>
      <c r="M33" s="253"/>
      <c r="N33" s="253"/>
      <c r="O33" s="253"/>
      <c r="P33" s="253"/>
      <c r="Q33" s="249" t="s">
        <v>485</v>
      </c>
      <c r="R33" s="249" t="s">
        <v>486</v>
      </c>
      <c r="S33" s="246"/>
      <c r="T33" s="246"/>
      <c r="U33" s="246"/>
      <c r="V33" s="246"/>
      <c r="W33" s="246"/>
      <c r="X33" s="246"/>
      <c r="Y33" s="242" t="s">
        <v>617</v>
      </c>
      <c r="Z33" s="242" t="s">
        <v>333</v>
      </c>
      <c r="AA33" s="253"/>
      <c r="AB33" s="253"/>
      <c r="AC33" s="253"/>
      <c r="AD33" s="253"/>
      <c r="AE33" s="253"/>
      <c r="AF33" s="241"/>
    </row>
    <row r="34" spans="1:32" ht="9.75" thickBot="1">
      <c r="A34" s="249" t="s">
        <v>616</v>
      </c>
      <c r="B34" s="249" t="s">
        <v>471</v>
      </c>
      <c r="C34" s="253"/>
      <c r="D34" s="253"/>
      <c r="E34" s="253"/>
      <c r="F34" s="253"/>
      <c r="G34" s="253"/>
      <c r="H34" s="241"/>
      <c r="I34" s="249" t="s">
        <v>336</v>
      </c>
      <c r="J34" s="249" t="s">
        <v>337</v>
      </c>
      <c r="K34" s="246"/>
      <c r="L34" s="246"/>
      <c r="M34" s="246"/>
      <c r="N34" s="246"/>
      <c r="O34" s="246"/>
      <c r="P34" s="246"/>
      <c r="Q34" s="242" t="s">
        <v>500</v>
      </c>
      <c r="R34" s="242" t="s">
        <v>501</v>
      </c>
      <c r="S34" s="246"/>
      <c r="T34" s="246"/>
      <c r="U34" s="246"/>
      <c r="V34" s="246"/>
      <c r="W34" s="246"/>
      <c r="X34" s="246"/>
      <c r="Y34" s="242" t="s">
        <v>622</v>
      </c>
      <c r="Z34" s="242" t="s">
        <v>512</v>
      </c>
      <c r="AA34" s="253"/>
      <c r="AB34" s="253"/>
      <c r="AC34" s="253"/>
      <c r="AD34" s="253"/>
      <c r="AE34" s="253"/>
      <c r="AF34" s="241"/>
    </row>
    <row r="35" spans="1:32" ht="9.75" thickBot="1">
      <c r="A35" s="303" t="s">
        <v>847</v>
      </c>
      <c r="B35" s="304"/>
      <c r="C35" s="304"/>
      <c r="D35" s="304"/>
      <c r="E35" s="304"/>
      <c r="F35" s="304"/>
      <c r="G35" s="304"/>
      <c r="H35" s="305"/>
      <c r="I35" s="249" t="s">
        <v>380</v>
      </c>
      <c r="J35" s="249" t="s">
        <v>381</v>
      </c>
      <c r="K35" s="253"/>
      <c r="L35" s="253"/>
      <c r="M35" s="253"/>
      <c r="N35" s="253"/>
      <c r="O35" s="253"/>
      <c r="P35" s="253"/>
      <c r="Q35" s="242" t="s">
        <v>561</v>
      </c>
      <c r="R35" s="242" t="s">
        <v>261</v>
      </c>
      <c r="S35" s="246"/>
      <c r="T35" s="246"/>
      <c r="U35" s="246"/>
      <c r="V35" s="246"/>
      <c r="W35" s="246"/>
      <c r="X35" s="246"/>
      <c r="Y35" s="242" t="s">
        <v>626</v>
      </c>
      <c r="Z35" s="242" t="s">
        <v>326</v>
      </c>
      <c r="AA35" s="253"/>
      <c r="AB35" s="253"/>
      <c r="AC35" s="253"/>
      <c r="AD35" s="253"/>
      <c r="AE35" s="253"/>
      <c r="AF35" s="241"/>
    </row>
    <row r="36" spans="1:32">
      <c r="A36" s="236" t="s">
        <v>250</v>
      </c>
      <c r="B36" s="236" t="s">
        <v>251</v>
      </c>
      <c r="C36" s="239"/>
      <c r="D36" s="239"/>
      <c r="E36" s="239"/>
      <c r="F36" s="239"/>
      <c r="G36" s="239"/>
      <c r="H36" s="235"/>
      <c r="I36" s="249" t="s">
        <v>394</v>
      </c>
      <c r="J36" s="249" t="s">
        <v>265</v>
      </c>
      <c r="K36" s="253"/>
      <c r="L36" s="253"/>
      <c r="M36" s="253"/>
      <c r="N36" s="253"/>
      <c r="O36" s="253"/>
      <c r="P36" s="253"/>
      <c r="Q36" s="249" t="s">
        <v>586</v>
      </c>
      <c r="R36" s="249" t="s">
        <v>516</v>
      </c>
      <c r="S36" s="246"/>
      <c r="T36" s="246"/>
      <c r="U36" s="246"/>
      <c r="V36" s="246"/>
      <c r="W36" s="246"/>
      <c r="X36" s="246"/>
      <c r="Y36" s="242" t="s">
        <v>628</v>
      </c>
      <c r="Z36" s="242" t="s">
        <v>629</v>
      </c>
      <c r="AA36" s="253"/>
      <c r="AB36" s="253"/>
      <c r="AC36" s="253"/>
      <c r="AD36" s="253"/>
      <c r="AE36" s="253"/>
      <c r="AF36" s="241"/>
    </row>
    <row r="37" spans="1:32">
      <c r="A37" s="242" t="s">
        <v>258</v>
      </c>
      <c r="B37" s="242" t="s">
        <v>259</v>
      </c>
      <c r="C37" s="253"/>
      <c r="D37" s="253"/>
      <c r="E37" s="253"/>
      <c r="F37" s="253"/>
      <c r="G37" s="253"/>
      <c r="H37" s="241"/>
      <c r="I37" s="249" t="s">
        <v>416</v>
      </c>
      <c r="J37" s="249" t="s">
        <v>417</v>
      </c>
      <c r="K37" s="253"/>
      <c r="L37" s="253"/>
      <c r="M37" s="253"/>
      <c r="N37" s="253"/>
      <c r="O37" s="253"/>
      <c r="P37" s="253"/>
      <c r="Q37" s="242" t="s">
        <v>592</v>
      </c>
      <c r="R37" s="242" t="s">
        <v>594</v>
      </c>
      <c r="S37" s="246"/>
      <c r="T37" s="246"/>
      <c r="U37" s="246"/>
      <c r="V37" s="246"/>
      <c r="W37" s="246"/>
      <c r="X37" s="246"/>
      <c r="Y37" s="242" t="s">
        <v>631</v>
      </c>
      <c r="Z37" s="242" t="s">
        <v>632</v>
      </c>
      <c r="AA37" s="253"/>
      <c r="AB37" s="253"/>
      <c r="AC37" s="253"/>
      <c r="AD37" s="253"/>
      <c r="AE37" s="253"/>
      <c r="AF37" s="241"/>
    </row>
    <row r="38" spans="1:32">
      <c r="A38" s="242" t="s">
        <v>408</v>
      </c>
      <c r="B38" s="242" t="s">
        <v>409</v>
      </c>
      <c r="C38" s="253"/>
      <c r="D38" s="253"/>
      <c r="E38" s="253"/>
      <c r="F38" s="253"/>
      <c r="G38" s="253"/>
      <c r="H38" s="241"/>
      <c r="I38" s="242" t="s">
        <v>453</v>
      </c>
      <c r="J38" s="242" t="s">
        <v>261</v>
      </c>
      <c r="K38" s="253"/>
      <c r="L38" s="253"/>
      <c r="M38" s="253"/>
      <c r="N38" s="253"/>
      <c r="O38" s="253"/>
      <c r="P38" s="253"/>
      <c r="Q38" s="242" t="s">
        <v>640</v>
      </c>
      <c r="R38" s="242" t="s">
        <v>409</v>
      </c>
      <c r="S38" s="246"/>
      <c r="T38" s="246"/>
      <c r="U38" s="246"/>
      <c r="V38" s="246"/>
      <c r="W38" s="246"/>
      <c r="X38" s="246"/>
      <c r="Y38" s="242" t="s">
        <v>638</v>
      </c>
      <c r="Z38" s="242" t="s">
        <v>639</v>
      </c>
      <c r="AA38" s="253"/>
      <c r="AB38" s="253"/>
      <c r="AC38" s="253"/>
      <c r="AD38" s="253"/>
      <c r="AE38" s="253"/>
      <c r="AF38" s="241"/>
    </row>
    <row r="39" spans="1:32" ht="9.75" thickBot="1">
      <c r="A39" s="249" t="s">
        <v>458</v>
      </c>
      <c r="B39" s="249" t="s">
        <v>459</v>
      </c>
      <c r="C39" s="253"/>
      <c r="D39" s="253"/>
      <c r="E39" s="253"/>
      <c r="F39" s="253"/>
      <c r="G39" s="253"/>
      <c r="H39" s="241"/>
      <c r="I39" s="249" t="s">
        <v>538</v>
      </c>
      <c r="J39" s="249" t="s">
        <v>539</v>
      </c>
      <c r="K39" s="253"/>
      <c r="L39" s="253"/>
      <c r="M39" s="253"/>
      <c r="N39" s="253"/>
      <c r="O39" s="253"/>
      <c r="P39" s="253"/>
      <c r="Q39" s="249" t="s">
        <v>641</v>
      </c>
      <c r="R39" s="249" t="s">
        <v>848</v>
      </c>
      <c r="S39" s="246"/>
      <c r="T39" s="246"/>
      <c r="U39" s="246"/>
      <c r="V39" s="246"/>
      <c r="W39" s="246"/>
      <c r="X39" s="246"/>
      <c r="Y39" s="262" t="s">
        <v>661</v>
      </c>
      <c r="Z39" s="262" t="s">
        <v>662</v>
      </c>
      <c r="AA39" s="269"/>
      <c r="AB39" s="269"/>
      <c r="AC39" s="269"/>
      <c r="AD39" s="269"/>
      <c r="AE39" s="269"/>
      <c r="AF39" s="259"/>
    </row>
    <row r="40" spans="1:32" ht="9.75" thickBot="1">
      <c r="A40" s="242" t="s">
        <v>540</v>
      </c>
      <c r="B40" s="242" t="s">
        <v>253</v>
      </c>
      <c r="C40" s="246"/>
      <c r="D40" s="246"/>
      <c r="E40" s="246"/>
      <c r="F40" s="246"/>
      <c r="G40" s="246"/>
      <c r="H40" s="241"/>
      <c r="I40" s="242" t="s">
        <v>612</v>
      </c>
      <c r="J40" s="242" t="s">
        <v>613</v>
      </c>
      <c r="K40" s="246"/>
      <c r="L40" s="246"/>
      <c r="M40" s="246"/>
      <c r="N40" s="246"/>
      <c r="O40" s="246"/>
      <c r="P40" s="246"/>
      <c r="Q40" s="242" t="s">
        <v>849</v>
      </c>
      <c r="R40" s="242" t="s">
        <v>652</v>
      </c>
      <c r="S40" s="271"/>
      <c r="T40" s="271"/>
      <c r="U40" s="271"/>
      <c r="V40" s="271"/>
      <c r="W40" s="271"/>
      <c r="X40" s="271"/>
      <c r="Y40" s="303" t="s">
        <v>850</v>
      </c>
      <c r="Z40" s="304"/>
      <c r="AA40" s="304"/>
      <c r="AB40" s="304"/>
      <c r="AC40" s="304"/>
      <c r="AD40" s="304"/>
      <c r="AE40" s="304"/>
      <c r="AF40" s="305"/>
    </row>
    <row r="41" spans="1:32">
      <c r="A41" s="242" t="s">
        <v>614</v>
      </c>
      <c r="B41" s="242" t="s">
        <v>615</v>
      </c>
      <c r="C41" s="253"/>
      <c r="D41" s="253"/>
      <c r="E41" s="253"/>
      <c r="F41" s="253"/>
      <c r="G41" s="253"/>
      <c r="H41" s="241"/>
      <c r="I41" s="242" t="s">
        <v>633</v>
      </c>
      <c r="J41" s="242" t="s">
        <v>634</v>
      </c>
      <c r="K41" s="246"/>
      <c r="L41" s="246"/>
      <c r="M41" s="246"/>
      <c r="N41" s="246"/>
      <c r="O41" s="246"/>
      <c r="P41" s="246"/>
      <c r="Q41" s="242" t="s">
        <v>665</v>
      </c>
      <c r="R41" s="242" t="s">
        <v>554</v>
      </c>
      <c r="S41" s="271"/>
      <c r="T41" s="271"/>
      <c r="U41" s="271"/>
      <c r="V41" s="271"/>
      <c r="W41" s="271"/>
      <c r="X41" s="271"/>
      <c r="Y41" s="236" t="s">
        <v>283</v>
      </c>
      <c r="Z41" s="236" t="s">
        <v>284</v>
      </c>
      <c r="AA41" s="278"/>
      <c r="AB41" s="279"/>
      <c r="AC41" s="278"/>
      <c r="AD41" s="278"/>
      <c r="AE41" s="239"/>
      <c r="AF41" s="239"/>
    </row>
    <row r="42" spans="1:32">
      <c r="A42" s="249" t="s">
        <v>635</v>
      </c>
      <c r="B42" s="249" t="s">
        <v>636</v>
      </c>
      <c r="C42" s="253"/>
      <c r="D42" s="253"/>
      <c r="E42" s="253"/>
      <c r="F42" s="253"/>
      <c r="G42" s="253"/>
      <c r="H42" s="241"/>
      <c r="Q42" s="242" t="s">
        <v>675</v>
      </c>
      <c r="R42" s="242" t="s">
        <v>664</v>
      </c>
      <c r="S42" s="271"/>
      <c r="T42" s="271"/>
      <c r="U42" s="271"/>
      <c r="V42" s="271"/>
      <c r="W42" s="271"/>
      <c r="X42" s="271"/>
      <c r="Y42" s="242" t="s">
        <v>339</v>
      </c>
      <c r="Z42" s="242" t="s">
        <v>851</v>
      </c>
      <c r="AA42" s="280"/>
      <c r="AB42" s="281"/>
      <c r="AC42" s="282"/>
      <c r="AD42" s="282"/>
      <c r="AE42" s="253"/>
      <c r="AF42" s="253"/>
    </row>
    <row r="43" spans="1:32">
      <c r="A43" s="249" t="s">
        <v>637</v>
      </c>
      <c r="B43" s="249" t="s">
        <v>286</v>
      </c>
      <c r="C43" s="253"/>
      <c r="D43" s="253"/>
      <c r="E43" s="253"/>
      <c r="F43" s="253"/>
      <c r="G43" s="253"/>
      <c r="H43" s="241"/>
      <c r="Q43" s="242" t="s">
        <v>682</v>
      </c>
      <c r="R43" s="242" t="s">
        <v>306</v>
      </c>
      <c r="S43" s="271"/>
      <c r="T43" s="271"/>
      <c r="U43" s="271"/>
      <c r="V43" s="271"/>
      <c r="W43" s="271"/>
      <c r="X43" s="271"/>
      <c r="Y43" s="249" t="s">
        <v>361</v>
      </c>
      <c r="Z43" s="249" t="s">
        <v>362</v>
      </c>
      <c r="AA43" s="282"/>
      <c r="AB43" s="281"/>
      <c r="AC43" s="282"/>
      <c r="AD43" s="282"/>
      <c r="AE43" s="246"/>
      <c r="AF43" s="246"/>
    </row>
    <row r="44" spans="1:32">
      <c r="A44" s="242" t="s">
        <v>666</v>
      </c>
      <c r="B44" s="242" t="s">
        <v>509</v>
      </c>
      <c r="C44" s="253"/>
      <c r="D44" s="253"/>
      <c r="E44" s="253"/>
      <c r="F44" s="253"/>
      <c r="G44" s="253"/>
      <c r="H44" s="241"/>
      <c r="Y44" s="249" t="s">
        <v>368</v>
      </c>
      <c r="Z44" s="249" t="s">
        <v>369</v>
      </c>
      <c r="AA44" s="280"/>
      <c r="AB44" s="281"/>
      <c r="AC44" s="282"/>
      <c r="AD44" s="282"/>
      <c r="AE44" s="253"/>
      <c r="AF44" s="253"/>
    </row>
    <row r="45" spans="1:32">
      <c r="B45" s="283"/>
      <c r="Y45" s="252" t="s">
        <v>425</v>
      </c>
      <c r="Z45" s="252" t="s">
        <v>326</v>
      </c>
      <c r="AA45" s="284"/>
      <c r="AB45" s="285"/>
      <c r="AC45" s="284"/>
      <c r="AD45" s="284"/>
      <c r="AE45" s="253"/>
      <c r="AF45" s="253"/>
    </row>
    <row r="46" spans="1:32">
      <c r="B46" s="271"/>
      <c r="C46" s="233" t="s">
        <v>852</v>
      </c>
      <c r="S46" s="286"/>
      <c r="T46" s="250"/>
      <c r="U46" s="250"/>
      <c r="V46" s="250"/>
      <c r="W46" s="250"/>
      <c r="X46" s="250"/>
      <c r="Y46" s="249" t="s">
        <v>568</v>
      </c>
      <c r="Z46" s="249" t="s">
        <v>569</v>
      </c>
      <c r="AA46" s="280"/>
      <c r="AB46" s="281"/>
      <c r="AC46" s="282"/>
      <c r="AD46" s="282"/>
      <c r="AE46" s="246"/>
      <c r="AF46" s="246"/>
    </row>
    <row r="47" spans="1:32">
      <c r="B47" s="287"/>
      <c r="C47" s="233" t="s">
        <v>853</v>
      </c>
      <c r="S47" s="288"/>
      <c r="Y47" s="242" t="s">
        <v>654</v>
      </c>
      <c r="Z47" s="242" t="s">
        <v>360</v>
      </c>
      <c r="AA47" s="282"/>
      <c r="AB47" s="282"/>
      <c r="AC47" s="282"/>
      <c r="AD47" s="282"/>
      <c r="AE47" s="253"/>
      <c r="AF47" s="253"/>
    </row>
    <row r="48" spans="1:32">
      <c r="B48" s="233"/>
      <c r="G48" s="289" t="s">
        <v>854</v>
      </c>
      <c r="H48" s="289"/>
      <c r="I48" s="290"/>
      <c r="J48" s="291" t="s">
        <v>855</v>
      </c>
      <c r="K48" s="291"/>
      <c r="L48" s="291"/>
      <c r="M48" s="291"/>
      <c r="N48" s="291"/>
    </row>
    <row r="49" spans="2:16">
      <c r="B49" s="233"/>
      <c r="I49" s="292"/>
      <c r="J49" s="293"/>
      <c r="K49" s="293"/>
      <c r="L49" s="293"/>
      <c r="M49" s="293"/>
      <c r="N49" s="293"/>
      <c r="O49" s="292"/>
      <c r="P49" s="292"/>
    </row>
    <row r="50" spans="2:16">
      <c r="I50" s="286"/>
      <c r="J50" s="250"/>
    </row>
    <row r="52" spans="2:16">
      <c r="I52" s="294" t="s">
        <v>856</v>
      </c>
      <c r="J52" s="295">
        <v>42984</v>
      </c>
      <c r="K52" s="291"/>
      <c r="L52" s="291"/>
      <c r="M52" s="291"/>
      <c r="N52" s="291"/>
    </row>
    <row r="66" spans="15:15">
      <c r="O66" s="291"/>
    </row>
    <row r="67" spans="15:15">
      <c r="O67" s="291"/>
    </row>
    <row r="70" spans="15:15">
      <c r="O70" s="291"/>
    </row>
  </sheetData>
  <mergeCells count="17">
    <mergeCell ref="I29:P29"/>
    <mergeCell ref="Q29:X29"/>
    <mergeCell ref="A35:H35"/>
    <mergeCell ref="Y40:AF40"/>
    <mergeCell ref="AH23:AJ25"/>
    <mergeCell ref="A1:H1"/>
    <mergeCell ref="I1:P1"/>
    <mergeCell ref="Q1:X1"/>
    <mergeCell ref="Y1:AF1"/>
    <mergeCell ref="AH10:AN12"/>
    <mergeCell ref="A12:H12"/>
    <mergeCell ref="AH14:AN16"/>
    <mergeCell ref="I16:P16"/>
    <mergeCell ref="Q16:X16"/>
    <mergeCell ref="AH17:AN19"/>
    <mergeCell ref="Y18:AF18"/>
    <mergeCell ref="A25:H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M113"/>
  <sheetViews>
    <sheetView showGridLines="0" showRowColHeaders="0" zoomScale="133" zoomScaleNormal="133" workbookViewId="0"/>
  </sheetViews>
  <sheetFormatPr baseColWidth="10" defaultRowHeight="15"/>
  <cols>
    <col min="2" max="2" width="14.85546875" customWidth="1"/>
    <col min="3" max="10" width="11.7109375" customWidth="1"/>
  </cols>
  <sheetData>
    <row r="1" spans="1:13" ht="19.5" customHeight="1">
      <c r="A1" s="172"/>
      <c r="B1" s="179"/>
      <c r="C1" s="306" t="s">
        <v>706</v>
      </c>
      <c r="D1" s="306"/>
      <c r="E1" s="188">
        <v>43045</v>
      </c>
      <c r="F1" s="182" t="s">
        <v>707</v>
      </c>
      <c r="G1" s="189">
        <v>43049</v>
      </c>
      <c r="H1" s="180"/>
      <c r="I1" s="180"/>
      <c r="J1" s="181"/>
      <c r="M1" t="s">
        <v>701</v>
      </c>
    </row>
    <row r="2" spans="1:13" ht="21" customHeight="1" thickBot="1">
      <c r="A2" s="173"/>
      <c r="B2" s="185" t="s">
        <v>23</v>
      </c>
      <c r="C2" s="178" t="s">
        <v>24</v>
      </c>
      <c r="D2" s="185" t="s">
        <v>16</v>
      </c>
      <c r="E2" s="178" t="s">
        <v>17</v>
      </c>
      <c r="F2" s="185" t="s">
        <v>25</v>
      </c>
      <c r="G2" s="178" t="s">
        <v>18</v>
      </c>
      <c r="H2" s="185" t="s">
        <v>19</v>
      </c>
      <c r="I2" s="178" t="s">
        <v>20</v>
      </c>
      <c r="J2" s="185" t="s">
        <v>21</v>
      </c>
      <c r="M2" t="s">
        <v>701</v>
      </c>
    </row>
    <row r="3" spans="1:13" ht="48" customHeight="1" thickBot="1">
      <c r="A3" s="177" t="s">
        <v>26</v>
      </c>
      <c r="B3" s="184" t="s">
        <v>705</v>
      </c>
      <c r="C3" s="183" t="s">
        <v>11</v>
      </c>
      <c r="D3" s="184"/>
      <c r="E3" s="183"/>
      <c r="F3" s="184" t="s">
        <v>12</v>
      </c>
      <c r="G3" s="183" t="s">
        <v>5</v>
      </c>
      <c r="H3" s="184"/>
      <c r="I3" s="183" t="s">
        <v>5</v>
      </c>
      <c r="J3" s="186"/>
      <c r="M3" t="s">
        <v>701</v>
      </c>
    </row>
    <row r="4" spans="1:13" ht="48" customHeight="1" thickBot="1">
      <c r="A4" s="177" t="s">
        <v>27</v>
      </c>
      <c r="B4" s="184"/>
      <c r="C4" s="183"/>
      <c r="D4" s="184" t="s">
        <v>2</v>
      </c>
      <c r="E4" s="183"/>
      <c r="F4" s="184"/>
      <c r="G4" s="183"/>
      <c r="H4" s="184"/>
      <c r="I4" s="183"/>
      <c r="J4" s="186"/>
      <c r="M4" t="s">
        <v>701</v>
      </c>
    </row>
    <row r="5" spans="1:13" ht="48" customHeight="1" thickBot="1">
      <c r="A5" s="177" t="s">
        <v>28</v>
      </c>
      <c r="B5" s="184"/>
      <c r="C5" s="183"/>
      <c r="D5" s="184"/>
      <c r="E5" s="183"/>
      <c r="F5" s="184" t="s">
        <v>7</v>
      </c>
      <c r="G5" s="183"/>
      <c r="H5" s="184"/>
      <c r="I5" s="183"/>
      <c r="J5" s="186"/>
      <c r="M5" t="s">
        <v>701</v>
      </c>
    </row>
    <row r="6" spans="1:13" ht="48" customHeight="1" thickBot="1">
      <c r="A6" s="177" t="s">
        <v>29</v>
      </c>
      <c r="B6" s="184"/>
      <c r="C6" s="183"/>
      <c r="D6" s="184"/>
      <c r="E6" s="183"/>
      <c r="F6" s="184"/>
      <c r="G6" s="183"/>
      <c r="H6" s="184"/>
      <c r="I6" s="183"/>
      <c r="J6" s="186"/>
      <c r="M6" t="s">
        <v>701</v>
      </c>
    </row>
    <row r="7" spans="1:13" ht="48" customHeight="1" thickBot="1">
      <c r="A7" s="177" t="s">
        <v>30</v>
      </c>
      <c r="B7" s="184" t="s">
        <v>6</v>
      </c>
      <c r="C7" s="183" t="s">
        <v>708</v>
      </c>
      <c r="D7" s="184" t="s">
        <v>6</v>
      </c>
      <c r="E7" s="183" t="s">
        <v>6</v>
      </c>
      <c r="F7" s="184" t="s">
        <v>6</v>
      </c>
      <c r="G7" s="183" t="s">
        <v>6</v>
      </c>
      <c r="H7" s="184" t="s">
        <v>708</v>
      </c>
      <c r="I7" s="183" t="s">
        <v>6</v>
      </c>
      <c r="J7" s="186" t="s">
        <v>6</v>
      </c>
      <c r="M7" t="s">
        <v>701</v>
      </c>
    </row>
    <row r="8" spans="1:13" ht="48" customHeight="1">
      <c r="A8" s="176"/>
      <c r="B8" s="174"/>
      <c r="C8" s="174"/>
      <c r="D8" s="174"/>
      <c r="E8" s="174"/>
      <c r="F8" s="174"/>
      <c r="G8" s="174"/>
      <c r="H8" s="174"/>
      <c r="I8" s="174"/>
      <c r="J8" s="174"/>
      <c r="M8" t="s">
        <v>701</v>
      </c>
    </row>
    <row r="9" spans="1:13" ht="48" customHeight="1">
      <c r="A9" s="176"/>
      <c r="B9" s="174"/>
      <c r="C9" s="37"/>
      <c r="D9" s="37"/>
      <c r="E9" s="37"/>
      <c r="F9" s="174"/>
      <c r="G9" s="174"/>
      <c r="H9" s="174"/>
      <c r="I9" s="174"/>
      <c r="J9" s="174"/>
      <c r="M9" t="s">
        <v>701</v>
      </c>
    </row>
    <row r="10" spans="1:13" ht="48" customHeight="1">
      <c r="A10" s="176"/>
      <c r="B10" s="174"/>
      <c r="C10" s="37"/>
      <c r="D10" s="37"/>
      <c r="E10" s="37"/>
      <c r="F10" s="37"/>
      <c r="G10" s="37"/>
      <c r="H10" s="37"/>
      <c r="I10" s="174"/>
      <c r="J10" s="174"/>
      <c r="M10" t="s">
        <v>701</v>
      </c>
    </row>
    <row r="11" spans="1:13" ht="48" customHeight="1">
      <c r="A11" s="176"/>
      <c r="B11" s="174"/>
      <c r="C11" s="37"/>
      <c r="D11" s="37"/>
      <c r="E11" s="37"/>
      <c r="F11" s="37"/>
      <c r="G11" s="37"/>
      <c r="H11" s="37"/>
      <c r="I11" s="174"/>
      <c r="J11" s="174"/>
      <c r="M11" t="s">
        <v>701</v>
      </c>
    </row>
    <row r="12" spans="1:13" ht="15.75">
      <c r="B12" s="175"/>
      <c r="C12" s="37"/>
      <c r="D12" s="37"/>
      <c r="E12" s="37"/>
      <c r="F12" s="37"/>
      <c r="G12" s="33"/>
      <c r="M12" t="s">
        <v>701</v>
      </c>
    </row>
    <row r="13" spans="1:13" ht="15.75">
      <c r="B13" s="175"/>
      <c r="C13" s="37"/>
      <c r="D13" s="37"/>
      <c r="E13" s="37"/>
      <c r="F13" s="37"/>
      <c r="G13" s="33"/>
      <c r="M13" t="s">
        <v>701</v>
      </c>
    </row>
    <row r="14" spans="1:13" ht="15.75">
      <c r="B14" s="175"/>
      <c r="D14" s="95"/>
      <c r="M14" t="s">
        <v>701</v>
      </c>
    </row>
    <row r="15" spans="1:13" ht="15.75">
      <c r="B15" s="175"/>
      <c r="M15" t="s">
        <v>701</v>
      </c>
    </row>
    <row r="16" spans="1:13" ht="15.75">
      <c r="B16" s="175"/>
      <c r="M16" t="s">
        <v>701</v>
      </c>
    </row>
    <row r="17" spans="2:13" ht="15.75">
      <c r="B17" s="175"/>
      <c r="M17" t="s">
        <v>701</v>
      </c>
    </row>
    <row r="18" spans="2:13" ht="15.75">
      <c r="B18" s="175"/>
      <c r="M18" t="s">
        <v>701</v>
      </c>
    </row>
    <row r="19" spans="2:13" ht="15.75">
      <c r="B19" s="175"/>
      <c r="M19" t="s">
        <v>701</v>
      </c>
    </row>
    <row r="20" spans="2:13" ht="15.75">
      <c r="B20" s="175"/>
      <c r="M20" t="s">
        <v>701</v>
      </c>
    </row>
    <row r="21" spans="2:13" ht="15.75">
      <c r="B21" s="175"/>
      <c r="M21" t="s">
        <v>701</v>
      </c>
    </row>
    <row r="22" spans="2:13" ht="15.75">
      <c r="B22" s="175"/>
      <c r="M22" t="s">
        <v>701</v>
      </c>
    </row>
    <row r="23" spans="2:13" ht="15.75">
      <c r="B23" s="175"/>
      <c r="M23" t="s">
        <v>701</v>
      </c>
    </row>
    <row r="24" spans="2:13">
      <c r="B24" s="78"/>
      <c r="M24" t="s">
        <v>701</v>
      </c>
    </row>
    <row r="25" spans="2:13">
      <c r="B25" s="78"/>
      <c r="M25" t="s">
        <v>701</v>
      </c>
    </row>
    <row r="26" spans="2:13">
      <c r="B26" s="78"/>
      <c r="M26" t="s">
        <v>701</v>
      </c>
    </row>
    <row r="27" spans="2:13">
      <c r="B27" s="78"/>
      <c r="M27" t="s">
        <v>701</v>
      </c>
    </row>
    <row r="28" spans="2:13">
      <c r="B28" s="78"/>
      <c r="M28" t="s">
        <v>701</v>
      </c>
    </row>
    <row r="29" spans="2:13">
      <c r="B29" s="78"/>
      <c r="M29" t="s">
        <v>701</v>
      </c>
    </row>
    <row r="30" spans="2:13">
      <c r="B30" s="78"/>
      <c r="M30" t="s">
        <v>701</v>
      </c>
    </row>
    <row r="31" spans="2:13">
      <c r="B31" s="78"/>
      <c r="M31" t="s">
        <v>701</v>
      </c>
    </row>
    <row r="32" spans="2:13">
      <c r="B32" s="78"/>
      <c r="C32" s="78"/>
      <c r="M32" t="s">
        <v>701</v>
      </c>
    </row>
    <row r="33" spans="2:13">
      <c r="B33" s="78"/>
      <c r="C33" s="78"/>
      <c r="M33" t="s">
        <v>701</v>
      </c>
    </row>
    <row r="34" spans="2:13" ht="15.75">
      <c r="B34" s="78"/>
      <c r="C34" s="174"/>
      <c r="M34" t="s">
        <v>701</v>
      </c>
    </row>
    <row r="35" spans="2:13" ht="15.75">
      <c r="B35" s="78"/>
      <c r="C35" s="174"/>
      <c r="M35" t="s">
        <v>701</v>
      </c>
    </row>
    <row r="36" spans="2:13" ht="15.75">
      <c r="B36" s="78"/>
      <c r="C36" s="174"/>
      <c r="M36" t="s">
        <v>701</v>
      </c>
    </row>
    <row r="37" spans="2:13" ht="15.75">
      <c r="B37" s="78"/>
      <c r="C37" s="174"/>
      <c r="M37" t="s">
        <v>701</v>
      </c>
    </row>
    <row r="38" spans="2:13" ht="15.75">
      <c r="B38" s="78"/>
      <c r="C38" s="174"/>
      <c r="M38" t="s">
        <v>701</v>
      </c>
    </row>
    <row r="39" spans="2:13" ht="15.75">
      <c r="B39" s="78"/>
      <c r="C39" s="174"/>
      <c r="M39" t="s">
        <v>701</v>
      </c>
    </row>
    <row r="40" spans="2:13" ht="15.75">
      <c r="B40" s="78"/>
      <c r="C40" s="174"/>
      <c r="M40" t="s">
        <v>701</v>
      </c>
    </row>
    <row r="41" spans="2:13" ht="15.75">
      <c r="B41" s="175"/>
      <c r="C41" s="174"/>
      <c r="M41" t="s">
        <v>701</v>
      </c>
    </row>
    <row r="42" spans="2:13" ht="15.75">
      <c r="B42" s="175"/>
      <c r="C42" s="174"/>
      <c r="M42" t="s">
        <v>701</v>
      </c>
    </row>
    <row r="43" spans="2:13" ht="15.75">
      <c r="B43" s="175"/>
      <c r="C43" s="174"/>
      <c r="M43" t="s">
        <v>701</v>
      </c>
    </row>
    <row r="44" spans="2:13" ht="15.75">
      <c r="B44" s="175"/>
      <c r="C44" s="174"/>
      <c r="M44" t="s">
        <v>701</v>
      </c>
    </row>
    <row r="45" spans="2:13" ht="15.75">
      <c r="B45" s="175"/>
      <c r="C45" s="174"/>
      <c r="M45" t="s">
        <v>701</v>
      </c>
    </row>
    <row r="46" spans="2:13" ht="15.75">
      <c r="B46" s="175"/>
      <c r="C46" s="174"/>
      <c r="M46" t="s">
        <v>701</v>
      </c>
    </row>
    <row r="47" spans="2:13" ht="15.75">
      <c r="B47" s="175"/>
      <c r="C47" s="174"/>
      <c r="M47" t="s">
        <v>701</v>
      </c>
    </row>
    <row r="48" spans="2:13" ht="15.75">
      <c r="B48" s="175"/>
      <c r="C48" s="174"/>
      <c r="M48" t="s">
        <v>701</v>
      </c>
    </row>
    <row r="49" spans="2:13" ht="15.75">
      <c r="B49" s="175"/>
      <c r="C49" s="174"/>
      <c r="M49" t="s">
        <v>701</v>
      </c>
    </row>
    <row r="50" spans="2:13" ht="15.75">
      <c r="B50" s="175"/>
      <c r="C50" s="174"/>
      <c r="M50" t="s">
        <v>701</v>
      </c>
    </row>
    <row r="51" spans="2:13" ht="15.75">
      <c r="B51" s="175"/>
      <c r="C51" s="174"/>
      <c r="M51" t="s">
        <v>701</v>
      </c>
    </row>
    <row r="52" spans="2:13" ht="15.75">
      <c r="B52" s="175"/>
      <c r="C52" s="78"/>
      <c r="M52" t="s">
        <v>701</v>
      </c>
    </row>
    <row r="53" spans="2:13" ht="15.75">
      <c r="B53" s="175"/>
      <c r="M53" t="s">
        <v>701</v>
      </c>
    </row>
    <row r="54" spans="2:13" ht="15.75">
      <c r="B54" s="175"/>
      <c r="M54" t="s">
        <v>701</v>
      </c>
    </row>
    <row r="55" spans="2:13" ht="15.75">
      <c r="B55" s="175"/>
      <c r="M55" t="s">
        <v>701</v>
      </c>
    </row>
    <row r="56" spans="2:13" ht="15.75">
      <c r="B56" s="175"/>
      <c r="M56" t="s">
        <v>701</v>
      </c>
    </row>
    <row r="57" spans="2:13" ht="15.75">
      <c r="B57" s="175"/>
      <c r="M57" t="s">
        <v>701</v>
      </c>
    </row>
    <row r="58" spans="2:13">
      <c r="B58" s="78"/>
      <c r="M58" t="s">
        <v>701</v>
      </c>
    </row>
    <row r="59" spans="2:13">
      <c r="B59" s="78"/>
      <c r="M59" t="s">
        <v>701</v>
      </c>
    </row>
    <row r="60" spans="2:13">
      <c r="B60" s="78"/>
      <c r="M60" t="s">
        <v>701</v>
      </c>
    </row>
    <row r="61" spans="2:13">
      <c r="B61" s="78"/>
      <c r="M61" t="s">
        <v>701</v>
      </c>
    </row>
    <row r="62" spans="2:13">
      <c r="B62" s="78"/>
      <c r="M62" t="s">
        <v>701</v>
      </c>
    </row>
    <row r="63" spans="2:13">
      <c r="B63" s="78"/>
      <c r="M63" t="s">
        <v>701</v>
      </c>
    </row>
    <row r="64" spans="2:13">
      <c r="M64" t="s">
        <v>701</v>
      </c>
    </row>
    <row r="65" spans="13:13">
      <c r="M65" t="s">
        <v>701</v>
      </c>
    </row>
    <row r="66" spans="13:13">
      <c r="M66" t="s">
        <v>701</v>
      </c>
    </row>
    <row r="67" spans="13:13">
      <c r="M67" t="s">
        <v>701</v>
      </c>
    </row>
    <row r="68" spans="13:13">
      <c r="M68" t="s">
        <v>701</v>
      </c>
    </row>
    <row r="69" spans="13:13">
      <c r="M69" t="s">
        <v>701</v>
      </c>
    </row>
    <row r="70" spans="13:13">
      <c r="M70" t="s">
        <v>701</v>
      </c>
    </row>
    <row r="71" spans="13:13">
      <c r="M71" t="s">
        <v>701</v>
      </c>
    </row>
    <row r="72" spans="13:13">
      <c r="M72" t="s">
        <v>701</v>
      </c>
    </row>
    <row r="73" spans="13:13">
      <c r="M73" t="s">
        <v>701</v>
      </c>
    </row>
    <row r="74" spans="13:13">
      <c r="M74" t="s">
        <v>701</v>
      </c>
    </row>
    <row r="75" spans="13:13">
      <c r="M75" t="s">
        <v>701</v>
      </c>
    </row>
    <row r="76" spans="13:13">
      <c r="M76" t="s">
        <v>701</v>
      </c>
    </row>
    <row r="77" spans="13:13">
      <c r="M77" t="s">
        <v>701</v>
      </c>
    </row>
    <row r="78" spans="13:13">
      <c r="M78" t="s">
        <v>701</v>
      </c>
    </row>
    <row r="79" spans="13:13">
      <c r="M79" t="s">
        <v>701</v>
      </c>
    </row>
    <row r="80" spans="13:13">
      <c r="M80" t="s">
        <v>701</v>
      </c>
    </row>
    <row r="81" spans="13:13">
      <c r="M81" t="s">
        <v>701</v>
      </c>
    </row>
    <row r="82" spans="13:13">
      <c r="M82" t="s">
        <v>701</v>
      </c>
    </row>
    <row r="83" spans="13:13">
      <c r="M83" t="s">
        <v>701</v>
      </c>
    </row>
    <row r="84" spans="13:13">
      <c r="M84" t="s">
        <v>701</v>
      </c>
    </row>
    <row r="85" spans="13:13">
      <c r="M85" t="s">
        <v>701</v>
      </c>
    </row>
    <row r="86" spans="13:13">
      <c r="M86" t="s">
        <v>701</v>
      </c>
    </row>
    <row r="87" spans="13:13">
      <c r="M87" t="s">
        <v>701</v>
      </c>
    </row>
    <row r="88" spans="13:13">
      <c r="M88" t="s">
        <v>701</v>
      </c>
    </row>
    <row r="89" spans="13:13">
      <c r="M89" t="s">
        <v>701</v>
      </c>
    </row>
    <row r="90" spans="13:13">
      <c r="M90" t="s">
        <v>701</v>
      </c>
    </row>
    <row r="91" spans="13:13">
      <c r="M91" t="s">
        <v>701</v>
      </c>
    </row>
    <row r="92" spans="13:13">
      <c r="M92" t="s">
        <v>701</v>
      </c>
    </row>
    <row r="93" spans="13:13">
      <c r="M93" t="s">
        <v>701</v>
      </c>
    </row>
    <row r="94" spans="13:13">
      <c r="M94" t="s">
        <v>701</v>
      </c>
    </row>
    <row r="95" spans="13:13">
      <c r="M95" t="s">
        <v>701</v>
      </c>
    </row>
    <row r="96" spans="13:13">
      <c r="M96" t="s">
        <v>701</v>
      </c>
    </row>
    <row r="97" spans="13:13">
      <c r="M97" t="s">
        <v>701</v>
      </c>
    </row>
    <row r="98" spans="13:13">
      <c r="M98" t="s">
        <v>701</v>
      </c>
    </row>
    <row r="99" spans="13:13">
      <c r="M99" t="s">
        <v>701</v>
      </c>
    </row>
    <row r="100" spans="13:13">
      <c r="M100" t="s">
        <v>701</v>
      </c>
    </row>
    <row r="101" spans="13:13">
      <c r="M101" t="s">
        <v>701</v>
      </c>
    </row>
    <row r="102" spans="13:13">
      <c r="M102" t="s">
        <v>701</v>
      </c>
    </row>
    <row r="103" spans="13:13">
      <c r="M103" t="s">
        <v>701</v>
      </c>
    </row>
    <row r="104" spans="13:13">
      <c r="M104" t="s">
        <v>701</v>
      </c>
    </row>
    <row r="105" spans="13:13">
      <c r="M105" t="s">
        <v>701</v>
      </c>
    </row>
    <row r="106" spans="13:13">
      <c r="M106" t="s">
        <v>701</v>
      </c>
    </row>
    <row r="107" spans="13:13">
      <c r="M107" t="s">
        <v>701</v>
      </c>
    </row>
    <row r="108" spans="13:13">
      <c r="M108" t="s">
        <v>701</v>
      </c>
    </row>
    <row r="109" spans="13:13">
      <c r="M109" t="s">
        <v>701</v>
      </c>
    </row>
    <row r="110" spans="13:13">
      <c r="M110" t="s">
        <v>701</v>
      </c>
    </row>
    <row r="111" spans="13:13">
      <c r="M111" t="s">
        <v>701</v>
      </c>
    </row>
    <row r="112" spans="13:13">
      <c r="M112" t="s">
        <v>701</v>
      </c>
    </row>
    <row r="113" spans="13:13">
      <c r="M113" t="s">
        <v>701</v>
      </c>
    </row>
  </sheetData>
  <mergeCells count="1">
    <mergeCell ref="C1:D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K81"/>
  <sheetViews>
    <sheetView showRowColHeaders="0" workbookViewId="0">
      <selection activeCell="C80" sqref="C80"/>
    </sheetView>
  </sheetViews>
  <sheetFormatPr baseColWidth="10" defaultRowHeight="15"/>
  <sheetData>
    <row r="1" spans="1:11" ht="15.75" thickBot="1">
      <c r="A1" s="1" t="s">
        <v>15</v>
      </c>
      <c r="B1" s="1" t="s">
        <v>22</v>
      </c>
      <c r="C1" s="1" t="s">
        <v>23</v>
      </c>
      <c r="D1" s="1" t="s">
        <v>24</v>
      </c>
      <c r="E1" s="1" t="s">
        <v>16</v>
      </c>
      <c r="F1" s="1" t="s">
        <v>17</v>
      </c>
      <c r="G1" s="1" t="s">
        <v>25</v>
      </c>
      <c r="H1" s="1" t="s">
        <v>18</v>
      </c>
      <c r="I1" s="1" t="s">
        <v>19</v>
      </c>
      <c r="J1" s="1" t="s">
        <v>20</v>
      </c>
      <c r="K1" s="9" t="s">
        <v>21</v>
      </c>
    </row>
    <row r="2" spans="1:11" ht="15.75" thickTop="1">
      <c r="A2" s="2" t="str">
        <f>LISTES!B2</f>
        <v>3e EA</v>
      </c>
      <c r="B2" s="8" t="s">
        <v>26</v>
      </c>
      <c r="C2" s="13" t="b">
        <v>1</v>
      </c>
      <c r="D2" s="13" t="b">
        <v>0</v>
      </c>
      <c r="E2" s="13" t="b">
        <v>0</v>
      </c>
      <c r="F2" s="13" t="b">
        <v>0</v>
      </c>
      <c r="G2" s="13" t="b">
        <v>1</v>
      </c>
      <c r="H2" s="13" t="b">
        <v>0</v>
      </c>
      <c r="I2" s="13" t="b">
        <v>0</v>
      </c>
      <c r="J2" s="13" t="b">
        <v>0</v>
      </c>
      <c r="K2" s="13" t="b">
        <v>0</v>
      </c>
    </row>
    <row r="3" spans="1:11">
      <c r="A3" s="4" t="str">
        <f>LISTES!B2</f>
        <v>3e EA</v>
      </c>
      <c r="B3" s="8" t="s">
        <v>27</v>
      </c>
      <c r="C3" s="16" t="b">
        <v>0</v>
      </c>
      <c r="D3" s="5" t="b">
        <v>0</v>
      </c>
      <c r="E3" s="16" t="b">
        <v>0</v>
      </c>
      <c r="F3" s="17" t="b">
        <v>0</v>
      </c>
      <c r="G3" s="16" t="b">
        <v>0</v>
      </c>
      <c r="H3" s="5" t="b">
        <v>0</v>
      </c>
      <c r="I3" s="5" t="b">
        <v>0</v>
      </c>
      <c r="J3" s="5" t="b">
        <v>0</v>
      </c>
      <c r="K3" s="18" t="b">
        <v>0</v>
      </c>
    </row>
    <row r="4" spans="1:11">
      <c r="A4" s="2" t="str">
        <f>LISTES!B2</f>
        <v>3e EA</v>
      </c>
      <c r="B4" s="8" t="s">
        <v>28</v>
      </c>
      <c r="C4" s="13" t="b">
        <v>0</v>
      </c>
      <c r="D4" s="3" t="b">
        <v>0</v>
      </c>
      <c r="E4" s="13" t="b">
        <v>0</v>
      </c>
      <c r="F4" s="14" t="b">
        <v>0</v>
      </c>
      <c r="G4" s="13" t="b">
        <v>0</v>
      </c>
      <c r="H4" s="3" t="b">
        <v>0</v>
      </c>
      <c r="I4" s="3" t="b">
        <v>0</v>
      </c>
      <c r="J4" s="3" t="b">
        <v>0</v>
      </c>
      <c r="K4" s="15" t="b">
        <v>0</v>
      </c>
    </row>
    <row r="5" spans="1:11">
      <c r="A5" s="4" t="str">
        <f>LISTES!B2</f>
        <v>3e EA</v>
      </c>
      <c r="B5" s="8" t="s">
        <v>29</v>
      </c>
      <c r="C5" s="16"/>
      <c r="D5" s="5"/>
      <c r="E5" s="16"/>
      <c r="F5" s="17"/>
      <c r="G5" s="16"/>
      <c r="H5" s="5"/>
      <c r="I5" s="5"/>
      <c r="J5" s="5"/>
      <c r="K5" s="18"/>
    </row>
    <row r="6" spans="1:11">
      <c r="A6" s="2" t="str">
        <f>LISTES!B2</f>
        <v>3e EA</v>
      </c>
      <c r="B6" s="8" t="s">
        <v>30</v>
      </c>
      <c r="C6" s="13" t="b">
        <v>0</v>
      </c>
      <c r="D6" s="3" t="b">
        <v>1</v>
      </c>
      <c r="E6" s="13" t="b">
        <v>0</v>
      </c>
      <c r="F6" s="3" t="b">
        <v>0</v>
      </c>
      <c r="G6" s="13" t="b">
        <v>0</v>
      </c>
      <c r="H6" s="3" t="b">
        <v>0</v>
      </c>
      <c r="I6" s="3" t="b">
        <v>1</v>
      </c>
      <c r="J6" s="3" t="b">
        <v>0</v>
      </c>
      <c r="K6" s="15" t="b">
        <v>0</v>
      </c>
    </row>
    <row r="7" spans="1:11">
      <c r="A7" s="4" t="str">
        <f>LISTES!B3</f>
        <v>2e TCVA</v>
      </c>
      <c r="B7" s="8" t="s">
        <v>26</v>
      </c>
      <c r="C7" s="16" t="b">
        <v>1</v>
      </c>
      <c r="D7" s="5" t="b">
        <v>1</v>
      </c>
      <c r="E7" s="16"/>
      <c r="F7" s="17"/>
      <c r="G7" s="16"/>
      <c r="H7" s="5"/>
      <c r="I7" s="5"/>
      <c r="J7" s="5"/>
      <c r="K7" s="18"/>
    </row>
    <row r="8" spans="1:11">
      <c r="A8" s="2" t="str">
        <f>LISTES!B3</f>
        <v>2e TCVA</v>
      </c>
      <c r="B8" s="8" t="s">
        <v>27</v>
      </c>
      <c r="C8" s="13"/>
      <c r="D8" s="3"/>
      <c r="E8" s="13"/>
      <c r="F8" s="14"/>
      <c r="G8" s="13"/>
      <c r="H8" s="3"/>
      <c r="I8" s="3"/>
      <c r="J8" s="3"/>
      <c r="K8" s="15"/>
    </row>
    <row r="9" spans="1:11">
      <c r="A9" s="4" t="str">
        <f>LISTES!B3</f>
        <v>2e TCVA</v>
      </c>
      <c r="B9" s="8" t="s">
        <v>28</v>
      </c>
      <c r="C9" s="16"/>
      <c r="D9" s="5"/>
      <c r="E9" s="16"/>
      <c r="F9" s="17"/>
      <c r="G9" s="16"/>
      <c r="H9" s="5"/>
      <c r="I9" s="5"/>
      <c r="J9" s="5"/>
      <c r="K9" s="18"/>
    </row>
    <row r="10" spans="1:11">
      <c r="A10" s="2" t="str">
        <f>LISTES!B3</f>
        <v>2e TCVA</v>
      </c>
      <c r="B10" s="8" t="s">
        <v>29</v>
      </c>
      <c r="C10" s="13"/>
      <c r="D10" s="3"/>
      <c r="E10" s="13"/>
      <c r="F10" s="14"/>
      <c r="G10" s="13"/>
      <c r="H10" s="3"/>
      <c r="I10" s="3"/>
      <c r="J10" s="3"/>
      <c r="K10" s="15"/>
    </row>
    <row r="11" spans="1:11">
      <c r="A11" s="4" t="str">
        <f>LISTES!B3</f>
        <v>2e TCVA</v>
      </c>
      <c r="B11" s="8" t="s">
        <v>30</v>
      </c>
      <c r="C11" s="16"/>
      <c r="D11" s="5"/>
      <c r="E11" s="16"/>
      <c r="F11" s="17"/>
      <c r="G11" s="16"/>
      <c r="H11" s="5"/>
      <c r="I11" s="5"/>
      <c r="J11" s="5"/>
      <c r="K11" s="18"/>
    </row>
    <row r="12" spans="1:11">
      <c r="A12" s="2" t="str">
        <f>LISTES!B4</f>
        <v>2e CF</v>
      </c>
      <c r="B12" s="8" t="s">
        <v>26</v>
      </c>
      <c r="C12" s="13"/>
      <c r="D12" s="3"/>
      <c r="E12" s="13"/>
      <c r="F12" s="14"/>
      <c r="G12" s="13"/>
      <c r="H12" s="3"/>
      <c r="I12" s="3"/>
      <c r="J12" s="3"/>
      <c r="K12" s="15"/>
    </row>
    <row r="13" spans="1:11">
      <c r="A13" s="4" t="str">
        <f>LISTES!B4</f>
        <v>2e CF</v>
      </c>
      <c r="B13" s="8" t="s">
        <v>27</v>
      </c>
      <c r="C13" s="16"/>
      <c r="D13" s="5"/>
      <c r="E13" s="16" t="b">
        <v>1</v>
      </c>
      <c r="F13" s="17"/>
      <c r="G13" s="16"/>
      <c r="H13" s="5"/>
      <c r="I13" s="5"/>
      <c r="J13" s="5"/>
      <c r="K13" s="18"/>
    </row>
    <row r="14" spans="1:11">
      <c r="A14" s="2" t="str">
        <f>LISTES!B4</f>
        <v>2e CF</v>
      </c>
      <c r="B14" s="8" t="s">
        <v>28</v>
      </c>
      <c r="C14" s="13"/>
      <c r="D14" s="3"/>
      <c r="E14" s="13"/>
      <c r="F14" s="14"/>
      <c r="G14" s="13"/>
      <c r="H14" s="3"/>
      <c r="I14" s="3"/>
      <c r="J14" s="3"/>
      <c r="K14" s="15"/>
    </row>
    <row r="15" spans="1:11">
      <c r="A15" s="4" t="str">
        <f>LISTES!B4</f>
        <v>2e CF</v>
      </c>
      <c r="B15" s="8" t="s">
        <v>29</v>
      </c>
      <c r="C15" s="16"/>
      <c r="D15" s="5"/>
      <c r="E15" s="16"/>
      <c r="F15" s="17"/>
      <c r="G15" s="16"/>
      <c r="H15" s="5"/>
      <c r="I15" s="5"/>
      <c r="J15" s="5"/>
      <c r="K15" s="18"/>
    </row>
    <row r="16" spans="1:11">
      <c r="A16" s="2" t="str">
        <f>LISTES!B4</f>
        <v>2e CF</v>
      </c>
      <c r="B16" s="8" t="s">
        <v>30</v>
      </c>
      <c r="C16" s="13"/>
      <c r="D16" s="3"/>
      <c r="E16" s="13"/>
      <c r="F16" s="14"/>
      <c r="G16" s="13"/>
      <c r="H16" s="3"/>
      <c r="I16" s="3"/>
      <c r="J16" s="3"/>
      <c r="K16" s="15"/>
    </row>
    <row r="17" spans="1:11">
      <c r="A17" s="4" t="str">
        <f>LISTES!B5</f>
        <v>2e CGEA</v>
      </c>
      <c r="B17" s="8" t="s">
        <v>26</v>
      </c>
      <c r="C17" s="16"/>
      <c r="D17" s="5"/>
      <c r="E17" s="16"/>
      <c r="F17" s="17"/>
      <c r="G17" s="16"/>
      <c r="H17" s="5"/>
      <c r="I17" s="5"/>
      <c r="J17" s="5"/>
      <c r="K17" s="18"/>
    </row>
    <row r="18" spans="1:11">
      <c r="A18" s="2" t="str">
        <f>LISTES!B5</f>
        <v>2e CGEA</v>
      </c>
      <c r="B18" s="8" t="s">
        <v>27</v>
      </c>
      <c r="C18" s="13"/>
      <c r="D18" s="3"/>
      <c r="E18" s="13"/>
      <c r="F18" s="14"/>
      <c r="G18" s="13"/>
      <c r="H18" s="3"/>
      <c r="I18" s="3"/>
      <c r="J18" s="3"/>
      <c r="K18" s="15"/>
    </row>
    <row r="19" spans="1:11">
      <c r="A19" s="4" t="str">
        <f>LISTES!B5</f>
        <v>2e CGEA</v>
      </c>
      <c r="B19" s="8" t="s">
        <v>28</v>
      </c>
      <c r="C19" s="16" t="b">
        <v>0</v>
      </c>
      <c r="D19" s="5" t="b">
        <v>0</v>
      </c>
      <c r="E19" s="16" t="b">
        <v>0</v>
      </c>
      <c r="F19" s="17" t="b">
        <v>0</v>
      </c>
      <c r="G19" s="16" t="b">
        <v>1</v>
      </c>
      <c r="H19" s="5" t="b">
        <v>0</v>
      </c>
      <c r="I19" s="5" t="b">
        <v>0</v>
      </c>
      <c r="J19" s="5" t="b">
        <v>0</v>
      </c>
      <c r="K19" s="18" t="b">
        <v>0</v>
      </c>
    </row>
    <row r="20" spans="1:11">
      <c r="A20" s="2" t="str">
        <f>LISTES!B5</f>
        <v>2e CGEA</v>
      </c>
      <c r="B20" s="8" t="s">
        <v>29</v>
      </c>
      <c r="C20" s="13"/>
      <c r="D20" s="3"/>
      <c r="E20" s="13"/>
      <c r="F20" s="14"/>
      <c r="G20" s="13"/>
      <c r="H20" s="3"/>
      <c r="I20" s="3"/>
      <c r="J20" s="3"/>
      <c r="K20" s="15"/>
    </row>
    <row r="21" spans="1:11">
      <c r="A21" s="4" t="str">
        <f>LISTES!B5</f>
        <v>2e CGEA</v>
      </c>
      <c r="B21" s="8" t="s">
        <v>30</v>
      </c>
      <c r="C21" s="16"/>
      <c r="D21" s="5"/>
      <c r="E21" s="16"/>
      <c r="F21" s="17"/>
      <c r="G21" s="16"/>
      <c r="H21" s="5"/>
      <c r="I21" s="5"/>
      <c r="J21" s="5"/>
      <c r="K21" s="18"/>
    </row>
    <row r="22" spans="1:11">
      <c r="A22" s="2" t="str">
        <f>LISTES!B6</f>
        <v>2e GT</v>
      </c>
      <c r="B22" s="8" t="s">
        <v>26</v>
      </c>
      <c r="C22" s="13" t="b">
        <v>0</v>
      </c>
      <c r="D22" s="3" t="b">
        <v>0</v>
      </c>
      <c r="E22" s="13" t="b">
        <v>0</v>
      </c>
      <c r="F22" s="14" t="b">
        <v>0</v>
      </c>
      <c r="G22" s="13" t="b">
        <v>0</v>
      </c>
      <c r="H22" s="3" t="b">
        <v>1</v>
      </c>
      <c r="I22" s="3" t="b">
        <v>0</v>
      </c>
      <c r="J22" s="3" t="b">
        <v>1</v>
      </c>
      <c r="K22" s="15" t="b">
        <v>0</v>
      </c>
    </row>
    <row r="23" spans="1:11">
      <c r="A23" s="4" t="str">
        <f>LISTES!B6</f>
        <v>2e GT</v>
      </c>
      <c r="B23" s="8" t="s">
        <v>27</v>
      </c>
      <c r="C23" s="16"/>
      <c r="D23" s="5"/>
      <c r="E23" s="16"/>
      <c r="F23" s="17"/>
      <c r="G23" s="16"/>
      <c r="H23" s="5"/>
      <c r="I23" s="5"/>
      <c r="J23" s="5"/>
      <c r="K23" s="18"/>
    </row>
    <row r="24" spans="1:11">
      <c r="A24" s="2" t="str">
        <f>LISTES!B6</f>
        <v>2e GT</v>
      </c>
      <c r="B24" s="8" t="s">
        <v>28</v>
      </c>
      <c r="C24" s="13"/>
      <c r="D24" s="3"/>
      <c r="E24" s="13"/>
      <c r="F24" s="14"/>
      <c r="G24" s="13"/>
      <c r="H24" s="3"/>
      <c r="I24" s="3"/>
      <c r="J24" s="3"/>
      <c r="K24" s="15"/>
    </row>
    <row r="25" spans="1:11">
      <c r="A25" s="4" t="str">
        <f>LISTES!B6</f>
        <v>2e GT</v>
      </c>
      <c r="B25" s="8" t="s">
        <v>29</v>
      </c>
      <c r="C25" s="16"/>
      <c r="D25" s="5"/>
      <c r="E25" s="16"/>
      <c r="F25" s="5"/>
      <c r="G25" s="16"/>
      <c r="H25" s="5"/>
      <c r="I25" s="5"/>
      <c r="J25" s="5"/>
      <c r="K25" s="18"/>
    </row>
    <row r="26" spans="1:11">
      <c r="A26" s="2" t="str">
        <f>LISTES!B6</f>
        <v>2e GT</v>
      </c>
      <c r="B26" s="8" t="s">
        <v>30</v>
      </c>
      <c r="C26" s="13"/>
      <c r="D26" s="3"/>
      <c r="E26" s="13"/>
      <c r="F26" s="14"/>
      <c r="G26" s="13"/>
      <c r="H26" s="3"/>
      <c r="I26" s="3"/>
      <c r="J26" s="3"/>
      <c r="K26" s="15"/>
    </row>
    <row r="27" spans="1:11">
      <c r="A27" s="4" t="str">
        <f>LISTES!B7</f>
        <v>1e TCVA</v>
      </c>
      <c r="B27" s="8" t="s">
        <v>26</v>
      </c>
      <c r="C27" s="16"/>
      <c r="D27" s="5"/>
      <c r="E27" s="16"/>
      <c r="F27" s="17"/>
      <c r="G27" s="16"/>
      <c r="H27" s="5"/>
      <c r="I27" s="5"/>
      <c r="J27" s="5"/>
      <c r="K27" s="18"/>
    </row>
    <row r="28" spans="1:11">
      <c r="A28" s="2" t="str">
        <f>LISTES!B7</f>
        <v>1e TCVA</v>
      </c>
      <c r="B28" s="8" t="s">
        <v>27</v>
      </c>
      <c r="C28" s="13"/>
      <c r="D28" s="3"/>
      <c r="E28" s="13"/>
      <c r="F28" s="14"/>
      <c r="G28" s="13"/>
      <c r="H28" s="3"/>
      <c r="I28" s="3"/>
      <c r="J28" s="3"/>
      <c r="K28" s="15"/>
    </row>
    <row r="29" spans="1:11">
      <c r="A29" s="4" t="str">
        <f>LISTES!B7</f>
        <v>1e TCVA</v>
      </c>
      <c r="B29" s="8" t="s">
        <v>28</v>
      </c>
      <c r="C29" s="16"/>
      <c r="D29" s="5"/>
      <c r="E29" s="16"/>
      <c r="F29" s="17"/>
      <c r="G29" s="16"/>
      <c r="H29" s="5"/>
      <c r="I29" s="5"/>
      <c r="J29" s="5"/>
      <c r="K29" s="18"/>
    </row>
    <row r="30" spans="1:11">
      <c r="A30" s="2" t="str">
        <f>LISTES!B7</f>
        <v>1e TCVA</v>
      </c>
      <c r="B30" s="8" t="s">
        <v>29</v>
      </c>
      <c r="C30" s="13"/>
      <c r="D30" s="3"/>
      <c r="E30" s="13"/>
      <c r="F30" s="14"/>
      <c r="G30" s="13"/>
      <c r="H30" s="3"/>
      <c r="I30" s="3"/>
      <c r="J30" s="3"/>
      <c r="K30" s="15"/>
    </row>
    <row r="31" spans="1:11">
      <c r="A31" s="4" t="str">
        <f>LISTES!B7</f>
        <v>1e TCVA</v>
      </c>
      <c r="B31" s="8" t="s">
        <v>30</v>
      </c>
      <c r="C31" s="16"/>
      <c r="D31" s="5"/>
      <c r="E31" s="16"/>
      <c r="F31" s="17"/>
      <c r="G31" s="16"/>
      <c r="H31" s="5"/>
      <c r="I31" s="5"/>
      <c r="J31" s="5"/>
      <c r="K31" s="18"/>
    </row>
    <row r="32" spans="1:11">
      <c r="A32" s="2" t="str">
        <f>LISTES!B8</f>
        <v>1e CF</v>
      </c>
      <c r="B32" s="8" t="s">
        <v>26</v>
      </c>
      <c r="C32" s="13"/>
      <c r="D32" s="3"/>
      <c r="E32" s="13"/>
      <c r="F32" s="14"/>
      <c r="G32" s="13"/>
      <c r="H32" s="3"/>
      <c r="I32" s="3"/>
      <c r="J32" s="3"/>
      <c r="K32" s="15"/>
    </row>
    <row r="33" spans="1:11">
      <c r="A33" s="4" t="str">
        <f>LISTES!B8</f>
        <v>1e CF</v>
      </c>
      <c r="B33" s="8" t="s">
        <v>27</v>
      </c>
      <c r="C33" s="16"/>
      <c r="D33" s="5"/>
      <c r="E33" s="16"/>
      <c r="F33" s="17"/>
      <c r="G33" s="16"/>
      <c r="H33" s="5"/>
      <c r="I33" s="5"/>
      <c r="J33" s="5"/>
      <c r="K33" s="18"/>
    </row>
    <row r="34" spans="1:11">
      <c r="A34" s="2" t="str">
        <f>LISTES!B8</f>
        <v>1e CF</v>
      </c>
      <c r="B34" s="8" t="s">
        <v>28</v>
      </c>
      <c r="C34" s="13"/>
      <c r="D34" s="3"/>
      <c r="E34" s="13"/>
      <c r="F34" s="14"/>
      <c r="G34" s="13"/>
      <c r="H34" s="3"/>
      <c r="I34" s="3"/>
      <c r="J34" s="3"/>
      <c r="K34" s="15"/>
    </row>
    <row r="35" spans="1:11">
      <c r="A35" s="4" t="str">
        <f>LISTES!B8</f>
        <v>1e CF</v>
      </c>
      <c r="B35" s="8" t="s">
        <v>29</v>
      </c>
      <c r="C35" s="16"/>
      <c r="D35" s="5"/>
      <c r="E35" s="16"/>
      <c r="F35" s="17"/>
      <c r="G35" s="16"/>
      <c r="H35" s="5"/>
      <c r="I35" s="5"/>
      <c r="J35" s="5"/>
      <c r="K35" s="18"/>
    </row>
    <row r="36" spans="1:11">
      <c r="A36" s="2" t="str">
        <f>LISTES!B8</f>
        <v>1e CF</v>
      </c>
      <c r="B36" s="8" t="s">
        <v>30</v>
      </c>
      <c r="C36" s="13"/>
      <c r="D36" s="3"/>
      <c r="E36" s="13"/>
      <c r="F36" s="14"/>
      <c r="G36" s="13"/>
      <c r="H36" s="3"/>
      <c r="I36" s="3"/>
      <c r="J36" s="3"/>
      <c r="K36" s="15"/>
    </row>
    <row r="37" spans="1:11">
      <c r="A37" s="4" t="str">
        <f>LISTES!B9</f>
        <v>1e CGEA</v>
      </c>
      <c r="B37" s="8" t="s">
        <v>26</v>
      </c>
      <c r="C37" s="16"/>
      <c r="D37" s="5"/>
      <c r="E37" s="16"/>
      <c r="F37" s="17"/>
      <c r="G37" s="16"/>
      <c r="H37" s="5"/>
      <c r="I37" s="5"/>
      <c r="J37" s="5"/>
      <c r="K37" s="18"/>
    </row>
    <row r="38" spans="1:11">
      <c r="A38" s="2" t="str">
        <f>LISTES!B9</f>
        <v>1e CGEA</v>
      </c>
      <c r="B38" s="8" t="s">
        <v>27</v>
      </c>
      <c r="C38" s="13"/>
      <c r="D38" s="3"/>
      <c r="E38" s="13"/>
      <c r="F38" s="14"/>
      <c r="G38" s="13"/>
      <c r="H38" s="3"/>
      <c r="I38" s="3"/>
      <c r="J38" s="3"/>
      <c r="K38" s="15"/>
    </row>
    <row r="39" spans="1:11">
      <c r="A39" s="4" t="str">
        <f>LISTES!B9</f>
        <v>1e CGEA</v>
      </c>
      <c r="B39" s="8" t="s">
        <v>28</v>
      </c>
      <c r="C39" s="16"/>
      <c r="D39" s="5"/>
      <c r="E39" s="16"/>
      <c r="F39" s="17"/>
      <c r="G39" s="16"/>
      <c r="H39" s="5"/>
      <c r="I39" s="5"/>
      <c r="J39" s="5"/>
      <c r="K39" s="18"/>
    </row>
    <row r="40" spans="1:11">
      <c r="A40" s="2" t="str">
        <f>LISTES!B9</f>
        <v>1e CGEA</v>
      </c>
      <c r="B40" s="8" t="s">
        <v>29</v>
      </c>
      <c r="C40" s="13"/>
      <c r="D40" s="3"/>
      <c r="E40" s="13"/>
      <c r="F40" s="14"/>
      <c r="G40" s="13"/>
      <c r="H40" s="3"/>
      <c r="I40" s="3"/>
      <c r="J40" s="3"/>
      <c r="K40" s="15"/>
    </row>
    <row r="41" spans="1:11">
      <c r="A41" s="4" t="str">
        <f>LISTES!B9</f>
        <v>1e CGEA</v>
      </c>
      <c r="B41" s="8" t="s">
        <v>30</v>
      </c>
      <c r="C41" s="16" t="b">
        <v>1</v>
      </c>
      <c r="D41" s="5" t="b">
        <v>1</v>
      </c>
      <c r="E41" s="16" t="b">
        <v>1</v>
      </c>
      <c r="F41" s="17" t="b">
        <v>1</v>
      </c>
      <c r="G41" s="16" t="b">
        <v>1</v>
      </c>
      <c r="H41" s="5" t="b">
        <v>1</v>
      </c>
      <c r="I41" s="5" t="b">
        <v>1</v>
      </c>
      <c r="J41" s="5" t="b">
        <v>1</v>
      </c>
      <c r="K41" s="18" t="b">
        <v>1</v>
      </c>
    </row>
    <row r="42" spans="1:11">
      <c r="A42" s="2" t="str">
        <f>LISTES!B10</f>
        <v>1e STAV</v>
      </c>
      <c r="B42" s="8" t="s">
        <v>26</v>
      </c>
      <c r="C42" s="13"/>
      <c r="D42" s="3"/>
      <c r="E42" s="13"/>
      <c r="F42" s="14"/>
      <c r="G42" s="13"/>
      <c r="H42" s="3"/>
      <c r="I42" s="3"/>
      <c r="J42" s="3"/>
      <c r="K42" s="15"/>
    </row>
    <row r="43" spans="1:11">
      <c r="A43" s="4" t="str">
        <f>LISTES!B10</f>
        <v>1e STAV</v>
      </c>
      <c r="B43" s="8" t="s">
        <v>27</v>
      </c>
      <c r="C43" s="16"/>
      <c r="D43" s="5"/>
      <c r="E43" s="16"/>
      <c r="F43" s="17"/>
      <c r="G43" s="16"/>
      <c r="H43" s="5"/>
      <c r="I43" s="5"/>
      <c r="J43" s="5"/>
      <c r="K43" s="18"/>
    </row>
    <row r="44" spans="1:11">
      <c r="A44" s="2" t="str">
        <f>LISTES!B10</f>
        <v>1e STAV</v>
      </c>
      <c r="B44" s="8" t="s">
        <v>28</v>
      </c>
      <c r="C44" s="13"/>
      <c r="D44" s="3"/>
      <c r="E44" s="13"/>
      <c r="F44" s="3"/>
      <c r="G44" s="13"/>
      <c r="H44" s="3"/>
      <c r="I44" s="3"/>
      <c r="J44" s="3"/>
      <c r="K44" s="15"/>
    </row>
    <row r="45" spans="1:11">
      <c r="A45" s="4" t="str">
        <f>LISTES!B10</f>
        <v>1e STAV</v>
      </c>
      <c r="B45" s="8" t="s">
        <v>29</v>
      </c>
      <c r="C45" s="16"/>
      <c r="D45" s="5"/>
      <c r="E45" s="16"/>
      <c r="F45" s="17"/>
      <c r="G45" s="16"/>
      <c r="H45" s="5"/>
      <c r="I45" s="5"/>
      <c r="J45" s="5"/>
      <c r="K45" s="18"/>
    </row>
    <row r="46" spans="1:11" ht="15.75">
      <c r="A46" s="2" t="str">
        <f>LISTES!B10</f>
        <v>1e STAV</v>
      </c>
      <c r="B46" s="8" t="s">
        <v>30</v>
      </c>
      <c r="C46" s="13"/>
      <c r="D46" s="3"/>
      <c r="E46" s="13"/>
      <c r="F46" s="14"/>
      <c r="G46" s="13"/>
      <c r="H46" s="3"/>
      <c r="I46" s="3"/>
      <c r="J46" s="19"/>
      <c r="K46" s="20"/>
    </row>
    <row r="47" spans="1:11">
      <c r="A47" s="4" t="str">
        <f>LISTES!B11</f>
        <v>Term TCVA</v>
      </c>
      <c r="B47" s="8" t="s">
        <v>26</v>
      </c>
      <c r="C47" s="16"/>
      <c r="D47" s="5"/>
      <c r="E47" s="16"/>
      <c r="F47" s="17"/>
      <c r="G47" s="16"/>
      <c r="H47" s="5"/>
      <c r="I47" s="5"/>
      <c r="J47" s="5"/>
      <c r="K47" s="18"/>
    </row>
    <row r="48" spans="1:11">
      <c r="A48" s="2" t="str">
        <f>LISTES!B11</f>
        <v>Term TCVA</v>
      </c>
      <c r="B48" s="8" t="s">
        <v>27</v>
      </c>
      <c r="C48" s="13"/>
      <c r="D48" s="3"/>
      <c r="E48" s="13"/>
      <c r="F48" s="14"/>
      <c r="G48" s="13"/>
      <c r="H48" s="3"/>
      <c r="I48" s="3"/>
      <c r="J48" s="3"/>
      <c r="K48" s="15"/>
    </row>
    <row r="49" spans="1:11">
      <c r="A49" s="4" t="str">
        <f>LISTES!B11</f>
        <v>Term TCVA</v>
      </c>
      <c r="B49" s="8" t="s">
        <v>28</v>
      </c>
      <c r="C49" s="16"/>
      <c r="D49" s="5"/>
      <c r="E49" s="16"/>
      <c r="F49" s="17"/>
      <c r="G49" s="16"/>
      <c r="H49" s="5"/>
      <c r="I49" s="5"/>
      <c r="J49" s="5"/>
      <c r="K49" s="18"/>
    </row>
    <row r="50" spans="1:11">
      <c r="A50" s="2" t="str">
        <f>LISTES!B11</f>
        <v>Term TCVA</v>
      </c>
      <c r="B50" s="8" t="s">
        <v>29</v>
      </c>
      <c r="C50" s="13"/>
      <c r="D50" s="3"/>
      <c r="E50" s="13"/>
      <c r="F50" s="14"/>
      <c r="G50" s="13"/>
      <c r="H50" s="3"/>
      <c r="I50" s="3"/>
      <c r="J50" s="3"/>
      <c r="K50" s="15"/>
    </row>
    <row r="51" spans="1:11">
      <c r="A51" s="4" t="str">
        <f>LISTES!B11</f>
        <v>Term TCVA</v>
      </c>
      <c r="B51" s="8" t="s">
        <v>30</v>
      </c>
      <c r="C51" s="16"/>
      <c r="D51" s="5"/>
      <c r="E51" s="16"/>
      <c r="F51" s="17"/>
      <c r="G51" s="16"/>
      <c r="H51" s="5"/>
      <c r="I51" s="5"/>
      <c r="J51" s="5"/>
      <c r="K51" s="18"/>
    </row>
    <row r="52" spans="1:11">
      <c r="A52" s="2" t="str">
        <f>LISTES!B12</f>
        <v>Term CF</v>
      </c>
      <c r="B52" s="8" t="s">
        <v>26</v>
      </c>
      <c r="C52" s="13"/>
      <c r="D52" s="3"/>
      <c r="E52" s="13"/>
      <c r="F52" s="3"/>
      <c r="G52" s="13"/>
      <c r="H52" s="3"/>
      <c r="I52" s="3"/>
      <c r="J52" s="3"/>
      <c r="K52" s="15"/>
    </row>
    <row r="53" spans="1:11">
      <c r="A53" s="4" t="str">
        <f>LISTES!B12</f>
        <v>Term CF</v>
      </c>
      <c r="B53" s="8" t="s">
        <v>27</v>
      </c>
      <c r="C53" s="16"/>
      <c r="D53" s="5"/>
      <c r="E53" s="16"/>
      <c r="F53" s="17"/>
      <c r="G53" s="16"/>
      <c r="H53" s="5"/>
      <c r="I53" s="5"/>
      <c r="J53" s="5"/>
      <c r="K53" s="18"/>
    </row>
    <row r="54" spans="1:11">
      <c r="A54" s="2" t="str">
        <f>LISTES!B12</f>
        <v>Term CF</v>
      </c>
      <c r="B54" s="8" t="s">
        <v>28</v>
      </c>
      <c r="C54" s="13"/>
      <c r="D54" s="3"/>
      <c r="E54" s="13"/>
      <c r="F54" s="14"/>
      <c r="G54" s="13"/>
      <c r="H54" s="3"/>
      <c r="I54" s="3"/>
      <c r="J54" s="3"/>
      <c r="K54" s="15"/>
    </row>
    <row r="55" spans="1:11">
      <c r="A55" s="4" t="str">
        <f>LISTES!B12</f>
        <v>Term CF</v>
      </c>
      <c r="B55" s="8" t="s">
        <v>29</v>
      </c>
      <c r="C55" s="16"/>
      <c r="D55" s="5"/>
      <c r="E55" s="16"/>
      <c r="F55" s="5"/>
      <c r="G55" s="16"/>
      <c r="H55" s="5"/>
      <c r="I55" s="5"/>
      <c r="J55" s="5"/>
      <c r="K55" s="18"/>
    </row>
    <row r="56" spans="1:11">
      <c r="A56" s="2" t="str">
        <f>LISTES!B12</f>
        <v>Term CF</v>
      </c>
      <c r="B56" s="8" t="s">
        <v>30</v>
      </c>
      <c r="C56" s="13"/>
      <c r="D56" s="3"/>
      <c r="E56" s="13"/>
      <c r="F56" s="14"/>
      <c r="G56" s="13"/>
      <c r="H56" s="3"/>
      <c r="I56" s="3"/>
      <c r="J56" s="3"/>
      <c r="K56" s="15"/>
    </row>
    <row r="57" spans="1:11">
      <c r="A57" s="4" t="str">
        <f>LISTES!B13</f>
        <v>Term CGEA</v>
      </c>
      <c r="B57" s="8" t="s">
        <v>26</v>
      </c>
      <c r="C57" s="16"/>
      <c r="D57" s="5"/>
      <c r="E57" s="16"/>
      <c r="F57" s="17"/>
      <c r="G57" s="16"/>
      <c r="H57" s="5"/>
      <c r="I57" s="5"/>
      <c r="J57" s="5"/>
      <c r="K57" s="18"/>
    </row>
    <row r="58" spans="1:11">
      <c r="A58" s="2" t="str">
        <f>LISTES!B13</f>
        <v>Term CGEA</v>
      </c>
      <c r="B58" s="8" t="s">
        <v>27</v>
      </c>
      <c r="C58" s="13"/>
      <c r="D58" s="3"/>
      <c r="E58" s="13"/>
      <c r="F58" s="14"/>
      <c r="G58" s="13"/>
      <c r="H58" s="3"/>
      <c r="I58" s="3"/>
      <c r="J58" s="3"/>
      <c r="K58" s="15"/>
    </row>
    <row r="59" spans="1:11">
      <c r="A59" s="4" t="str">
        <f>LISTES!B13</f>
        <v>Term CGEA</v>
      </c>
      <c r="B59" s="8" t="s">
        <v>28</v>
      </c>
      <c r="C59" s="16"/>
      <c r="D59" s="5"/>
      <c r="E59" s="16"/>
      <c r="F59" s="17"/>
      <c r="G59" s="16"/>
      <c r="H59" s="5"/>
      <c r="I59" s="5"/>
      <c r="J59" s="5"/>
      <c r="K59" s="18"/>
    </row>
    <row r="60" spans="1:11">
      <c r="A60" s="2" t="str">
        <f>LISTES!B13</f>
        <v>Term CGEA</v>
      </c>
      <c r="B60" s="8" t="s">
        <v>29</v>
      </c>
      <c r="C60" s="13"/>
      <c r="D60" s="3"/>
      <c r="E60" s="13"/>
      <c r="F60" s="14"/>
      <c r="G60" s="13"/>
      <c r="H60" s="3"/>
      <c r="I60" s="3"/>
      <c r="J60" s="3"/>
      <c r="K60" s="15"/>
    </row>
    <row r="61" spans="1:11">
      <c r="A61" s="4" t="str">
        <f>LISTES!B13</f>
        <v>Term CGEA</v>
      </c>
      <c r="B61" s="8" t="s">
        <v>30</v>
      </c>
      <c r="C61" s="16"/>
      <c r="D61" s="5"/>
      <c r="E61" s="16"/>
      <c r="F61" s="17"/>
      <c r="G61" s="16"/>
      <c r="H61" s="5"/>
      <c r="I61" s="5"/>
      <c r="J61" s="5"/>
      <c r="K61" s="18"/>
    </row>
    <row r="62" spans="1:11">
      <c r="A62" s="2" t="str">
        <f>LISTES!B14</f>
        <v>Term STAV</v>
      </c>
      <c r="B62" s="8" t="s">
        <v>26</v>
      </c>
      <c r="C62" s="13"/>
      <c r="D62" s="3"/>
      <c r="E62" s="13"/>
      <c r="F62" s="14"/>
      <c r="G62" s="13"/>
      <c r="H62" s="3"/>
      <c r="I62" s="3"/>
      <c r="J62" s="3"/>
      <c r="K62" s="15"/>
    </row>
    <row r="63" spans="1:11">
      <c r="A63" s="4" t="str">
        <f>LISTES!B14</f>
        <v>Term STAV</v>
      </c>
      <c r="B63" s="8" t="s">
        <v>27</v>
      </c>
      <c r="C63" s="16"/>
      <c r="D63" s="5"/>
      <c r="E63" s="16"/>
      <c r="F63" s="5"/>
      <c r="G63" s="16"/>
      <c r="H63" s="5"/>
      <c r="I63" s="5"/>
      <c r="J63" s="5"/>
      <c r="K63" s="18"/>
    </row>
    <row r="64" spans="1:11">
      <c r="A64" s="2" t="str">
        <f>LISTES!B14</f>
        <v>Term STAV</v>
      </c>
      <c r="B64" s="8" t="s">
        <v>28</v>
      </c>
      <c r="C64" s="13"/>
      <c r="D64" s="3"/>
      <c r="E64" s="13"/>
      <c r="F64" s="14"/>
      <c r="G64" s="13"/>
      <c r="H64" s="3"/>
      <c r="I64" s="3"/>
      <c r="J64" s="3"/>
      <c r="K64" s="15"/>
    </row>
    <row r="65" spans="1:11">
      <c r="A65" s="4" t="str">
        <f>LISTES!B14</f>
        <v>Term STAV</v>
      </c>
      <c r="B65" s="8" t="s">
        <v>29</v>
      </c>
      <c r="C65" s="16"/>
      <c r="D65" s="5"/>
      <c r="E65" s="16"/>
      <c r="F65" s="17"/>
      <c r="G65" s="16"/>
      <c r="H65" s="5"/>
      <c r="I65" s="5"/>
      <c r="J65" s="5"/>
      <c r="K65" s="18"/>
    </row>
    <row r="66" spans="1:11">
      <c r="A66" s="2" t="str">
        <f>LISTES!B14</f>
        <v>Term STAV</v>
      </c>
      <c r="B66" s="8" t="s">
        <v>30</v>
      </c>
      <c r="C66" s="13"/>
      <c r="D66" s="3"/>
      <c r="E66" s="13"/>
      <c r="F66" s="14"/>
      <c r="G66" s="13"/>
      <c r="H66" s="3"/>
      <c r="I66" s="3"/>
      <c r="J66" s="3"/>
      <c r="K66" s="15"/>
    </row>
    <row r="67" spans="1:11">
      <c r="A67" s="4" t="str">
        <f>LISTES!B15</f>
        <v>BTS 1</v>
      </c>
      <c r="B67" s="8" t="s">
        <v>26</v>
      </c>
      <c r="C67" s="16"/>
      <c r="D67" s="5"/>
      <c r="E67" s="16"/>
      <c r="F67" s="17"/>
      <c r="G67" s="16"/>
      <c r="H67" s="5"/>
      <c r="I67" s="5"/>
      <c r="J67" s="5"/>
      <c r="K67" s="18"/>
    </row>
    <row r="68" spans="1:11">
      <c r="A68" s="2" t="str">
        <f>LISTES!B15</f>
        <v>BTS 1</v>
      </c>
      <c r="B68" s="8" t="s">
        <v>27</v>
      </c>
      <c r="C68" s="13"/>
      <c r="D68" s="3"/>
      <c r="E68" s="13"/>
      <c r="F68" s="14"/>
      <c r="G68" s="13"/>
      <c r="H68" s="3"/>
      <c r="I68" s="3"/>
      <c r="J68" s="3"/>
      <c r="K68" s="15"/>
    </row>
    <row r="69" spans="1:11">
      <c r="A69" s="4" t="str">
        <f>LISTES!B15</f>
        <v>BTS 1</v>
      </c>
      <c r="B69" s="8" t="s">
        <v>28</v>
      </c>
      <c r="C69" s="16"/>
      <c r="D69" s="5"/>
      <c r="E69" s="16"/>
      <c r="F69" s="17"/>
      <c r="G69" s="16"/>
      <c r="H69" s="5"/>
      <c r="I69" s="5"/>
      <c r="J69" s="5"/>
      <c r="K69" s="18"/>
    </row>
    <row r="70" spans="1:11">
      <c r="A70" s="2" t="str">
        <f>LISTES!B15</f>
        <v>BTS 1</v>
      </c>
      <c r="B70" s="8" t="s">
        <v>29</v>
      </c>
      <c r="C70" s="13"/>
      <c r="D70" s="3"/>
      <c r="E70" s="13"/>
      <c r="F70" s="14"/>
      <c r="G70" s="13"/>
      <c r="H70" s="3"/>
      <c r="I70" s="3"/>
      <c r="J70" s="3"/>
      <c r="K70" s="15"/>
    </row>
    <row r="71" spans="1:11">
      <c r="A71" s="4" t="str">
        <f>LISTES!B15</f>
        <v>BTS 1</v>
      </c>
      <c r="B71" s="8" t="s">
        <v>30</v>
      </c>
      <c r="C71" s="16"/>
      <c r="D71" s="5"/>
      <c r="E71" s="16"/>
      <c r="F71" s="17"/>
      <c r="G71" s="16"/>
      <c r="H71" s="5"/>
      <c r="I71" s="5"/>
      <c r="J71" s="5"/>
      <c r="K71" s="18"/>
    </row>
    <row r="72" spans="1:11">
      <c r="A72" s="2" t="str">
        <f>LISTES!B16</f>
        <v>BTS 2</v>
      </c>
      <c r="B72" s="8" t="s">
        <v>26</v>
      </c>
      <c r="C72" s="13"/>
      <c r="D72" s="3"/>
      <c r="E72" s="13"/>
      <c r="F72" s="14"/>
      <c r="G72" s="13"/>
      <c r="H72" s="3"/>
      <c r="I72" s="3"/>
      <c r="J72" s="3"/>
      <c r="K72" s="15"/>
    </row>
    <row r="73" spans="1:11" ht="15.75">
      <c r="A73" s="4" t="str">
        <f>LISTES!B16</f>
        <v>BTS 2</v>
      </c>
      <c r="B73" s="8" t="s">
        <v>27</v>
      </c>
      <c r="C73" s="16"/>
      <c r="D73" s="5"/>
      <c r="E73" s="16"/>
      <c r="F73" s="17"/>
      <c r="G73" s="16"/>
      <c r="H73" s="5"/>
      <c r="I73" s="5"/>
      <c r="J73" s="21"/>
      <c r="K73" s="22"/>
    </row>
    <row r="74" spans="1:11" ht="15.75">
      <c r="A74" s="2" t="str">
        <f>LISTES!B16</f>
        <v>BTS 2</v>
      </c>
      <c r="B74" s="8" t="s">
        <v>28</v>
      </c>
      <c r="C74" s="13"/>
      <c r="D74" s="3"/>
      <c r="E74" s="13"/>
      <c r="F74" s="14"/>
      <c r="G74" s="13"/>
      <c r="H74" s="3"/>
      <c r="I74" s="3"/>
      <c r="J74" s="19"/>
      <c r="K74" s="20"/>
    </row>
    <row r="75" spans="1:11">
      <c r="A75" s="4" t="str">
        <f>LISTES!B16</f>
        <v>BTS 2</v>
      </c>
      <c r="B75" s="8" t="s">
        <v>29</v>
      </c>
      <c r="C75" s="16"/>
      <c r="D75" s="5"/>
      <c r="E75" s="16"/>
      <c r="F75" s="17"/>
      <c r="G75" s="16"/>
      <c r="H75" s="5"/>
      <c r="I75" s="5"/>
      <c r="J75" s="5"/>
      <c r="K75" s="18"/>
    </row>
    <row r="76" spans="1:11">
      <c r="A76" s="10" t="str">
        <f>LISTES!B16</f>
        <v>BTS 2</v>
      </c>
      <c r="B76" s="11" t="s">
        <v>30</v>
      </c>
      <c r="C76" s="23"/>
      <c r="D76" s="12"/>
      <c r="E76" s="23"/>
      <c r="F76" s="24"/>
      <c r="G76" s="23"/>
      <c r="H76" s="12"/>
      <c r="I76" s="12"/>
      <c r="J76" s="12"/>
      <c r="K76" s="25"/>
    </row>
    <row r="80" spans="1:11" ht="15.75">
      <c r="G80" s="174"/>
      <c r="H80" s="174"/>
      <c r="I80" s="174"/>
    </row>
    <row r="81" spans="7:9" ht="15.75">
      <c r="G81" s="174"/>
      <c r="H81" s="174"/>
      <c r="I81" s="174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workbookViewId="0">
      <selection activeCell="H25" sqref="H25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H28" sqref="H28"/>
    </sheetView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A1:J34"/>
  <sheetViews>
    <sheetView workbookViewId="0">
      <selection activeCell="D13" sqref="D13"/>
    </sheetView>
  </sheetViews>
  <sheetFormatPr baseColWidth="10" defaultRowHeight="15"/>
  <cols>
    <col min="1" max="1" width="30.42578125" customWidth="1"/>
    <col min="2" max="2" width="17" customWidth="1"/>
    <col min="3" max="3" width="16.42578125" customWidth="1"/>
    <col min="4" max="4" width="31.140625" customWidth="1"/>
    <col min="5" max="5" width="16.5703125" customWidth="1"/>
    <col min="6" max="6" width="16.28515625" customWidth="1"/>
    <col min="7" max="7" width="29.85546875" customWidth="1"/>
    <col min="8" max="8" width="21" customWidth="1"/>
    <col min="9" max="9" width="40" customWidth="1"/>
    <col min="10" max="10" width="37.140625" customWidth="1"/>
    <col min="11" max="11" width="27.7109375" customWidth="1"/>
  </cols>
  <sheetData>
    <row r="1" spans="1:10">
      <c r="A1" s="26" t="s">
        <v>31</v>
      </c>
      <c r="B1" s="27" t="s">
        <v>15</v>
      </c>
      <c r="C1" s="26" t="s">
        <v>32</v>
      </c>
      <c r="D1" s="26" t="s">
        <v>33</v>
      </c>
      <c r="E1" s="26" t="s">
        <v>34</v>
      </c>
      <c r="F1" s="26" t="s">
        <v>35</v>
      </c>
      <c r="G1" s="26" t="s">
        <v>36</v>
      </c>
      <c r="H1" s="26" t="s">
        <v>32</v>
      </c>
      <c r="I1" s="26" t="s">
        <v>37</v>
      </c>
      <c r="J1" s="26" t="s">
        <v>38</v>
      </c>
    </row>
    <row r="2" spans="1:10" ht="15.75">
      <c r="A2" s="26">
        <v>158</v>
      </c>
      <c r="B2" s="7" t="s">
        <v>12</v>
      </c>
      <c r="C2" s="26" t="s">
        <v>39</v>
      </c>
      <c r="D2" s="26">
        <v>132</v>
      </c>
      <c r="E2" s="26" t="s">
        <v>40</v>
      </c>
      <c r="F2" s="31" t="s">
        <v>41</v>
      </c>
      <c r="G2" s="28" t="s">
        <v>42</v>
      </c>
      <c r="H2" s="26" t="s">
        <v>43</v>
      </c>
      <c r="I2" s="28">
        <v>105</v>
      </c>
      <c r="J2" s="26">
        <v>145</v>
      </c>
    </row>
    <row r="3" spans="1:10" ht="15.75">
      <c r="A3" s="26">
        <v>159</v>
      </c>
      <c r="B3" s="7" t="s">
        <v>11</v>
      </c>
      <c r="C3" s="26" t="s">
        <v>44</v>
      </c>
      <c r="D3" s="26">
        <v>133</v>
      </c>
      <c r="E3" s="26" t="s">
        <v>45</v>
      </c>
      <c r="F3" s="31" t="s">
        <v>46</v>
      </c>
      <c r="G3" s="28" t="s">
        <v>47</v>
      </c>
      <c r="H3" s="29" t="s">
        <v>48</v>
      </c>
      <c r="I3" s="28">
        <v>106</v>
      </c>
      <c r="J3" s="26">
        <v>147</v>
      </c>
    </row>
    <row r="4" spans="1:10" ht="15.75">
      <c r="A4" s="26">
        <v>160</v>
      </c>
      <c r="B4" s="7" t="s">
        <v>2</v>
      </c>
      <c r="C4" s="26" t="s">
        <v>49</v>
      </c>
      <c r="D4" s="26">
        <v>134</v>
      </c>
      <c r="E4" s="26"/>
      <c r="F4" s="31" t="s">
        <v>50</v>
      </c>
      <c r="G4" s="28"/>
      <c r="H4" s="28"/>
      <c r="I4" s="28">
        <v>104</v>
      </c>
      <c r="J4" s="26">
        <v>146</v>
      </c>
    </row>
    <row r="5" spans="1:10" ht="15.75">
      <c r="A5" s="26">
        <v>167</v>
      </c>
      <c r="B5" s="7" t="s">
        <v>7</v>
      </c>
      <c r="C5" s="26"/>
      <c r="D5" s="26">
        <v>141</v>
      </c>
      <c r="E5" s="26"/>
      <c r="F5" s="31"/>
      <c r="G5" s="28"/>
      <c r="H5" s="28"/>
      <c r="I5" s="28">
        <v>114</v>
      </c>
      <c r="J5" s="26">
        <v>152</v>
      </c>
    </row>
    <row r="6" spans="1:10" ht="15.75">
      <c r="A6" s="26">
        <v>168</v>
      </c>
      <c r="B6" s="7" t="s">
        <v>5</v>
      </c>
      <c r="C6" s="26"/>
      <c r="D6" s="26">
        <v>149</v>
      </c>
      <c r="E6" s="26"/>
      <c r="F6" s="31"/>
      <c r="G6" s="28"/>
      <c r="H6" s="28"/>
      <c r="I6" s="28">
        <v>113</v>
      </c>
      <c r="J6" s="26">
        <v>153</v>
      </c>
    </row>
    <row r="7" spans="1:10" ht="15.75">
      <c r="A7" s="26">
        <v>166</v>
      </c>
      <c r="B7" s="7" t="s">
        <v>10</v>
      </c>
      <c r="C7" s="26"/>
      <c r="D7" s="26">
        <v>142</v>
      </c>
      <c r="E7" s="26"/>
      <c r="F7" s="31"/>
      <c r="G7" s="28"/>
      <c r="H7" s="28"/>
      <c r="I7" s="28">
        <v>115</v>
      </c>
      <c r="J7" s="26">
        <v>154</v>
      </c>
    </row>
    <row r="8" spans="1:10" ht="15.75">
      <c r="A8" s="26">
        <v>169</v>
      </c>
      <c r="B8" s="7" t="s">
        <v>14</v>
      </c>
      <c r="C8" s="26"/>
      <c r="D8" s="26">
        <v>143</v>
      </c>
      <c r="E8" s="26"/>
      <c r="F8" s="31"/>
      <c r="G8" s="26"/>
      <c r="H8" s="26"/>
      <c r="I8" s="26">
        <v>119</v>
      </c>
      <c r="J8" s="28"/>
    </row>
    <row r="9" spans="1:10" ht="15.75">
      <c r="A9" s="26">
        <v>164</v>
      </c>
      <c r="B9" s="7" t="s">
        <v>6</v>
      </c>
      <c r="C9" s="26"/>
      <c r="D9" s="26">
        <v>144</v>
      </c>
      <c r="E9" s="26"/>
      <c r="F9" s="31"/>
      <c r="G9" s="26"/>
      <c r="H9" s="26"/>
      <c r="I9" s="26">
        <v>112</v>
      </c>
      <c r="J9" s="28"/>
    </row>
    <row r="10" spans="1:10" ht="15.75">
      <c r="A10" s="26">
        <v>170</v>
      </c>
      <c r="B10" s="7" t="s">
        <v>8</v>
      </c>
      <c r="C10" s="29"/>
      <c r="D10" s="26">
        <v>148</v>
      </c>
      <c r="E10" s="26"/>
      <c r="F10" s="31"/>
      <c r="G10" s="26"/>
      <c r="H10" s="26"/>
      <c r="I10" s="26">
        <v>117</v>
      </c>
      <c r="J10" s="28"/>
    </row>
    <row r="11" spans="1:10" ht="15.75">
      <c r="A11" s="26">
        <v>163</v>
      </c>
      <c r="B11" s="7" t="s">
        <v>1</v>
      </c>
      <c r="C11" s="29"/>
      <c r="D11" s="26"/>
      <c r="E11" s="26"/>
      <c r="F11" s="31"/>
      <c r="G11" s="26"/>
      <c r="H11" s="26"/>
      <c r="I11" s="26">
        <v>111</v>
      </c>
      <c r="J11" s="28"/>
    </row>
    <row r="12" spans="1:10" ht="15.75">
      <c r="A12" s="26">
        <v>172</v>
      </c>
      <c r="B12" s="7" t="s">
        <v>0</v>
      </c>
      <c r="C12" s="29"/>
      <c r="D12" s="26"/>
      <c r="E12" s="26"/>
      <c r="F12" s="31"/>
      <c r="G12" s="28"/>
      <c r="H12" s="28"/>
      <c r="I12" s="28">
        <v>118</v>
      </c>
      <c r="J12" s="28"/>
    </row>
    <row r="13" spans="1:10" ht="15.75">
      <c r="A13" s="28">
        <v>179</v>
      </c>
      <c r="B13" s="7" t="s">
        <v>9</v>
      </c>
      <c r="C13" s="28"/>
      <c r="D13" s="28"/>
      <c r="E13" s="28"/>
      <c r="F13" s="31"/>
      <c r="G13" s="28"/>
      <c r="H13" s="28"/>
      <c r="I13" s="28">
        <v>110</v>
      </c>
      <c r="J13" s="28"/>
    </row>
    <row r="14" spans="1:10" ht="15.75">
      <c r="A14" s="28">
        <v>178</v>
      </c>
      <c r="B14" s="7" t="s">
        <v>13</v>
      </c>
      <c r="C14" s="28"/>
      <c r="D14" s="28"/>
      <c r="E14" s="28"/>
      <c r="F14" s="31"/>
      <c r="G14" s="28"/>
      <c r="H14" s="28"/>
      <c r="I14" s="28">
        <v>116</v>
      </c>
      <c r="J14" s="28"/>
    </row>
    <row r="15" spans="1:10" ht="15.75">
      <c r="A15" s="28">
        <v>177</v>
      </c>
      <c r="B15" s="7" t="s">
        <v>3</v>
      </c>
      <c r="C15" s="28"/>
      <c r="D15" s="28"/>
      <c r="E15" s="28"/>
      <c r="F15" s="31"/>
      <c r="G15" s="28"/>
      <c r="H15" s="28"/>
      <c r="I15" s="28">
        <v>126</v>
      </c>
      <c r="J15" s="28"/>
    </row>
    <row r="16" spans="1:10" ht="15.75">
      <c r="A16" s="28">
        <v>180</v>
      </c>
      <c r="B16" s="7" t="s">
        <v>4</v>
      </c>
      <c r="C16" s="28"/>
      <c r="D16" s="28"/>
      <c r="E16" s="7"/>
      <c r="F16" s="31"/>
      <c r="G16" s="28"/>
      <c r="H16" s="7"/>
      <c r="I16" s="28">
        <v>127</v>
      </c>
      <c r="J16" s="7"/>
    </row>
    <row r="17" spans="1:10">
      <c r="A17" s="28">
        <v>171</v>
      </c>
      <c r="B17" s="7"/>
      <c r="C17" s="28"/>
      <c r="D17" s="28"/>
      <c r="E17" s="7"/>
      <c r="F17" s="7"/>
      <c r="G17" s="28"/>
      <c r="H17" s="7"/>
      <c r="I17" s="28">
        <v>124</v>
      </c>
      <c r="J17" s="7"/>
    </row>
    <row r="18" spans="1:10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>
      <c r="A20" s="7"/>
      <c r="B20" s="7"/>
      <c r="C20" s="7"/>
      <c r="D20" s="7"/>
      <c r="E20" s="7"/>
      <c r="F20" s="7"/>
      <c r="G20" s="7"/>
      <c r="H20" s="7"/>
      <c r="I20" s="7"/>
      <c r="J20" s="7"/>
    </row>
    <row r="23" spans="1:10" ht="15.75">
      <c r="E23" s="174"/>
      <c r="F23" s="174"/>
      <c r="G23" s="174"/>
    </row>
    <row r="24" spans="1:10" ht="15.75">
      <c r="E24" s="174"/>
      <c r="F24" s="174"/>
      <c r="G24" s="174"/>
    </row>
    <row r="26" spans="1:10">
      <c r="C26" s="26"/>
    </row>
    <row r="27" spans="1:10">
      <c r="C27" s="26"/>
    </row>
    <row r="28" spans="1:10">
      <c r="C28" s="26"/>
    </row>
    <row r="29" spans="1:10">
      <c r="C29" s="26"/>
    </row>
    <row r="30" spans="1:10">
      <c r="C30" s="26"/>
    </row>
    <row r="31" spans="1:10">
      <c r="C31" s="26"/>
    </row>
    <row r="32" spans="1:10">
      <c r="C32" s="26"/>
    </row>
    <row r="33" spans="3:3">
      <c r="C33" s="26"/>
    </row>
    <row r="34" spans="3:3">
      <c r="C34" s="26"/>
    </row>
  </sheetData>
  <conditionalFormatting sqref="A19">
    <cfRule type="expression" dxfId="2" priority="1">
      <formula>IF(F19,1)</formula>
    </cfRule>
    <cfRule type="expression" dxfId="1" priority="2">
      <formula>IF(E19,1)</formula>
    </cfRule>
    <cfRule type="expression" dxfId="0" priority="3">
      <formula>IF(D19,1)</formula>
    </cfRule>
  </conditionalFormatting>
  <dataValidations count="1">
    <dataValidation type="list" allowBlank="1" showInputMessage="1" showErrorMessage="1" sqref="B1">
      <formula1>Classe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8"/>
  <dimension ref="A1:K620"/>
  <sheetViews>
    <sheetView showGridLines="0" showRowColHeaders="0" topLeftCell="A79" workbookViewId="0">
      <selection activeCell="G105" sqref="G105"/>
    </sheetView>
  </sheetViews>
  <sheetFormatPr baseColWidth="10" defaultRowHeight="15"/>
  <cols>
    <col min="1" max="1" width="15.7109375" customWidth="1"/>
    <col min="2" max="3" width="16.140625" hidden="1" customWidth="1"/>
    <col min="4" max="4" width="25.7109375" customWidth="1"/>
    <col min="5" max="5" width="20.7109375" customWidth="1"/>
    <col min="6" max="8" width="16.7109375" customWidth="1"/>
    <col min="9" max="10" width="11.42578125" customWidth="1"/>
    <col min="11" max="11" width="11.42578125" hidden="1" customWidth="1"/>
  </cols>
  <sheetData>
    <row r="1" spans="1:11" ht="19.5" thickBot="1">
      <c r="A1" s="46" t="s">
        <v>59</v>
      </c>
      <c r="B1" s="46"/>
      <c r="C1" s="46"/>
      <c r="D1" s="46"/>
      <c r="E1" s="47" t="str">
        <f>"Année:  " &amp;Accueil!C18</f>
        <v>Année:  2017</v>
      </c>
      <c r="F1" s="48" t="str">
        <f>Accueil!D18</f>
        <v xml:space="preserve"> / 2018</v>
      </c>
      <c r="G1" s="47" t="s">
        <v>52</v>
      </c>
      <c r="H1" s="49">
        <f>SUM(K3:K97)</f>
        <v>66</v>
      </c>
      <c r="I1" s="50"/>
      <c r="J1" s="50"/>
    </row>
    <row r="2" spans="1:11" ht="16.5" thickBot="1">
      <c r="A2" s="51" t="s">
        <v>53</v>
      </c>
      <c r="B2" s="96"/>
      <c r="C2" s="96"/>
      <c r="D2" s="96" t="s">
        <v>54</v>
      </c>
      <c r="E2" s="96" t="s">
        <v>55</v>
      </c>
      <c r="F2" s="96" t="s">
        <v>56</v>
      </c>
      <c r="G2" s="97" t="s">
        <v>57</v>
      </c>
      <c r="H2" s="98" t="s">
        <v>58</v>
      </c>
      <c r="I2" s="55"/>
      <c r="J2" s="55"/>
    </row>
    <row r="3" spans="1:11" ht="15.75">
      <c r="A3" s="99"/>
      <c r="B3" s="100">
        <f>IF(ROW()-2&lt;=$K$3,ROW()-2,"")</f>
        <v>1</v>
      </c>
      <c r="C3" s="58">
        <f>IF(B3="","",$A$5)</f>
        <v>158</v>
      </c>
      <c r="D3" s="59" t="str">
        <f>IF(C3="","",INDEX(Tableaulistesenfants[Nom],MATCH(B3,Tableaulistesenfants[Séquence3],0),))</f>
        <v>BILLOT</v>
      </c>
      <c r="E3" s="59" t="str">
        <f>IF(C3="","",INDEX(Tableaulistesenfants[Prénom],MATCH(B3,Tableaulistesenfants[Séquence3],0),))</f>
        <v>Lucie</v>
      </c>
      <c r="F3" s="58" t="str">
        <f>IF(C3="","",INDEX(Tableaulistesenfants[Classe],MATCH(B3,Tableaulistesenfants[Séquence3],0),))</f>
        <v>2e CF</v>
      </c>
      <c r="G3" s="58" t="b">
        <f>IF(C3="","",INDEX(Tableaulistesenfants[Dimanche],MATCH(B3,Tableaulistesenfants[Séquence3],0),))</f>
        <v>1</v>
      </c>
      <c r="H3" s="60" t="b">
        <f>IF(C3="","",INDEX(Tableaulistesenfants[Mercredi],MATCH(B3,Tableaulistesenfants[Séquence3],0),))</f>
        <v>0</v>
      </c>
      <c r="I3" s="61"/>
      <c r="J3" s="62"/>
      <c r="K3" s="63">
        <f>SUM(Tableaulistesenfants[Occurrence2])</f>
        <v>5</v>
      </c>
    </row>
    <row r="4" spans="1:11" ht="15.75">
      <c r="A4" s="101"/>
      <c r="B4" s="102">
        <f>IF(ROW()-2&lt;=$K$3,ROW()-2,"")</f>
        <v>2</v>
      </c>
      <c r="C4" s="66">
        <f>IF(B4="","",$A$5)</f>
        <v>158</v>
      </c>
      <c r="D4" s="67" t="str">
        <f>IF(C4="","",INDEX(Tableaulistesenfants[Nom],MATCH(B4,Tableaulistesenfants[Séquence3],0),))</f>
        <v>DALMASSO</v>
      </c>
      <c r="E4" s="67" t="str">
        <f>IF(C4="","",INDEX(Tableaulistesenfants[Prénom],MATCH(B4,Tableaulistesenfants[Séquence3],0),))</f>
        <v>Chloé</v>
      </c>
      <c r="F4" s="66" t="str">
        <f>IF(C4="","",INDEX(Tableaulistesenfants[Classe],MATCH(B4,Tableaulistesenfants[Séquence3],0),))</f>
        <v>2e CF</v>
      </c>
      <c r="G4" s="66" t="b">
        <f>IF(C4="","",INDEX(Tableaulistesenfants[Dimanche],MATCH(B4,Tableaulistesenfants[Séquence3],0),))</f>
        <v>1</v>
      </c>
      <c r="H4" s="68" t="b">
        <f>IF(C4="","",INDEX(Tableaulistesenfants[Mercredi],MATCH(B4,Tableaulistesenfants[Séquence3],0),))</f>
        <v>0</v>
      </c>
      <c r="I4" s="61"/>
      <c r="J4" s="62"/>
    </row>
    <row r="5" spans="1:11" ht="15.75">
      <c r="A5" s="103">
        <v>158</v>
      </c>
      <c r="B5" s="102">
        <f>IF(ROW()-2&lt;=$K$3,ROW()-2,"")</f>
        <v>3</v>
      </c>
      <c r="C5" s="66">
        <f>IF(B5="","",$A$5)</f>
        <v>158</v>
      </c>
      <c r="D5" s="67" t="str">
        <f>IF(C5="","",INDEX(Tableaulistesenfants[Nom],MATCH(B5,Tableaulistesenfants[Séquence3],0),))</f>
        <v>FAU</v>
      </c>
      <c r="E5" s="67" t="str">
        <f>IF(C5="","",INDEX(Tableaulistesenfants[Prénom],MATCH(B5,Tableaulistesenfants[Séquence3],0),))</f>
        <v>Emmy</v>
      </c>
      <c r="F5" s="66" t="str">
        <f>IF(C5="","",INDEX(Tableaulistesenfants[Classe],MATCH(B5,Tableaulistesenfants[Séquence3],0),))</f>
        <v>2e CF</v>
      </c>
      <c r="G5" s="66" t="b">
        <f>IF(C5="","",INDEX(Tableaulistesenfants[Dimanche],MATCH(B5,Tableaulistesenfants[Séquence3],0),))</f>
        <v>1</v>
      </c>
      <c r="H5" s="68" t="b">
        <f>IF(C5="","",INDEX(Tableaulistesenfants[Mercredi],MATCH(B5,Tableaulistesenfants[Séquence3],0),))</f>
        <v>0</v>
      </c>
      <c r="I5" s="61"/>
      <c r="J5" s="62"/>
    </row>
    <row r="6" spans="1:11" ht="15.75">
      <c r="A6" s="101"/>
      <c r="B6" s="102">
        <f>IF(ROW()-2&lt;=$K$3,ROW()-2,"")</f>
        <v>4</v>
      </c>
      <c r="C6" s="66">
        <f>IF(B6="","",$A$5)</f>
        <v>158</v>
      </c>
      <c r="D6" s="67" t="str">
        <f>IF(C6="","",INDEX(Tableaulistesenfants[Nom],MATCH(B6,Tableaulistesenfants[Séquence3],0),))</f>
        <v>HAMARD</v>
      </c>
      <c r="E6" s="67" t="str">
        <f>IF(C6="","",INDEX(Tableaulistesenfants[Prénom],MATCH(B6,Tableaulistesenfants[Séquence3],0),))</f>
        <v>Sharly</v>
      </c>
      <c r="F6" s="66" t="str">
        <f>IF(C6="","",INDEX(Tableaulistesenfants[Classe],MATCH(B6,Tableaulistesenfants[Séquence3],0),))</f>
        <v>2e TCVA</v>
      </c>
      <c r="G6" s="66" t="b">
        <f>IF(C6="","",INDEX(Tableaulistesenfants[Dimanche],MATCH(B6,Tableaulistesenfants[Séquence3],0),))</f>
        <v>1</v>
      </c>
      <c r="H6" s="68" t="b">
        <f>IF(C6="","",INDEX(Tableaulistesenfants[Mercredi],MATCH(B6,Tableaulistesenfants[Séquence3],0),))</f>
        <v>0</v>
      </c>
      <c r="I6" s="61"/>
      <c r="J6" s="62"/>
    </row>
    <row r="7" spans="1:11" ht="16.5" thickBot="1">
      <c r="A7" s="104"/>
      <c r="B7" s="105">
        <f>IF(ROW()-2&lt;=$K$3,ROW()-2,"")</f>
        <v>5</v>
      </c>
      <c r="C7" s="72">
        <f>IF(B7="","",$A$5)</f>
        <v>158</v>
      </c>
      <c r="D7" s="73" t="str">
        <f>IF(C7="","",INDEX(Tableaulistesenfants[Nom],MATCH(B7,Tableaulistesenfants[Séquence3],0),))</f>
        <v>PELIZZARI</v>
      </c>
      <c r="E7" s="73" t="str">
        <f>IF(C7="","",INDEX(Tableaulistesenfants[Prénom],MATCH(B7,Tableaulistesenfants[Séquence3],0),))</f>
        <v>Camille</v>
      </c>
      <c r="F7" s="72" t="str">
        <f>IF(C7="","",INDEX(Tableaulistesenfants[Classe],MATCH(B7,Tableaulistesenfants[Séquence3],0),))</f>
        <v>2e TCVA</v>
      </c>
      <c r="G7" s="72" t="b">
        <f>IF(C7="","",INDEX(Tableaulistesenfants[Dimanche],MATCH(B7,Tableaulistesenfants[Séquence3],0),))</f>
        <v>1</v>
      </c>
      <c r="H7" s="74" t="b">
        <f>IF(C7="","",INDEX(Tableaulistesenfants[Mercredi],MATCH(B7,Tableaulistesenfants[Séquence3],0),))</f>
        <v>0</v>
      </c>
      <c r="I7" s="61"/>
      <c r="J7" s="62"/>
    </row>
    <row r="8" spans="1:11" s="78" customFormat="1" ht="16.5" thickBot="1">
      <c r="A8" s="75"/>
      <c r="B8" s="75"/>
      <c r="C8" s="75"/>
      <c r="D8" s="76"/>
      <c r="E8" s="76"/>
      <c r="F8" s="77"/>
      <c r="H8" s="79"/>
      <c r="I8" s="61"/>
      <c r="J8" s="62"/>
    </row>
    <row r="9" spans="1:11" ht="15.75">
      <c r="A9" s="56"/>
      <c r="B9" s="57">
        <f>IF(ROW()-8&lt;=$K$9,ROW()-8,"")</f>
        <v>1</v>
      </c>
      <c r="C9" s="58">
        <f>IF(B9="","",$A$11)</f>
        <v>159</v>
      </c>
      <c r="D9" s="59" t="str">
        <f>IF(C9="","",INDEX(Tableaulistesenfants[Nom],MATCH(B9,Tableaulistesenfants[Séquence4],0),))</f>
        <v>DERSY</v>
      </c>
      <c r="E9" s="59" t="str">
        <f>IF(C9="","",INDEX(Tableaulistesenfants[Prénom],MATCH(B9,Tableaulistesenfants[Séquence4],0),))</f>
        <v>Alexandra</v>
      </c>
      <c r="F9" s="58" t="str">
        <f>IF(C9="","",INDEX(Tableaulistesenfants[Classe],MATCH(B9,Tableaulistesenfants[Séquence4],0),))</f>
        <v>2e CGEA</v>
      </c>
      <c r="G9" s="58" t="b">
        <f>IF(C9="","",INDEX(Tableaulistesenfants[Dimanche],MATCH(B9,Tableaulistesenfants[Séquence4],0),))</f>
        <v>1</v>
      </c>
      <c r="H9" s="60" t="b">
        <f>IF(C9="","",INDEX(Tableaulistesenfants[Mercredi],MATCH(B9,Tableaulistesenfants[Séquence4],0),))</f>
        <v>0</v>
      </c>
      <c r="I9" s="61"/>
      <c r="J9" s="62"/>
      <c r="K9" s="63">
        <f>SUM(Tableaulistesenfants[Occurrence3])</f>
        <v>4</v>
      </c>
    </row>
    <row r="10" spans="1:11" ht="15.75">
      <c r="A10" s="64"/>
      <c r="B10" s="65">
        <f>IF(ROW()-8&lt;=$K$9,ROW()-8,"")</f>
        <v>2</v>
      </c>
      <c r="C10" s="66">
        <f>IF(B10="","",$A$11)</f>
        <v>159</v>
      </c>
      <c r="D10" s="67" t="str">
        <f>IF(C10="","",INDEX(Tableaulistesenfants[Nom],MATCH(B10,Tableaulistesenfants[Séquence4],0),))</f>
        <v>LAURISSON</v>
      </c>
      <c r="E10" s="67" t="str">
        <f>IF(C10="","",INDEX(Tableaulistesenfants[Prénom],MATCH(B10,Tableaulistesenfants[Séquence4],0),))</f>
        <v>Cassandre</v>
      </c>
      <c r="F10" s="66" t="str">
        <f>IF(C10="","",INDEX(Tableaulistesenfants[Classe],MATCH(B10,Tableaulistesenfants[Séquence4],0),))</f>
        <v>2e GT</v>
      </c>
      <c r="G10" s="66" t="b">
        <f>IF(C10="","",INDEX(Tableaulistesenfants[Dimanche],MATCH(B10,Tableaulistesenfants[Séquence4],0),))</f>
        <v>1</v>
      </c>
      <c r="H10" s="68" t="b">
        <f>IF(C10="","",INDEX(Tableaulistesenfants[Mercredi],MATCH(B10,Tableaulistesenfants[Séquence4],0),))</f>
        <v>0</v>
      </c>
      <c r="I10" s="61"/>
      <c r="J10" s="62"/>
    </row>
    <row r="11" spans="1:11" ht="15.75">
      <c r="A11" s="69">
        <v>159</v>
      </c>
      <c r="B11" s="65">
        <f>IF(ROW()-8&lt;=$K$9,ROW()-8,"")</f>
        <v>3</v>
      </c>
      <c r="C11" s="66">
        <f>IF(B11="","",$A$11)</f>
        <v>159</v>
      </c>
      <c r="D11" s="67" t="str">
        <f>IF(C11="","",INDEX(Tableaulistesenfants[Nom],MATCH(B11,Tableaulistesenfants[Séquence4],0),))</f>
        <v>MANCEAU</v>
      </c>
      <c r="E11" s="67" t="str">
        <f>IF(C11="","",INDEX(Tableaulistesenfants[Prénom],MATCH(B11,Tableaulistesenfants[Séquence4],0),))</f>
        <v>Maeva</v>
      </c>
      <c r="F11" s="66" t="str">
        <f>IF(C11="","",INDEX(Tableaulistesenfants[Classe],MATCH(B11,Tableaulistesenfants[Séquence4],0),))</f>
        <v>2e CGEA</v>
      </c>
      <c r="G11" s="66" t="b">
        <f>IF(C11="","",INDEX(Tableaulistesenfants[Dimanche],MATCH(B11,Tableaulistesenfants[Séquence4],0),))</f>
        <v>1</v>
      </c>
      <c r="H11" s="68" t="b">
        <f>IF(C11="","",INDEX(Tableaulistesenfants[Mercredi],MATCH(B11,Tableaulistesenfants[Séquence4],0),))</f>
        <v>0</v>
      </c>
      <c r="I11" s="61"/>
      <c r="J11" s="62"/>
    </row>
    <row r="12" spans="1:11" ht="15.75">
      <c r="A12" s="64"/>
      <c r="B12" s="65">
        <f>IF(ROW()-8&lt;=$K$9,ROW()-8,"")</f>
        <v>4</v>
      </c>
      <c r="C12" s="66">
        <f>IF(B12="","",$A$11)</f>
        <v>159</v>
      </c>
      <c r="D12" s="67" t="str">
        <f>IF(C12="","",INDEX(Tableaulistesenfants[Nom],MATCH(B12,Tableaulistesenfants[Séquence4],0),))</f>
        <v>MASDIEU</v>
      </c>
      <c r="E12" s="67" t="str">
        <f>IF(C12="","",INDEX(Tableaulistesenfants[Prénom],MATCH(B12,Tableaulistesenfants[Séquence4],0),))</f>
        <v>Elise</v>
      </c>
      <c r="F12" s="66" t="str">
        <f>IF(C12="","",INDEX(Tableaulistesenfants[Classe],MATCH(B12,Tableaulistesenfants[Séquence4],0),))</f>
        <v>2e GT</v>
      </c>
      <c r="G12" s="66" t="b">
        <f>IF(C12="","",INDEX(Tableaulistesenfants[Dimanche],MATCH(B12,Tableaulistesenfants[Séquence4],0),))</f>
        <v>1</v>
      </c>
      <c r="H12" s="68" t="b">
        <f>IF(C12="","",INDEX(Tableaulistesenfants[Mercredi],MATCH(B12,Tableaulistesenfants[Séquence4],0),))</f>
        <v>0</v>
      </c>
      <c r="I12" s="61"/>
      <c r="J12" s="62"/>
    </row>
    <row r="13" spans="1:11" ht="16.5" thickBot="1">
      <c r="A13" s="70"/>
      <c r="B13" s="71" t="str">
        <f>IF(ROW()-8&lt;=$K$9,ROW()-8,"")</f>
        <v/>
      </c>
      <c r="C13" s="72" t="str">
        <f>IF(B13="","",$A$11)</f>
        <v/>
      </c>
      <c r="D13" s="73" t="str">
        <f>IF(C13="","",INDEX(Tableaulistesenfants[Nom],MATCH(B13,Tableaulistesenfants[Séquence4],0),))</f>
        <v/>
      </c>
      <c r="E13" s="73" t="str">
        <f>IF(C13="","",INDEX(Tableaulistesenfants[Prénom],MATCH(B13,Tableaulistesenfants[Séquence4],0),))</f>
        <v/>
      </c>
      <c r="F13" s="72" t="str">
        <f>IF(C13="","",INDEX(Tableaulistesenfants[Classe],MATCH(B13,Tableaulistesenfants[Séquence4],0),))</f>
        <v/>
      </c>
      <c r="G13" s="72" t="str">
        <f>IF(C13="","",INDEX(Tableaulistesenfants[Dimanche],MATCH(B13,Tableaulistesenfants[Séquence4],0),))</f>
        <v/>
      </c>
      <c r="H13" s="74" t="str">
        <f>IF(C13="","",INDEX(Tableaulistesenfants[Mercredi],MATCH(B13,Tableaulistesenfants[Séquence4],0),))</f>
        <v/>
      </c>
      <c r="I13" s="61"/>
      <c r="J13" s="62"/>
    </row>
    <row r="14" spans="1:11" s="78" customFormat="1" ht="16.5" thickBot="1">
      <c r="A14" s="75"/>
      <c r="B14" s="75"/>
      <c r="C14" s="75"/>
      <c r="D14" s="80"/>
      <c r="E14" s="80"/>
      <c r="F14" s="81"/>
      <c r="H14" s="79"/>
      <c r="I14" s="61"/>
      <c r="J14" s="62"/>
    </row>
    <row r="15" spans="1:11" ht="15.75">
      <c r="A15" s="82"/>
      <c r="B15" s="57">
        <f>IF(ROW()-14&lt;=$K$15,ROW()-14,"")</f>
        <v>1</v>
      </c>
      <c r="C15" s="58">
        <f>IF(B15="","",$A$17)</f>
        <v>160</v>
      </c>
      <c r="D15" s="59" t="str">
        <f>IF(C15="","",INDEX(Tableaulistesenfants[Nom],MATCH(B15,Tableaulistesenfants[Séquence5],0),))</f>
        <v>BELOU</v>
      </c>
      <c r="E15" s="59" t="str">
        <f>IF(C15="","",INDEX(Tableaulistesenfants[Prénom],MATCH(B15,Tableaulistesenfants[Séquence5],0),))</f>
        <v>Marie</v>
      </c>
      <c r="F15" s="58" t="str">
        <f>IF(C15="","",INDEX(Tableaulistesenfants[Classe],MATCH(B15,Tableaulistesenfants[Séquence5],0),))</f>
        <v>1e TCVA</v>
      </c>
      <c r="G15" s="58" t="b">
        <f>IF(C15="","",INDEX(Tableaulistesenfants[Dimanche],MATCH(B15,Tableaulistesenfants[Séquence5],0),))</f>
        <v>0</v>
      </c>
      <c r="H15" s="60" t="b">
        <f>IF(C15="","",INDEX(Tableaulistesenfants[Mercredi],MATCH(B15,Tableaulistesenfants[Séquence5],0),))</f>
        <v>0</v>
      </c>
      <c r="I15" s="61"/>
      <c r="J15" s="62"/>
      <c r="K15" s="63">
        <f>SUM(Tableaulistesenfants[Occurrence4])</f>
        <v>4</v>
      </c>
    </row>
    <row r="16" spans="1:11" ht="15.75">
      <c r="A16" s="69"/>
      <c r="B16" s="65">
        <f>IF(ROW()-14&lt;=$K$15,ROW()-14,"")</f>
        <v>2</v>
      </c>
      <c r="C16" s="66">
        <f>IF(B16="","",$A$17)</f>
        <v>160</v>
      </c>
      <c r="D16" s="67" t="str">
        <f>IF(C16="","",INDEX(Tableaulistesenfants[Nom],MATCH(B16,Tableaulistesenfants[Séquence5],0),))</f>
        <v>GARIVET</v>
      </c>
      <c r="E16" s="67" t="str">
        <f>IF(C16="","",INDEX(Tableaulistesenfants[Prénom],MATCH(B16,Tableaulistesenfants[Séquence5],0),))</f>
        <v>Manon</v>
      </c>
      <c r="F16" s="66" t="str">
        <f>IF(C16="","",INDEX(Tableaulistesenfants[Classe],MATCH(B16,Tableaulistesenfants[Séquence5],0),))</f>
        <v>1e CF</v>
      </c>
      <c r="G16" s="66" t="b">
        <f>IF(C16="","",INDEX(Tableaulistesenfants[Dimanche],MATCH(B16,Tableaulistesenfants[Séquence5],0),))</f>
        <v>1</v>
      </c>
      <c r="H16" s="68" t="b">
        <f>IF(C16="","",INDEX(Tableaulistesenfants[Mercredi],MATCH(B16,Tableaulistesenfants[Séquence5],0),))</f>
        <v>0</v>
      </c>
      <c r="I16" s="61"/>
      <c r="J16" s="62"/>
    </row>
    <row r="17" spans="1:11" ht="15.75">
      <c r="A17" s="69">
        <v>160</v>
      </c>
      <c r="B17" s="65">
        <f>IF(ROW()-14&lt;=$K$15,ROW()-14,"")</f>
        <v>3</v>
      </c>
      <c r="C17" s="66">
        <f>IF(B17="","",$A$17)</f>
        <v>160</v>
      </c>
      <c r="D17" s="67" t="str">
        <f>IF(C17="","",INDEX(Tableaulistesenfants[Nom],MATCH(B17,Tableaulistesenfants[Séquence5],0),))</f>
        <v>PY</v>
      </c>
      <c r="E17" s="67" t="str">
        <f>IF(C17="","",INDEX(Tableaulistesenfants[Prénom],MATCH(B17,Tableaulistesenfants[Séquence5],0),))</f>
        <v>Manon</v>
      </c>
      <c r="F17" s="66" t="str">
        <f>IF(C17="","",INDEX(Tableaulistesenfants[Classe],MATCH(B17,Tableaulistesenfants[Séquence5],0),))</f>
        <v>1e CF</v>
      </c>
      <c r="G17" s="66" t="b">
        <f>IF(C17="","",INDEX(Tableaulistesenfants[Dimanche],MATCH(B17,Tableaulistesenfants[Séquence5],0),))</f>
        <v>1</v>
      </c>
      <c r="H17" s="68" t="b">
        <f>IF(C17="","",INDEX(Tableaulistesenfants[Mercredi],MATCH(B17,Tableaulistesenfants[Séquence5],0),))</f>
        <v>0</v>
      </c>
      <c r="I17" s="61"/>
      <c r="J17" s="62"/>
    </row>
    <row r="18" spans="1:11" ht="15.75">
      <c r="A18" s="69"/>
      <c r="B18" s="65">
        <f>IF(ROW()-14&lt;=$K$15,ROW()-14,"")</f>
        <v>4</v>
      </c>
      <c r="C18" s="66">
        <f>IF(B18="","",$A$17)</f>
        <v>160</v>
      </c>
      <c r="D18" s="67" t="str">
        <f>IF(C18="","",INDEX(Tableaulistesenfants[Nom],MATCH(B18,Tableaulistesenfants[Séquence5],0),))</f>
        <v>TETUAN</v>
      </c>
      <c r="E18" s="67" t="str">
        <f>IF(C18="","",INDEX(Tableaulistesenfants[Prénom],MATCH(B18,Tableaulistesenfants[Séquence5],0),))</f>
        <v>Mélaine</v>
      </c>
      <c r="F18" s="66" t="str">
        <f>IF(C18="","",INDEX(Tableaulistesenfants[Classe],MATCH(B18,Tableaulistesenfants[Séquence5],0),))</f>
        <v>1e CF</v>
      </c>
      <c r="G18" s="66" t="b">
        <f>IF(C18="","",INDEX(Tableaulistesenfants[Dimanche],MATCH(B18,Tableaulistesenfants[Séquence5],0),))</f>
        <v>1</v>
      </c>
      <c r="H18" s="68" t="b">
        <f>IF(C18="","",INDEX(Tableaulistesenfants[Mercredi],MATCH(B18,Tableaulistesenfants[Séquence5],0),))</f>
        <v>0</v>
      </c>
      <c r="I18" s="61"/>
      <c r="J18" s="62"/>
    </row>
    <row r="19" spans="1:11" ht="16.5" thickBot="1">
      <c r="A19" s="83"/>
      <c r="B19" s="71" t="str">
        <f>IF(ROW()-14&lt;=$K$15,ROW()-14,"")</f>
        <v/>
      </c>
      <c r="C19" s="72" t="str">
        <f>IF(B19="","",$A$17)</f>
        <v/>
      </c>
      <c r="D19" s="73" t="str">
        <f>IF(C19="","",INDEX(Tableaulistesenfants[Nom],MATCH(B19,Tableaulistesenfants[Séquence5],0),))</f>
        <v/>
      </c>
      <c r="E19" s="73" t="str">
        <f>IF(C19="","",INDEX(Tableaulistesenfants[Prénom],MATCH(B19,Tableaulistesenfants[Séquence5],0),))</f>
        <v/>
      </c>
      <c r="F19" s="72" t="str">
        <f>IF(C19="","",INDEX(Tableaulistesenfants[Classe],MATCH(B19,Tableaulistesenfants[Séquence5],0),))</f>
        <v/>
      </c>
      <c r="G19" s="72" t="str">
        <f>IF(C19="","",INDEX(Tableaulistesenfants[Dimanche],MATCH(B19,Tableaulistesenfants[Séquence5],0),))</f>
        <v/>
      </c>
      <c r="H19" s="74" t="str">
        <f>IF(C19="","",INDEX(Tableaulistesenfants[Mercredi],MATCH(B19,Tableaulistesenfants[Séquence5],0),))</f>
        <v/>
      </c>
      <c r="I19" s="61"/>
      <c r="J19" s="62"/>
    </row>
    <row r="20" spans="1:11" s="78" customFormat="1" ht="16.5" thickBot="1">
      <c r="A20" s="75"/>
      <c r="B20" s="75"/>
      <c r="C20" s="75"/>
      <c r="D20" s="80"/>
      <c r="E20" s="80"/>
      <c r="F20" s="81"/>
      <c r="H20" s="79"/>
      <c r="I20" s="61"/>
      <c r="J20" s="62"/>
    </row>
    <row r="21" spans="1:11" ht="15.75">
      <c r="A21" s="82"/>
      <c r="B21" s="57">
        <f>IF(ROW()-20&lt;=$K$21,ROW()-20,"")</f>
        <v>1</v>
      </c>
      <c r="C21" s="58">
        <f>IF(B21="","",$A$23)</f>
        <v>167</v>
      </c>
      <c r="D21" s="59" t="str">
        <f>IF(C21="","",INDEX(Tableaulistesenfants[Nom],MATCH(B21,Tableaulistesenfants[Séquence6],0),))</f>
        <v>ALAUX</v>
      </c>
      <c r="E21" s="59" t="str">
        <f>IF(C21="","",INDEX(Tableaulistesenfants[Prénom],MATCH(B21,Tableaulistesenfants[Séquence6],0),))</f>
        <v>Alicia</v>
      </c>
      <c r="F21" s="58" t="str">
        <f>IF(C21="","",INDEX(Tableaulistesenfants[Classe],MATCH(B21,Tableaulistesenfants[Séquence6],0),))</f>
        <v>2e CF</v>
      </c>
      <c r="G21" s="58" t="b">
        <f>IF(C21="","",INDEX(Tableaulistesenfants[Dimanche],MATCH(B21,Tableaulistesenfants[Séquence6],0),))</f>
        <v>1</v>
      </c>
      <c r="H21" s="60" t="b">
        <f>IF(C21="","",INDEX(Tableaulistesenfants[Mercredi],MATCH(B21,Tableaulistesenfants[Séquence6],0),))</f>
        <v>0</v>
      </c>
      <c r="I21" s="61"/>
      <c r="J21" s="62"/>
      <c r="K21" s="63">
        <f>SUM(Tableaulistesenfants[Occurrence5])</f>
        <v>4</v>
      </c>
    </row>
    <row r="22" spans="1:11" ht="15.75">
      <c r="A22" s="69"/>
      <c r="B22" s="65">
        <f>IF(ROW()-20&lt;=$K$21,ROW()-20,"")</f>
        <v>2</v>
      </c>
      <c r="C22" s="66">
        <f>IF(B22="","",$A$23)</f>
        <v>167</v>
      </c>
      <c r="D22" s="67" t="str">
        <f>IF(C22="","",INDEX(Tableaulistesenfants[Nom],MATCH(B22,Tableaulistesenfants[Séquence6],0),))</f>
        <v>BELLOUBET</v>
      </c>
      <c r="E22" s="67" t="str">
        <f>IF(C22="","",INDEX(Tableaulistesenfants[Prénom],MATCH(B22,Tableaulistesenfants[Séquence6],0),))</f>
        <v>Maëlys</v>
      </c>
      <c r="F22" s="66" t="str">
        <f>IF(C22="","",INDEX(Tableaulistesenfants[Classe],MATCH(B22,Tableaulistesenfants[Séquence6],0),))</f>
        <v>1e TCVA</v>
      </c>
      <c r="G22" s="66" t="b">
        <f>IF(C22="","",INDEX(Tableaulistesenfants[Dimanche],MATCH(B22,Tableaulistesenfants[Séquence6],0),))</f>
        <v>0</v>
      </c>
      <c r="H22" s="68" t="b">
        <f>IF(C22="","",INDEX(Tableaulistesenfants[Mercredi],MATCH(B22,Tableaulistesenfants[Séquence6],0),))</f>
        <v>1</v>
      </c>
      <c r="I22" s="61"/>
      <c r="J22" s="62"/>
    </row>
    <row r="23" spans="1:11" ht="15.75">
      <c r="A23" s="69">
        <v>167</v>
      </c>
      <c r="B23" s="65">
        <f>IF(ROW()-20&lt;=$K$21,ROW()-20,"")</f>
        <v>3</v>
      </c>
      <c r="C23" s="66">
        <f>IF(B23="","",$A$23)</f>
        <v>167</v>
      </c>
      <c r="D23" s="67" t="str">
        <f>IF(C23="","",INDEX(Tableaulistesenfants[Nom],MATCH(B23,Tableaulistesenfants[Séquence6],0),))</f>
        <v>LEMAZURIER</v>
      </c>
      <c r="E23" s="67" t="str">
        <f>IF(C23="","",INDEX(Tableaulistesenfants[Prénom],MATCH(B23,Tableaulistesenfants[Séquence6],0),))</f>
        <v>Doriane</v>
      </c>
      <c r="F23" s="66" t="str">
        <f>IF(C23="","",INDEX(Tableaulistesenfants[Classe],MATCH(B23,Tableaulistesenfants[Séquence6],0),))</f>
        <v>1e CF</v>
      </c>
      <c r="G23" s="66" t="b">
        <f>IF(C23="","",INDEX(Tableaulistesenfants[Dimanche],MATCH(B23,Tableaulistesenfants[Séquence6],0),))</f>
        <v>1</v>
      </c>
      <c r="H23" s="68" t="b">
        <f>IF(C23="","",INDEX(Tableaulistesenfants[Mercredi],MATCH(B23,Tableaulistesenfants[Séquence6],0),))</f>
        <v>0</v>
      </c>
      <c r="I23" s="61"/>
      <c r="J23" s="62"/>
    </row>
    <row r="24" spans="1:11" ht="15.75">
      <c r="A24" s="69"/>
      <c r="B24" s="65">
        <f>IF(ROW()-20&lt;=$K$21,ROW()-20,"")</f>
        <v>4</v>
      </c>
      <c r="C24" s="66">
        <f>IF(B24="","",$A$23)</f>
        <v>167</v>
      </c>
      <c r="D24" s="67" t="str">
        <f>IF(C24="","",INDEX(Tableaulistesenfants[Nom],MATCH(B24,Tableaulistesenfants[Séquence6],0),))</f>
        <v>MOLINIE</v>
      </c>
      <c r="E24" s="67" t="str">
        <f>IF(C24="","",INDEX(Tableaulistesenfants[Prénom],MATCH(B24,Tableaulistesenfants[Séquence6],0),))</f>
        <v>Morgane</v>
      </c>
      <c r="F24" s="66" t="str">
        <f>IF(C24="","",INDEX(Tableaulistesenfants[Classe],MATCH(B24,Tableaulistesenfants[Séquence6],0),))</f>
        <v>3e EA</v>
      </c>
      <c r="G24" s="66" t="b">
        <f>IF(C24="","",INDEX(Tableaulistesenfants[Dimanche],MATCH(B24,Tableaulistesenfants[Séquence6],0),))</f>
        <v>1</v>
      </c>
      <c r="H24" s="68" t="b">
        <f>IF(C24="","",INDEX(Tableaulistesenfants[Mercredi],MATCH(B24,Tableaulistesenfants[Séquence6],0),))</f>
        <v>0</v>
      </c>
      <c r="I24" s="61"/>
      <c r="J24" s="62"/>
    </row>
    <row r="25" spans="1:11" ht="16.5" thickBot="1">
      <c r="A25" s="83"/>
      <c r="B25" s="71" t="str">
        <f>IF(ROW()-20&lt;=$K$21,ROW()-20,"")</f>
        <v/>
      </c>
      <c r="C25" s="72" t="str">
        <f>IF(B25="","",$A$23)</f>
        <v/>
      </c>
      <c r="D25" s="73" t="str">
        <f>IF(C25="","",INDEX(Tableaulistesenfants[Nom],MATCH(B25,Tableaulistesenfants[Séquence6],0),))</f>
        <v/>
      </c>
      <c r="E25" s="73" t="str">
        <f>IF(C25="","",INDEX(Tableaulistesenfants[Prénom],MATCH(B25,Tableaulistesenfants[Séquence6],0),))</f>
        <v/>
      </c>
      <c r="F25" s="72" t="str">
        <f>IF(C25="","",INDEX(Tableaulistesenfants[Classe],MATCH(B25,Tableaulistesenfants[Séquence6],0),))</f>
        <v/>
      </c>
      <c r="G25" s="72" t="str">
        <f>IF(C25="","",INDEX(Tableaulistesenfants[Dimanche],MATCH(B25,Tableaulistesenfants[Séquence6],0),))</f>
        <v/>
      </c>
      <c r="H25" s="74" t="str">
        <f>IF(C25="","",INDEX(Tableaulistesenfants[Mercredi],MATCH(B25,Tableaulistesenfants[Séquence6],0),))</f>
        <v/>
      </c>
      <c r="I25" s="61"/>
      <c r="J25" s="62"/>
    </row>
    <row r="26" spans="1:11" s="78" customFormat="1" ht="16.5" thickBot="1">
      <c r="A26" s="75"/>
      <c r="B26" s="75"/>
      <c r="C26" s="75"/>
      <c r="D26" s="80"/>
      <c r="E26" s="80"/>
      <c r="F26" s="81"/>
      <c r="H26" s="79"/>
      <c r="I26" s="61"/>
      <c r="J26" s="62"/>
    </row>
    <row r="27" spans="1:11" ht="15.75">
      <c r="A27" s="82"/>
      <c r="B27" s="57">
        <f>IF(ROW()-26&lt;=$K$27,ROW()-26,"")</f>
        <v>1</v>
      </c>
      <c r="C27" s="58">
        <f>IF(B27="","",$A$29)</f>
        <v>168</v>
      </c>
      <c r="D27" s="59" t="str">
        <f>IF(C27="","",INDEX(Tableaulistesenfants[Nom],MATCH(B27,Tableaulistesenfants[Séquence7],0),))</f>
        <v>LETOURNEUR</v>
      </c>
      <c r="E27" s="59" t="str">
        <f>IF(C27="","",INDEX(Tableaulistesenfants[Prénom],MATCH(B27,Tableaulistesenfants[Séquence7],0),))</f>
        <v>Eva</v>
      </c>
      <c r="F27" s="58" t="str">
        <f>IF(C27="","",INDEX(Tableaulistesenfants[Classe],MATCH(B27,Tableaulistesenfants[Séquence7],0),))</f>
        <v>2e CF</v>
      </c>
      <c r="G27" s="58" t="b">
        <f>IF(C27="","",INDEX(Tableaulistesenfants[Dimanche],MATCH(B27,Tableaulistesenfants[Séquence7],0),))</f>
        <v>1</v>
      </c>
      <c r="H27" s="60" t="b">
        <f>IF(C27="","",INDEX(Tableaulistesenfants[Mercredi],MATCH(B27,Tableaulistesenfants[Séquence7],0),))</f>
        <v>0</v>
      </c>
      <c r="I27" s="61"/>
      <c r="J27" s="62"/>
      <c r="K27" s="63">
        <f>SUM(Tableaulistesenfants[Occurrence6])</f>
        <v>4</v>
      </c>
    </row>
    <row r="28" spans="1:11" ht="15.75">
      <c r="A28" s="69"/>
      <c r="B28" s="65">
        <f>IF(ROW()-26&lt;=$K$27,ROW()-26,"")</f>
        <v>2</v>
      </c>
      <c r="C28" s="66">
        <f>IF(B28="","",$A$29)</f>
        <v>168</v>
      </c>
      <c r="D28" s="67" t="str">
        <f>IF(C28="","",INDEX(Tableaulistesenfants[Nom],MATCH(B28,Tableaulistesenfants[Séquence7],0),))</f>
        <v>MOISSON</v>
      </c>
      <c r="E28" s="67" t="str">
        <f>IF(C28="","",INDEX(Tableaulistesenfants[Prénom],MATCH(B28,Tableaulistesenfants[Séquence7],0),))</f>
        <v>Lucile</v>
      </c>
      <c r="F28" s="66" t="str">
        <f>IF(C28="","",INDEX(Tableaulistesenfants[Classe],MATCH(B28,Tableaulistesenfants[Séquence7],0),))</f>
        <v>2e CF</v>
      </c>
      <c r="G28" s="66" t="b">
        <f>IF(C28="","",INDEX(Tableaulistesenfants[Dimanche],MATCH(B28,Tableaulistesenfants[Séquence7],0),))</f>
        <v>1</v>
      </c>
      <c r="H28" s="68" t="b">
        <f>IF(C28="","",INDEX(Tableaulistesenfants[Mercredi],MATCH(B28,Tableaulistesenfants[Séquence7],0),))</f>
        <v>0</v>
      </c>
      <c r="I28" s="61"/>
      <c r="J28" s="62"/>
    </row>
    <row r="29" spans="1:11" ht="15.75">
      <c r="A29" s="69">
        <v>168</v>
      </c>
      <c r="B29" s="65">
        <f>IF(ROW()-26&lt;=$K$27,ROW()-26,"")</f>
        <v>3</v>
      </c>
      <c r="C29" s="66">
        <f>IF(B29="","",$A$29)</f>
        <v>168</v>
      </c>
      <c r="D29" s="67" t="str">
        <f>IF(C29="","",INDEX(Tableaulistesenfants[Nom],MATCH(B29,Tableaulistesenfants[Séquence7],0),))</f>
        <v>PEREIRA</v>
      </c>
      <c r="E29" s="67" t="str">
        <f>IF(C29="","",INDEX(Tableaulistesenfants[Prénom],MATCH(B29,Tableaulistesenfants[Séquence7],0),))</f>
        <v>Edith</v>
      </c>
      <c r="F29" s="66" t="str">
        <f>IF(C29="","",INDEX(Tableaulistesenfants[Classe],MATCH(B29,Tableaulistesenfants[Séquence7],0),))</f>
        <v>2e CF</v>
      </c>
      <c r="G29" s="66" t="b">
        <f>IF(C29="","",INDEX(Tableaulistesenfants[Dimanche],MATCH(B29,Tableaulistesenfants[Séquence7],0),))</f>
        <v>1</v>
      </c>
      <c r="H29" s="68" t="b">
        <f>IF(C29="","",INDEX(Tableaulistesenfants[Mercredi],MATCH(B29,Tableaulistesenfants[Séquence7],0),))</f>
        <v>0</v>
      </c>
      <c r="I29" s="61"/>
      <c r="J29" s="62"/>
    </row>
    <row r="30" spans="1:11" ht="15.75">
      <c r="A30" s="69"/>
      <c r="B30" s="65">
        <f>IF(ROW()-26&lt;=$K$27,ROW()-26,"")</f>
        <v>4</v>
      </c>
      <c r="C30" s="66">
        <f>IF(B30="","",$A$29)</f>
        <v>168</v>
      </c>
      <c r="D30" s="67" t="str">
        <f>IF(C30="","",INDEX(Tableaulistesenfants[Nom],MATCH(B30,Tableaulistesenfants[Séquence7],0),))</f>
        <v>VALET</v>
      </c>
      <c r="E30" s="67" t="str">
        <f>IF(C30="","",INDEX(Tableaulistesenfants[Prénom],MATCH(B30,Tableaulistesenfants[Séquence7],0),))</f>
        <v>Tiffany</v>
      </c>
      <c r="F30" s="66" t="str">
        <f>IF(C30="","",INDEX(Tableaulistesenfants[Classe],MATCH(B30,Tableaulistesenfants[Séquence7],0),))</f>
        <v>2e CF</v>
      </c>
      <c r="G30" s="66" t="b">
        <f>IF(C30="","",INDEX(Tableaulistesenfants[Dimanche],MATCH(B30,Tableaulistesenfants[Séquence7],0),))</f>
        <v>1</v>
      </c>
      <c r="H30" s="68" t="b">
        <f>IF(C30="","",INDEX(Tableaulistesenfants[Mercredi],MATCH(B30,Tableaulistesenfants[Séquence7],0),))</f>
        <v>0</v>
      </c>
      <c r="I30" s="61"/>
      <c r="J30" s="62"/>
    </row>
    <row r="31" spans="1:11" ht="16.5" thickBot="1">
      <c r="A31" s="83"/>
      <c r="B31" s="71" t="str">
        <f>IF(ROW()-26&lt;=$K$27,ROW()-26,"")</f>
        <v/>
      </c>
      <c r="C31" s="72" t="str">
        <f>IF(B31="","",$A$29)</f>
        <v/>
      </c>
      <c r="D31" s="73" t="str">
        <f>IF(C31="","",INDEX(Tableaulistesenfants[Nom],MATCH(B31,Tableaulistesenfants[Séquence7],0),))</f>
        <v/>
      </c>
      <c r="E31" s="73" t="str">
        <f>IF(C31="","",INDEX(Tableaulistesenfants[Prénom],MATCH(B31,Tableaulistesenfants[Séquence7],0),))</f>
        <v/>
      </c>
      <c r="F31" s="72" t="str">
        <f>IF(C31="","",INDEX(Tableaulistesenfants[Classe],MATCH(B31,Tableaulistesenfants[Séquence7],0),))</f>
        <v/>
      </c>
      <c r="G31" s="72" t="str">
        <f>IF(C31="","",INDEX(Tableaulistesenfants[Dimanche],MATCH(B31,Tableaulistesenfants[Séquence7],0),))</f>
        <v/>
      </c>
      <c r="H31" s="74" t="str">
        <f>IF(C31="","",INDEX(Tableaulistesenfants[Mercredi],MATCH(B31,Tableaulistesenfants[Séquence7],0),))</f>
        <v/>
      </c>
      <c r="I31" s="61"/>
      <c r="J31" s="62"/>
    </row>
    <row r="32" spans="1:11" s="78" customFormat="1" ht="16.5" thickBot="1">
      <c r="A32" s="75"/>
      <c r="B32" s="75"/>
      <c r="C32" s="75"/>
      <c r="D32" s="80"/>
      <c r="E32" s="80"/>
      <c r="F32" s="90" t="str">
        <f>IF(C32="","",INDEX(Tableaulistesenfants[Classe],MATCH(B32,Tableaulistesenfants[Séquence7],0),))</f>
        <v/>
      </c>
      <c r="H32" s="79"/>
      <c r="I32" s="61"/>
      <c r="J32" s="62"/>
    </row>
    <row r="33" spans="1:11" ht="15.75">
      <c r="A33" s="82"/>
      <c r="B33" s="57">
        <f>IF(ROW()-32&lt;=$K$33,ROW()-32,"")</f>
        <v>1</v>
      </c>
      <c r="C33" s="58">
        <f>IF(B33="","",$A$35)</f>
        <v>166</v>
      </c>
      <c r="D33" s="59" t="str">
        <f>IF(C33="","",INDEX(Tableaulistesenfants[Nom],MATCH(B33,Tableaulistesenfants[Séquence8],0),))</f>
        <v>CAPELLE</v>
      </c>
      <c r="E33" s="59" t="str">
        <f>IF(C33="","",INDEX(Tableaulistesenfants[Prénom],MATCH(B33,Tableaulistesenfants[Séquence8],0),))</f>
        <v>Amandine</v>
      </c>
      <c r="F33" s="58" t="str">
        <f>IF(C33="","",INDEX(Tableaulistesenfants[Classe],MATCH(B33,Tableaulistesenfants[Séquence8],0),))</f>
        <v>1e CF</v>
      </c>
      <c r="G33" s="58" t="b">
        <f>IF(C33="","",INDEX(Tableaulistesenfants[Dimanche],MATCH(B33,Tableaulistesenfants[Séquence8],0),))</f>
        <v>1</v>
      </c>
      <c r="H33" s="60" t="b">
        <f>IF(C33="","",INDEX(Tableaulistesenfants[Mercredi],MATCH(B33,Tableaulistesenfants[Séquence8],0),))</f>
        <v>0</v>
      </c>
      <c r="I33" s="61"/>
      <c r="J33" s="62"/>
      <c r="K33" s="63">
        <f>SUM(Tableaulistesenfants[Occurrence7])</f>
        <v>5</v>
      </c>
    </row>
    <row r="34" spans="1:11" ht="15.75">
      <c r="A34" s="69"/>
      <c r="B34" s="65">
        <f>IF(ROW()-32&lt;=$K$33,ROW()-32,"")</f>
        <v>2</v>
      </c>
      <c r="C34" s="66">
        <f>IF(B34="","",$A$35)</f>
        <v>166</v>
      </c>
      <c r="D34" s="67" t="str">
        <f>IF(C34="","",INDEX(Tableaulistesenfants[Nom],MATCH(B34,Tableaulistesenfants[Séquence8],0),))</f>
        <v>GONTIER</v>
      </c>
      <c r="E34" s="67" t="str">
        <f>IF(C34="","",INDEX(Tableaulistesenfants[Prénom],MATCH(B34,Tableaulistesenfants[Séquence8],0),))</f>
        <v>Saphir</v>
      </c>
      <c r="F34" s="66" t="str">
        <f>IF(C34="","",INDEX(Tableaulistesenfants[Classe],MATCH(B34,Tableaulistesenfants[Séquence8],0),))</f>
        <v>1e CF</v>
      </c>
      <c r="G34" s="66" t="b">
        <f>IF(C34="","",INDEX(Tableaulistesenfants[Dimanche],MATCH(B34,Tableaulistesenfants[Séquence8],0),))</f>
        <v>1</v>
      </c>
      <c r="H34" s="68" t="b">
        <f>IF(C34="","",INDEX(Tableaulistesenfants[Mercredi],MATCH(B34,Tableaulistesenfants[Séquence8],0),))</f>
        <v>0</v>
      </c>
      <c r="I34" s="61"/>
      <c r="J34" s="62"/>
    </row>
    <row r="35" spans="1:11" ht="15.75">
      <c r="A35" s="69">
        <v>166</v>
      </c>
      <c r="B35" s="65">
        <f>IF(ROW()-32&lt;=$K$33,ROW()-32,"")</f>
        <v>3</v>
      </c>
      <c r="C35" s="66">
        <f>IF(B35="","",$A$35)</f>
        <v>166</v>
      </c>
      <c r="D35" s="67" t="str">
        <f>IF(C35="","",INDEX(Tableaulistesenfants[Nom],MATCH(B35,Tableaulistesenfants[Séquence8],0),))</f>
        <v>PAGES</v>
      </c>
      <c r="E35" s="67" t="str">
        <f>IF(C35="","",INDEX(Tableaulistesenfants[Prénom],MATCH(B35,Tableaulistesenfants[Séquence8],0),))</f>
        <v>Audrey</v>
      </c>
      <c r="F35" s="66" t="str">
        <f>IF(C35="","",INDEX(Tableaulistesenfants[Classe],MATCH(B35,Tableaulistesenfants[Séquence8],0),))</f>
        <v>2e GT</v>
      </c>
      <c r="G35" s="66" t="b">
        <f>IF(C35="","",INDEX(Tableaulistesenfants[Dimanche],MATCH(B35,Tableaulistesenfants[Séquence8],0),))</f>
        <v>1</v>
      </c>
      <c r="H35" s="68" t="b">
        <f>IF(C35="","",INDEX(Tableaulistesenfants[Mercredi],MATCH(B35,Tableaulistesenfants[Séquence8],0),))</f>
        <v>0</v>
      </c>
      <c r="I35" s="61"/>
      <c r="J35" s="62"/>
    </row>
    <row r="36" spans="1:11" ht="15.75">
      <c r="A36" s="69"/>
      <c r="B36" s="65">
        <f>IF(ROW()-32&lt;=$K$33,ROW()-32,"")</f>
        <v>4</v>
      </c>
      <c r="C36" s="66">
        <f>IF(B36="","",$A$35)</f>
        <v>166</v>
      </c>
      <c r="D36" s="67" t="str">
        <f>IF(C36="","",INDEX(Tableaulistesenfants[Nom],MATCH(B36,Tableaulistesenfants[Séquence8],0),))</f>
        <v>ROBERT</v>
      </c>
      <c r="E36" s="67" t="str">
        <f>IF(C36="","",INDEX(Tableaulistesenfants[Prénom],MATCH(B36,Tableaulistesenfants[Séquence8],0),))</f>
        <v>Estelle</v>
      </c>
      <c r="F36" s="66" t="str">
        <f>IF(C36="","",INDEX(Tableaulistesenfants[Classe],MATCH(B36,Tableaulistesenfants[Séquence8],0),))</f>
        <v>1e TCVA</v>
      </c>
      <c r="G36" s="66" t="b">
        <f>IF(C36="","",INDEX(Tableaulistesenfants[Dimanche],MATCH(B36,Tableaulistesenfants[Séquence8],0),))</f>
        <v>0</v>
      </c>
      <c r="H36" s="68" t="b">
        <f>IF(C36="","",INDEX(Tableaulistesenfants[Mercredi],MATCH(B36,Tableaulistesenfants[Séquence8],0),))</f>
        <v>0</v>
      </c>
      <c r="I36" s="61"/>
      <c r="J36" s="62"/>
    </row>
    <row r="37" spans="1:11" ht="16.5" thickBot="1">
      <c r="A37" s="83"/>
      <c r="B37" s="71">
        <f>IF(ROW()-32&lt;=$K$33,ROW()-32,"")</f>
        <v>5</v>
      </c>
      <c r="C37" s="72">
        <f>IF(B37="","",$A$35)</f>
        <v>166</v>
      </c>
      <c r="D37" s="73" t="str">
        <f>IF(C37="","",INDEX(Tableaulistesenfants[Nom],MATCH(B37,Tableaulistesenfants[Séquence8],0),))</f>
        <v>THIRIET</v>
      </c>
      <c r="E37" s="73" t="str">
        <f>IF(C37="","",INDEX(Tableaulistesenfants[Prénom],MATCH(B37,Tableaulistesenfants[Séquence8],0),))</f>
        <v>Justine</v>
      </c>
      <c r="F37" s="72" t="str">
        <f>IF(C37="","",INDEX(Tableaulistesenfants[Classe],MATCH(B37,Tableaulistesenfants[Séquence8],0),))</f>
        <v>1e CF</v>
      </c>
      <c r="G37" s="72" t="b">
        <f>IF(C37="","",INDEX(Tableaulistesenfants[Dimanche],MATCH(B37,Tableaulistesenfants[Séquence8],0),))</f>
        <v>1</v>
      </c>
      <c r="H37" s="74" t="b">
        <f>IF(C37="","",INDEX(Tableaulistesenfants[Mercredi],MATCH(B37,Tableaulistesenfants[Séquence8],0),))</f>
        <v>0</v>
      </c>
      <c r="I37" s="61"/>
      <c r="J37" s="62"/>
    </row>
    <row r="38" spans="1:11" s="78" customFormat="1" ht="16.5" thickBot="1">
      <c r="A38" s="75"/>
      <c r="B38" s="75"/>
      <c r="C38" s="75"/>
      <c r="D38" s="80"/>
      <c r="E38" s="91"/>
      <c r="F38" s="81"/>
      <c r="H38" s="79"/>
      <c r="I38" s="61"/>
      <c r="J38" s="62"/>
    </row>
    <row r="39" spans="1:11" ht="15.75">
      <c r="A39" s="82"/>
      <c r="B39" s="57">
        <f>IF(ROW()-38&lt;=$K$39,ROW()-38,"")</f>
        <v>1</v>
      </c>
      <c r="C39" s="58">
        <f>IF(B39="","",$A$41)</f>
        <v>169</v>
      </c>
      <c r="D39" s="59" t="str">
        <f>IF(C39="","",INDEX(Tableaulistesenfants[Nom],MATCH(B39,Tableaulistesenfants[Séquence9],0),))</f>
        <v>BEDOS</v>
      </c>
      <c r="E39" s="59" t="str">
        <f>IF(C39="","",INDEX(Tableaulistesenfants[Prénom],MATCH(B39,Tableaulistesenfants[Séquence9],0),))</f>
        <v>Rachel</v>
      </c>
      <c r="F39" s="58" t="str">
        <f>IF(C39="","",INDEX(Tableaulistesenfants[Classe],MATCH(B39,Tableaulistesenfants[Séquence9],0),))</f>
        <v>2e CGEA</v>
      </c>
      <c r="G39" s="58" t="b">
        <f>IF(C39="","",INDEX(Tableaulistesenfants[Dimanche],MATCH(B39,Tableaulistesenfants[Séquence9],0),))</f>
        <v>0</v>
      </c>
      <c r="H39" s="60" t="b">
        <f>IF(C39="","",INDEX(Tableaulistesenfants[Mercredi],MATCH(B39,Tableaulistesenfants[Séquence9],0),))</f>
        <v>0</v>
      </c>
      <c r="I39" s="61"/>
      <c r="J39" s="62"/>
      <c r="K39" s="63">
        <f>SUM(Tableaulistesenfants[Occurrence8])</f>
        <v>4</v>
      </c>
    </row>
    <row r="40" spans="1:11" ht="15.75">
      <c r="A40" s="69"/>
      <c r="B40" s="65">
        <f>IF(ROW()-38&lt;=$K$39,ROW()-38,"")</f>
        <v>2</v>
      </c>
      <c r="C40" s="66">
        <f>IF(B40="","",$A$41)</f>
        <v>169</v>
      </c>
      <c r="D40" s="67" t="str">
        <f>IF(C40="","",INDEX(Tableaulistesenfants[Nom],MATCH(B40,Tableaulistesenfants[Séquence9],0),))</f>
        <v>CAVAIGNAC</v>
      </c>
      <c r="E40" s="67" t="str">
        <f>IF(C40="","",INDEX(Tableaulistesenfants[Prénom],MATCH(B40,Tableaulistesenfants[Séquence9],0),))</f>
        <v>Marie</v>
      </c>
      <c r="F40" s="66" t="str">
        <f>IF(C40="","",INDEX(Tableaulistesenfants[Classe],MATCH(B40,Tableaulistesenfants[Séquence9],0),))</f>
        <v>1e STAV</v>
      </c>
      <c r="G40" s="66" t="b">
        <f>IF(C40="","",INDEX(Tableaulistesenfants[Dimanche],MATCH(B40,Tableaulistesenfants[Séquence9],0),))</f>
        <v>0</v>
      </c>
      <c r="H40" s="68" t="b">
        <f>IF(C40="","",INDEX(Tableaulistesenfants[Mercredi],MATCH(B40,Tableaulistesenfants[Séquence9],0),))</f>
        <v>0</v>
      </c>
      <c r="I40" s="61"/>
      <c r="J40" s="62"/>
    </row>
    <row r="41" spans="1:11" ht="15.75">
      <c r="A41" s="69">
        <v>169</v>
      </c>
      <c r="B41" s="65">
        <f>IF(ROW()-38&lt;=$K$39,ROW()-38,"")</f>
        <v>3</v>
      </c>
      <c r="C41" s="66">
        <f>IF(B41="","",$A$41)</f>
        <v>169</v>
      </c>
      <c r="D41" s="67" t="str">
        <f>IF(C41="","",INDEX(Tableaulistesenfants[Nom],MATCH(B41,Tableaulistesenfants[Séquence9],0),))</f>
        <v>GOUT</v>
      </c>
      <c r="E41" s="67" t="str">
        <f>IF(C41="","",INDEX(Tableaulistesenfants[Prénom],MATCH(B41,Tableaulistesenfants[Séquence9],0),))</f>
        <v>Lucile</v>
      </c>
      <c r="F41" s="66" t="str">
        <f>IF(C41="","",INDEX(Tableaulistesenfants[Classe],MATCH(B41,Tableaulistesenfants[Séquence9],0),))</f>
        <v>2e GT</v>
      </c>
      <c r="G41" s="66" t="b">
        <f>IF(C41="","",INDEX(Tableaulistesenfants[Dimanche],MATCH(B41,Tableaulistesenfants[Séquence9],0),))</f>
        <v>1</v>
      </c>
      <c r="H41" s="68" t="b">
        <f>IF(C41="","",INDEX(Tableaulistesenfants[Mercredi],MATCH(B41,Tableaulistesenfants[Séquence9],0),))</f>
        <v>0</v>
      </c>
      <c r="I41" s="61"/>
      <c r="J41" s="62"/>
    </row>
    <row r="42" spans="1:11" ht="15.75">
      <c r="A42" s="69"/>
      <c r="B42" s="65">
        <f>IF(ROW()-38&lt;=$K$39,ROW()-38,"")</f>
        <v>4</v>
      </c>
      <c r="C42" s="66">
        <f>IF(B42="","",$A$41)</f>
        <v>169</v>
      </c>
      <c r="D42" s="67" t="str">
        <f>IF(C42="","",INDEX(Tableaulistesenfants[Nom],MATCH(B42,Tableaulistesenfants[Séquence9],0),))</f>
        <v>JOIE</v>
      </c>
      <c r="E42" s="67" t="str">
        <f>IF(C42="","",INDEX(Tableaulistesenfants[Prénom],MATCH(B42,Tableaulistesenfants[Séquence9],0),))</f>
        <v>Estelle</v>
      </c>
      <c r="F42" s="66" t="str">
        <f>IF(C42="","",INDEX(Tableaulistesenfants[Classe],MATCH(B42,Tableaulistesenfants[Séquence9],0),))</f>
        <v>1e STAV</v>
      </c>
      <c r="G42" s="66" t="b">
        <f>IF(C42="","",INDEX(Tableaulistesenfants[Dimanche],MATCH(B42,Tableaulistesenfants[Séquence9],0),))</f>
        <v>1</v>
      </c>
      <c r="H42" s="68" t="b">
        <f>IF(C42="","",INDEX(Tableaulistesenfants[Mercredi],MATCH(B42,Tableaulistesenfants[Séquence9],0),))</f>
        <v>0</v>
      </c>
      <c r="I42" s="61"/>
      <c r="J42" s="62"/>
    </row>
    <row r="43" spans="1:11" ht="16.5" thickBot="1">
      <c r="A43" s="83"/>
      <c r="B43" s="71" t="str">
        <f>IF(ROW()-38&lt;=$K$39,ROW()-38,"")</f>
        <v/>
      </c>
      <c r="C43" s="72" t="str">
        <f>IF(B43="","",$A$41)</f>
        <v/>
      </c>
      <c r="D43" s="73" t="str">
        <f>IF(C43="","",INDEX(Tableaulistesenfants[Nom],MATCH(B43,Tableaulistesenfants[Séquence9],0),))</f>
        <v/>
      </c>
      <c r="E43" s="73" t="str">
        <f>IF(C43="","",INDEX(Tableaulistesenfants[Prénom],MATCH(B43,Tableaulistesenfants[Séquence9],0),))</f>
        <v/>
      </c>
      <c r="F43" s="72" t="str">
        <f>IF(C43="","",INDEX(Tableaulistesenfants[Classe],MATCH(B43,Tableaulistesenfants[Séquence9],0),))</f>
        <v/>
      </c>
      <c r="G43" s="72" t="str">
        <f>IF(C43="","",INDEX(Tableaulistesenfants[Dimanche],MATCH(B43,Tableaulistesenfants[Séquence9],0),))</f>
        <v/>
      </c>
      <c r="H43" s="74" t="str">
        <f>IF(C43="","",INDEX(Tableaulistesenfants[Mercredi],MATCH(B43,Tableaulistesenfants[Séquence9],0),))</f>
        <v/>
      </c>
      <c r="I43" s="61"/>
      <c r="J43" s="62"/>
    </row>
    <row r="44" spans="1:11" s="78" customFormat="1" ht="16.5" thickBot="1">
      <c r="A44" s="75"/>
      <c r="B44" s="75"/>
      <c r="C44" s="75"/>
      <c r="D44" s="80"/>
      <c r="E44" s="80"/>
      <c r="F44" s="81"/>
      <c r="H44" s="79"/>
      <c r="I44" s="61"/>
      <c r="J44" s="62"/>
    </row>
    <row r="45" spans="1:11" ht="15.75">
      <c r="A45" s="82"/>
      <c r="B45" s="57">
        <f>IF(ROW()-44&lt;=$K$45,ROW()-44,"")</f>
        <v>1</v>
      </c>
      <c r="C45" s="58">
        <f>IF(B45="","",$A$47)</f>
        <v>164</v>
      </c>
      <c r="D45" s="59" t="str">
        <f>IF(C45="","",INDEX(Tableaulistesenfants[Nom],MATCH(B45,Tableaulistesenfants[Séquence10],0),))</f>
        <v>COUSTEAU</v>
      </c>
      <c r="E45" s="59" t="str">
        <f>IF(C45="","",INDEX(Tableaulistesenfants[Prénom],MATCH(B45,Tableaulistesenfants[Séquence10],0),))</f>
        <v>Maeva</v>
      </c>
      <c r="F45" s="58" t="str">
        <f>IF(C45="","",INDEX(Tableaulistesenfants[Classe],MATCH(B45,Tableaulistesenfants[Séquence10],0),))</f>
        <v>2e TCVA</v>
      </c>
      <c r="G45" s="58" t="b">
        <f>IF(C45="","",INDEX(Tableaulistesenfants[Dimanche],MATCH(B45,Tableaulistesenfants[Séquence10],0),))</f>
        <v>0</v>
      </c>
      <c r="H45" s="60" t="b">
        <f>IF(C45="","",INDEX(Tableaulistesenfants[Mercredi],MATCH(B45,Tableaulistesenfants[Séquence10],0),))</f>
        <v>0</v>
      </c>
      <c r="I45" s="61"/>
      <c r="J45" s="62"/>
      <c r="K45" s="63">
        <f>SUM(Tableaulistesenfants[Occurrence9])</f>
        <v>4</v>
      </c>
    </row>
    <row r="46" spans="1:11" ht="15.75">
      <c r="A46" s="69"/>
      <c r="B46" s="65">
        <f>IF(ROW()-44&lt;=$K$45,ROW()-44,"")</f>
        <v>2</v>
      </c>
      <c r="C46" s="66">
        <f>IF(B46="","",$A$47)</f>
        <v>164</v>
      </c>
      <c r="D46" s="67" t="str">
        <f>IF(C46="","",INDEX(Tableaulistesenfants[Nom],MATCH(B46,Tableaulistesenfants[Séquence10],0),))</f>
        <v>FABRE</v>
      </c>
      <c r="E46" s="67" t="str">
        <f>IF(C46="","",INDEX(Tableaulistesenfants[Prénom],MATCH(B46,Tableaulistesenfants[Séquence10],0),))</f>
        <v>Audrey</v>
      </c>
      <c r="F46" s="66" t="str">
        <f>IF(C46="","",INDEX(Tableaulistesenfants[Classe],MATCH(B46,Tableaulistesenfants[Séquence10],0),))</f>
        <v>2e TCVA</v>
      </c>
      <c r="G46" s="66" t="b">
        <f>IF(C46="","",INDEX(Tableaulistesenfants[Dimanche],MATCH(B46,Tableaulistesenfants[Séquence10],0),))</f>
        <v>1</v>
      </c>
      <c r="H46" s="68" t="b">
        <f>IF(C46="","",INDEX(Tableaulistesenfants[Mercredi],MATCH(B46,Tableaulistesenfants[Séquence10],0),))</f>
        <v>0</v>
      </c>
      <c r="I46" s="61"/>
      <c r="J46" s="62"/>
    </row>
    <row r="47" spans="1:11" ht="15.75">
      <c r="A47" s="69">
        <v>164</v>
      </c>
      <c r="B47" s="65">
        <f>IF(ROW()-44&lt;=$K$45,ROW()-44,"")</f>
        <v>3</v>
      </c>
      <c r="C47" s="66">
        <f>IF(B47="","",$A$47)</f>
        <v>164</v>
      </c>
      <c r="D47" s="67" t="str">
        <f>IF(C47="","",INDEX(Tableaulistesenfants[Nom],MATCH(B47,Tableaulistesenfants[Séquence10],0),))</f>
        <v>GACHOD</v>
      </c>
      <c r="E47" s="67" t="str">
        <f>IF(C47="","",INDEX(Tableaulistesenfants[Prénom],MATCH(B47,Tableaulistesenfants[Séquence10],0),))</f>
        <v>Juliette</v>
      </c>
      <c r="F47" s="66" t="str">
        <f>IF(C47="","",INDEX(Tableaulistesenfants[Classe],MATCH(B47,Tableaulistesenfants[Séquence10],0),))</f>
        <v>2e GT</v>
      </c>
      <c r="G47" s="66" t="b">
        <f>IF(C47="","",INDEX(Tableaulistesenfants[Dimanche],MATCH(B47,Tableaulistesenfants[Séquence10],0),))</f>
        <v>1</v>
      </c>
      <c r="H47" s="68" t="b">
        <f>IF(C47="","",INDEX(Tableaulistesenfants[Mercredi],MATCH(B47,Tableaulistesenfants[Séquence10],0),))</f>
        <v>0</v>
      </c>
      <c r="I47" s="61"/>
      <c r="J47" s="62"/>
    </row>
    <row r="48" spans="1:11" ht="15.75">
      <c r="A48" s="69"/>
      <c r="B48" s="65">
        <f>IF(ROW()-44&lt;=$K$45,ROW()-44,"")</f>
        <v>4</v>
      </c>
      <c r="C48" s="66">
        <f>IF(B48="","",$A$47)</f>
        <v>164</v>
      </c>
      <c r="D48" s="67" t="str">
        <f>IF(C48="","",INDEX(Tableaulistesenfants[Nom],MATCH(B48,Tableaulistesenfants[Séquence10],0),))</f>
        <v>HEMONO</v>
      </c>
      <c r="E48" s="67" t="str">
        <f>IF(C48="","",INDEX(Tableaulistesenfants[Prénom],MATCH(B48,Tableaulistesenfants[Séquence10],0),))</f>
        <v>Juliette</v>
      </c>
      <c r="F48" s="66" t="str">
        <f>IF(C48="","",INDEX(Tableaulistesenfants[Classe],MATCH(B48,Tableaulistesenfants[Séquence10],0),))</f>
        <v>3e EA</v>
      </c>
      <c r="G48" s="66" t="b">
        <f>IF(C48="","",INDEX(Tableaulistesenfants[Dimanche],MATCH(B48,Tableaulistesenfants[Séquence10],0),))</f>
        <v>1</v>
      </c>
      <c r="H48" s="68" t="b">
        <f>IF(C48="","",INDEX(Tableaulistesenfants[Mercredi],MATCH(B48,Tableaulistesenfants[Séquence10],0),))</f>
        <v>1</v>
      </c>
      <c r="I48" s="61"/>
      <c r="J48" s="62"/>
    </row>
    <row r="49" spans="1:11" ht="16.5" thickBot="1">
      <c r="A49" s="83"/>
      <c r="B49" s="71" t="str">
        <f>IF(ROW()-44&lt;=$K$45,ROW()-44,"")</f>
        <v/>
      </c>
      <c r="C49" s="72" t="str">
        <f>IF(B49="","",$A$47)</f>
        <v/>
      </c>
      <c r="D49" s="73" t="str">
        <f>IF(C49="","",INDEX(Tableaulistesenfants[Nom],MATCH(B49,Tableaulistesenfants[Séquence10],0),))</f>
        <v/>
      </c>
      <c r="E49" s="73" t="str">
        <f>IF(C49="","",INDEX(Tableaulistesenfants[Prénom],MATCH(B49,Tableaulistesenfants[Séquence10],0),))</f>
        <v/>
      </c>
      <c r="F49" s="72" t="str">
        <f>IF(C49="","",INDEX(Tableaulistesenfants[Classe],MATCH(B49,Tableaulistesenfants[Séquence10],0),))</f>
        <v/>
      </c>
      <c r="G49" s="72" t="str">
        <f>IF(C49="","",INDEX(Tableaulistesenfants[Dimanche],MATCH(B49,Tableaulistesenfants[Séquence10],0),))</f>
        <v/>
      </c>
      <c r="H49" s="74" t="str">
        <f>IF(C49="","",INDEX(Tableaulistesenfants[Mercredi],MATCH(B49,Tableaulistesenfants[Séquence10],0),))</f>
        <v/>
      </c>
      <c r="I49" s="61"/>
      <c r="J49" s="62"/>
    </row>
    <row r="50" spans="1:11" s="78" customFormat="1" ht="16.5" thickBot="1">
      <c r="A50" s="75"/>
      <c r="B50" s="75"/>
      <c r="C50" s="75"/>
      <c r="D50" s="80"/>
      <c r="E50" s="80"/>
      <c r="F50" s="81"/>
      <c r="H50" s="79"/>
      <c r="I50" s="61"/>
      <c r="J50" s="62"/>
    </row>
    <row r="51" spans="1:11" ht="15.75">
      <c r="A51" s="92"/>
      <c r="B51" s="57">
        <f>IF(ROW()-50&lt;=$K$51,ROW()-50,"")</f>
        <v>1</v>
      </c>
      <c r="C51" s="58">
        <f>IF(B51="","",$A$53)</f>
        <v>170</v>
      </c>
      <c r="D51" s="59" t="str">
        <f>IF(C51="","",INDEX(Tableaulistesenfants[Nom],MATCH(B51,Tableaulistesenfants[Séquence11],0),))</f>
        <v>BARREAU</v>
      </c>
      <c r="E51" s="59" t="str">
        <f>IF(C51="","",INDEX(Tableaulistesenfants[Prénom],MATCH(B51,Tableaulistesenfants[Séquence11],0),))</f>
        <v>Pauline</v>
      </c>
      <c r="F51" s="58" t="str">
        <f>IF(C51="","",INDEX(Tableaulistesenfants[Classe],MATCH(B51,Tableaulistesenfants[Séquence11],0),))</f>
        <v>1e STAV</v>
      </c>
      <c r="G51" s="58" t="b">
        <f>IF(C51="","",INDEX(Tableaulistesenfants[Dimanche],MATCH(B51,Tableaulistesenfants[Séquence11],0),))</f>
        <v>0</v>
      </c>
      <c r="H51" s="60" t="b">
        <f>IF(C51="","",INDEX(Tableaulistesenfants[Mercredi],MATCH(B51,Tableaulistesenfants[Séquence11],0),))</f>
        <v>0</v>
      </c>
      <c r="I51" s="61"/>
      <c r="J51" s="62"/>
      <c r="K51" s="63">
        <f>SUM(Tableaulistesenfants[Occurrence10])</f>
        <v>5</v>
      </c>
    </row>
    <row r="52" spans="1:11" ht="15.75">
      <c r="A52" s="93"/>
      <c r="B52" s="65">
        <f>IF(ROW()-50&lt;=$K$51,ROW()-50,"")</f>
        <v>2</v>
      </c>
      <c r="C52" s="66">
        <f>IF(B52="","",$A$53)</f>
        <v>170</v>
      </c>
      <c r="D52" s="67" t="str">
        <f>IF(C52="","",INDEX(Tableaulistesenfants[Nom],MATCH(B52,Tableaulistesenfants[Séquence11],0),))</f>
        <v>DE SOUZA</v>
      </c>
      <c r="E52" s="67" t="str">
        <f>IF(C52="","",INDEX(Tableaulistesenfants[Prénom],MATCH(B52,Tableaulistesenfants[Séquence11],0),))</f>
        <v>Jade</v>
      </c>
      <c r="F52" s="66" t="str">
        <f>IF(C52="","",INDEX(Tableaulistesenfants[Classe],MATCH(B52,Tableaulistesenfants[Séquence11],0),))</f>
        <v>1e CF</v>
      </c>
      <c r="G52" s="66" t="b">
        <f>IF(C52="","",INDEX(Tableaulistesenfants[Dimanche],MATCH(B52,Tableaulistesenfants[Séquence11],0),))</f>
        <v>0</v>
      </c>
      <c r="H52" s="68" t="b">
        <f>IF(C52="","",INDEX(Tableaulistesenfants[Mercredi],MATCH(B52,Tableaulistesenfants[Séquence11],0),))</f>
        <v>0</v>
      </c>
      <c r="I52" s="61"/>
      <c r="J52" s="62"/>
    </row>
    <row r="53" spans="1:11" ht="15.75">
      <c r="A53" s="93">
        <v>170</v>
      </c>
      <c r="B53" s="65">
        <f>IF(ROW()-50&lt;=$K$51,ROW()-50,"")</f>
        <v>3</v>
      </c>
      <c r="C53" s="66">
        <f>IF(B53="","",$A$53)</f>
        <v>170</v>
      </c>
      <c r="D53" s="67" t="str">
        <f>IF(C53="","",INDEX(Tableaulistesenfants[Nom],MATCH(B53,Tableaulistesenfants[Séquence11],0),))</f>
        <v>PEYRILLES</v>
      </c>
      <c r="E53" s="67" t="str">
        <f>IF(C53="","",INDEX(Tableaulistesenfants[Prénom],MATCH(B53,Tableaulistesenfants[Séquence11],0),))</f>
        <v>Maeliss</v>
      </c>
      <c r="F53" s="66" t="str">
        <f>IF(C53="","",INDEX(Tableaulistesenfants[Classe],MATCH(B53,Tableaulistesenfants[Séquence11],0),))</f>
        <v>1e STAV</v>
      </c>
      <c r="G53" s="66" t="b">
        <f>IF(C53="","",INDEX(Tableaulistesenfants[Dimanche],MATCH(B53,Tableaulistesenfants[Séquence11],0),))</f>
        <v>0</v>
      </c>
      <c r="H53" s="68" t="b">
        <f>IF(C53="","",INDEX(Tableaulistesenfants[Mercredi],MATCH(B53,Tableaulistesenfants[Séquence11],0),))</f>
        <v>0</v>
      </c>
      <c r="I53" s="61"/>
      <c r="J53" s="62"/>
    </row>
    <row r="54" spans="1:11" ht="15.75">
      <c r="A54" s="93"/>
      <c r="B54" s="65">
        <f>IF(ROW()-50&lt;=$K$51,ROW()-50,"")</f>
        <v>4</v>
      </c>
      <c r="C54" s="66">
        <f>IF(B54="","",$A$53)</f>
        <v>170</v>
      </c>
      <c r="D54" s="67" t="str">
        <f>IF(C54="","",INDEX(Tableaulistesenfants[Nom],MATCH(B54,Tableaulistesenfants[Séquence11],0),))</f>
        <v>PUECH</v>
      </c>
      <c r="E54" s="67" t="str">
        <f>IF(C54="","",INDEX(Tableaulistesenfants[Prénom],MATCH(B54,Tableaulistesenfants[Séquence11],0),))</f>
        <v>Laetitia</v>
      </c>
      <c r="F54" s="66" t="str">
        <f>IF(C54="","",INDEX(Tableaulistesenfants[Classe],MATCH(B54,Tableaulistesenfants[Séquence11],0),))</f>
        <v>1e STAV</v>
      </c>
      <c r="G54" s="66" t="b">
        <f>IF(C54="","",INDEX(Tableaulistesenfants[Dimanche],MATCH(B54,Tableaulistesenfants[Séquence11],0),))</f>
        <v>0</v>
      </c>
      <c r="H54" s="68" t="b">
        <f>IF(C54="","",INDEX(Tableaulistesenfants[Mercredi],MATCH(B54,Tableaulistesenfants[Séquence11],0),))</f>
        <v>0</v>
      </c>
      <c r="I54" s="61"/>
      <c r="J54" s="62"/>
    </row>
    <row r="55" spans="1:11" ht="16.5" thickBot="1">
      <c r="A55" s="94"/>
      <c r="B55" s="71">
        <f>IF(ROW()-50&lt;=$K$51,ROW()-50,"")</f>
        <v>5</v>
      </c>
      <c r="C55" s="72">
        <f>IF(B55="","",$A$53)</f>
        <v>170</v>
      </c>
      <c r="D55" s="73" t="str">
        <f>IF(C55="","",INDEX(Tableaulistesenfants[Nom],MATCH(B55,Tableaulistesenfants[Séquence11],0),))</f>
        <v>THAMIE</v>
      </c>
      <c r="E55" s="73" t="str">
        <f>IF(C55="","",INDEX(Tableaulistesenfants[Prénom],MATCH(B55,Tableaulistesenfants[Séquence11],0),))</f>
        <v>Flavie</v>
      </c>
      <c r="F55" s="72" t="str">
        <f>IF(C55="","",INDEX(Tableaulistesenfants[Classe],MATCH(B55,Tableaulistesenfants[Séquence11],0),))</f>
        <v>1e STAV</v>
      </c>
      <c r="G55" s="72" t="b">
        <f>IF(C55="","",INDEX(Tableaulistesenfants[Dimanche],MATCH(B55,Tableaulistesenfants[Séquence11],0),))</f>
        <v>0</v>
      </c>
      <c r="H55" s="74" t="b">
        <f>IF(C55="","",INDEX(Tableaulistesenfants[Mercredi],MATCH(B55,Tableaulistesenfants[Séquence11],0),))</f>
        <v>0</v>
      </c>
      <c r="I55" s="61"/>
      <c r="J55" s="62"/>
    </row>
    <row r="56" spans="1:11" s="78" customFormat="1" ht="16.5" thickBot="1">
      <c r="A56" s="75"/>
      <c r="B56" s="75"/>
      <c r="C56" s="75"/>
      <c r="D56" s="80"/>
      <c r="E56" s="80"/>
      <c r="F56" s="81"/>
      <c r="H56" s="79"/>
      <c r="I56" s="61"/>
      <c r="J56" s="62"/>
    </row>
    <row r="57" spans="1:11" ht="15.75">
      <c r="A57" s="82"/>
      <c r="B57" s="57">
        <f>IF(ROW()-56&lt;=$K$57,ROW()-56,"")</f>
        <v>1</v>
      </c>
      <c r="C57" s="58">
        <f>IF(B57="","",$A$59)</f>
        <v>163</v>
      </c>
      <c r="D57" s="59" t="str">
        <f>IF(C57="","",INDEX(Tableaulistesenfants[Nom],MATCH(B57,Tableaulistesenfants[Séquence12],0),))</f>
        <v>DUPUIS</v>
      </c>
      <c r="E57" s="59" t="str">
        <f>IF(C57="","",INDEX(Tableaulistesenfants[Prénom],MATCH(B57,Tableaulistesenfants[Séquence12],0),))</f>
        <v>Coralie</v>
      </c>
      <c r="F57" s="58" t="str">
        <f>IF(C57="","",INDEX(Tableaulistesenfants[Classe],MATCH(B57,Tableaulistesenfants[Séquence12],0),))</f>
        <v>Term TCVA</v>
      </c>
      <c r="G57" s="58" t="b">
        <f>IF(C57="","",INDEX(Tableaulistesenfants[Dimanche],MATCH(B57,Tableaulistesenfants[Séquence12],0),))</f>
        <v>1</v>
      </c>
      <c r="H57" s="60" t="b">
        <f>IF(C57="","",INDEX(Tableaulistesenfants[Mercredi],MATCH(B57,Tableaulistesenfants[Séquence12],0),))</f>
        <v>0</v>
      </c>
      <c r="I57" s="61"/>
      <c r="J57" s="62"/>
      <c r="K57" s="63">
        <f>SUM(Tableaulistesenfants[Occurrence11])</f>
        <v>4</v>
      </c>
    </row>
    <row r="58" spans="1:11" ht="15.75">
      <c r="A58" s="69"/>
      <c r="B58" s="65">
        <f>IF(ROW()-56&lt;=$K$57,ROW()-56,"")</f>
        <v>2</v>
      </c>
      <c r="C58" s="66">
        <f>IF(B58="","",$A$59)</f>
        <v>163</v>
      </c>
      <c r="D58" s="67" t="str">
        <f>IF(C58="","",INDEX(Tableaulistesenfants[Nom],MATCH(B58,Tableaulistesenfants[Séquence12],0),))</f>
        <v>FAVRE</v>
      </c>
      <c r="E58" s="67" t="str">
        <f>IF(C58="","",INDEX(Tableaulistesenfants[Prénom],MATCH(B58,Tableaulistesenfants[Séquence12],0),))</f>
        <v>Gwendoline</v>
      </c>
      <c r="F58" s="66" t="str">
        <f>IF(C58="","",INDEX(Tableaulistesenfants[Classe],MATCH(B58,Tableaulistesenfants[Séquence12],0),))</f>
        <v>Term CF</v>
      </c>
      <c r="G58" s="66" t="b">
        <f>IF(C58="","",INDEX(Tableaulistesenfants[Dimanche],MATCH(B58,Tableaulistesenfants[Séquence12],0),))</f>
        <v>0</v>
      </c>
      <c r="H58" s="68" t="b">
        <f>IF(C58="","",INDEX(Tableaulistesenfants[Mercredi],MATCH(B58,Tableaulistesenfants[Séquence12],0),))</f>
        <v>0</v>
      </c>
      <c r="I58" s="61"/>
      <c r="J58" s="62"/>
    </row>
    <row r="59" spans="1:11" ht="15.75">
      <c r="A59" s="69">
        <v>163</v>
      </c>
      <c r="B59" s="65">
        <f>IF(ROW()-56&lt;=$K$57,ROW()-56,"")</f>
        <v>3</v>
      </c>
      <c r="C59" s="66">
        <f>IF(B59="","",$A$59)</f>
        <v>163</v>
      </c>
      <c r="D59" s="67" t="str">
        <f>IF(C59="","",INDEX(Tableaulistesenfants[Nom],MATCH(B59,Tableaulistesenfants[Séquence12],0),))</f>
        <v>REVEL</v>
      </c>
      <c r="E59" s="67" t="str">
        <f>IF(C59="","",INDEX(Tableaulistesenfants[Prénom],MATCH(B59,Tableaulistesenfants[Séquence12],0),))</f>
        <v>Manueva</v>
      </c>
      <c r="F59" s="66" t="str">
        <f>IF(C59="","",INDEX(Tableaulistesenfants[Classe],MATCH(B59,Tableaulistesenfants[Séquence12],0),))</f>
        <v>Term CF</v>
      </c>
      <c r="G59" s="66" t="b">
        <f>IF(C59="","",INDEX(Tableaulistesenfants[Dimanche],MATCH(B59,Tableaulistesenfants[Séquence12],0),))</f>
        <v>0</v>
      </c>
      <c r="H59" s="68" t="b">
        <f>IF(C59="","",INDEX(Tableaulistesenfants[Mercredi],MATCH(B59,Tableaulistesenfants[Séquence12],0),))</f>
        <v>0</v>
      </c>
      <c r="I59" s="61"/>
      <c r="J59" s="62"/>
    </row>
    <row r="60" spans="1:11" ht="15.75">
      <c r="A60" s="69"/>
      <c r="B60" s="65">
        <f>IF(ROW()-56&lt;=$K$57,ROW()-56,"")</f>
        <v>4</v>
      </c>
      <c r="C60" s="66">
        <f>IF(B60="","",$A$59)</f>
        <v>163</v>
      </c>
      <c r="D60" s="67" t="str">
        <f>IF(C60="","",INDEX(Tableaulistesenfants[Nom],MATCH(B60,Tableaulistesenfants[Séquence12],0),))</f>
        <v>RIBOT</v>
      </c>
      <c r="E60" s="67" t="str">
        <f>IF(C60="","",INDEX(Tableaulistesenfants[Prénom],MATCH(B60,Tableaulistesenfants[Séquence12],0),))</f>
        <v>Gwenaelle</v>
      </c>
      <c r="F60" s="66" t="str">
        <f>IF(C60="","",INDEX(Tableaulistesenfants[Classe],MATCH(B60,Tableaulistesenfants[Séquence12],0),))</f>
        <v>Term TCVA</v>
      </c>
      <c r="G60" s="66" t="b">
        <f>IF(C60="","",INDEX(Tableaulistesenfants[Dimanche],MATCH(B60,Tableaulistesenfants[Séquence12],0),))</f>
        <v>1</v>
      </c>
      <c r="H60" s="68" t="b">
        <f>IF(C60="","",INDEX(Tableaulistesenfants[Mercredi],MATCH(B60,Tableaulistesenfants[Séquence12],0),))</f>
        <v>0</v>
      </c>
      <c r="I60" s="61"/>
      <c r="J60" s="62"/>
    </row>
    <row r="61" spans="1:11" ht="16.5" thickBot="1">
      <c r="A61" s="83"/>
      <c r="B61" s="71" t="str">
        <f>IF(ROW()-56&lt;=$K$57,ROW()-56,"")</f>
        <v/>
      </c>
      <c r="C61" s="72" t="str">
        <f>IF(B61="","",$A$59)</f>
        <v/>
      </c>
      <c r="D61" s="73" t="str">
        <f>IF(C61="","",INDEX(Tableaulistesenfants[Nom],MATCH(B61,Tableaulistesenfants[Séquence12],0),))</f>
        <v/>
      </c>
      <c r="E61" s="73" t="str">
        <f>IF(C61="","",INDEX(Tableaulistesenfants[Prénom],MATCH(B61,Tableaulistesenfants[Séquence12],0),))</f>
        <v/>
      </c>
      <c r="F61" s="72" t="str">
        <f>IF(C61="","",INDEX(Tableaulistesenfants[Classe],MATCH(B61,Tableaulistesenfants[Séquence12],0),))</f>
        <v/>
      </c>
      <c r="G61" s="72" t="str">
        <f>IF(C61="","",INDEX(Tableaulistesenfants[Dimanche],MATCH(B61,Tableaulistesenfants[Séquence12],0),))</f>
        <v/>
      </c>
      <c r="H61" s="74" t="str">
        <f>IF(C61="","",INDEX(Tableaulistesenfants[Mercredi],MATCH(B61,Tableaulistesenfants[Séquence12],0),))</f>
        <v/>
      </c>
      <c r="I61" s="61"/>
      <c r="J61" s="62"/>
    </row>
    <row r="62" spans="1:11" s="78" customFormat="1" ht="16.5" thickBot="1">
      <c r="A62" s="75"/>
      <c r="B62" s="75"/>
      <c r="C62" s="75"/>
      <c r="D62" s="80"/>
      <c r="E62" s="80"/>
      <c r="F62" s="81"/>
      <c r="H62" s="79"/>
      <c r="I62" s="61"/>
      <c r="J62" s="62"/>
    </row>
    <row r="63" spans="1:11" ht="15.75">
      <c r="A63" s="82"/>
      <c r="B63" s="57">
        <f>IF(ROW()-62&lt;=$K$63,ROW()-62,"")</f>
        <v>1</v>
      </c>
      <c r="C63" s="58">
        <f t="shared" ref="C63:C68" si="0">IF(B63="","",$A$65)</f>
        <v>172</v>
      </c>
      <c r="D63" s="59" t="str">
        <f>IF(C63="","",INDEX(Tableaulistesenfants[Nom],MATCH(B63,Tableaulistesenfants[Séquence13],0),))</f>
        <v>BERARD</v>
      </c>
      <c r="E63" s="59" t="str">
        <f>IF(C63="","",INDEX(Tableaulistesenfants[Prénom],MATCH(B63,Tableaulistesenfants[Séquence13],0),))</f>
        <v>Mélanie</v>
      </c>
      <c r="F63" s="58" t="str">
        <f>IF(C63="","",INDEX(Tableaulistesenfants[Classe],MATCH(B63,Tableaulistesenfants[Séquence13],0),))</f>
        <v>Term CGEA</v>
      </c>
      <c r="G63" s="58" t="b">
        <f>IF(C63="","",INDEX(Tableaulistesenfants[Dimanche],MATCH(B63,Tableaulistesenfants[Séquence13],0),))</f>
        <v>1</v>
      </c>
      <c r="H63" s="60" t="b">
        <f>IF(C63="","",INDEX(Tableaulistesenfants[Mercredi],MATCH(B63,Tableaulistesenfants[Séquence13],0),))</f>
        <v>0</v>
      </c>
      <c r="I63" s="61"/>
      <c r="J63" s="62"/>
      <c r="K63" s="63">
        <f>SUM(Tableaulistesenfants[Occurrence12])</f>
        <v>4</v>
      </c>
    </row>
    <row r="64" spans="1:11" ht="15.75">
      <c r="A64" s="69"/>
      <c r="B64" s="65">
        <f>IF(ROW()-62&lt;=$K$63,ROW()-62,"")</f>
        <v>2</v>
      </c>
      <c r="C64" s="66">
        <f t="shared" si="0"/>
        <v>172</v>
      </c>
      <c r="D64" s="67" t="str">
        <f>IF(C64="","",INDEX(Tableaulistesenfants[Nom],MATCH(B64,Tableaulistesenfants[Séquence13],0),))</f>
        <v>BONNET</v>
      </c>
      <c r="E64" s="67" t="str">
        <f>IF(C64="","",INDEX(Tableaulistesenfants[Prénom],MATCH(B64,Tableaulistesenfants[Séquence13],0),))</f>
        <v>Mélanie</v>
      </c>
      <c r="F64" s="66" t="str">
        <f>IF(C64="","",INDEX(Tableaulistesenfants[Classe],MATCH(B64,Tableaulistesenfants[Séquence13],0),))</f>
        <v>Term CGEA</v>
      </c>
      <c r="G64" s="66" t="b">
        <f>IF(C64="","",INDEX(Tableaulistesenfants[Dimanche],MATCH(B64,Tableaulistesenfants[Séquence13],0),))</f>
        <v>0</v>
      </c>
      <c r="H64" s="68" t="b">
        <f>IF(C64="","",INDEX(Tableaulistesenfants[Mercredi],MATCH(B64,Tableaulistesenfants[Séquence13],0),))</f>
        <v>1</v>
      </c>
      <c r="I64" s="61"/>
      <c r="J64" s="62"/>
    </row>
    <row r="65" spans="1:11" ht="15.75">
      <c r="A65" s="69">
        <v>172</v>
      </c>
      <c r="B65" s="65">
        <f>IF(ROW()-62&lt;=$K$63,ROW()-62,"")</f>
        <v>3</v>
      </c>
      <c r="C65" s="66">
        <f t="shared" si="0"/>
        <v>172</v>
      </c>
      <c r="D65" s="67" t="str">
        <f>IF(C65="","",INDEX(Tableaulistesenfants[Nom],MATCH(B65,Tableaulistesenfants[Séquence13],0),))</f>
        <v>LEGRAND</v>
      </c>
      <c r="E65" s="67" t="str">
        <f>IF(C65="","",INDEX(Tableaulistesenfants[Prénom],MATCH(B65,Tableaulistesenfants[Séquence13],0),))</f>
        <v>Eva</v>
      </c>
      <c r="F65" s="66" t="str">
        <f>IF(C65="","",INDEX(Tableaulistesenfants[Classe],MATCH(B65,Tableaulistesenfants[Séquence13],0),))</f>
        <v>1e CGEA</v>
      </c>
      <c r="G65" s="66" t="b">
        <f>IF(C65="","",INDEX(Tableaulistesenfants[Dimanche],MATCH(B65,Tableaulistesenfants[Séquence13],0),))</f>
        <v>1</v>
      </c>
      <c r="H65" s="68" t="b">
        <f>IF(C65="","",INDEX(Tableaulistesenfants[Mercredi],MATCH(B65,Tableaulistesenfants[Séquence13],0),))</f>
        <v>0</v>
      </c>
      <c r="I65" s="61"/>
      <c r="J65" s="62"/>
    </row>
    <row r="66" spans="1:11" ht="15.75">
      <c r="A66" s="69"/>
      <c r="B66" s="65">
        <f>IF(ROW()-62&lt;=$K$63,ROW()-62,"")</f>
        <v>4</v>
      </c>
      <c r="C66" s="66">
        <f t="shared" si="0"/>
        <v>172</v>
      </c>
      <c r="D66" s="67" t="str">
        <f>IF(C66="","",INDEX(Tableaulistesenfants[Nom],MATCH(B66,Tableaulistesenfants[Séquence13],0),))</f>
        <v>ROUMIGUIERE</v>
      </c>
      <c r="E66" s="67" t="str">
        <f>IF(C66="","",INDEX(Tableaulistesenfants[Prénom],MATCH(B66,Tableaulistesenfants[Séquence13],0),))</f>
        <v>Aulicia</v>
      </c>
      <c r="F66" s="66" t="str">
        <f>IF(C66="","",INDEX(Tableaulistesenfants[Classe],MATCH(B66,Tableaulistesenfants[Séquence13],0),))</f>
        <v>1e CGEA</v>
      </c>
      <c r="G66" s="66" t="b">
        <f>IF(C66="","",INDEX(Tableaulistesenfants[Dimanche],MATCH(B66,Tableaulistesenfants[Séquence13],0),))</f>
        <v>0</v>
      </c>
      <c r="H66" s="68" t="b">
        <f>IF(C66="","",INDEX(Tableaulistesenfants[Mercredi],MATCH(B66,Tableaulistesenfants[Séquence13],0),))</f>
        <v>0</v>
      </c>
      <c r="I66" s="61"/>
      <c r="J66" s="62"/>
    </row>
    <row r="67" spans="1:11" ht="16.5" thickBot="1">
      <c r="A67" s="83"/>
      <c r="B67" s="71" t="str">
        <f>IF(ROW()-62&lt;=$K$63,ROW()-62,"")</f>
        <v/>
      </c>
      <c r="C67" s="72" t="str">
        <f t="shared" si="0"/>
        <v/>
      </c>
      <c r="D67" s="73" t="str">
        <f>IF(C67="","",INDEX(Tableaulistesenfants[Nom],MATCH(B67,Tableaulistesenfants[Séquence13],0),))</f>
        <v/>
      </c>
      <c r="E67" s="73" t="str">
        <f>IF(C67="","",INDEX(Tableaulistesenfants[Prénom],MATCH(B67,Tableaulistesenfants[Séquence13],0),))</f>
        <v/>
      </c>
      <c r="F67" s="72" t="str">
        <f>IF(C67="","",INDEX(Tableaulistesenfants[Classe],MATCH(B67,Tableaulistesenfants[Séquence13],0),))</f>
        <v/>
      </c>
      <c r="G67" s="72" t="str">
        <f>IF(C67="","",INDEX(Tableaulistesenfants[Dimanche],MATCH(B67,Tableaulistesenfants[Séquence13],0),))</f>
        <v/>
      </c>
      <c r="H67" s="74" t="str">
        <f>IF(C67="","",INDEX(Tableaulistesenfants[Mercredi],MATCH(B67,Tableaulistesenfants[Séquence13],0),))</f>
        <v/>
      </c>
      <c r="I67" s="61"/>
      <c r="J67" s="62"/>
    </row>
    <row r="68" spans="1:11" s="78" customFormat="1" ht="16.5" thickBot="1">
      <c r="A68" s="75"/>
      <c r="B68" s="75"/>
      <c r="C68" s="90" t="str">
        <f t="shared" si="0"/>
        <v/>
      </c>
      <c r="D68" s="91" t="str">
        <f>IF(C68="","",INDEX(Tableaulistesenfants[Nom],MATCH(B68,Tableaulistesenfants[Séquence13],0),))</f>
        <v/>
      </c>
      <c r="E68" s="91" t="str">
        <f>IF(C68="","",INDEX(Tableaulistesenfants[Prénom],MATCH(B68,Tableaulistesenfants[Séquence13],0),))</f>
        <v/>
      </c>
      <c r="F68" s="90" t="str">
        <f>IF(C68="","",INDEX(Tableaulistesenfants[Classe],MATCH(B68,Tableaulistesenfants[Séquence13],0),))</f>
        <v/>
      </c>
      <c r="H68" s="79"/>
      <c r="I68" s="61"/>
      <c r="J68" s="62"/>
    </row>
    <row r="69" spans="1:11" ht="15.75">
      <c r="A69" s="82"/>
      <c r="B69" s="57">
        <f>IF(ROW()-68&lt;=$K$69,ROW()-68,"")</f>
        <v>1</v>
      </c>
      <c r="C69" s="58">
        <f>IF(B69="","",$A$71)</f>
        <v>179</v>
      </c>
      <c r="D69" s="59" t="str">
        <f>IF(C69="","",INDEX(Tableaulistesenfants[Nom],MATCH(B69,Tableaulistesenfants[Séquence14],0),))</f>
        <v>AVET</v>
      </c>
      <c r="E69" s="59" t="str">
        <f>IF(C69="","",INDEX(Tableaulistesenfants[Prénom],MATCH(B69,Tableaulistesenfants[Séquence14],0),))</f>
        <v>Eleane</v>
      </c>
      <c r="F69" s="58" t="str">
        <f>IF(C69="","",INDEX(Tableaulistesenfants[Classe],MATCH(B69,Tableaulistesenfants[Séquence14],0),))</f>
        <v>Term TCVA</v>
      </c>
      <c r="G69" s="58" t="b">
        <f>IF(C69="","",INDEX(Tableaulistesenfants[Dimanche],MATCH(B69,Tableaulistesenfants[Séquence14],0),))</f>
        <v>1</v>
      </c>
      <c r="H69" s="60" t="b">
        <f>IF(C69="","",INDEX(Tableaulistesenfants[Mercredi],MATCH(B69,Tableaulistesenfants[Séquence14],0),))</f>
        <v>0</v>
      </c>
      <c r="I69" s="61"/>
      <c r="J69" s="62"/>
      <c r="K69" s="63">
        <f>SUM(Tableaulistesenfants[Occurrence13])</f>
        <v>4</v>
      </c>
    </row>
    <row r="70" spans="1:11" ht="15.75">
      <c r="A70" s="69"/>
      <c r="B70" s="65">
        <f>IF(ROW()-68&lt;=$K$69,ROW()-68,"")</f>
        <v>2</v>
      </c>
      <c r="C70" s="66">
        <f>IF(B70="","",$A$71)</f>
        <v>179</v>
      </c>
      <c r="D70" s="67" t="str">
        <f>IF(C70="","",INDEX(Tableaulistesenfants[Nom],MATCH(B70,Tableaulistesenfants[Séquence14],0),))</f>
        <v>CARRY</v>
      </c>
      <c r="E70" s="67" t="str">
        <f>IF(C70="","",INDEX(Tableaulistesenfants[Prénom],MATCH(B70,Tableaulistesenfants[Séquence14],0),))</f>
        <v>Clémence</v>
      </c>
      <c r="F70" s="66" t="str">
        <f>IF(C70="","",INDEX(Tableaulistesenfants[Classe],MATCH(B70,Tableaulistesenfants[Séquence14],0),))</f>
        <v>Term CF</v>
      </c>
      <c r="G70" s="66" t="b">
        <f>IF(C70="","",INDEX(Tableaulistesenfants[Dimanche],MATCH(B70,Tableaulistesenfants[Séquence14],0),))</f>
        <v>1</v>
      </c>
      <c r="H70" s="68" t="b">
        <f>IF(C70="","",INDEX(Tableaulistesenfants[Mercredi],MATCH(B70,Tableaulistesenfants[Séquence14],0),))</f>
        <v>0</v>
      </c>
      <c r="I70" s="61"/>
      <c r="J70" s="62"/>
    </row>
    <row r="71" spans="1:11" ht="15.75">
      <c r="A71" s="69">
        <v>179</v>
      </c>
      <c r="B71" s="65">
        <f>IF(ROW()-68&lt;=$K$69,ROW()-68,"")</f>
        <v>3</v>
      </c>
      <c r="C71" s="66">
        <f>IF(B71="","",$A$71)</f>
        <v>179</v>
      </c>
      <c r="D71" s="67" t="str">
        <f>IF(C71="","",INDEX(Tableaulistesenfants[Nom],MATCH(B71,Tableaulistesenfants[Séquence14],0),))</f>
        <v>LACOSTE</v>
      </c>
      <c r="E71" s="67" t="str">
        <f>IF(C71="","",INDEX(Tableaulistesenfants[Prénom],MATCH(B71,Tableaulistesenfants[Séquence14],0),))</f>
        <v>Marion</v>
      </c>
      <c r="F71" s="66" t="str">
        <f>IF(C71="","",INDEX(Tableaulistesenfants[Classe],MATCH(B71,Tableaulistesenfants[Séquence14],0),))</f>
        <v>Term STAV</v>
      </c>
      <c r="G71" s="66" t="b">
        <f>IF(C71="","",INDEX(Tableaulistesenfants[Dimanche],MATCH(B71,Tableaulistesenfants[Séquence14],0),))</f>
        <v>0</v>
      </c>
      <c r="H71" s="68" t="b">
        <f>IF(C71="","",INDEX(Tableaulistesenfants[Mercredi],MATCH(B71,Tableaulistesenfants[Séquence14],0),))</f>
        <v>0</v>
      </c>
      <c r="I71" s="61"/>
      <c r="J71" s="62"/>
    </row>
    <row r="72" spans="1:11" ht="15.75">
      <c r="A72" s="69"/>
      <c r="B72" s="65">
        <f>IF(ROW()-68&lt;=$K$69,ROW()-68,"")</f>
        <v>4</v>
      </c>
      <c r="C72" s="66">
        <f>IF(B72="","",$A$71)</f>
        <v>179</v>
      </c>
      <c r="D72" s="67" t="str">
        <f>IF(C72="","",INDEX(Tableaulistesenfants[Nom],MATCH(B72,Tableaulistesenfants[Séquence14],0),))</f>
        <v>RAMADIER</v>
      </c>
      <c r="E72" s="67" t="str">
        <f>IF(C72="","",INDEX(Tableaulistesenfants[Prénom],MATCH(B72,Tableaulistesenfants[Séquence14],0),))</f>
        <v>Manon</v>
      </c>
      <c r="F72" s="66" t="str">
        <f>IF(C72="","",INDEX(Tableaulistesenfants[Classe],MATCH(B72,Tableaulistesenfants[Séquence14],0),))</f>
        <v>1e STAV</v>
      </c>
      <c r="G72" s="66" t="b">
        <f>IF(C72="","",INDEX(Tableaulistesenfants[Dimanche],MATCH(B72,Tableaulistesenfants[Séquence14],0),))</f>
        <v>1</v>
      </c>
      <c r="H72" s="68" t="b">
        <f>IF(C72="","",INDEX(Tableaulistesenfants[Mercredi],MATCH(B72,Tableaulistesenfants[Séquence14],0),))</f>
        <v>0</v>
      </c>
      <c r="I72" s="61"/>
      <c r="J72" s="62"/>
    </row>
    <row r="73" spans="1:11" ht="16.5" thickBot="1">
      <c r="A73" s="83"/>
      <c r="B73" s="71" t="str">
        <f>IF(ROW()-68&lt;=$K$69,ROW()-68,"")</f>
        <v/>
      </c>
      <c r="C73" s="72" t="str">
        <f>IF(B73="","",$A$71)</f>
        <v/>
      </c>
      <c r="D73" s="73" t="str">
        <f>IF(C73="","",INDEX(Tableaulistesenfants[Nom],MATCH(B73,Tableaulistesenfants[Séquence14],0),))</f>
        <v/>
      </c>
      <c r="E73" s="73" t="str">
        <f>IF(C73="","",INDEX(Tableaulistesenfants[Prénom],MATCH(B73,Tableaulistesenfants[Séquence14],0),))</f>
        <v/>
      </c>
      <c r="F73" s="72" t="str">
        <f>IF(C73="","",INDEX(Tableaulistesenfants[Classe],MATCH(B73,Tableaulistesenfants[Séquence14],0),))</f>
        <v/>
      </c>
      <c r="G73" s="72" t="str">
        <f>IF(C73="","",INDEX(Tableaulistesenfants[Dimanche],MATCH(B73,Tableaulistesenfants[Séquence14],0),))</f>
        <v/>
      </c>
      <c r="H73" s="74" t="str">
        <f>IF(C73="","",INDEX(Tableaulistesenfants[Mercredi],MATCH(B73,Tableaulistesenfants[Séquence14],0),))</f>
        <v/>
      </c>
      <c r="I73" s="61"/>
      <c r="J73" s="62"/>
    </row>
    <row r="74" spans="1:11" s="78" customFormat="1" ht="16.5" thickBot="1">
      <c r="A74" s="75"/>
      <c r="B74" s="75"/>
      <c r="C74" s="75"/>
      <c r="D74" s="80"/>
      <c r="E74" s="80"/>
      <c r="F74" s="81"/>
      <c r="H74" s="79"/>
      <c r="I74" s="61"/>
      <c r="J74" s="62"/>
    </row>
    <row r="75" spans="1:11" ht="15.75">
      <c r="A75" s="82"/>
      <c r="B75" s="57">
        <f>IF(ROW()-74&lt;=$K$75,ROW()-74,"")</f>
        <v>1</v>
      </c>
      <c r="C75" s="58">
        <f>IF(B75="","",$A$77)</f>
        <v>178</v>
      </c>
      <c r="D75" s="59" t="str">
        <f>IF(C75="","",INDEX(Tableaulistesenfants[Nom],MATCH(B75,Tableaulistesenfants[Séquence15],0),))</f>
        <v>BONNEFON</v>
      </c>
      <c r="E75" s="59" t="str">
        <f>IF(C75="","",INDEX(Tableaulistesenfants[Prénom],MATCH(B75,Tableaulistesenfants[Séquence15],0),))</f>
        <v>Auriane</v>
      </c>
      <c r="F75" s="58" t="str">
        <f>IF(C75="","",INDEX(Tableaulistesenfants[Classe],MATCH(B75,Tableaulistesenfants[Séquence15],0),))</f>
        <v>Term STAV</v>
      </c>
      <c r="G75" s="58" t="b">
        <f>IF(C75="","",INDEX(Tableaulistesenfants[Dimanche],MATCH(B75,Tableaulistesenfants[Séquence15],0),))</f>
        <v>0</v>
      </c>
      <c r="H75" s="60" t="b">
        <f>IF(C75="","",INDEX(Tableaulistesenfants[Mercredi],MATCH(B75,Tableaulistesenfants[Séquence15],0),))</f>
        <v>0</v>
      </c>
      <c r="I75" s="61"/>
      <c r="J75" s="62"/>
      <c r="K75" s="63">
        <f>SUM(Tableaulistesenfants[Occurrence14])</f>
        <v>3</v>
      </c>
    </row>
    <row r="76" spans="1:11" ht="15.75">
      <c r="A76" s="69"/>
      <c r="B76" s="65">
        <f>IF(ROW()-74&lt;=$K$75,ROW()-74,"")</f>
        <v>2</v>
      </c>
      <c r="C76" s="66">
        <f>IF(B76="","",$A$77)</f>
        <v>178</v>
      </c>
      <c r="D76" s="67" t="str">
        <f>IF(C76="","",INDEX(Tableaulistesenfants[Nom],MATCH(B76,Tableaulistesenfants[Séquence15],0),))</f>
        <v>LEON-DUFOUR</v>
      </c>
      <c r="E76" s="67" t="str">
        <f>IF(C76="","",INDEX(Tableaulistesenfants[Prénom],MATCH(B76,Tableaulistesenfants[Séquence15],0),))</f>
        <v>Clarisse</v>
      </c>
      <c r="F76" s="66" t="str">
        <f>IF(C76="","",INDEX(Tableaulistesenfants[Classe],MATCH(B76,Tableaulistesenfants[Séquence15],0),))</f>
        <v>1e TCVA</v>
      </c>
      <c r="G76" s="66" t="b">
        <f>IF(C76="","",INDEX(Tableaulistesenfants[Dimanche],MATCH(B76,Tableaulistesenfants[Séquence15],0),))</f>
        <v>1</v>
      </c>
      <c r="H76" s="68" t="b">
        <f>IF(C76="","",INDEX(Tableaulistesenfants[Mercredi],MATCH(B76,Tableaulistesenfants[Séquence15],0),))</f>
        <v>0</v>
      </c>
      <c r="I76" s="61"/>
      <c r="J76" s="62"/>
    </row>
    <row r="77" spans="1:11" ht="15.75">
      <c r="A77" s="69">
        <v>178</v>
      </c>
      <c r="B77" s="65">
        <f>IF(ROW()-74&lt;=$K$75,ROW()-74,"")</f>
        <v>3</v>
      </c>
      <c r="C77" s="66">
        <f>IF(B77="","",$A$77)</f>
        <v>178</v>
      </c>
      <c r="D77" s="67" t="str">
        <f>IF(C77="","",INDEX(Tableaulistesenfants[Nom],MATCH(B77,Tableaulistesenfants[Séquence15],0),))</f>
        <v>MALET</v>
      </c>
      <c r="E77" s="67" t="str">
        <f>IF(C77="","",INDEX(Tableaulistesenfants[Prénom],MATCH(B77,Tableaulistesenfants[Séquence15],0),))</f>
        <v>Alexandra</v>
      </c>
      <c r="F77" s="66" t="str">
        <f>IF(C77="","",INDEX(Tableaulistesenfants[Classe],MATCH(B77,Tableaulistesenfants[Séquence15],0),))</f>
        <v>2e TCVA</v>
      </c>
      <c r="G77" s="66" t="b">
        <f>IF(C77="","",INDEX(Tableaulistesenfants[Dimanche],MATCH(B77,Tableaulistesenfants[Séquence15],0),))</f>
        <v>0</v>
      </c>
      <c r="H77" s="68" t="b">
        <f>IF(C77="","",INDEX(Tableaulistesenfants[Mercredi],MATCH(B77,Tableaulistesenfants[Séquence15],0),))</f>
        <v>0</v>
      </c>
      <c r="I77" s="61"/>
      <c r="J77" s="62"/>
    </row>
    <row r="78" spans="1:11" ht="15.75">
      <c r="A78" s="69"/>
      <c r="B78" s="65" t="str">
        <f>IF(ROW()-74&lt;=$K$75,ROW()-74,"")</f>
        <v/>
      </c>
      <c r="C78" s="66" t="str">
        <f>IF(B78="","",$A$77)</f>
        <v/>
      </c>
      <c r="D78" s="67" t="str">
        <f>IF(C78="","",INDEX(Tableaulistesenfants[Nom],MATCH(B78,Tableaulistesenfants[Séquence15],0),))</f>
        <v/>
      </c>
      <c r="E78" s="67" t="str">
        <f>IF(C78="","",INDEX(Tableaulistesenfants[Prénom],MATCH(B78,Tableaulistesenfants[Séquence15],0),))</f>
        <v/>
      </c>
      <c r="F78" s="66" t="str">
        <f>IF(C78="","",INDEX(Tableaulistesenfants[Classe],MATCH(B78,Tableaulistesenfants[Séquence15],0),))</f>
        <v/>
      </c>
      <c r="G78" s="66" t="str">
        <f>IF(C78="","",INDEX(Tableaulistesenfants[Dimanche],MATCH(B78,Tableaulistesenfants[Séquence15],0),))</f>
        <v/>
      </c>
      <c r="H78" s="68" t="str">
        <f>IF(C78="","",INDEX(Tableaulistesenfants[Mercredi],MATCH(B78,Tableaulistesenfants[Séquence15],0),))</f>
        <v/>
      </c>
      <c r="I78" s="61"/>
      <c r="J78" s="62"/>
    </row>
    <row r="79" spans="1:11" ht="16.5" thickBot="1">
      <c r="A79" s="83"/>
      <c r="B79" s="71" t="str">
        <f>IF(ROW()-74&lt;=$K$75,ROW()-74,"")</f>
        <v/>
      </c>
      <c r="C79" s="72" t="str">
        <f>IF(B79="","",$A$77)</f>
        <v/>
      </c>
      <c r="D79" s="73" t="str">
        <f>IF(C79="","",INDEX(Tableaulistesenfants[Nom],MATCH(B79,Tableaulistesenfants[Séquence15],0),))</f>
        <v/>
      </c>
      <c r="E79" s="73" t="str">
        <f>IF(C79="","",INDEX(Tableaulistesenfants[Prénom],MATCH(B79,Tableaulistesenfants[Séquence15],0),))</f>
        <v/>
      </c>
      <c r="F79" s="72" t="str">
        <f>IF(C79="","",INDEX(Tableaulistesenfants[Classe],MATCH(B79,Tableaulistesenfants[Séquence15],0),))</f>
        <v/>
      </c>
      <c r="G79" s="72" t="str">
        <f>IF(C79="","",INDEX(Tableaulistesenfants[Dimanche],MATCH(B79,Tableaulistesenfants[Séquence15],0),))</f>
        <v/>
      </c>
      <c r="H79" s="74" t="str">
        <f>IF(C79="","",INDEX(Tableaulistesenfants[Mercredi],MATCH(B79,Tableaulistesenfants[Séquence15],0),))</f>
        <v/>
      </c>
      <c r="I79" s="61"/>
      <c r="J79" s="62"/>
    </row>
    <row r="80" spans="1:11" s="78" customFormat="1" ht="16.5" thickBot="1">
      <c r="A80" s="75"/>
      <c r="B80" s="75"/>
      <c r="C80" s="75"/>
      <c r="D80" s="80"/>
      <c r="E80" s="80"/>
      <c r="F80" s="106"/>
      <c r="H80" s="79"/>
      <c r="I80" s="61"/>
      <c r="J80" s="62"/>
    </row>
    <row r="81" spans="1:11" ht="15.75">
      <c r="A81" s="82"/>
      <c r="B81" s="57">
        <f>IF(ROW()-80&lt;=$K$81,ROW()-80,"")</f>
        <v>1</v>
      </c>
      <c r="C81" s="58">
        <f t="shared" ref="C81:C86" si="1">IF(B81="","",$A$83)</f>
        <v>177</v>
      </c>
      <c r="D81" s="59" t="str">
        <f>IF(C81="","",INDEX(Tableaulistesenfants[Nom],MATCH(B81,Tableaulistesenfants[Séquence16],0),))</f>
        <v>BOUTINON</v>
      </c>
      <c r="E81" s="59" t="str">
        <f>IF(C81="","",INDEX(Tableaulistesenfants[Prénom],MATCH(B81,Tableaulistesenfants[Séquence16],0),))</f>
        <v>Elhea</v>
      </c>
      <c r="F81" s="58" t="str">
        <f>IF(C81="","",INDEX(Tableaulistesenfants[Classe],MATCH(B81,Tableaulistesenfants[Séquence16],0),))</f>
        <v>Term STAV</v>
      </c>
      <c r="G81" s="58" t="b">
        <f>IF(C81="","",INDEX(Tableaulistesenfants[Dimanche],MATCH(B81,Tableaulistesenfants[Séquence16],0),))</f>
        <v>0</v>
      </c>
      <c r="H81" s="60" t="b">
        <f>IF(C81="","",INDEX(Tableaulistesenfants[Mercredi],MATCH(B81,Tableaulistesenfants[Séquence16],0),))</f>
        <v>0</v>
      </c>
      <c r="I81" s="61"/>
      <c r="J81" s="62"/>
      <c r="K81" s="63">
        <f>SUM(Tableaulistesenfants[Occurrence15])</f>
        <v>4</v>
      </c>
    </row>
    <row r="82" spans="1:11" ht="15.75">
      <c r="A82" s="69"/>
      <c r="B82" s="65">
        <f>IF(ROW()-80&lt;=$K$81,ROW()-80,"")</f>
        <v>2</v>
      </c>
      <c r="C82" s="66">
        <f t="shared" si="1"/>
        <v>177</v>
      </c>
      <c r="D82" s="67" t="str">
        <f>IF(C82="","",INDEX(Tableaulistesenfants[Nom],MATCH(B82,Tableaulistesenfants[Séquence16],0),))</f>
        <v>DAOUT</v>
      </c>
      <c r="E82" s="67" t="str">
        <f>IF(C82="","",INDEX(Tableaulistesenfants[Prénom],MATCH(B82,Tableaulistesenfants[Séquence16],0),))</f>
        <v>Camille</v>
      </c>
      <c r="F82" s="66" t="str">
        <f>IF(C82="","",INDEX(Tableaulistesenfants[Classe],MATCH(B82,Tableaulistesenfants[Séquence16],0),))</f>
        <v>Term CF</v>
      </c>
      <c r="G82" s="66" t="b">
        <f>IF(C82="","",INDEX(Tableaulistesenfants[Dimanche],MATCH(B82,Tableaulistesenfants[Séquence16],0),))</f>
        <v>1</v>
      </c>
      <c r="H82" s="68" t="b">
        <f>IF(C82="","",INDEX(Tableaulistesenfants[Mercredi],MATCH(B82,Tableaulistesenfants[Séquence16],0),))</f>
        <v>0</v>
      </c>
      <c r="I82" s="61"/>
      <c r="J82" s="62"/>
    </row>
    <row r="83" spans="1:11" ht="15.75">
      <c r="A83" s="69">
        <v>177</v>
      </c>
      <c r="B83" s="65">
        <f>IF(ROW()-80&lt;=$K$81,ROW()-80,"")</f>
        <v>3</v>
      </c>
      <c r="C83" s="66">
        <f t="shared" si="1"/>
        <v>177</v>
      </c>
      <c r="D83" s="67" t="str">
        <f>IF(C83="","",INDEX(Tableaulistesenfants[Nom],MATCH(B83,Tableaulistesenfants[Séquence16],0),))</f>
        <v>LAURENT</v>
      </c>
      <c r="E83" s="67" t="str">
        <f>IF(C83="","",INDEX(Tableaulistesenfants[Prénom],MATCH(B83,Tableaulistesenfants[Séquence16],0),))</f>
        <v>Margot</v>
      </c>
      <c r="F83" s="66" t="str">
        <f>IF(C83="","",INDEX(Tableaulistesenfants[Classe],MATCH(B83,Tableaulistesenfants[Séquence16],0),))</f>
        <v>Term STAV</v>
      </c>
      <c r="G83" s="66" t="b">
        <f>IF(C83="","",INDEX(Tableaulistesenfants[Dimanche],MATCH(B83,Tableaulistesenfants[Séquence16],0),))</f>
        <v>1</v>
      </c>
      <c r="H83" s="68" t="b">
        <f>IF(C83="","",INDEX(Tableaulistesenfants[Mercredi],MATCH(B83,Tableaulistesenfants[Séquence16],0),))</f>
        <v>0</v>
      </c>
      <c r="I83" s="61"/>
      <c r="J83" s="62"/>
    </row>
    <row r="84" spans="1:11" ht="15.75">
      <c r="A84" s="69"/>
      <c r="B84" s="65">
        <f>IF(ROW()-80&lt;=$K$81,ROW()-80,"")</f>
        <v>4</v>
      </c>
      <c r="C84" s="66">
        <f t="shared" si="1"/>
        <v>177</v>
      </c>
      <c r="D84" s="67" t="str">
        <f>IF(C84="","",INDEX(Tableaulistesenfants[Nom],MATCH(B84,Tableaulistesenfants[Séquence16],0),))</f>
        <v>SELEBRAN</v>
      </c>
      <c r="E84" s="67" t="str">
        <f>IF(C84="","",INDEX(Tableaulistesenfants[Prénom],MATCH(B84,Tableaulistesenfants[Séquence16],0),))</f>
        <v>Naïs</v>
      </c>
      <c r="F84" s="66" t="str">
        <f>IF(C84="","",INDEX(Tableaulistesenfants[Classe],MATCH(B84,Tableaulistesenfants[Séquence16],0),))</f>
        <v>Term STAV</v>
      </c>
      <c r="G84" s="66" t="b">
        <f>IF(C84="","",INDEX(Tableaulistesenfants[Dimanche],MATCH(B84,Tableaulistesenfants[Séquence16],0),))</f>
        <v>0</v>
      </c>
      <c r="H84" s="68" t="b">
        <f>IF(C84="","",INDEX(Tableaulistesenfants[Mercredi],MATCH(B84,Tableaulistesenfants[Séquence16],0),))</f>
        <v>0</v>
      </c>
      <c r="I84" s="61"/>
      <c r="J84" s="62"/>
    </row>
    <row r="85" spans="1:11" ht="16.5" thickBot="1">
      <c r="A85" s="83"/>
      <c r="B85" s="71" t="str">
        <f>IF(ROW()-80&lt;=$K$81,ROW()-80,"")</f>
        <v/>
      </c>
      <c r="C85" s="72" t="str">
        <f t="shared" si="1"/>
        <v/>
      </c>
      <c r="D85" s="73" t="str">
        <f>IF(C85="","",INDEX(Tableaulistesenfants[Nom],MATCH(B85,Tableaulistesenfants[Séquence16],0),))</f>
        <v/>
      </c>
      <c r="E85" s="73" t="str">
        <f>IF(C85="","",INDEX(Tableaulistesenfants[Prénom],MATCH(B85,Tableaulistesenfants[Séquence16],0),))</f>
        <v/>
      </c>
      <c r="F85" s="72" t="str">
        <f>IF(C85="","",INDEX(Tableaulistesenfants[Classe],MATCH(B85,Tableaulistesenfants[Séquence16],0),))</f>
        <v/>
      </c>
      <c r="G85" s="72" t="str">
        <f>IF(C85="","",INDEX(Tableaulistesenfants[Dimanche],MATCH(B85,Tableaulistesenfants[Séquence16],0),))</f>
        <v/>
      </c>
      <c r="H85" s="74" t="str">
        <f>IF(C85="","",INDEX(Tableaulistesenfants[Mercredi],MATCH(B85,Tableaulistesenfants[Séquence16],0),))</f>
        <v/>
      </c>
      <c r="I85" s="61"/>
      <c r="J85" s="62"/>
    </row>
    <row r="86" spans="1:11" ht="16.5" thickBot="1">
      <c r="A86" s="75"/>
      <c r="B86" s="75"/>
      <c r="C86" s="90" t="str">
        <f t="shared" si="1"/>
        <v/>
      </c>
      <c r="D86" s="80"/>
      <c r="E86" s="80"/>
      <c r="F86" s="106"/>
      <c r="G86" s="78"/>
      <c r="H86" s="79"/>
      <c r="I86" s="61"/>
      <c r="J86" s="62"/>
    </row>
    <row r="87" spans="1:11" ht="15.75">
      <c r="A87" s="82"/>
      <c r="B87" s="57">
        <f>IF(ROW()-86&lt;=$K$87,ROW()-86,"")</f>
        <v>1</v>
      </c>
      <c r="C87" s="58">
        <f>IF(B87="","",$A$89)</f>
        <v>180</v>
      </c>
      <c r="D87" s="59" t="str">
        <f>IF(C87="","",INDEX(Tableaulistesenfants[Nom],MATCH(B87,Tableaulistesenfants[Séquence17],0),))</f>
        <v>POULET</v>
      </c>
      <c r="E87" s="59" t="str">
        <f>IF(C87="","",INDEX(Tableaulistesenfants[Prénom],MATCH(B87,Tableaulistesenfants[Séquence17],0),))</f>
        <v>Aurélie</v>
      </c>
      <c r="F87" s="58" t="str">
        <f>IF(C87="","",INDEX(Tableaulistesenfants[Classe],MATCH(B87,Tableaulistesenfants[Séquence17],0),))</f>
        <v>Term STAV</v>
      </c>
      <c r="G87" s="58" t="b">
        <f>IF(C87="","",INDEX(Tableaulistesenfants[Dimanche],MATCH(B87,Tableaulistesenfants[Séquence17],0),))</f>
        <v>0</v>
      </c>
      <c r="H87" s="60" t="b">
        <f>IF(C87="","",INDEX(Tableaulistesenfants[Mercredi],MATCH(B87,Tableaulistesenfants[Séquence17],0),))</f>
        <v>0</v>
      </c>
      <c r="I87" s="61"/>
      <c r="J87" s="62"/>
      <c r="K87" s="63">
        <f>SUM(Tableaulistesenfants[Occurrence16])</f>
        <v>4</v>
      </c>
    </row>
    <row r="88" spans="1:11" ht="15.75">
      <c r="A88" s="69"/>
      <c r="B88" s="65">
        <f>IF(ROW()-86&lt;=$K$87,ROW()-86,"")</f>
        <v>2</v>
      </c>
      <c r="C88" s="66">
        <f>IF(B88="","",$A$89)</f>
        <v>180</v>
      </c>
      <c r="D88" s="67" t="str">
        <f>IF(C88="","",INDEX(Tableaulistesenfants[Nom],MATCH(B88,Tableaulistesenfants[Séquence17],0),))</f>
        <v>PRIVAT</v>
      </c>
      <c r="E88" s="67" t="str">
        <f>IF(C88="","",INDEX(Tableaulistesenfants[Prénom],MATCH(B88,Tableaulistesenfants[Séquence17],0),))</f>
        <v>Elois</v>
      </c>
      <c r="F88" s="66" t="str">
        <f>IF(C88="","",INDEX(Tableaulistesenfants[Classe],MATCH(B88,Tableaulistesenfants[Séquence17],0),))</f>
        <v>1e CF</v>
      </c>
      <c r="G88" s="66" t="b">
        <f>IF(C88="","",INDEX(Tableaulistesenfants[Dimanche],MATCH(B88,Tableaulistesenfants[Séquence17],0),))</f>
        <v>1</v>
      </c>
      <c r="H88" s="68" t="b">
        <f>IF(C88="","",INDEX(Tableaulistesenfants[Mercredi],MATCH(B88,Tableaulistesenfants[Séquence17],0),))</f>
        <v>0</v>
      </c>
      <c r="I88" s="61"/>
      <c r="J88" s="62"/>
    </row>
    <row r="89" spans="1:11" ht="15.75">
      <c r="A89" s="69">
        <v>180</v>
      </c>
      <c r="B89" s="65">
        <f>IF(ROW()-86&lt;=$K$87,ROW()-86,"")</f>
        <v>3</v>
      </c>
      <c r="C89" s="66">
        <f>IF(B89="","",$A$89)</f>
        <v>180</v>
      </c>
      <c r="D89" s="67" t="str">
        <f>IF(C89="","",INDEX(Tableaulistesenfants[Nom],MATCH(B89,Tableaulistesenfants[Séquence17],0),))</f>
        <v>THOMAS</v>
      </c>
      <c r="E89" s="67" t="str">
        <f>IF(C89="","",INDEX(Tableaulistesenfants[Prénom],MATCH(B89,Tableaulistesenfants[Séquence17],0),))</f>
        <v>Laurie</v>
      </c>
      <c r="F89" s="66" t="str">
        <f>IF(C89="","",INDEX(Tableaulistesenfants[Classe],MATCH(B89,Tableaulistesenfants[Séquence17],0),))</f>
        <v>Term STAV</v>
      </c>
      <c r="G89" s="66" t="b">
        <f>IF(C89="","",INDEX(Tableaulistesenfants[Dimanche],MATCH(B89,Tableaulistesenfants[Séquence17],0),))</f>
        <v>0</v>
      </c>
      <c r="H89" s="68" t="b">
        <f>IF(C89="","",INDEX(Tableaulistesenfants[Mercredi],MATCH(B89,Tableaulistesenfants[Séquence17],0),))</f>
        <v>0</v>
      </c>
      <c r="I89" s="61"/>
      <c r="J89" s="62"/>
    </row>
    <row r="90" spans="1:11" ht="15.75">
      <c r="A90" s="69"/>
      <c r="B90" s="65">
        <f>IF(ROW()-86&lt;=$K$87,ROW()-86,"")</f>
        <v>4</v>
      </c>
      <c r="C90" s="66">
        <f>IF(B90="","",$A$89)</f>
        <v>180</v>
      </c>
      <c r="D90" s="67" t="str">
        <f>IF(C90="","",INDEX(Tableaulistesenfants[Nom],MATCH(B90,Tableaulistesenfants[Séquence17],0),))</f>
        <v>VALES</v>
      </c>
      <c r="E90" s="67" t="str">
        <f>IF(C90="","",INDEX(Tableaulistesenfants[Prénom],MATCH(B90,Tableaulistesenfants[Séquence17],0),))</f>
        <v>Justine</v>
      </c>
      <c r="F90" s="66" t="str">
        <f>IF(C90="","",INDEX(Tableaulistesenfants[Classe],MATCH(B90,Tableaulistesenfants[Séquence17],0),))</f>
        <v>Term STAV</v>
      </c>
      <c r="G90" s="66" t="b">
        <f>IF(C90="","",INDEX(Tableaulistesenfants[Dimanche],MATCH(B90,Tableaulistesenfants[Séquence17],0),))</f>
        <v>1</v>
      </c>
      <c r="H90" s="68" t="b">
        <f>IF(C90="","",INDEX(Tableaulistesenfants[Mercredi],MATCH(B90,Tableaulistesenfants[Séquence17],0),))</f>
        <v>0</v>
      </c>
      <c r="I90" s="61"/>
      <c r="J90" s="62"/>
    </row>
    <row r="91" spans="1:11" ht="16.5" thickBot="1">
      <c r="A91" s="83"/>
      <c r="B91" s="71" t="str">
        <f>IF(ROW()-86&lt;=$K$87,ROW()-86,"")</f>
        <v/>
      </c>
      <c r="C91" s="72" t="str">
        <f>IF(B91="","",$A$89)</f>
        <v/>
      </c>
      <c r="D91" s="73" t="str">
        <f>IF(C91="","",INDEX(Tableaulistesenfants[Nom],MATCH(B91,Tableaulistesenfants[Séquence17],0),))</f>
        <v/>
      </c>
      <c r="E91" s="73" t="str">
        <f>IF(C91="","",INDEX(Tableaulistesenfants[Prénom],MATCH(B91,Tableaulistesenfants[Séquence17],0),))</f>
        <v/>
      </c>
      <c r="F91" s="72" t="str">
        <f>IF(C91="","",INDEX(Tableaulistesenfants[Classe],MATCH(B91,Tableaulistesenfants[Séquence17],0),))</f>
        <v/>
      </c>
      <c r="G91" s="72" t="str">
        <f>IF(C91="","",INDEX(Tableaulistesenfants[Dimanche],MATCH(B91,Tableaulistesenfants[Séquence17],0),))</f>
        <v/>
      </c>
      <c r="H91" s="74" t="str">
        <f>IF(C91="","",INDEX(Tableaulistesenfants[Mercredi],MATCH(B91,Tableaulistesenfants[Séquence17],0),))</f>
        <v/>
      </c>
      <c r="I91" s="61"/>
      <c r="J91" s="62"/>
    </row>
    <row r="92" spans="1:11" ht="16.5" thickBot="1">
      <c r="A92" s="75"/>
      <c r="B92" s="75"/>
      <c r="C92" s="75"/>
      <c r="D92" s="80"/>
      <c r="E92" s="80"/>
      <c r="F92" s="106"/>
      <c r="G92" s="78"/>
      <c r="H92" s="79"/>
      <c r="I92" s="61"/>
      <c r="J92" s="62"/>
    </row>
    <row r="93" spans="1:11" ht="15.75">
      <c r="A93" s="82"/>
      <c r="B93" s="57">
        <f>IF(ROW()-92&lt;=$K$93,ROW()-92,"")</f>
        <v>1</v>
      </c>
      <c r="C93" s="58">
        <f>IF(B93="","",$A$95)</f>
        <v>171</v>
      </c>
      <c r="D93" s="59" t="str">
        <f>IF(C93="","",INDEX(Tableaulistesenfants[Nom],MATCH(B93,Tableaulistesenfants[Séquence18],0),))</f>
        <v>AGUERA</v>
      </c>
      <c r="E93" s="59" t="str">
        <f>IF(C93="","",INDEX(Tableaulistesenfants[Prénom],MATCH(B93,Tableaulistesenfants[Séquence18],0),))</f>
        <v>Melany</v>
      </c>
      <c r="F93" s="58" t="str">
        <f>IF(C93="","",INDEX(Tableaulistesenfants[Classe],MATCH(B93,Tableaulistesenfants[Séquence18],0),))</f>
        <v>Term CF</v>
      </c>
      <c r="G93" s="58" t="b">
        <f>IF(C93="","",INDEX(Tableaulistesenfants[Dimanche],MATCH(B93,Tableaulistesenfants[Séquence18],0),))</f>
        <v>1</v>
      </c>
      <c r="H93" s="60" t="b">
        <f>IF(C93="","",INDEX(Tableaulistesenfants[Mercredi],MATCH(B93,Tableaulistesenfants[Séquence18],0),))</f>
        <v>0</v>
      </c>
      <c r="I93" s="61"/>
      <c r="J93" s="62"/>
      <c r="K93" s="63">
        <f>SUM(Tableaulistesenfants[Occurrence17])</f>
        <v>4</v>
      </c>
    </row>
    <row r="94" spans="1:11" ht="15.75">
      <c r="A94" s="69"/>
      <c r="B94" s="65">
        <f>IF(ROW()-92&lt;=$K$93,ROW()-92,"")</f>
        <v>2</v>
      </c>
      <c r="C94" s="66">
        <f>IF(B94="","",$A$95)</f>
        <v>171</v>
      </c>
      <c r="D94" s="67" t="str">
        <f>IF(C94="","",INDEX(Tableaulistesenfants[Nom],MATCH(B94,Tableaulistesenfants[Séquence18],0),))</f>
        <v>BERNARD</v>
      </c>
      <c r="E94" s="67" t="str">
        <f>IF(C94="","",INDEX(Tableaulistesenfants[Prénom],MATCH(B94,Tableaulistesenfants[Séquence18],0),))</f>
        <v>Anissa</v>
      </c>
      <c r="F94" s="66" t="str">
        <f>IF(C94="","",INDEX(Tableaulistesenfants[Classe],MATCH(B94,Tableaulistesenfants[Séquence18],0),))</f>
        <v>Term CF</v>
      </c>
      <c r="G94" s="66" t="b">
        <f>IF(C94="","",INDEX(Tableaulistesenfants[Dimanche],MATCH(B94,Tableaulistesenfants[Séquence18],0),))</f>
        <v>0</v>
      </c>
      <c r="H94" s="68" t="b">
        <f>IF(C94="","",INDEX(Tableaulistesenfants[Mercredi],MATCH(B94,Tableaulistesenfants[Séquence18],0),))</f>
        <v>0</v>
      </c>
      <c r="I94" s="61"/>
      <c r="J94" s="62"/>
    </row>
    <row r="95" spans="1:11" ht="15.75">
      <c r="A95" s="69">
        <v>171</v>
      </c>
      <c r="B95" s="65">
        <f>IF(ROW()-92&lt;=$K$93,ROW()-92,"")</f>
        <v>3</v>
      </c>
      <c r="C95" s="66">
        <f>IF(B95="","",$A$95)</f>
        <v>171</v>
      </c>
      <c r="D95" s="67" t="str">
        <f>IF(C95="","",INDEX(Tableaulistesenfants[Nom],MATCH(B95,Tableaulistesenfants[Séquence18],0),))</f>
        <v>JOLLY</v>
      </c>
      <c r="E95" s="67" t="str">
        <f>IF(C95="","",INDEX(Tableaulistesenfants[Prénom],MATCH(B95,Tableaulistesenfants[Séquence18],0),))</f>
        <v>Cindy</v>
      </c>
      <c r="F95" s="66" t="str">
        <f>IF(C95="","",INDEX(Tableaulistesenfants[Classe],MATCH(B95,Tableaulistesenfants[Séquence18],0),))</f>
        <v>1e TCVA</v>
      </c>
      <c r="G95" s="66" t="b">
        <f>IF(C95="","",INDEX(Tableaulistesenfants[Dimanche],MATCH(B95,Tableaulistesenfants[Séquence18],0),))</f>
        <v>0</v>
      </c>
      <c r="H95" s="68" t="b">
        <f>IF(C95="","",INDEX(Tableaulistesenfants[Mercredi],MATCH(B95,Tableaulistesenfants[Séquence18],0),))</f>
        <v>0</v>
      </c>
      <c r="I95" s="61"/>
      <c r="J95" s="62"/>
    </row>
    <row r="96" spans="1:11" ht="15.75">
      <c r="A96" s="69"/>
      <c r="B96" s="65">
        <f>IF(ROW()-92&lt;=$K$93,ROW()-92,"")</f>
        <v>4</v>
      </c>
      <c r="C96" s="66">
        <f>IF(B96="","",$A$95)</f>
        <v>171</v>
      </c>
      <c r="D96" s="67" t="str">
        <f>IF(C96="","",INDEX(Tableaulistesenfants[Nom],MATCH(B96,Tableaulistesenfants[Séquence18],0),))</f>
        <v>SACRE</v>
      </c>
      <c r="E96" s="67" t="str">
        <f>IF(C96="","",INDEX(Tableaulistesenfants[Prénom],MATCH(B96,Tableaulistesenfants[Séquence18],0),))</f>
        <v>Shana</v>
      </c>
      <c r="F96" s="66" t="str">
        <f>IF(C96="","",INDEX(Tableaulistesenfants[Classe],MATCH(B96,Tableaulistesenfants[Séquence18],0),))</f>
        <v>Term CF</v>
      </c>
      <c r="G96" s="66" t="b">
        <f>IF(C96="","",INDEX(Tableaulistesenfants[Dimanche],MATCH(B96,Tableaulistesenfants[Séquence18],0),))</f>
        <v>0</v>
      </c>
      <c r="H96" s="68" t="b">
        <f>IF(C96="","",INDEX(Tableaulistesenfants[Mercredi],MATCH(B96,Tableaulistesenfants[Séquence18],0),))</f>
        <v>0</v>
      </c>
      <c r="I96" s="61"/>
      <c r="J96" s="62"/>
    </row>
    <row r="97" spans="1:10" ht="16.5" thickBot="1">
      <c r="A97" s="83"/>
      <c r="B97" s="71" t="str">
        <f>IF(ROW()-92&lt;=$K$93,ROW()-92,"")</f>
        <v/>
      </c>
      <c r="C97" s="72" t="str">
        <f>IF(B97="","",$A$95)</f>
        <v/>
      </c>
      <c r="D97" s="73" t="str">
        <f>IF(C97="","",INDEX(Tableaulistesenfants[Nom],MATCH(B97,Tableaulistesenfants[Séquence18],0),))</f>
        <v/>
      </c>
      <c r="E97" s="73" t="str">
        <f>IF(C97="","",INDEX(Tableaulistesenfants[Prénom],MATCH(B97,Tableaulistesenfants[Séquence18],0),))</f>
        <v/>
      </c>
      <c r="F97" s="72" t="str">
        <f>IF(C97="","",INDEX(Tableaulistesenfants[Classe],MATCH(B97,Tableaulistesenfants[Séquence18],0),))</f>
        <v/>
      </c>
      <c r="G97" s="72" t="str">
        <f>IF(C97="","",INDEX(Tableaulistesenfants[Dimanche],MATCH(B97,Tableaulistesenfants[Séquence18],0),))</f>
        <v/>
      </c>
      <c r="H97" s="74" t="str">
        <f>IF(C97="","",INDEX(Tableaulistesenfants[Mercredi],MATCH(B97,Tableaulistesenfants[Séquence18],0),))</f>
        <v/>
      </c>
      <c r="I97" s="61"/>
      <c r="J97" s="62"/>
    </row>
    <row r="98" spans="1:10">
      <c r="I98" s="61"/>
      <c r="J98" s="62"/>
    </row>
    <row r="99" spans="1:10">
      <c r="I99" s="61"/>
      <c r="J99" s="62"/>
    </row>
    <row r="100" spans="1:10">
      <c r="F100" s="95"/>
      <c r="I100" s="61"/>
      <c r="J100" s="62"/>
    </row>
    <row r="101" spans="1:10">
      <c r="I101" s="61"/>
      <c r="J101" s="62"/>
    </row>
    <row r="102" spans="1:10">
      <c r="I102" s="61"/>
      <c r="J102" s="62"/>
    </row>
    <row r="103" spans="1:10">
      <c r="I103" s="61"/>
      <c r="J103" s="62"/>
    </row>
    <row r="104" spans="1:10">
      <c r="I104" s="61"/>
      <c r="J104" s="62"/>
    </row>
    <row r="105" spans="1:10">
      <c r="I105" s="61"/>
      <c r="J105" s="62"/>
    </row>
    <row r="106" spans="1:10">
      <c r="F106" s="95"/>
      <c r="I106" s="61"/>
      <c r="J106" s="62"/>
    </row>
    <row r="107" spans="1:10">
      <c r="I107" s="61"/>
      <c r="J107" s="62"/>
    </row>
    <row r="108" spans="1:10">
      <c r="I108" s="61"/>
      <c r="J108" s="62"/>
    </row>
    <row r="109" spans="1:10">
      <c r="I109" s="61"/>
      <c r="J109" s="62"/>
    </row>
    <row r="110" spans="1:10">
      <c r="I110" s="61"/>
      <c r="J110" s="62"/>
    </row>
    <row r="111" spans="1:10">
      <c r="I111" s="61"/>
      <c r="J111" s="62"/>
    </row>
    <row r="112" spans="1:10">
      <c r="I112" s="61"/>
      <c r="J112" s="62"/>
    </row>
    <row r="113" spans="9:10">
      <c r="I113" s="61"/>
      <c r="J113" s="62"/>
    </row>
    <row r="114" spans="9:10">
      <c r="I114" s="61"/>
      <c r="J114" s="62"/>
    </row>
    <row r="115" spans="9:10">
      <c r="I115" s="61"/>
      <c r="J115" s="62"/>
    </row>
    <row r="116" spans="9:10">
      <c r="I116" s="61"/>
      <c r="J116" s="62"/>
    </row>
    <row r="117" spans="9:10">
      <c r="I117" s="61"/>
      <c r="J117" s="62"/>
    </row>
    <row r="118" spans="9:10">
      <c r="I118" s="61"/>
      <c r="J118" s="62"/>
    </row>
    <row r="119" spans="9:10">
      <c r="I119" s="61"/>
      <c r="J119" s="62"/>
    </row>
    <row r="120" spans="9:10">
      <c r="I120" s="61"/>
      <c r="J120" s="62"/>
    </row>
    <row r="121" spans="9:10">
      <c r="I121" s="61"/>
      <c r="J121" s="62"/>
    </row>
    <row r="122" spans="9:10">
      <c r="I122" s="61"/>
      <c r="J122" s="62"/>
    </row>
    <row r="123" spans="9:10">
      <c r="I123" s="61"/>
      <c r="J123" s="62"/>
    </row>
    <row r="124" spans="9:10">
      <c r="I124" s="61"/>
      <c r="J124" s="62"/>
    </row>
    <row r="125" spans="9:10">
      <c r="I125" s="61"/>
      <c r="J125" s="62"/>
    </row>
    <row r="126" spans="9:10">
      <c r="I126" s="61"/>
      <c r="J126" s="62"/>
    </row>
    <row r="127" spans="9:10">
      <c r="I127" s="61"/>
      <c r="J127" s="62"/>
    </row>
    <row r="128" spans="9:10">
      <c r="I128" s="61"/>
      <c r="J128" s="62"/>
    </row>
    <row r="129" spans="9:10">
      <c r="I129" s="61"/>
      <c r="J129" s="62"/>
    </row>
    <row r="130" spans="9:10">
      <c r="I130" s="61"/>
      <c r="J130" s="62"/>
    </row>
    <row r="131" spans="9:10">
      <c r="I131" s="61"/>
      <c r="J131" s="62"/>
    </row>
    <row r="132" spans="9:10">
      <c r="I132" s="61"/>
      <c r="J132" s="62"/>
    </row>
    <row r="133" spans="9:10">
      <c r="I133" s="61"/>
      <c r="J133" s="62"/>
    </row>
    <row r="134" spans="9:10">
      <c r="I134" s="61"/>
      <c r="J134" s="62"/>
    </row>
    <row r="135" spans="9:10">
      <c r="I135" s="61"/>
      <c r="J135" s="62"/>
    </row>
    <row r="136" spans="9:10">
      <c r="I136" s="61"/>
      <c r="J136" s="62"/>
    </row>
    <row r="137" spans="9:10">
      <c r="I137" s="61"/>
      <c r="J137" s="62"/>
    </row>
    <row r="138" spans="9:10">
      <c r="I138" s="61"/>
      <c r="J138" s="62"/>
    </row>
    <row r="139" spans="9:10">
      <c r="I139" s="61"/>
      <c r="J139" s="62"/>
    </row>
    <row r="140" spans="9:10">
      <c r="I140" s="61"/>
      <c r="J140" s="62"/>
    </row>
    <row r="141" spans="9:10">
      <c r="I141" s="61"/>
      <c r="J141" s="62"/>
    </row>
    <row r="142" spans="9:10">
      <c r="I142" s="61"/>
      <c r="J142" s="62"/>
    </row>
    <row r="143" spans="9:10">
      <c r="I143" s="61"/>
      <c r="J143" s="62"/>
    </row>
    <row r="144" spans="9:10">
      <c r="I144" s="61"/>
      <c r="J144" s="62"/>
    </row>
    <row r="145" spans="9:10">
      <c r="I145" s="61"/>
      <c r="J145" s="62"/>
    </row>
    <row r="146" spans="9:10">
      <c r="I146" s="61"/>
      <c r="J146" s="62"/>
    </row>
    <row r="147" spans="9:10">
      <c r="I147" s="61"/>
      <c r="J147" s="62"/>
    </row>
    <row r="148" spans="9:10">
      <c r="I148" s="61"/>
      <c r="J148" s="62"/>
    </row>
    <row r="149" spans="9:10">
      <c r="I149" s="61"/>
      <c r="J149" s="62"/>
    </row>
    <row r="150" spans="9:10">
      <c r="I150" s="61"/>
      <c r="J150" s="62"/>
    </row>
    <row r="151" spans="9:10">
      <c r="I151" s="61"/>
      <c r="J151" s="62"/>
    </row>
    <row r="152" spans="9:10">
      <c r="I152" s="61"/>
      <c r="J152" s="62"/>
    </row>
    <row r="153" spans="9:10">
      <c r="I153" s="61"/>
      <c r="J153" s="62"/>
    </row>
    <row r="154" spans="9:10">
      <c r="I154" s="61"/>
      <c r="J154" s="62"/>
    </row>
    <row r="155" spans="9:10">
      <c r="I155" s="61"/>
      <c r="J155" s="62"/>
    </row>
    <row r="156" spans="9:10">
      <c r="I156" s="61"/>
      <c r="J156" s="62"/>
    </row>
    <row r="157" spans="9:10">
      <c r="I157" s="61"/>
      <c r="J157" s="62"/>
    </row>
    <row r="158" spans="9:10">
      <c r="I158" s="61"/>
      <c r="J158" s="62"/>
    </row>
    <row r="159" spans="9:10">
      <c r="I159" s="61"/>
      <c r="J159" s="62"/>
    </row>
    <row r="160" spans="9:10">
      <c r="I160" s="61"/>
      <c r="J160" s="62"/>
    </row>
    <row r="161" spans="9:10">
      <c r="I161" s="61"/>
      <c r="J161" s="62"/>
    </row>
    <row r="162" spans="9:10">
      <c r="I162" s="61"/>
      <c r="J162" s="62"/>
    </row>
    <row r="163" spans="9:10">
      <c r="I163" s="61"/>
      <c r="J163" s="62"/>
    </row>
    <row r="164" spans="9:10">
      <c r="I164" s="61"/>
      <c r="J164" s="62"/>
    </row>
    <row r="165" spans="9:10">
      <c r="I165" s="61"/>
      <c r="J165" s="62"/>
    </row>
    <row r="166" spans="9:10">
      <c r="I166" s="61"/>
      <c r="J166" s="62"/>
    </row>
    <row r="167" spans="9:10">
      <c r="I167" s="61"/>
      <c r="J167" s="62"/>
    </row>
    <row r="168" spans="9:10">
      <c r="I168" s="61"/>
      <c r="J168" s="62"/>
    </row>
    <row r="169" spans="9:10">
      <c r="I169" s="61"/>
      <c r="J169" s="62"/>
    </row>
    <row r="170" spans="9:10">
      <c r="I170" s="61"/>
      <c r="J170" s="62"/>
    </row>
    <row r="171" spans="9:10">
      <c r="I171" s="61"/>
      <c r="J171" s="62"/>
    </row>
    <row r="172" spans="9:10">
      <c r="I172" s="61"/>
      <c r="J172" s="62"/>
    </row>
    <row r="173" spans="9:10">
      <c r="I173" s="61"/>
      <c r="J173" s="62"/>
    </row>
    <row r="174" spans="9:10">
      <c r="I174" s="61"/>
      <c r="J174" s="62"/>
    </row>
    <row r="175" spans="9:10">
      <c r="I175" s="61"/>
      <c r="J175" s="62"/>
    </row>
    <row r="176" spans="9:10">
      <c r="I176" s="61"/>
      <c r="J176" s="62"/>
    </row>
    <row r="177" spans="9:10">
      <c r="I177" s="61"/>
      <c r="J177" s="62"/>
    </row>
    <row r="178" spans="9:10">
      <c r="I178" s="61"/>
      <c r="J178" s="62"/>
    </row>
    <row r="179" spans="9:10">
      <c r="I179" s="61"/>
      <c r="J179" s="62"/>
    </row>
    <row r="180" spans="9:10">
      <c r="I180" s="61"/>
      <c r="J180" s="62"/>
    </row>
    <row r="181" spans="9:10">
      <c r="I181" s="61"/>
      <c r="J181" s="62"/>
    </row>
    <row r="182" spans="9:10">
      <c r="I182" s="61"/>
      <c r="J182" s="62"/>
    </row>
    <row r="183" spans="9:10">
      <c r="I183" s="61"/>
      <c r="J183" s="62"/>
    </row>
    <row r="184" spans="9:10">
      <c r="I184" s="61"/>
      <c r="J184" s="62"/>
    </row>
    <row r="185" spans="9:10">
      <c r="I185" s="61"/>
      <c r="J185" s="62"/>
    </row>
    <row r="186" spans="9:10">
      <c r="I186" s="61"/>
      <c r="J186" s="62"/>
    </row>
    <row r="187" spans="9:10">
      <c r="I187" s="61"/>
      <c r="J187" s="62"/>
    </row>
    <row r="188" spans="9:10">
      <c r="I188" s="61"/>
      <c r="J188" s="62"/>
    </row>
    <row r="189" spans="9:10">
      <c r="I189" s="61"/>
      <c r="J189" s="62"/>
    </row>
    <row r="190" spans="9:10">
      <c r="I190" s="61"/>
      <c r="J190" s="62"/>
    </row>
    <row r="191" spans="9:10">
      <c r="I191" s="61"/>
      <c r="J191" s="62"/>
    </row>
    <row r="192" spans="9:10">
      <c r="I192" s="61"/>
      <c r="J192" s="62"/>
    </row>
    <row r="193" spans="9:10">
      <c r="I193" s="61"/>
      <c r="J193" s="62"/>
    </row>
    <row r="194" spans="9:10">
      <c r="I194" s="61"/>
      <c r="J194" s="62"/>
    </row>
    <row r="195" spans="9:10">
      <c r="I195" s="61"/>
      <c r="J195" s="62"/>
    </row>
    <row r="196" spans="9:10">
      <c r="I196" s="61"/>
      <c r="J196" s="62"/>
    </row>
    <row r="197" spans="9:10">
      <c r="I197" s="61"/>
      <c r="J197" s="62"/>
    </row>
    <row r="198" spans="9:10">
      <c r="I198" s="61"/>
      <c r="J198" s="62"/>
    </row>
    <row r="199" spans="9:10">
      <c r="I199" s="61"/>
      <c r="J199" s="62"/>
    </row>
    <row r="200" spans="9:10">
      <c r="I200" s="61"/>
      <c r="J200" s="62"/>
    </row>
    <row r="201" spans="9:10">
      <c r="I201" s="61"/>
      <c r="J201" s="62"/>
    </row>
    <row r="202" spans="9:10">
      <c r="I202" s="61"/>
      <c r="J202" s="62"/>
    </row>
    <row r="203" spans="9:10">
      <c r="I203" s="61"/>
      <c r="J203" s="62"/>
    </row>
    <row r="204" spans="9:10">
      <c r="I204" s="61"/>
      <c r="J204" s="62"/>
    </row>
    <row r="205" spans="9:10">
      <c r="I205" s="61"/>
      <c r="J205" s="62"/>
    </row>
    <row r="206" spans="9:10">
      <c r="I206" s="61"/>
      <c r="J206" s="62"/>
    </row>
    <row r="207" spans="9:10">
      <c r="I207" s="61"/>
      <c r="J207" s="62"/>
    </row>
    <row r="208" spans="9:10">
      <c r="I208" s="61"/>
      <c r="J208" s="62"/>
    </row>
    <row r="209" spans="9:10">
      <c r="I209" s="61"/>
      <c r="J209" s="62"/>
    </row>
    <row r="210" spans="9:10">
      <c r="I210" s="61"/>
      <c r="J210" s="62"/>
    </row>
    <row r="211" spans="9:10">
      <c r="I211" s="61"/>
      <c r="J211" s="62"/>
    </row>
    <row r="212" spans="9:10">
      <c r="I212" s="61"/>
      <c r="J212" s="62"/>
    </row>
    <row r="213" spans="9:10">
      <c r="I213" s="61"/>
      <c r="J213" s="62"/>
    </row>
    <row r="214" spans="9:10">
      <c r="I214" s="61"/>
      <c r="J214" s="62"/>
    </row>
    <row r="215" spans="9:10">
      <c r="I215" s="61"/>
      <c r="J215" s="62"/>
    </row>
    <row r="216" spans="9:10">
      <c r="I216" s="61"/>
      <c r="J216" s="62"/>
    </row>
    <row r="217" spans="9:10">
      <c r="I217" s="61"/>
      <c r="J217" s="62"/>
    </row>
    <row r="218" spans="9:10">
      <c r="I218" s="61"/>
      <c r="J218" s="62"/>
    </row>
    <row r="219" spans="9:10">
      <c r="I219" s="61"/>
      <c r="J219" s="62"/>
    </row>
    <row r="220" spans="9:10">
      <c r="I220" s="61"/>
      <c r="J220" s="62"/>
    </row>
    <row r="221" spans="9:10">
      <c r="I221" s="61"/>
      <c r="J221" s="62"/>
    </row>
    <row r="222" spans="9:10">
      <c r="I222" s="61"/>
      <c r="J222" s="62"/>
    </row>
    <row r="223" spans="9:10">
      <c r="I223" s="61"/>
      <c r="J223" s="62"/>
    </row>
    <row r="224" spans="9:10">
      <c r="I224" s="61"/>
      <c r="J224" s="62"/>
    </row>
    <row r="225" spans="9:10">
      <c r="I225" s="61"/>
      <c r="J225" s="62"/>
    </row>
    <row r="226" spans="9:10">
      <c r="I226" s="61"/>
      <c r="J226" s="62"/>
    </row>
    <row r="227" spans="9:10">
      <c r="I227" s="61"/>
      <c r="J227" s="62"/>
    </row>
    <row r="228" spans="9:10">
      <c r="I228" s="61"/>
      <c r="J228" s="62"/>
    </row>
    <row r="229" spans="9:10">
      <c r="I229" s="61"/>
      <c r="J229" s="62"/>
    </row>
    <row r="230" spans="9:10">
      <c r="I230" s="61"/>
      <c r="J230" s="62"/>
    </row>
    <row r="231" spans="9:10">
      <c r="I231" s="61"/>
      <c r="J231" s="62"/>
    </row>
    <row r="232" spans="9:10">
      <c r="I232" s="61"/>
      <c r="J232" s="62"/>
    </row>
    <row r="233" spans="9:10">
      <c r="I233" s="61"/>
      <c r="J233" s="62"/>
    </row>
    <row r="234" spans="9:10">
      <c r="I234" s="61"/>
      <c r="J234" s="62"/>
    </row>
    <row r="235" spans="9:10">
      <c r="I235" s="61"/>
      <c r="J235" s="62"/>
    </row>
    <row r="236" spans="9:10">
      <c r="I236" s="61"/>
      <c r="J236" s="62"/>
    </row>
    <row r="237" spans="9:10">
      <c r="I237" s="61"/>
      <c r="J237" s="62"/>
    </row>
    <row r="238" spans="9:10">
      <c r="I238" s="61"/>
      <c r="J238" s="62"/>
    </row>
    <row r="239" spans="9:10">
      <c r="I239" s="61"/>
      <c r="J239" s="62"/>
    </row>
    <row r="240" spans="9:10">
      <c r="I240" s="61"/>
      <c r="J240" s="62"/>
    </row>
    <row r="241" spans="9:10">
      <c r="I241" s="61"/>
      <c r="J241" s="62"/>
    </row>
    <row r="242" spans="9:10">
      <c r="I242" s="61"/>
      <c r="J242" s="62"/>
    </row>
    <row r="243" spans="9:10">
      <c r="I243" s="61"/>
      <c r="J243" s="62"/>
    </row>
    <row r="244" spans="9:10">
      <c r="I244" s="61"/>
      <c r="J244" s="62"/>
    </row>
    <row r="245" spans="9:10">
      <c r="I245" s="61"/>
      <c r="J245" s="62"/>
    </row>
    <row r="246" spans="9:10">
      <c r="I246" s="61"/>
      <c r="J246" s="62"/>
    </row>
    <row r="247" spans="9:10">
      <c r="I247" s="61"/>
      <c r="J247" s="62"/>
    </row>
    <row r="248" spans="9:10">
      <c r="I248" s="61"/>
      <c r="J248" s="62"/>
    </row>
    <row r="249" spans="9:10">
      <c r="I249" s="61"/>
      <c r="J249" s="62"/>
    </row>
    <row r="250" spans="9:10">
      <c r="I250" s="61"/>
      <c r="J250" s="62"/>
    </row>
    <row r="251" spans="9:10">
      <c r="I251" s="61"/>
      <c r="J251" s="62"/>
    </row>
    <row r="252" spans="9:10">
      <c r="I252" s="61"/>
      <c r="J252" s="62"/>
    </row>
    <row r="253" spans="9:10">
      <c r="I253" s="61"/>
      <c r="J253" s="62"/>
    </row>
    <row r="254" spans="9:10">
      <c r="I254" s="61"/>
      <c r="J254" s="62"/>
    </row>
    <row r="255" spans="9:10">
      <c r="I255" s="61"/>
      <c r="J255" s="62"/>
    </row>
    <row r="256" spans="9:10">
      <c r="I256" s="61"/>
      <c r="J256" s="62"/>
    </row>
    <row r="257" spans="9:10">
      <c r="I257" s="61"/>
      <c r="J257" s="62"/>
    </row>
    <row r="258" spans="9:10">
      <c r="I258" s="61"/>
      <c r="J258" s="62"/>
    </row>
    <row r="259" spans="9:10">
      <c r="I259" s="61"/>
      <c r="J259" s="62"/>
    </row>
    <row r="260" spans="9:10">
      <c r="I260" s="61"/>
      <c r="J260" s="62"/>
    </row>
    <row r="261" spans="9:10">
      <c r="I261" s="61"/>
      <c r="J261" s="62"/>
    </row>
    <row r="262" spans="9:10">
      <c r="I262" s="61"/>
      <c r="J262" s="62"/>
    </row>
    <row r="263" spans="9:10">
      <c r="I263" s="61"/>
      <c r="J263" s="62"/>
    </row>
    <row r="264" spans="9:10">
      <c r="I264" s="61"/>
      <c r="J264" s="62"/>
    </row>
    <row r="265" spans="9:10">
      <c r="I265" s="61"/>
      <c r="J265" s="62"/>
    </row>
    <row r="266" spans="9:10">
      <c r="I266" s="61"/>
      <c r="J266" s="62"/>
    </row>
    <row r="267" spans="9:10">
      <c r="I267" s="61"/>
      <c r="J267" s="62"/>
    </row>
    <row r="268" spans="9:10">
      <c r="I268" s="61"/>
      <c r="J268" s="62"/>
    </row>
    <row r="269" spans="9:10">
      <c r="I269" s="61"/>
      <c r="J269" s="62"/>
    </row>
    <row r="270" spans="9:10">
      <c r="I270" s="61"/>
      <c r="J270" s="62"/>
    </row>
    <row r="271" spans="9:10">
      <c r="I271" s="61"/>
      <c r="J271" s="62"/>
    </row>
    <row r="272" spans="9:10">
      <c r="I272" s="61"/>
      <c r="J272" s="62"/>
    </row>
    <row r="273" spans="9:10">
      <c r="I273" s="61"/>
      <c r="J273" s="62"/>
    </row>
    <row r="274" spans="9:10">
      <c r="I274" s="61"/>
      <c r="J274" s="62"/>
    </row>
    <row r="275" spans="9:10">
      <c r="I275" s="61"/>
      <c r="J275" s="62"/>
    </row>
    <row r="276" spans="9:10">
      <c r="I276" s="61"/>
      <c r="J276" s="62"/>
    </row>
    <row r="277" spans="9:10">
      <c r="I277" s="61"/>
      <c r="J277" s="62"/>
    </row>
    <row r="278" spans="9:10">
      <c r="I278" s="61"/>
      <c r="J278" s="62"/>
    </row>
    <row r="279" spans="9:10">
      <c r="I279" s="61"/>
      <c r="J279" s="62"/>
    </row>
    <row r="280" spans="9:10">
      <c r="I280" s="61"/>
      <c r="J280" s="62"/>
    </row>
    <row r="281" spans="9:10">
      <c r="I281" s="61"/>
      <c r="J281" s="62"/>
    </row>
    <row r="282" spans="9:10">
      <c r="I282" s="61"/>
      <c r="J282" s="62"/>
    </row>
    <row r="283" spans="9:10">
      <c r="I283" s="61"/>
      <c r="J283" s="62"/>
    </row>
    <row r="284" spans="9:10">
      <c r="I284" s="61"/>
      <c r="J284" s="62"/>
    </row>
    <row r="285" spans="9:10">
      <c r="I285" s="61"/>
      <c r="J285" s="62"/>
    </row>
    <row r="286" spans="9:10">
      <c r="I286" s="61"/>
      <c r="J286" s="62"/>
    </row>
    <row r="287" spans="9:10">
      <c r="I287" s="61"/>
      <c r="J287" s="62"/>
    </row>
    <row r="288" spans="9:10">
      <c r="I288" s="61"/>
      <c r="J288" s="62"/>
    </row>
    <row r="289" spans="9:10">
      <c r="I289" s="61"/>
      <c r="J289" s="62"/>
    </row>
    <row r="290" spans="9:10">
      <c r="I290" s="61"/>
      <c r="J290" s="62"/>
    </row>
    <row r="291" spans="9:10">
      <c r="I291" s="61"/>
      <c r="J291" s="62"/>
    </row>
    <row r="292" spans="9:10">
      <c r="I292" s="61"/>
      <c r="J292" s="62"/>
    </row>
    <row r="293" spans="9:10">
      <c r="I293" s="61"/>
      <c r="J293" s="62"/>
    </row>
    <row r="294" spans="9:10">
      <c r="I294" s="61"/>
      <c r="J294" s="62"/>
    </row>
    <row r="295" spans="9:10">
      <c r="I295" s="61"/>
      <c r="J295" s="62"/>
    </row>
    <row r="296" spans="9:10">
      <c r="I296" s="61"/>
      <c r="J296" s="62"/>
    </row>
    <row r="297" spans="9:10">
      <c r="I297" s="61"/>
      <c r="J297" s="62"/>
    </row>
    <row r="298" spans="9:10">
      <c r="I298" s="61"/>
      <c r="J298" s="62"/>
    </row>
    <row r="299" spans="9:10">
      <c r="I299" s="61"/>
      <c r="J299" s="62"/>
    </row>
    <row r="300" spans="9:10">
      <c r="I300" s="61"/>
      <c r="J300" s="62"/>
    </row>
    <row r="301" spans="9:10">
      <c r="I301" s="61"/>
      <c r="J301" s="62"/>
    </row>
    <row r="302" spans="9:10">
      <c r="I302" s="61"/>
      <c r="J302" s="62"/>
    </row>
    <row r="303" spans="9:10">
      <c r="I303" s="61"/>
      <c r="J303" s="62"/>
    </row>
    <row r="304" spans="9:10">
      <c r="I304" s="61"/>
      <c r="J304" s="62"/>
    </row>
    <row r="305" spans="9:10">
      <c r="I305" s="61"/>
      <c r="J305" s="62"/>
    </row>
    <row r="306" spans="9:10">
      <c r="I306" s="61"/>
      <c r="J306" s="62"/>
    </row>
    <row r="307" spans="9:10">
      <c r="I307" s="61"/>
      <c r="J307" s="62"/>
    </row>
    <row r="308" spans="9:10">
      <c r="I308" s="61"/>
      <c r="J308" s="62"/>
    </row>
    <row r="309" spans="9:10">
      <c r="I309" s="61"/>
      <c r="J309" s="62"/>
    </row>
    <row r="310" spans="9:10">
      <c r="I310" s="61"/>
      <c r="J310" s="62"/>
    </row>
    <row r="311" spans="9:10">
      <c r="I311" s="61"/>
      <c r="J311" s="62"/>
    </row>
    <row r="312" spans="9:10">
      <c r="I312" s="61"/>
      <c r="J312" s="62"/>
    </row>
    <row r="313" spans="9:10">
      <c r="I313" s="61"/>
      <c r="J313" s="62"/>
    </row>
    <row r="314" spans="9:10">
      <c r="I314" s="61"/>
      <c r="J314" s="62"/>
    </row>
    <row r="315" spans="9:10">
      <c r="I315" s="61"/>
      <c r="J315" s="62"/>
    </row>
    <row r="316" spans="9:10">
      <c r="I316" s="61"/>
      <c r="J316" s="62"/>
    </row>
    <row r="317" spans="9:10">
      <c r="I317" s="61"/>
      <c r="J317" s="62"/>
    </row>
    <row r="318" spans="9:10">
      <c r="I318" s="61"/>
      <c r="J318" s="62"/>
    </row>
    <row r="319" spans="9:10">
      <c r="I319" s="61"/>
      <c r="J319" s="62"/>
    </row>
    <row r="320" spans="9:10">
      <c r="I320" s="61"/>
      <c r="J320" s="62"/>
    </row>
    <row r="321" spans="9:10">
      <c r="I321" s="61"/>
      <c r="J321" s="62"/>
    </row>
    <row r="322" spans="9:10">
      <c r="I322" s="61"/>
      <c r="J322" s="62"/>
    </row>
    <row r="323" spans="9:10">
      <c r="I323" s="61"/>
      <c r="J323" s="62"/>
    </row>
    <row r="324" spans="9:10">
      <c r="I324" s="61"/>
      <c r="J324" s="62"/>
    </row>
    <row r="325" spans="9:10">
      <c r="I325" s="61"/>
      <c r="J325" s="62"/>
    </row>
    <row r="326" spans="9:10">
      <c r="I326" s="61"/>
      <c r="J326" s="62"/>
    </row>
    <row r="327" spans="9:10">
      <c r="I327" s="61"/>
      <c r="J327" s="62"/>
    </row>
    <row r="328" spans="9:10">
      <c r="I328" s="61"/>
      <c r="J328" s="62"/>
    </row>
    <row r="329" spans="9:10">
      <c r="I329" s="61"/>
      <c r="J329" s="62"/>
    </row>
    <row r="330" spans="9:10">
      <c r="I330" s="61"/>
      <c r="J330" s="62"/>
    </row>
    <row r="331" spans="9:10">
      <c r="I331" s="61"/>
      <c r="J331" s="62"/>
    </row>
    <row r="332" spans="9:10">
      <c r="I332" s="61"/>
      <c r="J332" s="62"/>
    </row>
    <row r="333" spans="9:10">
      <c r="I333" s="61"/>
      <c r="J333" s="62"/>
    </row>
    <row r="334" spans="9:10">
      <c r="I334" s="61"/>
      <c r="J334" s="62"/>
    </row>
    <row r="335" spans="9:10">
      <c r="I335" s="61"/>
      <c r="J335" s="62"/>
    </row>
    <row r="336" spans="9:10">
      <c r="I336" s="61"/>
      <c r="J336" s="62"/>
    </row>
    <row r="337" spans="9:10">
      <c r="I337" s="61"/>
      <c r="J337" s="62"/>
    </row>
    <row r="338" spans="9:10">
      <c r="I338" s="61"/>
      <c r="J338" s="62"/>
    </row>
    <row r="339" spans="9:10">
      <c r="I339" s="61"/>
      <c r="J339" s="62"/>
    </row>
    <row r="340" spans="9:10">
      <c r="I340" s="61"/>
      <c r="J340" s="62"/>
    </row>
    <row r="341" spans="9:10">
      <c r="I341" s="61"/>
      <c r="J341" s="62"/>
    </row>
    <row r="342" spans="9:10">
      <c r="I342" s="61"/>
      <c r="J342" s="62"/>
    </row>
    <row r="343" spans="9:10">
      <c r="I343" s="61"/>
      <c r="J343" s="62"/>
    </row>
    <row r="344" spans="9:10">
      <c r="I344" s="61"/>
      <c r="J344" s="62"/>
    </row>
    <row r="345" spans="9:10">
      <c r="I345" s="61"/>
      <c r="J345" s="62"/>
    </row>
    <row r="346" spans="9:10">
      <c r="I346" s="61"/>
      <c r="J346" s="62"/>
    </row>
    <row r="347" spans="9:10">
      <c r="I347" s="61"/>
      <c r="J347" s="62"/>
    </row>
    <row r="348" spans="9:10">
      <c r="I348" s="61"/>
      <c r="J348" s="62"/>
    </row>
    <row r="349" spans="9:10">
      <c r="I349" s="61"/>
      <c r="J349" s="62"/>
    </row>
    <row r="350" spans="9:10">
      <c r="I350" s="61"/>
      <c r="J350" s="62"/>
    </row>
    <row r="351" spans="9:10">
      <c r="I351" s="61"/>
      <c r="J351" s="62"/>
    </row>
    <row r="352" spans="9:10">
      <c r="I352" s="61"/>
      <c r="J352" s="62"/>
    </row>
    <row r="353" spans="9:10">
      <c r="I353" s="61"/>
      <c r="J353" s="62"/>
    </row>
    <row r="354" spans="9:10">
      <c r="I354" s="61"/>
      <c r="J354" s="62"/>
    </row>
    <row r="355" spans="9:10">
      <c r="I355" s="61"/>
      <c r="J355" s="62"/>
    </row>
    <row r="356" spans="9:10">
      <c r="I356" s="61"/>
      <c r="J356" s="62"/>
    </row>
    <row r="357" spans="9:10">
      <c r="I357" s="61"/>
      <c r="J357" s="62"/>
    </row>
    <row r="358" spans="9:10">
      <c r="I358" s="61"/>
      <c r="J358" s="62"/>
    </row>
    <row r="359" spans="9:10">
      <c r="I359" s="61"/>
      <c r="J359" s="62"/>
    </row>
    <row r="360" spans="9:10">
      <c r="I360" s="61"/>
      <c r="J360" s="62"/>
    </row>
    <row r="361" spans="9:10">
      <c r="I361" s="61"/>
      <c r="J361" s="62"/>
    </row>
    <row r="362" spans="9:10">
      <c r="I362" s="61"/>
      <c r="J362" s="62"/>
    </row>
    <row r="363" spans="9:10">
      <c r="I363" s="61"/>
      <c r="J363" s="62"/>
    </row>
    <row r="364" spans="9:10">
      <c r="I364" s="61"/>
      <c r="J364" s="62"/>
    </row>
    <row r="365" spans="9:10">
      <c r="I365" s="61"/>
      <c r="J365" s="62"/>
    </row>
    <row r="366" spans="9:10">
      <c r="I366" s="61"/>
      <c r="J366" s="62"/>
    </row>
    <row r="367" spans="9:10">
      <c r="I367" s="61"/>
      <c r="J367" s="62"/>
    </row>
    <row r="368" spans="9:10">
      <c r="I368" s="61"/>
      <c r="J368" s="62"/>
    </row>
    <row r="369" spans="9:10">
      <c r="I369" s="61"/>
      <c r="J369" s="62"/>
    </row>
    <row r="370" spans="9:10">
      <c r="I370" s="61"/>
      <c r="J370" s="62"/>
    </row>
    <row r="371" spans="9:10">
      <c r="I371" s="61"/>
      <c r="J371" s="62"/>
    </row>
    <row r="372" spans="9:10">
      <c r="I372" s="61"/>
      <c r="J372" s="62"/>
    </row>
    <row r="373" spans="9:10">
      <c r="I373" s="61"/>
      <c r="J373" s="62"/>
    </row>
    <row r="374" spans="9:10">
      <c r="I374" s="61"/>
      <c r="J374" s="62"/>
    </row>
    <row r="375" spans="9:10">
      <c r="I375" s="61"/>
      <c r="J375" s="62"/>
    </row>
    <row r="376" spans="9:10">
      <c r="I376" s="61"/>
      <c r="J376" s="62"/>
    </row>
    <row r="377" spans="9:10">
      <c r="I377" s="61"/>
      <c r="J377" s="62"/>
    </row>
    <row r="378" spans="9:10">
      <c r="I378" s="61"/>
      <c r="J378" s="62"/>
    </row>
    <row r="379" spans="9:10">
      <c r="I379" s="61"/>
      <c r="J379" s="62"/>
    </row>
    <row r="380" spans="9:10">
      <c r="I380" s="61"/>
      <c r="J380" s="62"/>
    </row>
    <row r="381" spans="9:10">
      <c r="I381" s="61"/>
      <c r="J381" s="62"/>
    </row>
    <row r="382" spans="9:10">
      <c r="I382" s="61"/>
      <c r="J382" s="62"/>
    </row>
    <row r="383" spans="9:10">
      <c r="I383" s="61"/>
      <c r="J383" s="62"/>
    </row>
    <row r="384" spans="9:10">
      <c r="I384" s="61"/>
      <c r="J384" s="62"/>
    </row>
    <row r="385" spans="9:10">
      <c r="I385" s="61"/>
      <c r="J385" s="62"/>
    </row>
    <row r="386" spans="9:10">
      <c r="I386" s="61"/>
      <c r="J386" s="62"/>
    </row>
    <row r="387" spans="9:10">
      <c r="I387" s="61"/>
      <c r="J387" s="62"/>
    </row>
    <row r="388" spans="9:10">
      <c r="I388" s="61"/>
      <c r="J388" s="62"/>
    </row>
    <row r="389" spans="9:10">
      <c r="I389" s="61"/>
      <c r="J389" s="62"/>
    </row>
    <row r="390" spans="9:10">
      <c r="I390" s="61"/>
      <c r="J390" s="62"/>
    </row>
    <row r="391" spans="9:10">
      <c r="I391" s="61"/>
      <c r="J391" s="62"/>
    </row>
    <row r="392" spans="9:10">
      <c r="I392" s="61"/>
      <c r="J392" s="62"/>
    </row>
    <row r="393" spans="9:10">
      <c r="I393" s="61"/>
      <c r="J393" s="62"/>
    </row>
    <row r="394" spans="9:10">
      <c r="I394" s="61"/>
      <c r="J394" s="62"/>
    </row>
    <row r="395" spans="9:10">
      <c r="I395" s="61"/>
      <c r="J395" s="62"/>
    </row>
    <row r="396" spans="9:10">
      <c r="I396" s="61"/>
      <c r="J396" s="62"/>
    </row>
    <row r="397" spans="9:10">
      <c r="I397" s="61"/>
      <c r="J397" s="62"/>
    </row>
    <row r="398" spans="9:10">
      <c r="I398" s="61"/>
      <c r="J398" s="62"/>
    </row>
    <row r="399" spans="9:10">
      <c r="I399" s="61"/>
      <c r="J399" s="62"/>
    </row>
    <row r="400" spans="9:10">
      <c r="I400" s="61"/>
      <c r="J400" s="62"/>
    </row>
    <row r="401" spans="9:10">
      <c r="I401" s="61"/>
      <c r="J401" s="62"/>
    </row>
    <row r="402" spans="9:10">
      <c r="I402" s="61"/>
      <c r="J402" s="62"/>
    </row>
    <row r="403" spans="9:10">
      <c r="I403" s="61"/>
      <c r="J403" s="62"/>
    </row>
    <row r="404" spans="9:10">
      <c r="I404" s="61"/>
      <c r="J404" s="62"/>
    </row>
    <row r="405" spans="9:10">
      <c r="I405" s="61"/>
      <c r="J405" s="62"/>
    </row>
    <row r="406" spans="9:10">
      <c r="I406" s="61"/>
      <c r="J406" s="62"/>
    </row>
    <row r="407" spans="9:10">
      <c r="I407" s="61"/>
      <c r="J407" s="62"/>
    </row>
    <row r="408" spans="9:10">
      <c r="I408" s="61"/>
      <c r="J408" s="62"/>
    </row>
    <row r="409" spans="9:10">
      <c r="I409" s="61"/>
      <c r="J409" s="62"/>
    </row>
    <row r="410" spans="9:10">
      <c r="I410" s="61"/>
      <c r="J410" s="62"/>
    </row>
    <row r="411" spans="9:10">
      <c r="I411" s="61"/>
      <c r="J411" s="62"/>
    </row>
    <row r="412" spans="9:10">
      <c r="I412" s="61"/>
      <c r="J412" s="62"/>
    </row>
    <row r="413" spans="9:10">
      <c r="I413" s="61"/>
      <c r="J413" s="62"/>
    </row>
    <row r="414" spans="9:10">
      <c r="I414" s="61"/>
      <c r="J414" s="62"/>
    </row>
    <row r="415" spans="9:10">
      <c r="I415" s="61"/>
      <c r="J415" s="62"/>
    </row>
    <row r="416" spans="9:10">
      <c r="I416" s="61"/>
      <c r="J416" s="62"/>
    </row>
    <row r="417" spans="9:10">
      <c r="I417" s="61"/>
      <c r="J417" s="62"/>
    </row>
    <row r="418" spans="9:10">
      <c r="I418" s="61"/>
      <c r="J418" s="62"/>
    </row>
    <row r="419" spans="9:10">
      <c r="I419" s="61"/>
      <c r="J419" s="62"/>
    </row>
    <row r="420" spans="9:10">
      <c r="I420" s="61"/>
      <c r="J420" s="62"/>
    </row>
    <row r="421" spans="9:10">
      <c r="I421" s="61"/>
      <c r="J421" s="62"/>
    </row>
    <row r="422" spans="9:10">
      <c r="I422" s="61"/>
      <c r="J422" s="62"/>
    </row>
    <row r="423" spans="9:10">
      <c r="I423" s="61"/>
      <c r="J423" s="62"/>
    </row>
    <row r="424" spans="9:10">
      <c r="I424" s="61"/>
      <c r="J424" s="62"/>
    </row>
    <row r="425" spans="9:10">
      <c r="I425" s="61"/>
      <c r="J425" s="62"/>
    </row>
    <row r="426" spans="9:10">
      <c r="I426" s="61"/>
      <c r="J426" s="62"/>
    </row>
    <row r="427" spans="9:10">
      <c r="I427" s="61"/>
      <c r="J427" s="62"/>
    </row>
    <row r="428" spans="9:10">
      <c r="I428" s="61"/>
      <c r="J428" s="62"/>
    </row>
    <row r="429" spans="9:10">
      <c r="I429" s="61"/>
      <c r="J429" s="62"/>
    </row>
    <row r="430" spans="9:10">
      <c r="I430" s="61"/>
      <c r="J430" s="62"/>
    </row>
    <row r="431" spans="9:10">
      <c r="I431" s="61"/>
      <c r="J431" s="62"/>
    </row>
    <row r="432" spans="9:10">
      <c r="I432" s="61"/>
      <c r="J432" s="62"/>
    </row>
    <row r="433" spans="9:10">
      <c r="I433" s="61"/>
      <c r="J433" s="62"/>
    </row>
    <row r="434" spans="9:10">
      <c r="I434" s="61"/>
      <c r="J434" s="62"/>
    </row>
    <row r="435" spans="9:10">
      <c r="I435" s="61"/>
      <c r="J435" s="62"/>
    </row>
    <row r="436" spans="9:10">
      <c r="I436" s="61"/>
      <c r="J436" s="62"/>
    </row>
    <row r="437" spans="9:10">
      <c r="I437" s="61"/>
      <c r="J437" s="62"/>
    </row>
    <row r="438" spans="9:10">
      <c r="I438" s="61"/>
      <c r="J438" s="62"/>
    </row>
    <row r="439" spans="9:10">
      <c r="I439" s="61"/>
      <c r="J439" s="62"/>
    </row>
    <row r="440" spans="9:10">
      <c r="I440" s="61"/>
      <c r="J440" s="62"/>
    </row>
    <row r="441" spans="9:10">
      <c r="I441" s="61"/>
      <c r="J441" s="62"/>
    </row>
    <row r="442" spans="9:10">
      <c r="I442" s="61"/>
      <c r="J442" s="62"/>
    </row>
    <row r="443" spans="9:10">
      <c r="I443" s="61"/>
      <c r="J443" s="62"/>
    </row>
    <row r="444" spans="9:10">
      <c r="I444" s="61"/>
      <c r="J444" s="62"/>
    </row>
    <row r="445" spans="9:10">
      <c r="I445" s="61"/>
      <c r="J445" s="62"/>
    </row>
    <row r="446" spans="9:10">
      <c r="I446" s="61"/>
      <c r="J446" s="62"/>
    </row>
    <row r="447" spans="9:10">
      <c r="I447" s="61"/>
      <c r="J447" s="62"/>
    </row>
    <row r="448" spans="9:10">
      <c r="I448" s="61"/>
      <c r="J448" s="62"/>
    </row>
    <row r="449" spans="9:10">
      <c r="I449" s="61"/>
      <c r="J449" s="62"/>
    </row>
    <row r="450" spans="9:10">
      <c r="I450" s="61"/>
      <c r="J450" s="62"/>
    </row>
    <row r="451" spans="9:10">
      <c r="I451" s="61"/>
      <c r="J451" s="62"/>
    </row>
    <row r="452" spans="9:10">
      <c r="I452" s="61"/>
      <c r="J452" s="62"/>
    </row>
    <row r="453" spans="9:10">
      <c r="I453" s="61"/>
      <c r="J453" s="62"/>
    </row>
    <row r="454" spans="9:10">
      <c r="I454" s="61"/>
      <c r="J454" s="62"/>
    </row>
    <row r="455" spans="9:10">
      <c r="I455" s="61"/>
      <c r="J455" s="62"/>
    </row>
    <row r="456" spans="9:10">
      <c r="I456" s="61"/>
      <c r="J456" s="62"/>
    </row>
    <row r="457" spans="9:10">
      <c r="I457" s="61"/>
      <c r="J457" s="62"/>
    </row>
    <row r="458" spans="9:10">
      <c r="I458" s="61"/>
      <c r="J458" s="62"/>
    </row>
    <row r="459" spans="9:10">
      <c r="I459" s="61"/>
      <c r="J459" s="62"/>
    </row>
    <row r="460" spans="9:10">
      <c r="I460" s="61"/>
      <c r="J460" s="62"/>
    </row>
    <row r="461" spans="9:10">
      <c r="I461" s="61"/>
      <c r="J461" s="62"/>
    </row>
    <row r="462" spans="9:10">
      <c r="I462" s="61"/>
      <c r="J462" s="62"/>
    </row>
    <row r="463" spans="9:10">
      <c r="I463" s="61"/>
      <c r="J463" s="62"/>
    </row>
    <row r="464" spans="9:10">
      <c r="I464" s="61"/>
      <c r="J464" s="62"/>
    </row>
    <row r="465" spans="9:10">
      <c r="I465" s="61"/>
      <c r="J465" s="62"/>
    </row>
    <row r="466" spans="9:10">
      <c r="I466" s="61"/>
      <c r="J466" s="62"/>
    </row>
    <row r="467" spans="9:10">
      <c r="I467" s="61"/>
      <c r="J467" s="62"/>
    </row>
    <row r="468" spans="9:10">
      <c r="I468" s="61"/>
      <c r="J468" s="62"/>
    </row>
    <row r="469" spans="9:10">
      <c r="I469" s="61"/>
      <c r="J469" s="62"/>
    </row>
    <row r="470" spans="9:10">
      <c r="I470" s="61"/>
      <c r="J470" s="62"/>
    </row>
    <row r="471" spans="9:10">
      <c r="I471" s="61"/>
      <c r="J471" s="62"/>
    </row>
    <row r="472" spans="9:10">
      <c r="I472" s="61"/>
      <c r="J472" s="62"/>
    </row>
    <row r="473" spans="9:10">
      <c r="I473" s="61"/>
      <c r="J473" s="62"/>
    </row>
    <row r="474" spans="9:10">
      <c r="I474" s="61"/>
      <c r="J474" s="62"/>
    </row>
    <row r="475" spans="9:10">
      <c r="I475" s="61"/>
      <c r="J475" s="62"/>
    </row>
    <row r="476" spans="9:10">
      <c r="I476" s="61"/>
      <c r="J476" s="62"/>
    </row>
    <row r="477" spans="9:10">
      <c r="I477" s="61"/>
      <c r="J477" s="62"/>
    </row>
    <row r="478" spans="9:10">
      <c r="I478" s="61"/>
      <c r="J478" s="62"/>
    </row>
    <row r="479" spans="9:10">
      <c r="I479" s="61"/>
      <c r="J479" s="62"/>
    </row>
    <row r="480" spans="9:10">
      <c r="I480" s="61"/>
      <c r="J480" s="62"/>
    </row>
    <row r="481" spans="9:10">
      <c r="I481" s="61"/>
      <c r="J481" s="62"/>
    </row>
    <row r="482" spans="9:10">
      <c r="I482" s="61"/>
      <c r="J482" s="62"/>
    </row>
    <row r="483" spans="9:10">
      <c r="I483" s="61"/>
      <c r="J483" s="62"/>
    </row>
    <row r="484" spans="9:10">
      <c r="I484" s="61"/>
      <c r="J484" s="62"/>
    </row>
    <row r="485" spans="9:10">
      <c r="I485" s="61"/>
      <c r="J485" s="62"/>
    </row>
    <row r="486" spans="9:10">
      <c r="I486" s="61"/>
      <c r="J486" s="62"/>
    </row>
    <row r="487" spans="9:10">
      <c r="I487" s="61"/>
      <c r="J487" s="62"/>
    </row>
    <row r="488" spans="9:10">
      <c r="I488" s="61"/>
      <c r="J488" s="62"/>
    </row>
    <row r="489" spans="9:10">
      <c r="I489" s="61"/>
      <c r="J489" s="62"/>
    </row>
    <row r="490" spans="9:10">
      <c r="I490" s="61"/>
      <c r="J490" s="62"/>
    </row>
    <row r="491" spans="9:10">
      <c r="I491" s="61"/>
      <c r="J491" s="62"/>
    </row>
    <row r="492" spans="9:10">
      <c r="I492" s="61"/>
      <c r="J492" s="62"/>
    </row>
    <row r="493" spans="9:10">
      <c r="I493" s="61"/>
      <c r="J493" s="62"/>
    </row>
    <row r="494" spans="9:10">
      <c r="I494" s="61"/>
      <c r="J494" s="62"/>
    </row>
    <row r="495" spans="9:10">
      <c r="I495" s="61"/>
      <c r="J495" s="62"/>
    </row>
    <row r="496" spans="9:10">
      <c r="I496" s="61"/>
      <c r="J496" s="62"/>
    </row>
    <row r="497" spans="9:10">
      <c r="I497" s="61"/>
      <c r="J497" s="62"/>
    </row>
    <row r="498" spans="9:10">
      <c r="I498" s="61"/>
      <c r="J498" s="62"/>
    </row>
    <row r="499" spans="9:10">
      <c r="I499" s="61"/>
      <c r="J499" s="62"/>
    </row>
    <row r="500" spans="9:10">
      <c r="I500" s="61"/>
      <c r="J500" s="62"/>
    </row>
    <row r="501" spans="9:10">
      <c r="I501" s="61"/>
      <c r="J501" s="62"/>
    </row>
    <row r="502" spans="9:10">
      <c r="I502" s="61"/>
      <c r="J502" s="62"/>
    </row>
    <row r="503" spans="9:10">
      <c r="I503" s="61"/>
      <c r="J503" s="62"/>
    </row>
    <row r="504" spans="9:10">
      <c r="I504" s="61"/>
      <c r="J504" s="62"/>
    </row>
    <row r="505" spans="9:10">
      <c r="I505" s="61"/>
      <c r="J505" s="62"/>
    </row>
    <row r="506" spans="9:10">
      <c r="I506" s="61"/>
      <c r="J506" s="62"/>
    </row>
    <row r="507" spans="9:10">
      <c r="I507" s="61"/>
      <c r="J507" s="62"/>
    </row>
    <row r="508" spans="9:10">
      <c r="I508" s="61"/>
      <c r="J508" s="62"/>
    </row>
    <row r="509" spans="9:10">
      <c r="I509" s="61"/>
      <c r="J509" s="62"/>
    </row>
    <row r="510" spans="9:10">
      <c r="I510" s="61"/>
      <c r="J510" s="62"/>
    </row>
    <row r="511" spans="9:10">
      <c r="I511" s="61"/>
      <c r="J511" s="62"/>
    </row>
    <row r="512" spans="9:10">
      <c r="I512" s="61"/>
      <c r="J512" s="62"/>
    </row>
    <row r="513" spans="9:10">
      <c r="I513" s="61"/>
      <c r="J513" s="62"/>
    </row>
    <row r="514" spans="9:10">
      <c r="I514" s="61"/>
      <c r="J514" s="62"/>
    </row>
    <row r="515" spans="9:10">
      <c r="I515" s="61"/>
      <c r="J515" s="62"/>
    </row>
    <row r="516" spans="9:10">
      <c r="I516" s="61"/>
      <c r="J516" s="62"/>
    </row>
    <row r="517" spans="9:10">
      <c r="I517" s="61"/>
      <c r="J517" s="62"/>
    </row>
    <row r="518" spans="9:10">
      <c r="I518" s="61"/>
      <c r="J518" s="62"/>
    </row>
    <row r="519" spans="9:10">
      <c r="I519" s="61"/>
      <c r="J519" s="62"/>
    </row>
    <row r="520" spans="9:10">
      <c r="I520" s="61"/>
      <c r="J520" s="62"/>
    </row>
    <row r="521" spans="9:10">
      <c r="I521" s="61"/>
      <c r="J521" s="62"/>
    </row>
    <row r="522" spans="9:10">
      <c r="I522" s="61"/>
      <c r="J522" s="62"/>
    </row>
    <row r="523" spans="9:10">
      <c r="I523" s="61"/>
      <c r="J523" s="62"/>
    </row>
    <row r="524" spans="9:10">
      <c r="I524" s="61"/>
      <c r="J524" s="62"/>
    </row>
    <row r="525" spans="9:10">
      <c r="I525" s="61"/>
      <c r="J525" s="62"/>
    </row>
    <row r="526" spans="9:10">
      <c r="I526" s="61"/>
      <c r="J526" s="62"/>
    </row>
    <row r="527" spans="9:10">
      <c r="I527" s="61"/>
      <c r="J527" s="62"/>
    </row>
    <row r="528" spans="9:10">
      <c r="I528" s="61"/>
      <c r="J528" s="62"/>
    </row>
    <row r="529" spans="9:10">
      <c r="I529" s="61"/>
      <c r="J529" s="62"/>
    </row>
    <row r="530" spans="9:10">
      <c r="I530" s="61"/>
      <c r="J530" s="62"/>
    </row>
    <row r="531" spans="9:10">
      <c r="I531" s="61"/>
      <c r="J531" s="62"/>
    </row>
    <row r="532" spans="9:10">
      <c r="I532" s="61"/>
      <c r="J532" s="62"/>
    </row>
    <row r="533" spans="9:10">
      <c r="I533" s="61"/>
      <c r="J533" s="62"/>
    </row>
    <row r="534" spans="9:10">
      <c r="I534" s="61"/>
      <c r="J534" s="62"/>
    </row>
    <row r="535" spans="9:10">
      <c r="I535" s="61"/>
      <c r="J535" s="62"/>
    </row>
    <row r="536" spans="9:10">
      <c r="I536" s="61"/>
      <c r="J536" s="62"/>
    </row>
    <row r="537" spans="9:10">
      <c r="I537" s="61"/>
      <c r="J537" s="62"/>
    </row>
    <row r="538" spans="9:10">
      <c r="I538" s="61"/>
      <c r="J538" s="62"/>
    </row>
    <row r="539" spans="9:10">
      <c r="I539" s="61"/>
      <c r="J539" s="62"/>
    </row>
    <row r="540" spans="9:10">
      <c r="I540" s="61"/>
      <c r="J540" s="62"/>
    </row>
    <row r="541" spans="9:10">
      <c r="I541" s="61"/>
      <c r="J541" s="62"/>
    </row>
    <row r="542" spans="9:10">
      <c r="I542" s="61"/>
      <c r="J542" s="62"/>
    </row>
    <row r="543" spans="9:10">
      <c r="I543" s="61"/>
      <c r="J543" s="62"/>
    </row>
    <row r="544" spans="9:10">
      <c r="I544" s="61"/>
      <c r="J544" s="62"/>
    </row>
    <row r="545" spans="9:10">
      <c r="I545" s="61"/>
      <c r="J545" s="62"/>
    </row>
    <row r="546" spans="9:10">
      <c r="I546" s="61"/>
      <c r="J546" s="62"/>
    </row>
    <row r="547" spans="9:10">
      <c r="I547" s="61"/>
      <c r="J547" s="62"/>
    </row>
    <row r="548" spans="9:10">
      <c r="I548" s="61"/>
      <c r="J548" s="62"/>
    </row>
    <row r="549" spans="9:10">
      <c r="I549" s="61"/>
      <c r="J549" s="62"/>
    </row>
    <row r="550" spans="9:10">
      <c r="I550" s="61"/>
      <c r="J550" s="62"/>
    </row>
    <row r="551" spans="9:10">
      <c r="I551" s="61"/>
      <c r="J551" s="62"/>
    </row>
    <row r="552" spans="9:10">
      <c r="I552" s="61"/>
      <c r="J552" s="62"/>
    </row>
    <row r="553" spans="9:10">
      <c r="I553" s="61"/>
      <c r="J553" s="62"/>
    </row>
    <row r="554" spans="9:10">
      <c r="I554" s="61"/>
      <c r="J554" s="62"/>
    </row>
    <row r="555" spans="9:10">
      <c r="I555" s="61"/>
      <c r="J555" s="62"/>
    </row>
    <row r="556" spans="9:10">
      <c r="I556" s="61"/>
      <c r="J556" s="62"/>
    </row>
    <row r="557" spans="9:10">
      <c r="I557" s="61"/>
      <c r="J557" s="62"/>
    </row>
    <row r="558" spans="9:10">
      <c r="I558" s="61"/>
      <c r="J558" s="62"/>
    </row>
    <row r="559" spans="9:10">
      <c r="I559" s="61"/>
      <c r="J559" s="62"/>
    </row>
    <row r="560" spans="9:10">
      <c r="I560" s="61"/>
      <c r="J560" s="62"/>
    </row>
    <row r="561" spans="9:10">
      <c r="I561" s="61"/>
      <c r="J561" s="62"/>
    </row>
    <row r="562" spans="9:10">
      <c r="I562" s="61"/>
      <c r="J562" s="62"/>
    </row>
    <row r="563" spans="9:10">
      <c r="I563" s="61"/>
      <c r="J563" s="62"/>
    </row>
    <row r="564" spans="9:10">
      <c r="I564" s="61"/>
      <c r="J564" s="62"/>
    </row>
    <row r="565" spans="9:10">
      <c r="I565" s="61"/>
      <c r="J565" s="62"/>
    </row>
    <row r="566" spans="9:10">
      <c r="I566" s="61"/>
      <c r="J566" s="62"/>
    </row>
    <row r="567" spans="9:10">
      <c r="I567" s="61"/>
      <c r="J567" s="62"/>
    </row>
    <row r="568" spans="9:10">
      <c r="I568" s="61"/>
      <c r="J568" s="62"/>
    </row>
    <row r="569" spans="9:10">
      <c r="I569" s="61"/>
      <c r="J569" s="62"/>
    </row>
    <row r="570" spans="9:10">
      <c r="I570" s="61"/>
      <c r="J570" s="62"/>
    </row>
    <row r="571" spans="9:10">
      <c r="I571" s="61"/>
      <c r="J571" s="62"/>
    </row>
    <row r="572" spans="9:10">
      <c r="I572" s="61"/>
      <c r="J572" s="62"/>
    </row>
    <row r="573" spans="9:10">
      <c r="I573" s="61"/>
      <c r="J573" s="62"/>
    </row>
    <row r="574" spans="9:10">
      <c r="I574" s="61"/>
      <c r="J574" s="62"/>
    </row>
    <row r="575" spans="9:10">
      <c r="I575" s="61"/>
      <c r="J575" s="62"/>
    </row>
    <row r="576" spans="9:10">
      <c r="I576" s="61"/>
      <c r="J576" s="62"/>
    </row>
    <row r="577" spans="9:10">
      <c r="I577" s="61"/>
      <c r="J577" s="62"/>
    </row>
    <row r="578" spans="9:10">
      <c r="I578" s="61"/>
      <c r="J578" s="62"/>
    </row>
    <row r="579" spans="9:10">
      <c r="I579" s="61"/>
      <c r="J579" s="62"/>
    </row>
    <row r="580" spans="9:10">
      <c r="I580" s="61"/>
      <c r="J580" s="62"/>
    </row>
    <row r="581" spans="9:10">
      <c r="I581" s="61"/>
      <c r="J581" s="62"/>
    </row>
    <row r="582" spans="9:10">
      <c r="I582" s="61"/>
      <c r="J582" s="62"/>
    </row>
    <row r="583" spans="9:10">
      <c r="I583" s="61"/>
      <c r="J583" s="62"/>
    </row>
    <row r="584" spans="9:10">
      <c r="I584" s="61"/>
      <c r="J584" s="62"/>
    </row>
    <row r="585" spans="9:10">
      <c r="I585" s="61"/>
      <c r="J585" s="62"/>
    </row>
    <row r="586" spans="9:10">
      <c r="I586" s="61"/>
      <c r="J586" s="62"/>
    </row>
    <row r="587" spans="9:10">
      <c r="I587" s="61"/>
      <c r="J587" s="62"/>
    </row>
    <row r="588" spans="9:10">
      <c r="I588" s="61"/>
      <c r="J588" s="62"/>
    </row>
    <row r="589" spans="9:10">
      <c r="I589" s="61"/>
      <c r="J589" s="62"/>
    </row>
    <row r="590" spans="9:10">
      <c r="I590" s="61"/>
      <c r="J590" s="62"/>
    </row>
    <row r="591" spans="9:10">
      <c r="I591" s="61"/>
      <c r="J591" s="62"/>
    </row>
    <row r="592" spans="9:10">
      <c r="I592" s="61"/>
      <c r="J592" s="62"/>
    </row>
    <row r="593" spans="9:10">
      <c r="I593" s="61"/>
      <c r="J593" s="62"/>
    </row>
    <row r="594" spans="9:10">
      <c r="I594" s="61"/>
      <c r="J594" s="62"/>
    </row>
    <row r="595" spans="9:10">
      <c r="I595" s="61"/>
      <c r="J595" s="62"/>
    </row>
    <row r="596" spans="9:10">
      <c r="I596" s="61"/>
      <c r="J596" s="62"/>
    </row>
    <row r="597" spans="9:10">
      <c r="I597" s="61"/>
      <c r="J597" s="62"/>
    </row>
    <row r="598" spans="9:10">
      <c r="I598" s="61"/>
      <c r="J598" s="62"/>
    </row>
    <row r="599" spans="9:10">
      <c r="I599" s="61"/>
      <c r="J599" s="62"/>
    </row>
    <row r="600" spans="9:10">
      <c r="I600" s="61"/>
      <c r="J600" s="62"/>
    </row>
    <row r="601" spans="9:10">
      <c r="I601" s="61"/>
      <c r="J601" s="62"/>
    </row>
    <row r="602" spans="9:10">
      <c r="I602" s="61"/>
      <c r="J602" s="62"/>
    </row>
    <row r="603" spans="9:10">
      <c r="I603" s="61"/>
      <c r="J603" s="62"/>
    </row>
    <row r="604" spans="9:10">
      <c r="I604" s="61"/>
      <c r="J604" s="62"/>
    </row>
    <row r="605" spans="9:10">
      <c r="I605" s="61"/>
      <c r="J605" s="62"/>
    </row>
    <row r="606" spans="9:10">
      <c r="I606" s="61"/>
      <c r="J606" s="62"/>
    </row>
    <row r="607" spans="9:10">
      <c r="I607" s="61"/>
      <c r="J607" s="62"/>
    </row>
    <row r="608" spans="9:10">
      <c r="I608" s="61"/>
      <c r="J608" s="62"/>
    </row>
    <row r="609" spans="9:10">
      <c r="I609" s="61"/>
      <c r="J609" s="62"/>
    </row>
    <row r="610" spans="9:10">
      <c r="I610" s="61"/>
      <c r="J610" s="62"/>
    </row>
    <row r="611" spans="9:10">
      <c r="I611" s="61"/>
      <c r="J611" s="62"/>
    </row>
    <row r="612" spans="9:10">
      <c r="I612" s="61"/>
      <c r="J612" s="62"/>
    </row>
    <row r="613" spans="9:10">
      <c r="I613" s="61"/>
      <c r="J613" s="62"/>
    </row>
    <row r="614" spans="9:10">
      <c r="I614" s="61"/>
      <c r="J614" s="62"/>
    </row>
    <row r="615" spans="9:10">
      <c r="I615" s="61"/>
      <c r="J615" s="62"/>
    </row>
    <row r="616" spans="9:10">
      <c r="I616" s="61"/>
      <c r="J616" s="62"/>
    </row>
    <row r="617" spans="9:10">
      <c r="I617" s="61"/>
      <c r="J617" s="62"/>
    </row>
    <row r="618" spans="9:10">
      <c r="I618" s="61"/>
      <c r="J618" s="62"/>
    </row>
    <row r="619" spans="9:10">
      <c r="I619" s="61"/>
      <c r="J619" s="62"/>
    </row>
    <row r="620" spans="9:10">
      <c r="I620" s="61"/>
      <c r="J620" s="62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3"/>
  <dimension ref="A1:N58"/>
  <sheetViews>
    <sheetView showGridLines="0" topLeftCell="A25" workbookViewId="0">
      <selection activeCell="L9" sqref="L9"/>
    </sheetView>
  </sheetViews>
  <sheetFormatPr baseColWidth="10" defaultRowHeight="15"/>
  <cols>
    <col min="1" max="1" width="15.7109375" customWidth="1"/>
    <col min="2" max="2" width="22.5703125" hidden="1" customWidth="1"/>
    <col min="3" max="3" width="22.7109375" hidden="1" customWidth="1"/>
    <col min="4" max="4" width="25.7109375" customWidth="1"/>
    <col min="5" max="5" width="20.7109375" customWidth="1"/>
    <col min="6" max="8" width="16.7109375" customWidth="1"/>
    <col min="9" max="10" width="11.42578125" customWidth="1"/>
    <col min="11" max="11" width="11.42578125" hidden="1" customWidth="1"/>
  </cols>
  <sheetData>
    <row r="1" spans="1:14" ht="19.5" thickBot="1">
      <c r="A1" s="46" t="s">
        <v>51</v>
      </c>
      <c r="B1" s="46"/>
      <c r="C1" s="46"/>
      <c r="D1" s="46"/>
      <c r="E1" s="47" t="str">
        <f>"Année:  " &amp;Accueil!C18</f>
        <v>Année:  2017</v>
      </c>
      <c r="F1" s="48" t="str">
        <f>Accueil!D18</f>
        <v xml:space="preserve"> / 2018</v>
      </c>
      <c r="G1" s="47" t="s">
        <v>52</v>
      </c>
      <c r="H1" s="49">
        <f>SUM(K3:K97)</f>
        <v>36</v>
      </c>
      <c r="I1" s="50"/>
      <c r="J1" s="50"/>
    </row>
    <row r="2" spans="1:14" ht="16.5" thickBot="1">
      <c r="A2" s="51" t="s">
        <v>53</v>
      </c>
      <c r="B2" s="52"/>
      <c r="C2" s="52"/>
      <c r="D2" s="52" t="s">
        <v>54</v>
      </c>
      <c r="E2" s="52" t="s">
        <v>55</v>
      </c>
      <c r="F2" s="52" t="s">
        <v>56</v>
      </c>
      <c r="G2" s="53" t="s">
        <v>57</v>
      </c>
      <c r="H2" s="54" t="s">
        <v>58</v>
      </c>
      <c r="I2" s="55"/>
      <c r="J2" s="55"/>
    </row>
    <row r="3" spans="1:14" ht="15.75">
      <c r="A3" s="56"/>
      <c r="B3" s="57">
        <f>IF(ROW()-2&lt;=$K$3,ROW()-2,"")</f>
        <v>1</v>
      </c>
      <c r="C3" s="58">
        <f>IF(B3="","",$A$5)</f>
        <v>132</v>
      </c>
      <c r="D3" s="59" t="str">
        <f>IF(C3="","",INDEX(Tableaulistesenfants[Nom],MATCH(B3,Tableaulistesenfants[Séquence19],0),))</f>
        <v>CAYRE</v>
      </c>
      <c r="E3" s="59" t="str">
        <f>IF(C3="","",INDEX(Tableaulistesenfants[Prénom],MATCH(B3,Tableaulistesenfants[Séquence19],0),))</f>
        <v>Charlotte</v>
      </c>
      <c r="F3" s="58" t="str">
        <f>IF(C3="","",INDEX(Tableaulistesenfants[Classe],MATCH(B3,Tableaulistesenfants[Séquence19],0),))</f>
        <v>1e STAV</v>
      </c>
      <c r="G3" s="58" t="b">
        <f>IF(C3="","",INDEX(Tableaulistesenfants[Dimanche],MATCH(B3,Tableaulistesenfants[Séquence19],0),))</f>
        <v>0</v>
      </c>
      <c r="H3" s="60" t="b">
        <f>IF(C3="","",INDEX(Tableaulistesenfants[Mercredi],MATCH(B3,Tableaulistesenfants[Séquence19],0),))</f>
        <v>0</v>
      </c>
      <c r="I3" s="61"/>
      <c r="J3" s="62"/>
      <c r="K3" s="63">
        <f>SUM(Tableaulistesenfants[Occurrence18])</f>
        <v>4</v>
      </c>
    </row>
    <row r="4" spans="1:14" ht="15.75">
      <c r="A4" s="64"/>
      <c r="B4" s="65">
        <f>IF(ROW()-2&lt;=$K$3,ROW()-2,"")</f>
        <v>2</v>
      </c>
      <c r="C4" s="66">
        <f>IF(B4="","",$A$5)</f>
        <v>132</v>
      </c>
      <c r="D4" s="67" t="str">
        <f>IF(C4="","",INDEX(Tableaulistesenfants[Nom],MATCH(B4,Tableaulistesenfants[Séquence19],0),))</f>
        <v>COSTE</v>
      </c>
      <c r="E4" s="67" t="str">
        <f>IF(C4="","",INDEX(Tableaulistesenfants[Prénom],MATCH(B4,Tableaulistesenfants[Séquence19],0),))</f>
        <v>Laurine</v>
      </c>
      <c r="F4" s="66" t="str">
        <f>IF(C4="","",INDEX(Tableaulistesenfants[Classe],MATCH(B4,Tableaulistesenfants[Séquence19],0),))</f>
        <v>1e STAV</v>
      </c>
      <c r="G4" s="66" t="b">
        <f>IF(C4="","",INDEX(Tableaulistesenfants[Dimanche],MATCH(B4,Tableaulistesenfants[Séquence19],0),))</f>
        <v>0</v>
      </c>
      <c r="H4" s="68" t="b">
        <f>IF(C4="","",INDEX(Tableaulistesenfants[Mercredi],MATCH(B4,Tableaulistesenfants[Séquence19],0),))</f>
        <v>0</v>
      </c>
      <c r="I4" s="61"/>
      <c r="J4" s="62"/>
    </row>
    <row r="5" spans="1:14" ht="15.75">
      <c r="A5" s="69">
        <v>132</v>
      </c>
      <c r="B5" s="65">
        <f>IF(ROW()-2&lt;=$K$3,ROW()-2,"")</f>
        <v>3</v>
      </c>
      <c r="C5" s="66">
        <f>IF(B5="","",$A$5)</f>
        <v>132</v>
      </c>
      <c r="D5" s="67" t="str">
        <f>IF(C5="","",INDEX(Tableaulistesenfants[Nom],MATCH(B5,Tableaulistesenfants[Séquence19],0),))</f>
        <v>GARES</v>
      </c>
      <c r="E5" s="67" t="str">
        <f>IF(C5="","",INDEX(Tableaulistesenfants[Prénom],MATCH(B5,Tableaulistesenfants[Séquence19],0),))</f>
        <v>Lola</v>
      </c>
      <c r="F5" s="66" t="str">
        <f>IF(C5="","",INDEX(Tableaulistesenfants[Classe],MATCH(B5,Tableaulistesenfants[Séquence19],0),))</f>
        <v>2e CF</v>
      </c>
      <c r="G5" s="66" t="b">
        <f>IF(C5="","",INDEX(Tableaulistesenfants[Dimanche],MATCH(B5,Tableaulistesenfants[Séquence19],0),))</f>
        <v>0</v>
      </c>
      <c r="H5" s="68" t="b">
        <f>IF(C5="","",INDEX(Tableaulistesenfants[Mercredi],MATCH(B5,Tableaulistesenfants[Séquence19],0),))</f>
        <v>0</v>
      </c>
      <c r="I5" s="61"/>
      <c r="J5" s="62"/>
    </row>
    <row r="6" spans="1:14" ht="15.75">
      <c r="A6" s="64"/>
      <c r="B6" s="65">
        <f>IF(ROW()-2&lt;=$K$3,ROW()-2,"")</f>
        <v>4</v>
      </c>
      <c r="C6" s="66">
        <f>IF(B6="","",$A$5)</f>
        <v>132</v>
      </c>
      <c r="D6" s="67" t="str">
        <f>IF(C6="","",INDEX(Tableaulistesenfants[Nom],MATCH(B6,Tableaulistesenfants[Séquence19],0),))</f>
        <v>LACIPIERE</v>
      </c>
      <c r="E6" s="67" t="str">
        <f>IF(C6="","",INDEX(Tableaulistesenfants[Prénom],MATCH(B6,Tableaulistesenfants[Séquence19],0),))</f>
        <v>Lucia</v>
      </c>
      <c r="F6" s="66" t="str">
        <f>IF(C6="","",INDEX(Tableaulistesenfants[Classe],MATCH(B6,Tableaulistesenfants[Séquence19],0),))</f>
        <v>2e CF</v>
      </c>
      <c r="G6" s="66" t="b">
        <f>IF(C6="","",INDEX(Tableaulistesenfants[Dimanche],MATCH(B6,Tableaulistesenfants[Séquence19],0),))</f>
        <v>0</v>
      </c>
      <c r="H6" s="68" t="b">
        <f>IF(C6="","",INDEX(Tableaulistesenfants[Mercredi],MATCH(B6,Tableaulistesenfants[Séquence19],0),))</f>
        <v>0</v>
      </c>
      <c r="I6" s="61"/>
      <c r="J6" s="62"/>
    </row>
    <row r="7" spans="1:14" ht="16.5" thickBot="1">
      <c r="A7" s="70"/>
      <c r="B7" s="71" t="str">
        <f>IF(ROW()-2&lt;=$K$3,ROW()-2,"")</f>
        <v/>
      </c>
      <c r="C7" s="72" t="str">
        <f>IF(B7="","",$A$5)</f>
        <v/>
      </c>
      <c r="D7" s="73" t="str">
        <f>IF(C7="","",INDEX(Tableaulistesenfants[Nom],MATCH(B7,Tableaulistesenfants[Séquence19],0),))</f>
        <v/>
      </c>
      <c r="E7" s="73" t="str">
        <f>IF(C7="","",INDEX(Tableaulistesenfants[Prénom],MATCH(B7,Tableaulistesenfants[Séquence19],0),))</f>
        <v/>
      </c>
      <c r="F7" s="72" t="str">
        <f>IF(C7="","",INDEX(Tableaulistesenfants[Classe],MATCH(B7,Tableaulistesenfants[Séquence19],0),))</f>
        <v/>
      </c>
      <c r="G7" s="72" t="str">
        <f>IF(C7="","",INDEX(Tableaulistesenfants[Dimanche],MATCH(B7,Tableaulistesenfants[Séquence19],0),))</f>
        <v/>
      </c>
      <c r="H7" s="74" t="str">
        <f>IF(C7="","",INDEX(Tableaulistesenfants[Mercredi],MATCH(B7,Tableaulistesenfants[Séquence19],0),))</f>
        <v/>
      </c>
      <c r="I7" s="61"/>
      <c r="J7" s="62"/>
    </row>
    <row r="8" spans="1:14" ht="16.5" thickBot="1">
      <c r="A8" s="75"/>
      <c r="B8" s="75"/>
      <c r="C8" s="75"/>
      <c r="D8" s="76"/>
      <c r="E8" s="76"/>
      <c r="F8" s="77"/>
      <c r="G8" s="78"/>
      <c r="H8" s="79"/>
      <c r="I8" s="61"/>
      <c r="J8" s="7"/>
      <c r="K8" s="7"/>
      <c r="L8" s="7"/>
      <c r="M8" s="7"/>
      <c r="N8" s="7"/>
    </row>
    <row r="9" spans="1:14" ht="15.75">
      <c r="A9" s="56"/>
      <c r="B9" s="57">
        <f>IF(ROW()-8&lt;=$K$9,ROW()-8,"")</f>
        <v>1</v>
      </c>
      <c r="C9" s="58">
        <f>IF(B9="","",$A$11)</f>
        <v>133</v>
      </c>
      <c r="D9" s="59" t="str">
        <f>IF(C9="","",INDEX(Tableaulistesenfants[Nom],MATCH(B9,Tableaulistesenfants[Séquence20],0),))</f>
        <v>CANTALOUBE</v>
      </c>
      <c r="E9" s="59" t="str">
        <f>IF(C9="","",INDEX(Tableaulistesenfants[Prénom],MATCH(B9,Tableaulistesenfants[Séquence20],0),))</f>
        <v>Maeva</v>
      </c>
      <c r="F9" s="58" t="str">
        <f>IF(C9="","",INDEX(Tableaulistesenfants[Classe],MATCH(B9,Tableaulistesenfants[Séquence20],0),))</f>
        <v>2e GT</v>
      </c>
      <c r="G9" s="58" t="b">
        <f>IF(C9="","",INDEX(Tableaulistesenfants[Dimanche],MATCH(B9,Tableaulistesenfants[Séquence20],0),))</f>
        <v>0</v>
      </c>
      <c r="H9" s="60" t="b">
        <f>IF(C9="","",INDEX(Tableaulistesenfants[Mercredi],MATCH(B9,Tableaulistesenfants[Séquence20],0),))</f>
        <v>0</v>
      </c>
      <c r="I9" s="61"/>
      <c r="K9" s="63">
        <f>SUM(Tableaulistesenfants[Occurrence19])</f>
        <v>4</v>
      </c>
    </row>
    <row r="10" spans="1:14" ht="15.75">
      <c r="A10" s="64"/>
      <c r="B10" s="65">
        <f>IF(ROW()-8&lt;=$K$9,ROW()-8,"")</f>
        <v>2</v>
      </c>
      <c r="C10" s="66">
        <f>IF(B10="","",$A$11)</f>
        <v>133</v>
      </c>
      <c r="D10" s="67" t="str">
        <f>IF(C10="","",INDEX(Tableaulistesenfants[Nom],MATCH(B10,Tableaulistesenfants[Séquence20],0),))</f>
        <v>CARDON</v>
      </c>
      <c r="E10" s="67" t="str">
        <f>IF(C10="","",INDEX(Tableaulistesenfants[Prénom],MATCH(B10,Tableaulistesenfants[Séquence20],0),))</f>
        <v>Alicia</v>
      </c>
      <c r="F10" s="66" t="str">
        <f>IF(C10="","",INDEX(Tableaulistesenfants[Classe],MATCH(B10,Tableaulistesenfants[Séquence20],0),))</f>
        <v>2e GT</v>
      </c>
      <c r="G10" s="66" t="b">
        <f>IF(C10="","",INDEX(Tableaulistesenfants[Dimanche],MATCH(B10,Tableaulistesenfants[Séquence20],0),))</f>
        <v>0</v>
      </c>
      <c r="H10" s="68" t="b">
        <f>IF(C10="","",INDEX(Tableaulistesenfants[Mercredi],MATCH(B10,Tableaulistesenfants[Séquence20],0),))</f>
        <v>1</v>
      </c>
      <c r="I10" s="61"/>
    </row>
    <row r="11" spans="1:14" ht="15.75">
      <c r="A11" s="69">
        <v>133</v>
      </c>
      <c r="B11" s="65">
        <f>IF(ROW()-8&lt;=$K$9,ROW()-8,"")</f>
        <v>3</v>
      </c>
      <c r="C11" s="66">
        <f>IF(B11="","",$A$11)</f>
        <v>133</v>
      </c>
      <c r="D11" s="67" t="str">
        <f>IF(C11="","",INDEX(Tableaulistesenfants[Nom],MATCH(B11,Tableaulistesenfants[Séquence20],0),))</f>
        <v>VIGUIE</v>
      </c>
      <c r="E11" s="67" t="str">
        <f>IF(C11="","",INDEX(Tableaulistesenfants[Prénom],MATCH(B11,Tableaulistesenfants[Séquence20],0),))</f>
        <v>Clara</v>
      </c>
      <c r="F11" s="66" t="str">
        <f>IF(C11="","",INDEX(Tableaulistesenfants[Classe],MATCH(B11,Tableaulistesenfants[Séquence20],0),))</f>
        <v>2e GT</v>
      </c>
      <c r="G11" s="66" t="b">
        <f>IF(C11="","",INDEX(Tableaulistesenfants[Dimanche],MATCH(B11,Tableaulistesenfants[Séquence20],0),))</f>
        <v>0</v>
      </c>
      <c r="H11" s="68" t="b">
        <f>IF(C11="","",INDEX(Tableaulistesenfants[Mercredi],MATCH(B11,Tableaulistesenfants[Séquence20],0),))</f>
        <v>1</v>
      </c>
      <c r="I11" s="61"/>
      <c r="L11" s="174"/>
      <c r="M11" s="174"/>
      <c r="N11" s="174"/>
    </row>
    <row r="12" spans="1:14" ht="15.75">
      <c r="A12" s="64"/>
      <c r="B12" s="65">
        <f>IF(ROW()-8&lt;=$K$9,ROW()-8,"")</f>
        <v>4</v>
      </c>
      <c r="C12" s="66">
        <f>IF(B12="","",$A$11)</f>
        <v>133</v>
      </c>
      <c r="D12" s="67" t="str">
        <f>IF(C12="","",INDEX(Tableaulistesenfants[Nom],MATCH(B12,Tableaulistesenfants[Séquence20],0),))</f>
        <v>VIGUIER</v>
      </c>
      <c r="E12" s="67" t="str">
        <f>IF(C12="","",INDEX(Tableaulistesenfants[Prénom],MATCH(B12,Tableaulistesenfants[Séquence20],0),))</f>
        <v>Morgane</v>
      </c>
      <c r="F12" s="66" t="str">
        <f>IF(C12="","",INDEX(Tableaulistesenfants[Classe],MATCH(B12,Tableaulistesenfants[Séquence20],0),))</f>
        <v>2e GT</v>
      </c>
      <c r="G12" s="66" t="b">
        <f>IF(C12="","",INDEX(Tableaulistesenfants[Dimanche],MATCH(B12,Tableaulistesenfants[Séquence20],0),))</f>
        <v>0</v>
      </c>
      <c r="H12" s="68" t="b">
        <f>IF(C12="","",INDEX(Tableaulistesenfants[Mercredi],MATCH(B12,Tableaulistesenfants[Séquence20],0),))</f>
        <v>0</v>
      </c>
      <c r="I12" s="61"/>
      <c r="L12" s="174"/>
      <c r="M12" s="174"/>
      <c r="N12" s="174"/>
    </row>
    <row r="13" spans="1:14" ht="16.5" thickBot="1">
      <c r="A13" s="70"/>
      <c r="B13" s="71" t="str">
        <f>IF(ROW()-8&lt;=$K$9,ROW()-8,"")</f>
        <v/>
      </c>
      <c r="C13" s="72" t="str">
        <f>IF(B13="","",$A$11)</f>
        <v/>
      </c>
      <c r="D13" s="73" t="str">
        <f>IF(C13="","",INDEX(Tableaulistesenfants[Nom],MATCH(B13,Tableaulistesenfants[Séquence20],0),))</f>
        <v/>
      </c>
      <c r="E13" s="73" t="str">
        <f>IF(C13="","",INDEX(Tableaulistesenfants[Prénom],MATCH(B13,Tableaulistesenfants[Séquence20],0),))</f>
        <v/>
      </c>
      <c r="F13" s="72" t="str">
        <f>IF(C13="","",INDEX(Tableaulistesenfants[Classe],MATCH(B13,Tableaulistesenfants[Séquence20],0),))</f>
        <v/>
      </c>
      <c r="G13" s="72" t="str">
        <f>IF(C13="","",INDEX(Tableaulistesenfants[Dimanche],MATCH(B13,Tableaulistesenfants[Séquence20],0),))</f>
        <v/>
      </c>
      <c r="H13" s="74" t="str">
        <f>IF(C13="","",INDEX(Tableaulistesenfants[Mercredi],MATCH(B13,Tableaulistesenfants[Séquence20],0),))</f>
        <v/>
      </c>
      <c r="I13" s="61"/>
    </row>
    <row r="14" spans="1:14" ht="16.5" thickBot="1">
      <c r="A14" s="75"/>
      <c r="B14" s="75"/>
      <c r="C14" s="75"/>
      <c r="D14" s="80"/>
      <c r="E14" s="80"/>
      <c r="F14" s="81"/>
      <c r="G14" s="78"/>
      <c r="H14" s="79"/>
      <c r="I14" s="61"/>
      <c r="J14" s="26"/>
    </row>
    <row r="15" spans="1:14" ht="15.75">
      <c r="A15" s="82"/>
      <c r="B15" s="57">
        <f>IF(ROW()-14&lt;=$K$15,ROW()-14,"")</f>
        <v>1</v>
      </c>
      <c r="C15" s="58">
        <f>IF(B15="","",$A$17)</f>
        <v>134</v>
      </c>
      <c r="D15" s="59" t="str">
        <f>IF(C15="","",INDEX(Tableaulistesenfants[Nom],MATCH(B15,Tableaulistesenfants[Séquence21],0),))</f>
        <v>BESSE</v>
      </c>
      <c r="E15" s="59" t="str">
        <f>IF(C15="","",INDEX(Tableaulistesenfants[Prénom],MATCH(B15,Tableaulistesenfants[Séquence21],0),))</f>
        <v>Nadège</v>
      </c>
      <c r="F15" s="58" t="str">
        <f>IF(C15="","",INDEX(Tableaulistesenfants[Classe],MATCH(B15,Tableaulistesenfants[Séquence21],0),))</f>
        <v>1e CGEA</v>
      </c>
      <c r="G15" s="58" t="b">
        <f>IF(C15="","",INDEX(Tableaulistesenfants[Dimanche],MATCH(B15,Tableaulistesenfants[Séquence21],0),))</f>
        <v>0</v>
      </c>
      <c r="H15" s="60" t="b">
        <f>IF(C15="","",INDEX(Tableaulistesenfants[Mercredi],MATCH(B15,Tableaulistesenfants[Séquence21],0),))</f>
        <v>0</v>
      </c>
      <c r="I15" s="61"/>
      <c r="J15" s="62"/>
      <c r="K15" s="63">
        <f>SUM(Tableaulistesenfants[Occurrence20])</f>
        <v>4</v>
      </c>
    </row>
    <row r="16" spans="1:14" ht="15.75">
      <c r="A16" s="69"/>
      <c r="B16" s="65">
        <f>IF(ROW()-14&lt;=$K$15,ROW()-14,"")</f>
        <v>2</v>
      </c>
      <c r="C16" s="66">
        <f>IF(B16="","",$A$17)</f>
        <v>134</v>
      </c>
      <c r="D16" s="67" t="str">
        <f>IF(C16="","",INDEX(Tableaulistesenfants[Nom],MATCH(B16,Tableaulistesenfants[Séquence21],0),))</f>
        <v>DELMAS</v>
      </c>
      <c r="E16" s="67" t="str">
        <f>IF(C16="","",INDEX(Tableaulistesenfants[Prénom],MATCH(B16,Tableaulistesenfants[Séquence21],0),))</f>
        <v>Océane</v>
      </c>
      <c r="F16" s="66" t="str">
        <f>IF(C16="","",INDEX(Tableaulistesenfants[Classe],MATCH(B16,Tableaulistesenfants[Séquence21],0),))</f>
        <v>Term STAV</v>
      </c>
      <c r="G16" s="66" t="b">
        <f>IF(C16="","",INDEX(Tableaulistesenfants[Dimanche],MATCH(B16,Tableaulistesenfants[Séquence21],0),))</f>
        <v>0</v>
      </c>
      <c r="H16" s="68" t="b">
        <f>IF(C16="","",INDEX(Tableaulistesenfants[Mercredi],MATCH(B16,Tableaulistesenfants[Séquence21],0),))</f>
        <v>1</v>
      </c>
      <c r="I16" s="61"/>
      <c r="J16" s="62"/>
    </row>
    <row r="17" spans="1:11" ht="15.75">
      <c r="A17" s="69">
        <v>134</v>
      </c>
      <c r="B17" s="65">
        <f>IF(ROW()-14&lt;=$K$15,ROW()-14,"")</f>
        <v>3</v>
      </c>
      <c r="C17" s="66">
        <f>IF(B17="","",$A$17)</f>
        <v>134</v>
      </c>
      <c r="D17" s="67" t="str">
        <f>IF(C17="","",INDEX(Tableaulistesenfants[Nom],MATCH(B17,Tableaulistesenfants[Séquence21],0),))</f>
        <v>PICILI</v>
      </c>
      <c r="E17" s="67" t="str">
        <f>IF(C17="","",INDEX(Tableaulistesenfants[Prénom],MATCH(B17,Tableaulistesenfants[Séquence21],0),))</f>
        <v>Marie</v>
      </c>
      <c r="F17" s="66" t="str">
        <f>IF(C17="","",INDEX(Tableaulistesenfants[Classe],MATCH(B17,Tableaulistesenfants[Séquence21],0),))</f>
        <v>1e CGEA</v>
      </c>
      <c r="G17" s="66" t="b">
        <f>IF(C17="","",INDEX(Tableaulistesenfants[Dimanche],MATCH(B17,Tableaulistesenfants[Séquence21],0),))</f>
        <v>0</v>
      </c>
      <c r="H17" s="68" t="b">
        <f>IF(C17="","",INDEX(Tableaulistesenfants[Mercredi],MATCH(B17,Tableaulistesenfants[Séquence21],0),))</f>
        <v>0</v>
      </c>
      <c r="I17" s="61"/>
      <c r="J17" s="62"/>
    </row>
    <row r="18" spans="1:11" ht="15.75">
      <c r="A18" s="69"/>
      <c r="B18" s="65">
        <f>IF(ROW()-14&lt;=$K$15,ROW()-14,"")</f>
        <v>4</v>
      </c>
      <c r="C18" s="66">
        <f>IF(B18="","",$A$17)</f>
        <v>134</v>
      </c>
      <c r="D18" s="67" t="str">
        <f>IF(C18="","",INDEX(Tableaulistesenfants[Nom],MATCH(B18,Tableaulistesenfants[Séquence21],0),))</f>
        <v>RODES</v>
      </c>
      <c r="E18" s="67" t="str">
        <f>IF(C18="","",INDEX(Tableaulistesenfants[Prénom],MATCH(B18,Tableaulistesenfants[Séquence21],0),))</f>
        <v>Lea</v>
      </c>
      <c r="F18" s="66" t="str">
        <f>IF(C18="","",INDEX(Tableaulistesenfants[Classe],MATCH(B18,Tableaulistesenfants[Séquence21],0),))</f>
        <v>1e CGEA</v>
      </c>
      <c r="G18" s="66" t="b">
        <f>IF(C18="","",INDEX(Tableaulistesenfants[Dimanche],MATCH(B18,Tableaulistesenfants[Séquence21],0),))</f>
        <v>0</v>
      </c>
      <c r="H18" s="68" t="b">
        <f>IF(C18="","",INDEX(Tableaulistesenfants[Mercredi],MATCH(B18,Tableaulistesenfants[Séquence21],0),))</f>
        <v>0</v>
      </c>
      <c r="I18" s="61"/>
      <c r="J18" s="62"/>
    </row>
    <row r="19" spans="1:11" ht="16.5" thickBot="1">
      <c r="A19" s="83"/>
      <c r="B19" s="71" t="str">
        <f>IF(ROW()-14&lt;=$K$15,ROW()-14,"")</f>
        <v/>
      </c>
      <c r="C19" s="72" t="str">
        <f>IF(B19="","",$A$17)</f>
        <v/>
      </c>
      <c r="D19" s="73" t="str">
        <f>IF(C19="","",INDEX(Tableaulistesenfants[Nom],MATCH(B19,Tableaulistesenfants[Séquence21],0),))</f>
        <v/>
      </c>
      <c r="E19" s="73" t="str">
        <f>IF(C19="","",INDEX(Tableaulistesenfants[Prénom],MATCH(B19,Tableaulistesenfants[Séquence21],0),))</f>
        <v/>
      </c>
      <c r="F19" s="72" t="str">
        <f>IF(C19="","",INDEX(Tableaulistesenfants[Classe],MATCH(B19,Tableaulistesenfants[Séquence21],0),))</f>
        <v/>
      </c>
      <c r="G19" s="72" t="str">
        <f>IF(C19="","",INDEX(Tableaulistesenfants[Dimanche],MATCH(B19,Tableaulistesenfants[Séquence21],0),))</f>
        <v/>
      </c>
      <c r="H19" s="74" t="str">
        <f>IF(C19="","",INDEX(Tableaulistesenfants[Mercredi],MATCH(B19,Tableaulistesenfants[Séquence21],0),))</f>
        <v/>
      </c>
      <c r="I19" s="61"/>
      <c r="J19" s="62"/>
    </row>
    <row r="20" spans="1:11" ht="16.5" thickBot="1">
      <c r="A20" s="75"/>
      <c r="B20" s="75"/>
      <c r="C20" s="75"/>
      <c r="D20" s="80"/>
      <c r="E20" s="80"/>
      <c r="F20" s="81"/>
      <c r="G20" s="78"/>
      <c r="H20" s="79"/>
      <c r="I20" s="61"/>
      <c r="J20" s="62"/>
      <c r="K20" s="78"/>
    </row>
    <row r="21" spans="1:11" ht="15.75">
      <c r="A21" s="82"/>
      <c r="B21" s="57">
        <f>IF(ROW()-20&lt;=$K$21,ROW()-20,"")</f>
        <v>1</v>
      </c>
      <c r="C21" s="58">
        <f>IF(B21="","",$A$23)</f>
        <v>141</v>
      </c>
      <c r="D21" s="59" t="str">
        <f>IF(C21="","",INDEX(Tableaulistesenfants[Nom],MATCH(B21,Tableaulistesenfants[Séquence22],0),))</f>
        <v>BOULAROT</v>
      </c>
      <c r="E21" s="59" t="str">
        <f>IF(C21="","",INDEX(Tableaulistesenfants[Prénom],MATCH(B21,Tableaulistesenfants[Séquence22],0),))</f>
        <v>Inès</v>
      </c>
      <c r="F21" s="58" t="str">
        <f>IF(C21="","",INDEX(Tableaulistesenfants[Classe],MATCH(B21,Tableaulistesenfants[Séquence22],0),))</f>
        <v>2e CF</v>
      </c>
      <c r="G21" s="58" t="b">
        <f>IF(C21="","",INDEX(Tableaulistesenfants[Dimanche],MATCH(B21,Tableaulistesenfants[Séquence22],0),))</f>
        <v>0</v>
      </c>
      <c r="H21" s="60" t="b">
        <f>IF(C21="","",INDEX(Tableaulistesenfants[Mercredi],MATCH(B21,Tableaulistesenfants[Séquence22],0),))</f>
        <v>0</v>
      </c>
      <c r="I21" s="61"/>
      <c r="J21" s="62"/>
      <c r="K21" s="63">
        <f>SUM(Tableaulistesenfants[Occurrence21])</f>
        <v>4</v>
      </c>
    </row>
    <row r="22" spans="1:11" ht="15.75">
      <c r="A22" s="69"/>
      <c r="B22" s="65">
        <f>IF(ROW()-20&lt;=$K$21,ROW()-20,"")</f>
        <v>2</v>
      </c>
      <c r="C22" s="66">
        <f>IF(B22="","",$A$23)</f>
        <v>141</v>
      </c>
      <c r="D22" s="67" t="str">
        <f>IF(C22="","",INDEX(Tableaulistesenfants[Nom],MATCH(B22,Tableaulistesenfants[Séquence22],0),))</f>
        <v>DESPIERRE</v>
      </c>
      <c r="E22" s="67" t="str">
        <f>IF(C22="","",INDEX(Tableaulistesenfants[Prénom],MATCH(B22,Tableaulistesenfants[Séquence22],0),))</f>
        <v>Lorinda</v>
      </c>
      <c r="F22" s="66" t="str">
        <f>IF(C22="","",INDEX(Tableaulistesenfants[Classe],MATCH(B22,Tableaulistesenfants[Séquence22],0),))</f>
        <v>2e CF</v>
      </c>
      <c r="G22" s="66" t="b">
        <f>IF(C22="","",INDEX(Tableaulistesenfants[Dimanche],MATCH(B22,Tableaulistesenfants[Séquence22],0),))</f>
        <v>0</v>
      </c>
      <c r="H22" s="68" t="b">
        <f>IF(C22="","",INDEX(Tableaulistesenfants[Mercredi],MATCH(B22,Tableaulistesenfants[Séquence22],0),))</f>
        <v>0</v>
      </c>
      <c r="I22" s="61"/>
      <c r="J22" s="62"/>
    </row>
    <row r="23" spans="1:11" ht="15.75">
      <c r="A23" s="69">
        <v>141</v>
      </c>
      <c r="B23" s="65">
        <f>IF(ROW()-20&lt;=$K$21,ROW()-20,"")</f>
        <v>3</v>
      </c>
      <c r="C23" s="66">
        <f>IF(B23="","",$A$23)</f>
        <v>141</v>
      </c>
      <c r="D23" s="67" t="str">
        <f>IF(C23="","",INDEX(Tableaulistesenfants[Nom],MATCH(B23,Tableaulistesenfants[Séquence22],0),))</f>
        <v>MONTEIRO</v>
      </c>
      <c r="E23" s="67" t="str">
        <f>IF(C23="","",INDEX(Tableaulistesenfants[Prénom],MATCH(B23,Tableaulistesenfants[Séquence22],0),))</f>
        <v>Eulalie</v>
      </c>
      <c r="F23" s="66" t="str">
        <f>IF(C23="","",INDEX(Tableaulistesenfants[Classe],MATCH(B23,Tableaulistesenfants[Séquence22],0),))</f>
        <v>2e TCVA</v>
      </c>
      <c r="G23" s="66" t="b">
        <f>IF(C23="","",INDEX(Tableaulistesenfants[Dimanche],MATCH(B23,Tableaulistesenfants[Séquence22],0),))</f>
        <v>0</v>
      </c>
      <c r="H23" s="68" t="b">
        <f>IF(C23="","",INDEX(Tableaulistesenfants[Mercredi],MATCH(B23,Tableaulistesenfants[Séquence22],0),))</f>
        <v>0</v>
      </c>
      <c r="I23" s="61"/>
      <c r="J23" s="62"/>
    </row>
    <row r="24" spans="1:11" ht="15.75">
      <c r="A24" s="69"/>
      <c r="B24" s="65">
        <f>IF(ROW()-20&lt;=$K$21,ROW()-20,"")</f>
        <v>4</v>
      </c>
      <c r="C24" s="66">
        <f>IF(B24="","",$A$23)</f>
        <v>141</v>
      </c>
      <c r="D24" s="67" t="str">
        <f>IF(C24="","",INDEX(Tableaulistesenfants[Nom],MATCH(B24,Tableaulistesenfants[Séquence22],0),))</f>
        <v>POURCEL</v>
      </c>
      <c r="E24" s="67" t="str">
        <f>IF(C24="","",INDEX(Tableaulistesenfants[Prénom],MATCH(B24,Tableaulistesenfants[Séquence22],0),))</f>
        <v>Elise</v>
      </c>
      <c r="F24" s="66" t="str">
        <f>IF(C24="","",INDEX(Tableaulistesenfants[Classe],MATCH(B24,Tableaulistesenfants[Séquence22],0),))</f>
        <v>2e TCVA</v>
      </c>
      <c r="G24" s="66" t="b">
        <f>IF(C24="","",INDEX(Tableaulistesenfants[Dimanche],MATCH(B24,Tableaulistesenfants[Séquence22],0),))</f>
        <v>0</v>
      </c>
      <c r="H24" s="68" t="b">
        <f>IF(C24="","",INDEX(Tableaulistesenfants[Mercredi],MATCH(B24,Tableaulistesenfants[Séquence22],0),))</f>
        <v>1</v>
      </c>
      <c r="I24" s="61"/>
      <c r="J24" s="62"/>
    </row>
    <row r="25" spans="1:11" ht="16.5" thickBot="1">
      <c r="A25" s="83"/>
      <c r="B25" s="71" t="str">
        <f>IF(ROW()-20&lt;=$K$21,ROW()-20,"")</f>
        <v/>
      </c>
      <c r="C25" s="72" t="str">
        <f>IF(B25="","",$A$23)</f>
        <v/>
      </c>
      <c r="D25" s="73" t="str">
        <f>IF(C25="","",INDEX(Tableaulistesenfants[Nom],MATCH(B25,Tableaulistesenfants[Séquence22],0),))</f>
        <v/>
      </c>
      <c r="E25" s="73" t="str">
        <f>IF(C25="","",INDEX(Tableaulistesenfants[Prénom],MATCH(B25,Tableaulistesenfants[Séquence22],0),))</f>
        <v/>
      </c>
      <c r="F25" s="72" t="str">
        <f>IF(C25="","",INDEX(Tableaulistesenfants[Classe],MATCH(B25,Tableaulistesenfants[Séquence22],0),))</f>
        <v/>
      </c>
      <c r="G25" s="72" t="str">
        <f>IF(C25="","",INDEX(Tableaulistesenfants[Dimanche],MATCH(B25,Tableaulistesenfants[Séquence22],0),))</f>
        <v/>
      </c>
      <c r="H25" s="74" t="str">
        <f>IF(C25="","",INDEX(Tableaulistesenfants[Mercredi],MATCH(B25,Tableaulistesenfants[Séquence22],0),))</f>
        <v/>
      </c>
      <c r="I25" s="61"/>
      <c r="J25" s="62"/>
    </row>
    <row r="26" spans="1:11" ht="16.5" thickBot="1">
      <c r="A26" s="75"/>
      <c r="B26" s="75"/>
      <c r="C26" s="75"/>
      <c r="D26" s="80"/>
      <c r="E26" s="80"/>
      <c r="F26" s="81"/>
      <c r="G26" s="78"/>
      <c r="H26" s="79"/>
      <c r="I26" s="61"/>
      <c r="J26" s="62"/>
      <c r="K26" s="78"/>
    </row>
    <row r="27" spans="1:11" ht="15.75">
      <c r="A27" s="82"/>
      <c r="B27" s="57">
        <f>IF(ROW()-26&lt;=$K$27,ROW()-26,"")</f>
        <v>1</v>
      </c>
      <c r="C27" s="84">
        <f>IF(B27="","",$A$29)</f>
        <v>149</v>
      </c>
      <c r="D27" s="85" t="str">
        <f>IF(C27="","",INDEX(Tableaulistesenfants[Nom],MATCH(B27,Tableaulistesenfants[Séquence23],0),))</f>
        <v>HECQUET</v>
      </c>
      <c r="E27" s="59" t="str">
        <f>IF(C27="","",INDEX(Tableaulistesenfants[Prénom],MATCH(B27,Tableaulistesenfants[Séquence23],0),))</f>
        <v>Anaïs</v>
      </c>
      <c r="F27" s="58" t="str">
        <f>IF(C27="","",INDEX(Tableaulistesenfants[Classe],MATCH(B27,Tableaulistesenfants[Séquence23],0),))</f>
        <v>1e TCVA</v>
      </c>
      <c r="G27" s="58" t="b">
        <f>IF(C27="","",INDEX(Tableaulistesenfants[Dimanche],MATCH(B27,Tableaulistesenfants[Séquence23],0),))</f>
        <v>0</v>
      </c>
      <c r="H27" s="60" t="b">
        <f>IF(C27="","",INDEX(Tableaulistesenfants[Mercredi],MATCH(B27,Tableaulistesenfants[Séquence23],0),))</f>
        <v>0</v>
      </c>
      <c r="I27" s="61"/>
      <c r="J27" s="62"/>
      <c r="K27" s="63">
        <f>SUM(Tableaulistesenfants[Occurrence22])</f>
        <v>4</v>
      </c>
    </row>
    <row r="28" spans="1:11" ht="15.75">
      <c r="A28" s="69"/>
      <c r="B28" s="65">
        <f>IF(ROW()-26&lt;=$K$27,ROW()-26,"")</f>
        <v>2</v>
      </c>
      <c r="C28" s="86">
        <f>IF(B28="","",$A$29)</f>
        <v>149</v>
      </c>
      <c r="D28" s="87" t="str">
        <f>IF(C28="","",INDEX(Tableaulistesenfants[Nom],MATCH(B28,Tableaulistesenfants[Séquence23],0),))</f>
        <v>JOUCLAS</v>
      </c>
      <c r="E28" s="67" t="str">
        <f>IF(C28="","",INDEX(Tableaulistesenfants[Prénom],MATCH(B28,Tableaulistesenfants[Séquence23],0),))</f>
        <v>Jade</v>
      </c>
      <c r="F28" s="66" t="str">
        <f>IF(C28="","",INDEX(Tableaulistesenfants[Classe],MATCH(B28,Tableaulistesenfants[Séquence23],0),))</f>
        <v>1e TCVA</v>
      </c>
      <c r="G28" s="66" t="b">
        <f>IF(C28="","",INDEX(Tableaulistesenfants[Dimanche],MATCH(B28,Tableaulistesenfants[Séquence23],0),))</f>
        <v>0</v>
      </c>
      <c r="H28" s="68" t="b">
        <f>IF(C28="","",INDEX(Tableaulistesenfants[Mercredi],MATCH(B28,Tableaulistesenfants[Séquence23],0),))</f>
        <v>1</v>
      </c>
      <c r="I28" s="61"/>
      <c r="J28" s="62"/>
    </row>
    <row r="29" spans="1:11" ht="15.75">
      <c r="A29" s="69">
        <v>149</v>
      </c>
      <c r="B29" s="65">
        <f>IF(ROW()-26&lt;=$K$27,ROW()-26,"")</f>
        <v>3</v>
      </c>
      <c r="C29" s="86">
        <f>IF(B29="","",$A$29)</f>
        <v>149</v>
      </c>
      <c r="D29" s="87" t="str">
        <f>IF(C29="","",INDEX(Tableaulistesenfants[Nom],MATCH(B29,Tableaulistesenfants[Séquence23],0),))</f>
        <v>MARCADE</v>
      </c>
      <c r="E29" s="67" t="str">
        <f>IF(C29="","",INDEX(Tableaulistesenfants[Prénom],MATCH(B29,Tableaulistesenfants[Séquence23],0),))</f>
        <v>Solène</v>
      </c>
      <c r="F29" s="66" t="str">
        <f>IF(C29="","",INDEX(Tableaulistesenfants[Classe],MATCH(B29,Tableaulistesenfants[Séquence23],0),))</f>
        <v>1e TCVA</v>
      </c>
      <c r="G29" s="66" t="b">
        <f>IF(C29="","",INDEX(Tableaulistesenfants[Dimanche],MATCH(B29,Tableaulistesenfants[Séquence23],0),))</f>
        <v>0</v>
      </c>
      <c r="H29" s="68" t="b">
        <f>IF(C29="","",INDEX(Tableaulistesenfants[Mercredi],MATCH(B29,Tableaulistesenfants[Séquence23],0),))</f>
        <v>0</v>
      </c>
      <c r="I29" s="61"/>
      <c r="J29" s="62"/>
    </row>
    <row r="30" spans="1:11" ht="15.75">
      <c r="A30" s="69"/>
      <c r="B30" s="65">
        <f>IF(ROW()-26&lt;=$K$27,ROW()-26,"")</f>
        <v>4</v>
      </c>
      <c r="C30" s="86">
        <f>IF(B30="","",$A$29)</f>
        <v>149</v>
      </c>
      <c r="D30" s="87" t="str">
        <f>IF(C30="","",INDEX(Tableaulistesenfants[Nom],MATCH(B30,Tableaulistesenfants[Séquence23],0),))</f>
        <v>VERDELET</v>
      </c>
      <c r="E30" s="67" t="str">
        <f>IF(C30="","",INDEX(Tableaulistesenfants[Prénom],MATCH(B30,Tableaulistesenfants[Séquence23],0),))</f>
        <v>Laura</v>
      </c>
      <c r="F30" s="66" t="str">
        <f>IF(C30="","",INDEX(Tableaulistesenfants[Classe],MATCH(B30,Tableaulistesenfants[Séquence23],0),))</f>
        <v>1e TCVA</v>
      </c>
      <c r="G30" s="66" t="b">
        <f>IF(C30="","",INDEX(Tableaulistesenfants[Dimanche],MATCH(B30,Tableaulistesenfants[Séquence23],0),))</f>
        <v>0</v>
      </c>
      <c r="H30" s="68" t="b">
        <f>IF(C30="","",INDEX(Tableaulistesenfants[Mercredi],MATCH(B30,Tableaulistesenfants[Séquence23],0),))</f>
        <v>1</v>
      </c>
      <c r="I30" s="61"/>
      <c r="J30" s="62"/>
    </row>
    <row r="31" spans="1:11" ht="16.5" thickBot="1">
      <c r="A31" s="83"/>
      <c r="B31" s="71" t="str">
        <f>IF(ROW()-26&lt;=$K$27,ROW()-26,"")</f>
        <v/>
      </c>
      <c r="C31" s="88" t="str">
        <f>IF(B31="","",$A$29)</f>
        <v/>
      </c>
      <c r="D31" s="89" t="str">
        <f>IF(C31="","",INDEX(Tableaulistesenfants[Nom],MATCH(B31,Tableaulistesenfants[Séquence23],0),))</f>
        <v/>
      </c>
      <c r="E31" s="73" t="str">
        <f>IF(C31="","",INDEX(Tableaulistesenfants[Prénom],MATCH(B31,Tableaulistesenfants[Séquence23],0),))</f>
        <v/>
      </c>
      <c r="F31" s="72" t="str">
        <f>IF(C31="","",INDEX(Tableaulistesenfants[Classe],MATCH(B31,Tableaulistesenfants[Séquence23],0),))</f>
        <v/>
      </c>
      <c r="G31" s="72" t="str">
        <f>IF(C31="","",INDEX(Tableaulistesenfants[Dimanche],MATCH(B31,Tableaulistesenfants[Séquence23],0),))</f>
        <v/>
      </c>
      <c r="H31" s="74" t="str">
        <f>IF(C31="","",INDEX(Tableaulistesenfants[Mercredi],MATCH(B31,Tableaulistesenfants[Séquence23],0),))</f>
        <v/>
      </c>
      <c r="I31" s="61"/>
      <c r="J31" s="62"/>
    </row>
    <row r="32" spans="1:11" ht="16.5" thickBot="1">
      <c r="A32" s="75"/>
      <c r="B32" s="75"/>
      <c r="C32" s="75"/>
      <c r="D32" s="80"/>
      <c r="E32" s="80"/>
      <c r="F32" s="90" t="str">
        <f>IF(C32="","",INDEX(Tableaulistesenfants[Classe],MATCH(B32,Tableaulistesenfants[Séquence7],0),))</f>
        <v/>
      </c>
      <c r="G32" s="78"/>
      <c r="H32" s="79"/>
      <c r="I32" s="61"/>
      <c r="J32" s="62"/>
      <c r="K32" s="78"/>
    </row>
    <row r="33" spans="1:11" ht="15.75">
      <c r="A33" s="82"/>
      <c r="B33" s="57">
        <f>IF(ROW()-32&lt;=$K$33,ROW()-32,"")</f>
        <v>1</v>
      </c>
      <c r="C33" s="58">
        <f>IF(B33="","",$A$35)</f>
        <v>142</v>
      </c>
      <c r="D33" s="59" t="str">
        <f>IF(C33="","",INDEX(Tableaulistesenfants[Nom],MATCH(B33,Tableaulistesenfants[Séquence24],0),))</f>
        <v>CARROZZA</v>
      </c>
      <c r="E33" s="59" t="str">
        <f>IF(C33="","",INDEX(Tableaulistesenfants[Prénom],MATCH(B33,Tableaulistesenfants[Séquence24],0),))</f>
        <v>Chloé</v>
      </c>
      <c r="F33" s="58" t="str">
        <f>IF(C33="","",INDEX(Tableaulistesenfants[Classe],MATCH(B33,Tableaulistesenfants[Séquence24],0),))</f>
        <v>1e CGEA</v>
      </c>
      <c r="G33" s="58" t="b">
        <f>IF(C33="","",INDEX(Tableaulistesenfants[Dimanche],MATCH(B33,Tableaulistesenfants[Séquence24],0),))</f>
        <v>0</v>
      </c>
      <c r="H33" s="60" t="b">
        <f>IF(C33="","",INDEX(Tableaulistesenfants[Mercredi],MATCH(B33,Tableaulistesenfants[Séquence24],0),))</f>
        <v>0</v>
      </c>
      <c r="I33" s="61"/>
      <c r="J33" s="62"/>
      <c r="K33" s="63">
        <f>SUM(Tableaulistesenfants[Occurrence23])</f>
        <v>4</v>
      </c>
    </row>
    <row r="34" spans="1:11" ht="15.75">
      <c r="A34" s="69"/>
      <c r="B34" s="65">
        <f>IF(ROW()-32&lt;=$K$33,ROW()-32,"")</f>
        <v>2</v>
      </c>
      <c r="C34" s="66">
        <f>IF(B34="","",$A$35)</f>
        <v>142</v>
      </c>
      <c r="D34" s="67" t="str">
        <f>IF(C34="","",INDEX(Tableaulistesenfants[Nom],MATCH(B34,Tableaulistesenfants[Séquence24],0),))</f>
        <v>DECROS</v>
      </c>
      <c r="E34" s="67" t="str">
        <f>IF(C34="","",INDEX(Tableaulistesenfants[Prénom],MATCH(B34,Tableaulistesenfants[Séquence24],0),))</f>
        <v>Julianne</v>
      </c>
      <c r="F34" s="66" t="str">
        <f>IF(C34="","",INDEX(Tableaulistesenfants[Classe],MATCH(B34,Tableaulistesenfants[Séquence24],0),))</f>
        <v>1e CGEA</v>
      </c>
      <c r="G34" s="66" t="b">
        <f>IF(C34="","",INDEX(Tableaulistesenfants[Dimanche],MATCH(B34,Tableaulistesenfants[Séquence24],0),))</f>
        <v>0</v>
      </c>
      <c r="H34" s="68" t="b">
        <f>IF(C34="","",INDEX(Tableaulistesenfants[Mercredi],MATCH(B34,Tableaulistesenfants[Séquence24],0),))</f>
        <v>0</v>
      </c>
      <c r="I34" s="61"/>
      <c r="J34" s="62"/>
    </row>
    <row r="35" spans="1:11" ht="15.75">
      <c r="A35" s="69">
        <v>142</v>
      </c>
      <c r="B35" s="65">
        <f>IF(ROW()-32&lt;=$K$33,ROW()-32,"")</f>
        <v>3</v>
      </c>
      <c r="C35" s="66">
        <f>IF(B35="","",$A$35)</f>
        <v>142</v>
      </c>
      <c r="D35" s="67" t="str">
        <f>IF(C35="","",INDEX(Tableaulistesenfants[Nom],MATCH(B35,Tableaulistesenfants[Séquence24],0),))</f>
        <v>ESCAICH</v>
      </c>
      <c r="E35" s="67" t="str">
        <f>IF(C35="","",INDEX(Tableaulistesenfants[Prénom],MATCH(B35,Tableaulistesenfants[Séquence24],0),))</f>
        <v>Manon</v>
      </c>
      <c r="F35" s="66" t="str">
        <f>IF(C35="","",INDEX(Tableaulistesenfants[Classe],MATCH(B35,Tableaulistesenfants[Séquence24],0),))</f>
        <v>1e CGEA</v>
      </c>
      <c r="G35" s="66" t="b">
        <f>IF(C35="","",INDEX(Tableaulistesenfants[Dimanche],MATCH(B35,Tableaulistesenfants[Séquence24],0),))</f>
        <v>0</v>
      </c>
      <c r="H35" s="68" t="b">
        <f>IF(C35="","",INDEX(Tableaulistesenfants[Mercredi],MATCH(B35,Tableaulistesenfants[Séquence24],0),))</f>
        <v>0</v>
      </c>
      <c r="I35" s="61"/>
      <c r="J35" s="62"/>
    </row>
    <row r="36" spans="1:11" ht="15.75">
      <c r="A36" s="69"/>
      <c r="B36" s="65">
        <f>IF(ROW()-32&lt;=$K$33,ROW()-32,"")</f>
        <v>4</v>
      </c>
      <c r="C36" s="66">
        <f>IF(B36="","",$A$35)</f>
        <v>142</v>
      </c>
      <c r="D36" s="67" t="str">
        <f>IF(C36="","",INDEX(Tableaulistesenfants[Nom],MATCH(B36,Tableaulistesenfants[Séquence24],0),))</f>
        <v>ROUGIE</v>
      </c>
      <c r="E36" s="67" t="str">
        <f>IF(C36="","",INDEX(Tableaulistesenfants[Prénom],MATCH(B36,Tableaulistesenfants[Séquence24],0),))</f>
        <v>Maëva</v>
      </c>
      <c r="F36" s="66" t="str">
        <f>IF(C36="","",INDEX(Tableaulistesenfants[Classe],MATCH(B36,Tableaulistesenfants[Séquence24],0),))</f>
        <v>1e CGEA</v>
      </c>
      <c r="G36" s="66" t="b">
        <f>IF(C36="","",INDEX(Tableaulistesenfants[Dimanche],MATCH(B36,Tableaulistesenfants[Séquence24],0),))</f>
        <v>0</v>
      </c>
      <c r="H36" s="68" t="b">
        <f>IF(C36="","",INDEX(Tableaulistesenfants[Mercredi],MATCH(B36,Tableaulistesenfants[Séquence24],0),))</f>
        <v>0</v>
      </c>
      <c r="I36" s="61"/>
      <c r="J36" s="62"/>
    </row>
    <row r="37" spans="1:11" ht="16.5" thickBot="1">
      <c r="A37" s="83"/>
      <c r="B37" s="71" t="str">
        <f>IF(ROW()-32&lt;=$K$33,ROW()-32,"")</f>
        <v/>
      </c>
      <c r="C37" s="72" t="str">
        <f>IF(B37="","",$A$35)</f>
        <v/>
      </c>
      <c r="D37" s="73" t="str">
        <f>IF(C37="","",INDEX(Tableaulistesenfants[Nom],MATCH(B37,Tableaulistesenfants[Séquence24],0),))</f>
        <v/>
      </c>
      <c r="E37" s="73" t="str">
        <f>IF(C37="","",INDEX(Tableaulistesenfants[Prénom],MATCH(B37,Tableaulistesenfants[Séquence24],0),))</f>
        <v/>
      </c>
      <c r="F37" s="72" t="str">
        <f>IF(C37="","",INDEX(Tableaulistesenfants[Classe],MATCH(B37,Tableaulistesenfants[Séquence24],0),))</f>
        <v/>
      </c>
      <c r="G37" s="72" t="str">
        <f>IF(C37="","",INDEX(Tableaulistesenfants[Dimanche],MATCH(B37,Tableaulistesenfants[Séquence24],0),))</f>
        <v/>
      </c>
      <c r="H37" s="74" t="str">
        <f>IF(C37="","",INDEX(Tableaulistesenfants[Mercredi],MATCH(B37,Tableaulistesenfants[Séquence24],0),))</f>
        <v/>
      </c>
      <c r="I37" s="61"/>
      <c r="J37" s="62"/>
    </row>
    <row r="38" spans="1:11" ht="16.5" thickBot="1">
      <c r="A38" s="75"/>
      <c r="B38" s="75"/>
      <c r="C38" s="75"/>
      <c r="D38" s="80"/>
      <c r="E38" s="91"/>
      <c r="F38" s="81"/>
      <c r="G38" s="78"/>
      <c r="H38" s="79"/>
      <c r="I38" s="61"/>
      <c r="J38" s="62"/>
      <c r="K38" s="78"/>
    </row>
    <row r="39" spans="1:11" ht="15.75">
      <c r="A39" s="82"/>
      <c r="B39" s="57">
        <f>IF(ROW()-38&lt;=$K$39,ROW()-38,"")</f>
        <v>1</v>
      </c>
      <c r="C39" s="58">
        <f>IF(B39="","",$A$41)</f>
        <v>143</v>
      </c>
      <c r="D39" s="59" t="str">
        <f>IF(C39="","",INDEX(Tableaulistesenfants[Nom],MATCH(B39,Tableaulistesenfants[Séquence25],0),))</f>
        <v>BEAUFILS</v>
      </c>
      <c r="E39" s="59" t="str">
        <f>IF(C39="","",INDEX(Tableaulistesenfants[Prénom],MATCH(B39,Tableaulistesenfants[Séquence25],0),))</f>
        <v>Mathilde</v>
      </c>
      <c r="F39" s="58" t="str">
        <f>IF(C39="","",INDEX(Tableaulistesenfants[Classe],MATCH(B39,Tableaulistesenfants[Séquence25],0),))</f>
        <v>2e TCVA</v>
      </c>
      <c r="G39" s="58" t="b">
        <f>IF(C39="","",INDEX(Tableaulistesenfants[Dimanche],MATCH(B39,Tableaulistesenfants[Séquence25],0),))</f>
        <v>0</v>
      </c>
      <c r="H39" s="60" t="b">
        <f>IF(C39="","",INDEX(Tableaulistesenfants[Mercredi],MATCH(B39,Tableaulistesenfants[Séquence25],0),))</f>
        <v>0</v>
      </c>
      <c r="I39" s="61"/>
      <c r="J39" s="62"/>
      <c r="K39" s="63">
        <f>SUM(Tableaulistesenfants[Occurrence24])</f>
        <v>5</v>
      </c>
    </row>
    <row r="40" spans="1:11" ht="15.75">
      <c r="A40" s="69"/>
      <c r="B40" s="65">
        <f>IF(ROW()-38&lt;=$K$39,ROW()-38,"")</f>
        <v>2</v>
      </c>
      <c r="C40" s="66">
        <f>IF(B40="","",$A$41)</f>
        <v>143</v>
      </c>
      <c r="D40" s="67" t="str">
        <f>IF(C40="","",INDEX(Tableaulistesenfants[Nom],MATCH(B40,Tableaulistesenfants[Séquence25],0),))</f>
        <v>BOMPA</v>
      </c>
      <c r="E40" s="67" t="str">
        <f>IF(C40="","",INDEX(Tableaulistesenfants[Prénom],MATCH(B40,Tableaulistesenfants[Séquence25],0),))</f>
        <v>Armande</v>
      </c>
      <c r="F40" s="66" t="str">
        <f>IF(C40="","",INDEX(Tableaulistesenfants[Classe],MATCH(B40,Tableaulistesenfants[Séquence25],0),))</f>
        <v>3e EA</v>
      </c>
      <c r="G40" s="66" t="b">
        <f>IF(C40="","",INDEX(Tableaulistesenfants[Dimanche],MATCH(B40,Tableaulistesenfants[Séquence25],0),))</f>
        <v>0</v>
      </c>
      <c r="H40" s="68" t="b">
        <f>IF(C40="","",INDEX(Tableaulistesenfants[Mercredi],MATCH(B40,Tableaulistesenfants[Séquence25],0),))</f>
        <v>0</v>
      </c>
      <c r="I40" s="61"/>
      <c r="J40" s="62"/>
    </row>
    <row r="41" spans="1:11" ht="15.75">
      <c r="A41" s="69">
        <v>143</v>
      </c>
      <c r="B41" s="65">
        <f>IF(ROW()-38&lt;=$K$39,ROW()-38,"")</f>
        <v>3</v>
      </c>
      <c r="C41" s="66">
        <f>IF(B41="","",$A$41)</f>
        <v>143</v>
      </c>
      <c r="D41" s="67" t="str">
        <f>IF(C41="","",INDEX(Tableaulistesenfants[Nom],MATCH(B41,Tableaulistesenfants[Séquence25],0),))</f>
        <v>CAUSSIGNAC</v>
      </c>
      <c r="E41" s="67" t="str">
        <f>IF(C41="","",INDEX(Tableaulistesenfants[Prénom],MATCH(B41,Tableaulistesenfants[Séquence25],0),))</f>
        <v>Lise</v>
      </c>
      <c r="F41" s="66" t="str">
        <f>IF(C41="","",INDEX(Tableaulistesenfants[Classe],MATCH(B41,Tableaulistesenfants[Séquence25],0),))</f>
        <v>2e TCVA</v>
      </c>
      <c r="G41" s="66" t="b">
        <f>IF(C41="","",INDEX(Tableaulistesenfants[Dimanche],MATCH(B41,Tableaulistesenfants[Séquence25],0),))</f>
        <v>0</v>
      </c>
      <c r="H41" s="68" t="b">
        <f>IF(C41="","",INDEX(Tableaulistesenfants[Mercredi],MATCH(B41,Tableaulistesenfants[Séquence25],0),))</f>
        <v>0</v>
      </c>
      <c r="I41" s="61"/>
      <c r="J41" s="62"/>
    </row>
    <row r="42" spans="1:11" ht="15.75">
      <c r="A42" s="69"/>
      <c r="B42" s="65">
        <f>IF(ROW()-38&lt;=$K$39,ROW()-38,"")</f>
        <v>4</v>
      </c>
      <c r="C42" s="66">
        <f>IF(B42="","",$A$41)</f>
        <v>143</v>
      </c>
      <c r="D42" s="67" t="str">
        <f>IF(C42="","",INDEX(Tableaulistesenfants[Nom],MATCH(B42,Tableaulistesenfants[Séquence25],0),))</f>
        <v>VENRIES</v>
      </c>
      <c r="E42" s="67" t="str">
        <f>IF(C42="","",INDEX(Tableaulistesenfants[Prénom],MATCH(B42,Tableaulistesenfants[Séquence25],0),))</f>
        <v>Mélissa</v>
      </c>
      <c r="F42" s="66" t="str">
        <f>IF(C42="","",INDEX(Tableaulistesenfants[Classe],MATCH(B42,Tableaulistesenfants[Séquence25],0),))</f>
        <v>3e EA</v>
      </c>
      <c r="G42" s="66" t="b">
        <f>IF(C42="","",INDEX(Tableaulistesenfants[Dimanche],MATCH(B42,Tableaulistesenfants[Séquence25],0),))</f>
        <v>0</v>
      </c>
      <c r="H42" s="68" t="b">
        <f>IF(C42="","",INDEX(Tableaulistesenfants[Mercredi],MATCH(B42,Tableaulistesenfants[Séquence25],0),))</f>
        <v>0</v>
      </c>
      <c r="I42" s="61"/>
      <c r="J42" s="62"/>
    </row>
    <row r="43" spans="1:11" ht="16.5" thickBot="1">
      <c r="A43" s="83"/>
      <c r="B43" s="71">
        <f>IF(ROW()-38&lt;=$K$39,ROW()-38,"")</f>
        <v>5</v>
      </c>
      <c r="C43" s="72">
        <f>IF(B43="","",$A$41)</f>
        <v>143</v>
      </c>
      <c r="D43" s="73" t="str">
        <f>IF(C43="","",INDEX(Tableaulistesenfants[Nom],MATCH(B43,Tableaulistesenfants[Séquence25],0),))</f>
        <v>VIGNIER</v>
      </c>
      <c r="E43" s="73" t="str">
        <f>IF(C43="","",INDEX(Tableaulistesenfants[Prénom],MATCH(B43,Tableaulistesenfants[Séquence25],0),))</f>
        <v>Camille</v>
      </c>
      <c r="F43" s="72" t="str">
        <f>IF(C43="","",INDEX(Tableaulistesenfants[Classe],MATCH(B43,Tableaulistesenfants[Séquence25],0),))</f>
        <v>2e TCVA</v>
      </c>
      <c r="G43" s="72">
        <f>IF(C43="","",INDEX(Tableaulistesenfants[Dimanche],MATCH(B43,Tableaulistesenfants[Séquence25],0),))</f>
        <v>0</v>
      </c>
      <c r="H43" s="74" t="b">
        <f>IF(C43="","",INDEX(Tableaulistesenfants[Mercredi],MATCH(B43,Tableaulistesenfants[Séquence25],0),))</f>
        <v>0</v>
      </c>
      <c r="I43" s="61"/>
      <c r="J43" s="62"/>
    </row>
    <row r="44" spans="1:11" ht="16.5" thickBot="1">
      <c r="A44" s="75"/>
      <c r="B44" s="75"/>
      <c r="C44" s="75"/>
      <c r="D44" s="80"/>
      <c r="E44" s="80"/>
      <c r="F44" s="81"/>
      <c r="G44" s="78"/>
      <c r="H44" s="79"/>
      <c r="I44" s="61"/>
      <c r="J44" s="62"/>
      <c r="K44" s="78"/>
    </row>
    <row r="45" spans="1:11" ht="15.75">
      <c r="A45" s="82"/>
      <c r="B45" s="57">
        <f>IF(ROW()-44&lt;=$K$45,ROW()-44,"")</f>
        <v>1</v>
      </c>
      <c r="C45" s="58">
        <f>IF(B45="","",$A$47)</f>
        <v>144</v>
      </c>
      <c r="D45" s="59" t="str">
        <f>IF(C45="","",INDEX(Tableaulistesenfants[Nom],MATCH(B45,Tableaulistesenfants[Séquence26],0),))</f>
        <v>ALBAGNAC</v>
      </c>
      <c r="E45" s="59" t="str">
        <f>IF(C45="","",INDEX(Tableaulistesenfants[Prénom],MATCH(B45,Tableaulistesenfants[Séquence26],0),))</f>
        <v>Maylis</v>
      </c>
      <c r="F45" s="58" t="str">
        <f>IF(C45="","",INDEX(Tableaulistesenfants[Classe],MATCH(B45,Tableaulistesenfants[Séquence26],0),))</f>
        <v>Term TCVA</v>
      </c>
      <c r="G45" s="58" t="b">
        <f>IF(C45="","",INDEX(Tableaulistesenfants[Dimanche],MATCH(B45,Tableaulistesenfants[Séquence26],0),))</f>
        <v>0</v>
      </c>
      <c r="H45" s="60" t="b">
        <f>IF(C45="","",INDEX(Tableaulistesenfants[Mercredi],MATCH(B45,Tableaulistesenfants[Séquence26],0),))</f>
        <v>0</v>
      </c>
      <c r="I45" s="61"/>
      <c r="J45" s="62"/>
      <c r="K45" s="63">
        <f>SUM(Tableaulistesenfants[Occurrence25])</f>
        <v>4</v>
      </c>
    </row>
    <row r="46" spans="1:11" ht="15.75">
      <c r="A46" s="69"/>
      <c r="B46" s="65">
        <f>IF(ROW()-44&lt;=$K$45,ROW()-44,"")</f>
        <v>2</v>
      </c>
      <c r="C46" s="66">
        <f>IF(B46="","",$A$47)</f>
        <v>144</v>
      </c>
      <c r="D46" s="67" t="str">
        <f>IF(C46="","",INDEX(Tableaulistesenfants[Nom],MATCH(B46,Tableaulistesenfants[Séquence26],0),))</f>
        <v>CARNEADO</v>
      </c>
      <c r="E46" s="67" t="str">
        <f>IF(C46="","",INDEX(Tableaulistesenfants[Prénom],MATCH(B46,Tableaulistesenfants[Séquence26],0),))</f>
        <v>Léa</v>
      </c>
      <c r="F46" s="66" t="str">
        <f>IF(C46="","",INDEX(Tableaulistesenfants[Classe],MATCH(B46,Tableaulistesenfants[Séquence26],0),))</f>
        <v>Term CF</v>
      </c>
      <c r="G46" s="66" t="b">
        <f>IF(C46="","",INDEX(Tableaulistesenfants[Dimanche],MATCH(B46,Tableaulistesenfants[Séquence26],0),))</f>
        <v>0</v>
      </c>
      <c r="H46" s="68" t="b">
        <f>IF(C46="","",INDEX(Tableaulistesenfants[Mercredi],MATCH(B46,Tableaulistesenfants[Séquence26],0),))</f>
        <v>0</v>
      </c>
      <c r="I46" s="61"/>
      <c r="J46" s="62"/>
    </row>
    <row r="47" spans="1:11" ht="15.75">
      <c r="A47" s="69">
        <v>144</v>
      </c>
      <c r="B47" s="65">
        <f>IF(ROW()-44&lt;=$K$45,ROW()-44,"")</f>
        <v>3</v>
      </c>
      <c r="C47" s="66">
        <f>IF(B47="","",$A$47)</f>
        <v>144</v>
      </c>
      <c r="D47" s="67" t="str">
        <f>IF(C47="","",INDEX(Tableaulistesenfants[Nom],MATCH(B47,Tableaulistesenfants[Séquence26],0),))</f>
        <v>SAINDOU</v>
      </c>
      <c r="E47" s="67" t="str">
        <f>IF(C47="","",INDEX(Tableaulistesenfants[Prénom],MATCH(B47,Tableaulistesenfants[Séquence26],0),))</f>
        <v>Halima</v>
      </c>
      <c r="F47" s="66" t="str">
        <f>IF(C47="","",INDEX(Tableaulistesenfants[Classe],MATCH(B47,Tableaulistesenfants[Séquence26],0),))</f>
        <v>Term TCVA</v>
      </c>
      <c r="G47" s="66" t="b">
        <f>IF(C47="","",INDEX(Tableaulistesenfants[Dimanche],MATCH(B47,Tableaulistesenfants[Séquence26],0),))</f>
        <v>0</v>
      </c>
      <c r="H47" s="68" t="b">
        <f>IF(C47="","",INDEX(Tableaulistesenfants[Mercredi],MATCH(B47,Tableaulistesenfants[Séquence26],0),))</f>
        <v>0</v>
      </c>
      <c r="I47" s="61"/>
      <c r="J47" s="62"/>
    </row>
    <row r="48" spans="1:11" ht="15.75">
      <c r="A48" s="69"/>
      <c r="B48" s="65">
        <f>IF(ROW()-44&lt;=$K$45,ROW()-44,"")</f>
        <v>4</v>
      </c>
      <c r="C48" s="66">
        <f>IF(B48="","",$A$47)</f>
        <v>144</v>
      </c>
      <c r="D48" s="67" t="str">
        <f>IF(C48="","",INDEX(Tableaulistesenfants[Nom],MATCH(B48,Tableaulistesenfants[Séquence26],0),))</f>
        <v>THOREZ</v>
      </c>
      <c r="E48" s="67" t="str">
        <f>IF(C48="","",INDEX(Tableaulistesenfants[Prénom],MATCH(B48,Tableaulistesenfants[Séquence26],0),))</f>
        <v>Clarisse</v>
      </c>
      <c r="F48" s="66" t="str">
        <f>IF(C48="","",INDEX(Tableaulistesenfants[Classe],MATCH(B48,Tableaulistesenfants[Séquence26],0),))</f>
        <v>Term TCVA</v>
      </c>
      <c r="G48" s="66" t="b">
        <f>IF(C48="","",INDEX(Tableaulistesenfants[Dimanche],MATCH(B48,Tableaulistesenfants[Séquence26],0),))</f>
        <v>0</v>
      </c>
      <c r="H48" s="68" t="b">
        <f>IF(C48="","",INDEX(Tableaulistesenfants[Mercredi],MATCH(B48,Tableaulistesenfants[Séquence26],0),))</f>
        <v>0</v>
      </c>
      <c r="I48" s="61"/>
      <c r="J48" s="62"/>
    </row>
    <row r="49" spans="1:11" ht="16.5" thickBot="1">
      <c r="A49" s="83"/>
      <c r="B49" s="71" t="str">
        <f>IF(ROW()-44&lt;=$K$45,ROW()-44,"")</f>
        <v/>
      </c>
      <c r="C49" s="72" t="str">
        <f>IF(B49="","",$A$47)</f>
        <v/>
      </c>
      <c r="D49" s="73" t="str">
        <f>IF(C49="","",INDEX(Tableaulistesenfants[Nom],MATCH(B49,Tableaulistesenfants[Séquence26],0),))</f>
        <v/>
      </c>
      <c r="E49" s="73" t="str">
        <f>IF(C49="","",INDEX(Tableaulistesenfants[Prénom],MATCH(B49,Tableaulistesenfants[Séquence26],0),))</f>
        <v/>
      </c>
      <c r="F49" s="72" t="str">
        <f>IF(C49="","",INDEX(Tableaulistesenfants[Classe],MATCH(B49,Tableaulistesenfants[Séquence26],0),))</f>
        <v/>
      </c>
      <c r="G49" s="72" t="str">
        <f>IF(C49="","",INDEX(Tableaulistesenfants[Dimanche],MATCH(B49,Tableaulistesenfants[Séquence26],0),))</f>
        <v/>
      </c>
      <c r="H49" s="74" t="str">
        <f>IF(C49="","",INDEX(Tableaulistesenfants[Mercredi],MATCH(B49,Tableaulistesenfants[Séquence26],0),))</f>
        <v/>
      </c>
      <c r="I49" s="61"/>
      <c r="J49" s="62"/>
    </row>
    <row r="50" spans="1:11" ht="16.5" thickBot="1">
      <c r="A50" s="75"/>
      <c r="B50" s="75"/>
      <c r="C50" s="75"/>
      <c r="D50" s="80"/>
      <c r="E50" s="80"/>
      <c r="F50" s="81"/>
      <c r="G50" s="78"/>
      <c r="H50" s="79"/>
      <c r="I50" s="61"/>
      <c r="J50" s="62"/>
      <c r="K50" s="78"/>
    </row>
    <row r="51" spans="1:11" ht="15.75">
      <c r="A51" s="92"/>
      <c r="B51" s="57">
        <f>IF(ROW()-50&lt;=$K$51,ROW()-50,"")</f>
        <v>1</v>
      </c>
      <c r="C51" s="58">
        <f>IF(B51="","",$A$53)</f>
        <v>148</v>
      </c>
      <c r="D51" s="59" t="str">
        <f>IF(C51="","",INDEX(Tableaulistesenfants[Nom],MATCH(B51,Tableaulistesenfants[Séquence27],0),))</f>
        <v>FOURNIERE</v>
      </c>
      <c r="E51" s="59" t="str">
        <f>IF(C51="","",INDEX(Tableaulistesenfants[Prénom],MATCH(B51,Tableaulistesenfants[Séquence27],0),))</f>
        <v>Maeva</v>
      </c>
      <c r="F51" s="58" t="str">
        <f>IF(C51="","",INDEX(Tableaulistesenfants[Classe],MATCH(B51,Tableaulistesenfants[Séquence27],0),))</f>
        <v>Term CGEA</v>
      </c>
      <c r="G51" s="58" t="b">
        <f>IF(C51="","",INDEX(Tableaulistesenfants[Dimanche],MATCH(B51,Tableaulistesenfants[Séquence27],0),))</f>
        <v>0</v>
      </c>
      <c r="H51" s="60" t="b">
        <f>IF(C51="","",INDEX(Tableaulistesenfants[Mercredi],MATCH(B51,Tableaulistesenfants[Séquence27],0),))</f>
        <v>0</v>
      </c>
      <c r="I51" s="61"/>
      <c r="J51" s="62"/>
      <c r="K51" s="63">
        <f>SUM(Tableaulistesenfants[Occurrence26])</f>
        <v>3</v>
      </c>
    </row>
    <row r="52" spans="1:11" ht="15.75">
      <c r="A52" s="93"/>
      <c r="B52" s="65">
        <f>IF(ROW()-50&lt;=$K$51,ROW()-50,"")</f>
        <v>2</v>
      </c>
      <c r="C52" s="66">
        <f>IF(B52="","",$A$53)</f>
        <v>148</v>
      </c>
      <c r="D52" s="67" t="str">
        <f>IF(C52="","",INDEX(Tableaulistesenfants[Nom],MATCH(B52,Tableaulistesenfants[Séquence27],0),))</f>
        <v>PAJOT</v>
      </c>
      <c r="E52" s="67" t="str">
        <f>IF(C52="","",INDEX(Tableaulistesenfants[Prénom],MATCH(B52,Tableaulistesenfants[Séquence27],0),))</f>
        <v>Ophelie</v>
      </c>
      <c r="F52" s="66" t="str">
        <f>IF(C52="","",INDEX(Tableaulistesenfants[Classe],MATCH(B52,Tableaulistesenfants[Séquence27],0),))</f>
        <v>1e STAV</v>
      </c>
      <c r="G52" s="66" t="b">
        <f>IF(C52="","",INDEX(Tableaulistesenfants[Dimanche],MATCH(B52,Tableaulistesenfants[Séquence27],0),))</f>
        <v>0</v>
      </c>
      <c r="H52" s="68" t="b">
        <f>IF(C52="","",INDEX(Tableaulistesenfants[Mercredi],MATCH(B52,Tableaulistesenfants[Séquence27],0),))</f>
        <v>0</v>
      </c>
      <c r="I52" s="61"/>
      <c r="J52" s="62"/>
    </row>
    <row r="53" spans="1:11" ht="15.75">
      <c r="A53" s="93">
        <v>148</v>
      </c>
      <c r="B53" s="65">
        <f>IF(ROW()-50&lt;=$K$51,ROW()-50,"")</f>
        <v>3</v>
      </c>
      <c r="C53" s="66">
        <f>IF(B53="","",$A$53)</f>
        <v>148</v>
      </c>
      <c r="D53" s="67" t="str">
        <f>IF(C53="","",INDEX(Tableaulistesenfants[Nom],MATCH(B53,Tableaulistesenfants[Séquence27],0),))</f>
        <v>SEGALA</v>
      </c>
      <c r="E53" s="67" t="str">
        <f>IF(C53="","",INDEX(Tableaulistesenfants[Prénom],MATCH(B53,Tableaulistesenfants[Séquence27],0),))</f>
        <v>Coralie</v>
      </c>
      <c r="F53" s="66" t="str">
        <f>IF(C53="","",INDEX(Tableaulistesenfants[Classe],MATCH(B53,Tableaulistesenfants[Séquence27],0),))</f>
        <v>Term STAV</v>
      </c>
      <c r="G53" s="66" t="b">
        <f>IF(C53="","",INDEX(Tableaulistesenfants[Dimanche],MATCH(B53,Tableaulistesenfants[Séquence27],0),))</f>
        <v>0</v>
      </c>
      <c r="H53" s="68" t="b">
        <f>IF(C53="","",INDEX(Tableaulistesenfants[Mercredi],MATCH(B53,Tableaulistesenfants[Séquence27],0),))</f>
        <v>0</v>
      </c>
      <c r="I53" s="61"/>
      <c r="J53" s="62"/>
    </row>
    <row r="54" spans="1:11" ht="15.75">
      <c r="A54" s="93"/>
      <c r="B54" s="65" t="str">
        <f>IF(ROW()-50&lt;=$K$51,ROW()-50,"")</f>
        <v/>
      </c>
      <c r="C54" s="66" t="str">
        <f>IF(B54="","",$A$53)</f>
        <v/>
      </c>
      <c r="D54" s="67" t="str">
        <f>IF(C54="","",INDEX(Tableaulistesenfants[Nom],MATCH(B54,Tableaulistesenfants[Séquence27],0),))</f>
        <v/>
      </c>
      <c r="E54" s="67" t="str">
        <f>IF(C54="","",INDEX(Tableaulistesenfants[Prénom],MATCH(B54,Tableaulistesenfants[Séquence27],0),))</f>
        <v/>
      </c>
      <c r="F54" s="66" t="str">
        <f>IF(C54="","",INDEX(Tableaulistesenfants[Classe],MATCH(B54,Tableaulistesenfants[Séquence27],0),))</f>
        <v/>
      </c>
      <c r="G54" s="66" t="str">
        <f>IF(C54="","",INDEX(Tableaulistesenfants[Dimanche],MATCH(B54,Tableaulistesenfants[Séquence27],0),))</f>
        <v/>
      </c>
      <c r="H54" s="68" t="str">
        <f>IF(C54="","",INDEX(Tableaulistesenfants[Mercredi],MATCH(B54,Tableaulistesenfants[Séquence27],0),))</f>
        <v/>
      </c>
      <c r="I54" s="61"/>
      <c r="J54" s="62"/>
    </row>
    <row r="55" spans="1:11" ht="16.5" thickBot="1">
      <c r="A55" s="94"/>
      <c r="B55" s="71" t="str">
        <f>IF(ROW()-50&lt;=$K$51,ROW()-50,"")</f>
        <v/>
      </c>
      <c r="C55" s="72" t="str">
        <f>IF(B55="","",$A$53)</f>
        <v/>
      </c>
      <c r="D55" s="73" t="str">
        <f>IF(C55="","",INDEX(Tableaulistesenfants[Nom],MATCH(B55,Tableaulistesenfants[Séquence27],0),))</f>
        <v/>
      </c>
      <c r="E55" s="73" t="str">
        <f>IF(C55="","",INDEX(Tableaulistesenfants[Prénom],MATCH(B55,Tableaulistesenfants[Séquence27],0),))</f>
        <v/>
      </c>
      <c r="F55" s="72" t="str">
        <f>IF(C55="","",INDEX(Tableaulistesenfants[Classe],MATCH(B55,Tableaulistesenfants[Séquence27],0),))</f>
        <v/>
      </c>
      <c r="G55" s="72" t="str">
        <f>IF(C55="","",INDEX(Tableaulistesenfants[Dimanche],MATCH(B55,Tableaulistesenfants[Séquence27],0),))</f>
        <v/>
      </c>
      <c r="H55" s="74" t="str">
        <f>IF(C55="","",INDEX(Tableaulistesenfants[Mercredi],MATCH(B55,Tableaulistesenfants[Séquence27],0),))</f>
        <v/>
      </c>
      <c r="I55" s="61"/>
      <c r="J55" s="62"/>
    </row>
    <row r="58" spans="1:11">
      <c r="F58" s="95"/>
    </row>
  </sheetData>
  <dataValidations disablePrompts="1" count="1">
    <dataValidation type="list" allowBlank="1" showInputMessage="1" showErrorMessage="1" sqref="E11:E25 K15:K29">
      <formula1>Classe</formula1>
    </dataValidation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7"/>
  <dimension ref="A1:K46"/>
  <sheetViews>
    <sheetView showGridLines="0" showRowColHeaders="0" workbookViewId="0">
      <selection activeCell="G45" sqref="G45"/>
    </sheetView>
  </sheetViews>
  <sheetFormatPr baseColWidth="10" defaultRowHeight="15"/>
  <cols>
    <col min="1" max="1" width="15.7109375" customWidth="1"/>
    <col min="2" max="2" width="22.5703125" hidden="1" customWidth="1"/>
    <col min="3" max="3" width="22.7109375" hidden="1" customWidth="1"/>
    <col min="4" max="4" width="25.7109375" customWidth="1"/>
    <col min="5" max="5" width="20.7109375" customWidth="1"/>
    <col min="6" max="8" width="16.7109375" customWidth="1"/>
    <col min="9" max="10" width="11.42578125" customWidth="1"/>
    <col min="11" max="11" width="11.42578125" hidden="1" customWidth="1"/>
  </cols>
  <sheetData>
    <row r="1" spans="1:11" ht="19.5" thickBot="1">
      <c r="A1" s="213" t="s">
        <v>773</v>
      </c>
      <c r="B1" s="46"/>
      <c r="C1" s="46"/>
      <c r="D1" s="46"/>
      <c r="E1" s="214" t="str">
        <f>"Année:  " &amp;Accueil!C18</f>
        <v>Année:  2017</v>
      </c>
      <c r="F1" s="215" t="str">
        <f>Accueil!D18</f>
        <v xml:space="preserve"> / 2018</v>
      </c>
      <c r="G1" s="214" t="s">
        <v>52</v>
      </c>
      <c r="H1" s="49">
        <f>SUM(K3:K80)</f>
        <v>22</v>
      </c>
      <c r="I1" s="50"/>
      <c r="J1" s="50"/>
    </row>
    <row r="2" spans="1:11" ht="16.5" thickBot="1">
      <c r="A2" s="51" t="s">
        <v>53</v>
      </c>
      <c r="B2" s="52"/>
      <c r="C2" s="52"/>
      <c r="D2" s="52" t="s">
        <v>54</v>
      </c>
      <c r="E2" s="52" t="s">
        <v>55</v>
      </c>
      <c r="F2" s="52" t="s">
        <v>56</v>
      </c>
      <c r="G2" s="53" t="s">
        <v>57</v>
      </c>
      <c r="H2" s="54" t="s">
        <v>58</v>
      </c>
      <c r="I2" s="55"/>
      <c r="J2" s="55"/>
    </row>
    <row r="3" spans="1:11" ht="15.75">
      <c r="A3" s="56"/>
      <c r="B3" s="57">
        <f>IF(ROW()-2&lt;=$K$3,ROW()-2,"")</f>
        <v>1</v>
      </c>
      <c r="C3" s="58">
        <f>IF(B3="","",$A$5)</f>
        <v>145</v>
      </c>
      <c r="D3" s="59" t="str">
        <f>IF(C3="","",INDEX(Tableaulistesenfants[Nom],MATCH(B3,Tableaulistesenfants[Séquence28],0),))</f>
        <v>FOULQUIER</v>
      </c>
      <c r="E3" s="59" t="str">
        <f>IF(C3="","",INDEX(Tableaulistesenfants[Prénom],MATCH(B3,Tableaulistesenfants[Séquence28],0),))</f>
        <v>Clery</v>
      </c>
      <c r="F3" s="58" t="str">
        <f>IF(C3="","",INDEX(Tableaulistesenfants[Classe],MATCH(B3,Tableaulistesenfants[Séquence28],0),))</f>
        <v>2e CGEA</v>
      </c>
      <c r="G3" s="58" t="b">
        <f>IF(C3="","",INDEX(Tableaulistesenfants[Dimanche],MATCH(B3,Tableaulistesenfants[Séquence28],0),))</f>
        <v>0</v>
      </c>
      <c r="H3" s="60" t="b">
        <f>IF(C3="","",INDEX(Tableaulistesenfants[Mercredi],MATCH(B3,Tableaulistesenfants[Séquence28],0),))</f>
        <v>0</v>
      </c>
      <c r="I3" s="61"/>
      <c r="J3" s="62"/>
      <c r="K3" s="63">
        <f>SUM(Tableaulistesenfants[Occurrence27])</f>
        <v>4</v>
      </c>
    </row>
    <row r="4" spans="1:11" ht="15.75">
      <c r="A4" s="64"/>
      <c r="B4" s="65">
        <f t="shared" ref="B4:B7" si="0">IF(ROW()-2&lt;=$K$3,ROW()-2,"")</f>
        <v>2</v>
      </c>
      <c r="C4" s="210">
        <f t="shared" ref="C4:C7" si="1">IF(B4="","",$A$5)</f>
        <v>145</v>
      </c>
      <c r="D4" s="211" t="str">
        <f>IF(C4="","",INDEX(Tableaulistesenfants[Nom],MATCH(B4,Tableaulistesenfants[Séquence28],0),))</f>
        <v>PAGES</v>
      </c>
      <c r="E4" s="211" t="str">
        <f>IF(C4="","",INDEX(Tableaulistesenfants[Prénom],MATCH(B4,Tableaulistesenfants[Séquence28],0),))</f>
        <v>Matthieu</v>
      </c>
      <c r="F4" s="210" t="str">
        <f>IF(C4="","",INDEX(Tableaulistesenfants[Classe],MATCH(B4,Tableaulistesenfants[Séquence28],0),))</f>
        <v>1e CGEA</v>
      </c>
      <c r="G4" s="210" t="b">
        <f>IF(C4="","",INDEX(Tableaulistesenfants[Dimanche],MATCH(B4,Tableaulistesenfants[Séquence28],0),))</f>
        <v>0</v>
      </c>
      <c r="H4" s="68" t="b">
        <f>IF(C4="","",INDEX(Tableaulistesenfants[Mercredi],MATCH(B4,Tableaulistesenfants[Séquence28],0),))</f>
        <v>0</v>
      </c>
      <c r="I4" s="61"/>
      <c r="J4" s="62"/>
    </row>
    <row r="5" spans="1:11" ht="15.75">
      <c r="A5" s="69">
        <v>145</v>
      </c>
      <c r="B5" s="65">
        <f t="shared" si="0"/>
        <v>3</v>
      </c>
      <c r="C5" s="210">
        <f t="shared" si="1"/>
        <v>145</v>
      </c>
      <c r="D5" s="211" t="str">
        <f>IF(C5="","",INDEX(Tableaulistesenfants[Nom],MATCH(B5,Tableaulistesenfants[Séquence28],0),))</f>
        <v>ROUQUIE</v>
      </c>
      <c r="E5" s="211" t="str">
        <f>IF(C5="","",INDEX(Tableaulistesenfants[Prénom],MATCH(B5,Tableaulistesenfants[Séquence28],0),))</f>
        <v>Gaetan</v>
      </c>
      <c r="F5" s="210" t="str">
        <f>IF(C5="","",INDEX(Tableaulistesenfants[Classe],MATCH(B5,Tableaulistesenfants[Séquence28],0),))</f>
        <v>1e CGEA</v>
      </c>
      <c r="G5" s="210" t="b">
        <f>IF(C5="","",INDEX(Tableaulistesenfants[Dimanche],MATCH(B5,Tableaulistesenfants[Séquence28],0),))</f>
        <v>0</v>
      </c>
      <c r="H5" s="68" t="b">
        <f>IF(C5="","",INDEX(Tableaulistesenfants[Mercredi],MATCH(B5,Tableaulistesenfants[Séquence28],0),))</f>
        <v>0</v>
      </c>
      <c r="I5" s="61"/>
      <c r="J5" s="62"/>
    </row>
    <row r="6" spans="1:11" ht="15.75">
      <c r="A6" s="64"/>
      <c r="B6" s="65">
        <f t="shared" si="0"/>
        <v>4</v>
      </c>
      <c r="C6" s="210">
        <f t="shared" si="1"/>
        <v>145</v>
      </c>
      <c r="D6" s="211" t="str">
        <f>IF(C6="","",INDEX(Tableaulistesenfants[Nom],MATCH(B6,Tableaulistesenfants[Séquence28],0),))</f>
        <v>SARNEL</v>
      </c>
      <c r="E6" s="211" t="str">
        <f>IF(C6="","",INDEX(Tableaulistesenfants[Prénom],MATCH(B6,Tableaulistesenfants[Séquence28],0),))</f>
        <v>Boris</v>
      </c>
      <c r="F6" s="210" t="str">
        <f>IF(C6="","",INDEX(Tableaulistesenfants[Classe],MATCH(B6,Tableaulistesenfants[Séquence28],0),))</f>
        <v>1e CGEA</v>
      </c>
      <c r="G6" s="210" t="b">
        <f>IF(C6="","",INDEX(Tableaulistesenfants[Dimanche],MATCH(B6,Tableaulistesenfants[Séquence28],0),))</f>
        <v>0</v>
      </c>
      <c r="H6" s="68" t="b">
        <f>IF(C6="","",INDEX(Tableaulistesenfants[Mercredi],MATCH(B6,Tableaulistesenfants[Séquence28],0),))</f>
        <v>0</v>
      </c>
      <c r="I6" s="61"/>
      <c r="J6" s="62"/>
    </row>
    <row r="7" spans="1:11" ht="16.5" thickBot="1">
      <c r="A7" s="70"/>
      <c r="B7" s="71" t="str">
        <f t="shared" si="0"/>
        <v/>
      </c>
      <c r="C7" s="72" t="str">
        <f t="shared" si="1"/>
        <v/>
      </c>
      <c r="D7" s="73" t="str">
        <f>IF(C7="","",INDEX(Tableaulistesenfants[Nom],MATCH(B7,Tableaulistesenfants[Séquence28],0),))</f>
        <v/>
      </c>
      <c r="E7" s="73" t="str">
        <f>IF(C7="","",INDEX(Tableaulistesenfants[Prénom],MATCH(B7,Tableaulistesenfants[Séquence28],0),))</f>
        <v/>
      </c>
      <c r="F7" s="72" t="str">
        <f>IF(C7="","",INDEX(Tableaulistesenfants[Classe],MATCH(B7,Tableaulistesenfants[Séquence28],0),))</f>
        <v/>
      </c>
      <c r="G7" s="72" t="str">
        <f>IF(C7="","",INDEX(Tableaulistesenfants[Dimanche],MATCH(B7,Tableaulistesenfants[Séquence28],0),))</f>
        <v/>
      </c>
      <c r="H7" s="74" t="str">
        <f>IF(C7="","",INDEX(Tableaulistesenfants[Mercredi],MATCH(B7,Tableaulistesenfants[Séquence28],0),))</f>
        <v/>
      </c>
      <c r="I7" s="61"/>
      <c r="J7" s="62"/>
    </row>
    <row r="8" spans="1:11" ht="16.5" thickBot="1">
      <c r="A8" s="75"/>
      <c r="B8" s="75"/>
      <c r="C8" s="75"/>
      <c r="D8" s="76"/>
      <c r="E8" s="76"/>
      <c r="F8" s="77"/>
      <c r="G8" s="78"/>
      <c r="H8" s="79"/>
      <c r="I8" s="61"/>
      <c r="J8" s="62"/>
      <c r="K8" s="78"/>
    </row>
    <row r="9" spans="1:11" ht="15.75">
      <c r="A9" s="56"/>
      <c r="B9" s="57">
        <f>IF(ROW()-8&lt;=$K$9,ROW()-8,"")</f>
        <v>1</v>
      </c>
      <c r="C9" s="58">
        <f>IF(B9="","",$A$11)</f>
        <v>147</v>
      </c>
      <c r="D9" s="59" t="str">
        <f>IF(C9="","",INDEX(Tableaulistesenfants[Nom],MATCH(B9,Tableaulistesenfants[Séquence29],0),))</f>
        <v>BOUNY</v>
      </c>
      <c r="E9" s="59" t="str">
        <f>IF(C9="","",INDEX(Tableaulistesenfants[Prénom],MATCH(B9,Tableaulistesenfants[Séquence29],0),))</f>
        <v>Florian</v>
      </c>
      <c r="F9" s="58" t="str">
        <f>IF(C9="","",INDEX(Tableaulistesenfants[Classe],MATCH(B9,Tableaulistesenfants[Séquence29],0),))</f>
        <v>2e CGEA</v>
      </c>
      <c r="G9" s="58" t="b">
        <f>IF(C9="","",INDEX(Tableaulistesenfants[Dimanche],MATCH(B9,Tableaulistesenfants[Séquence29],0),))</f>
        <v>0</v>
      </c>
      <c r="H9" s="60" t="b">
        <f>IF(C9="","",INDEX(Tableaulistesenfants[Mercredi],MATCH(B9,Tableaulistesenfants[Séquence29],0),))</f>
        <v>0</v>
      </c>
      <c r="I9" s="61"/>
      <c r="J9" s="62"/>
      <c r="K9" s="63">
        <f>SUM(Tableaulistesenfants[Occurrence28])</f>
        <v>3</v>
      </c>
    </row>
    <row r="10" spans="1:11" ht="15.75">
      <c r="A10" s="64"/>
      <c r="B10" s="65">
        <f>IF(ROW()-8&lt;=$K$9,ROW()-8,"")</f>
        <v>2</v>
      </c>
      <c r="C10" s="210">
        <f>IF(B10="","",$A$11)</f>
        <v>147</v>
      </c>
      <c r="D10" s="211" t="str">
        <f>IF(C10="","",INDEX(Tableaulistesenfants[Nom],MATCH(B10,Tableaulistesenfants[Séquence29],0),))</f>
        <v>BOUSTIE</v>
      </c>
      <c r="E10" s="211" t="str">
        <f>IF(C10="","",INDEX(Tableaulistesenfants[Prénom],MATCH(B10,Tableaulistesenfants[Séquence29],0),))</f>
        <v>Axel</v>
      </c>
      <c r="F10" s="210" t="str">
        <f>IF(C10="","",INDEX(Tableaulistesenfants[Classe],MATCH(B10,Tableaulistesenfants[Séquence29],0),))</f>
        <v>2e CGEA</v>
      </c>
      <c r="G10" s="210" t="b">
        <f>IF(C10="","",INDEX(Tableaulistesenfants[Dimanche],MATCH(B10,Tableaulistesenfants[Séquence29],0),))</f>
        <v>0</v>
      </c>
      <c r="H10" s="68" t="b">
        <f>IF(C10="","",INDEX(Tableaulistesenfants[Mercredi],MATCH(B10,Tableaulistesenfants[Séquence29],0),))</f>
        <v>0</v>
      </c>
      <c r="I10" s="61"/>
      <c r="J10" s="62"/>
    </row>
    <row r="11" spans="1:11" ht="15.75">
      <c r="A11" s="69">
        <v>147</v>
      </c>
      <c r="B11" s="65">
        <f>IF(ROW()-8&lt;=$K$9,ROW()-8,"")</f>
        <v>3</v>
      </c>
      <c r="C11" s="210">
        <f>IF(B11="","",$A$11)</f>
        <v>147</v>
      </c>
      <c r="D11" s="211" t="str">
        <f>IF(C11="","",INDEX(Tableaulistesenfants[Nom],MATCH(B11,Tableaulistesenfants[Séquence29],0),))</f>
        <v>DELMOND</v>
      </c>
      <c r="E11" s="211" t="str">
        <f>IF(C11="","",INDEX(Tableaulistesenfants[Prénom],MATCH(B11,Tableaulistesenfants[Séquence29],0),))</f>
        <v>Romaric</v>
      </c>
      <c r="F11" s="210" t="str">
        <f>IF(C11="","",INDEX(Tableaulistesenfants[Classe],MATCH(B11,Tableaulistesenfants[Séquence29],0),))</f>
        <v>2e CGEA</v>
      </c>
      <c r="G11" s="210" t="b">
        <f>IF(C11="","",INDEX(Tableaulistesenfants[Dimanche],MATCH(B11,Tableaulistesenfants[Séquence29],0),))</f>
        <v>0</v>
      </c>
      <c r="H11" s="68" t="b">
        <f>IF(C11="","",INDEX(Tableaulistesenfants[Mercredi],MATCH(B11,Tableaulistesenfants[Séquence29],0),))</f>
        <v>0</v>
      </c>
      <c r="I11" s="61"/>
      <c r="J11" s="62"/>
    </row>
    <row r="12" spans="1:11" ht="15.75">
      <c r="A12" s="64"/>
      <c r="B12" s="65" t="str">
        <f>IF(ROW()-8&lt;=$K$9,ROW()-8,"")</f>
        <v/>
      </c>
      <c r="C12" s="210" t="str">
        <f>IF(B12="","",$A$11)</f>
        <v/>
      </c>
      <c r="D12" s="211" t="str">
        <f>IF(C12="","",INDEX(Tableaulistesenfants[Nom],MATCH(B12,Tableaulistesenfants[Séquence29],0),))</f>
        <v/>
      </c>
      <c r="E12" s="211" t="str">
        <f>IF(C12="","",INDEX(Tableaulistesenfants[Prénom],MATCH(B12,Tableaulistesenfants[Séquence29],0),))</f>
        <v/>
      </c>
      <c r="F12" s="210" t="str">
        <f>IF(C12="","",INDEX(Tableaulistesenfants[Classe],MATCH(B12,Tableaulistesenfants[Séquence29],0),))</f>
        <v/>
      </c>
      <c r="G12" s="210" t="str">
        <f>IF(C12="","",INDEX(Tableaulistesenfants[Dimanche],MATCH(B12,Tableaulistesenfants[Séquence29],0),))</f>
        <v/>
      </c>
      <c r="H12" s="68" t="str">
        <f>IF(C12="","",INDEX(Tableaulistesenfants[Mercredi],MATCH(B12,Tableaulistesenfants[Séquence29],0),))</f>
        <v/>
      </c>
      <c r="I12" s="61"/>
      <c r="J12" s="62"/>
    </row>
    <row r="13" spans="1:11" ht="16.5" thickBot="1">
      <c r="A13" s="70"/>
      <c r="B13" s="71" t="str">
        <f>IF(ROW()-8&lt;=$K$9,ROW()-8,"")</f>
        <v/>
      </c>
      <c r="C13" s="72" t="str">
        <f>IF(B13="","",$A$11)</f>
        <v/>
      </c>
      <c r="D13" s="73" t="str">
        <f>IF(C13="","",INDEX(Tableaulistesenfants[Nom],MATCH(B13,Tableaulistesenfants[Séquence29],0),))</f>
        <v/>
      </c>
      <c r="E13" s="73" t="str">
        <f>IF(C13="","",INDEX(Tableaulistesenfants[Prénom],MATCH(B13,Tableaulistesenfants[Séquence29],0),))</f>
        <v/>
      </c>
      <c r="F13" s="72" t="str">
        <f>IF(C13="","",INDEX(Tableaulistesenfants[Classe],MATCH(B13,Tableaulistesenfants[Séquence29],0),))</f>
        <v/>
      </c>
      <c r="G13" s="72" t="str">
        <f>IF(C13="","",INDEX(Tableaulistesenfants[Dimanche],MATCH(B13,Tableaulistesenfants[Séquence29],0),))</f>
        <v/>
      </c>
      <c r="H13" s="74" t="str">
        <f>IF(C13="","",INDEX(Tableaulistesenfants[Mercredi],MATCH(B13,Tableaulistesenfants[Séquence29],0),))</f>
        <v/>
      </c>
      <c r="I13" s="61"/>
      <c r="J13" s="62"/>
    </row>
    <row r="14" spans="1:11" ht="16.5" thickBot="1">
      <c r="A14" s="75"/>
      <c r="B14" s="75"/>
      <c r="C14" s="75"/>
      <c r="D14" s="80"/>
      <c r="E14" s="80"/>
      <c r="F14" s="81"/>
      <c r="G14" s="78"/>
      <c r="H14" s="79"/>
      <c r="I14" s="61"/>
      <c r="J14" s="62"/>
      <c r="K14" s="78"/>
    </row>
    <row r="15" spans="1:11" ht="15.75">
      <c r="A15" s="82"/>
      <c r="B15" s="57">
        <f>IF(ROW()-14&lt;=$K$15,ROW()-14,"")</f>
        <v>1</v>
      </c>
      <c r="C15" s="58">
        <f>IF(B15="","",$A$17)</f>
        <v>146</v>
      </c>
      <c r="D15" s="59" t="str">
        <f>IF(C15="","",INDEX(Tableaulistesenfants[Nom],MATCH(B15,Tableaulistesenfants[Séquence30],0),))</f>
        <v>BOUDET</v>
      </c>
      <c r="E15" s="59" t="str">
        <f>IF(C15="","",INDEX(Tableaulistesenfants[Prénom],MATCH(B15,Tableaulistesenfants[Séquence30],0),))</f>
        <v>Landry</v>
      </c>
      <c r="F15" s="58" t="str">
        <f>IF(C15="","",INDEX(Tableaulistesenfants[Classe],MATCH(B15,Tableaulistesenfants[Séquence30],0),))</f>
        <v>1e CGEA</v>
      </c>
      <c r="G15" s="58" t="b">
        <f>IF(C15="","",INDEX(Tableaulistesenfants[Dimanche],MATCH(B15,Tableaulistesenfants[Séquence30],0),))</f>
        <v>0</v>
      </c>
      <c r="H15" s="60" t="b">
        <f>IF(C15="","",INDEX(Tableaulistesenfants[Mercredi],MATCH(B15,Tableaulistesenfants[Séquence30],0),))</f>
        <v>0</v>
      </c>
      <c r="I15" s="61"/>
      <c r="J15" s="62"/>
      <c r="K15" s="63">
        <f>SUM(Tableaulistesenfants[Occurrence29])</f>
        <v>4</v>
      </c>
    </row>
    <row r="16" spans="1:11" ht="15.75">
      <c r="A16" s="69"/>
      <c r="B16" s="65">
        <f>IF(ROW()-14&lt;=$K$15,ROW()-14,"")</f>
        <v>2</v>
      </c>
      <c r="C16" s="210">
        <f>IF(B16="","",$A$17)</f>
        <v>146</v>
      </c>
      <c r="D16" s="211" t="str">
        <f>IF(C16="","",INDEX(Tableaulistesenfants[Nom],MATCH(B16,Tableaulistesenfants[Séquence30],0),))</f>
        <v>DELBOS</v>
      </c>
      <c r="E16" s="211" t="str">
        <f>IF(C16="","",INDEX(Tableaulistesenfants[Prénom],MATCH(B16,Tableaulistesenfants[Séquence30],0),))</f>
        <v>Nicolas</v>
      </c>
      <c r="F16" s="210" t="str">
        <f>IF(C16="","",INDEX(Tableaulistesenfants[Classe],MATCH(B16,Tableaulistesenfants[Séquence30],0),))</f>
        <v>1e CGEA</v>
      </c>
      <c r="G16" s="210" t="b">
        <f>IF(C16="","",INDEX(Tableaulistesenfants[Dimanche],MATCH(B16,Tableaulistesenfants[Séquence30],0),))</f>
        <v>0</v>
      </c>
      <c r="H16" s="68" t="b">
        <f>IF(C16="","",INDEX(Tableaulistesenfants[Mercredi],MATCH(B16,Tableaulistesenfants[Séquence30],0),))</f>
        <v>0</v>
      </c>
      <c r="I16" s="61"/>
      <c r="J16" s="62"/>
    </row>
    <row r="17" spans="1:11" ht="15.75">
      <c r="A17" s="69">
        <v>146</v>
      </c>
      <c r="B17" s="65">
        <f>IF(ROW()-14&lt;=$K$15,ROW()-14,"")</f>
        <v>3</v>
      </c>
      <c r="C17" s="210">
        <f>IF(B17="","",$A$17)</f>
        <v>146</v>
      </c>
      <c r="D17" s="211" t="str">
        <f>IF(C17="","",INDEX(Tableaulistesenfants[Nom],MATCH(B17,Tableaulistesenfants[Séquence30],0),))</f>
        <v>THIERES</v>
      </c>
      <c r="E17" s="211" t="str">
        <f>IF(C17="","",INDEX(Tableaulistesenfants[Prénom],MATCH(B17,Tableaulistesenfants[Séquence30],0),))</f>
        <v>Jonathan</v>
      </c>
      <c r="F17" s="210" t="str">
        <f>IF(C17="","",INDEX(Tableaulistesenfants[Classe],MATCH(B17,Tableaulistesenfants[Séquence30],0),))</f>
        <v>1e CGEA</v>
      </c>
      <c r="G17" s="210" t="b">
        <f>IF(C17="","",INDEX(Tableaulistesenfants[Dimanche],MATCH(B17,Tableaulistesenfants[Séquence30],0),))</f>
        <v>0</v>
      </c>
      <c r="H17" s="68" t="b">
        <f>IF(C17="","",INDEX(Tableaulistesenfants[Mercredi],MATCH(B17,Tableaulistesenfants[Séquence30],0),))</f>
        <v>0</v>
      </c>
      <c r="I17" s="61"/>
      <c r="J17" s="62"/>
    </row>
    <row r="18" spans="1:11" ht="15.75">
      <c r="A18" s="69"/>
      <c r="B18" s="65">
        <f>IF(ROW()-14&lt;=$K$15,ROW()-14,"")</f>
        <v>4</v>
      </c>
      <c r="C18" s="210">
        <f>IF(B18="","",$A$17)</f>
        <v>146</v>
      </c>
      <c r="D18" s="211" t="str">
        <f>IF(C18="","",INDEX(Tableaulistesenfants[Nom],MATCH(B18,Tableaulistesenfants[Séquence30],0),))</f>
        <v>VAN PARYS</v>
      </c>
      <c r="E18" s="211" t="str">
        <f>IF(C18="","",INDEX(Tableaulistesenfants[Prénom],MATCH(B18,Tableaulistesenfants[Séquence30],0),))</f>
        <v>Charles</v>
      </c>
      <c r="F18" s="210" t="str">
        <f>IF(C18="","",INDEX(Tableaulistesenfants[Classe],MATCH(B18,Tableaulistesenfants[Séquence30],0),))</f>
        <v>1e STAV</v>
      </c>
      <c r="G18" s="210" t="b">
        <f>IF(C18="","",INDEX(Tableaulistesenfants[Dimanche],MATCH(B18,Tableaulistesenfants[Séquence30],0),))</f>
        <v>0</v>
      </c>
      <c r="H18" s="68" t="b">
        <f>IF(C18="","",INDEX(Tableaulistesenfants[Mercredi],MATCH(B18,Tableaulistesenfants[Séquence30],0),))</f>
        <v>0</v>
      </c>
      <c r="I18" s="61"/>
      <c r="J18" s="62"/>
    </row>
    <row r="19" spans="1:11" ht="16.5" thickBot="1">
      <c r="A19" s="83"/>
      <c r="B19" s="71" t="str">
        <f>IF(ROW()-14&lt;=$K$15,ROW()-14,"")</f>
        <v/>
      </c>
      <c r="C19" s="72" t="str">
        <f>IF(B19="","",$A$17)</f>
        <v/>
      </c>
      <c r="D19" s="73" t="str">
        <f>IF(C19="","",INDEX(Tableaulistesenfants[Nom],MATCH(B19,Tableaulistesenfants[Séquence30],0),))</f>
        <v/>
      </c>
      <c r="E19" s="73" t="str">
        <f>IF(C19="","",INDEX(Tableaulistesenfants[Prénom],MATCH(B19,Tableaulistesenfants[Séquence30],0),))</f>
        <v/>
      </c>
      <c r="F19" s="72" t="str">
        <f>IF(C19="","",INDEX(Tableaulistesenfants[Classe],MATCH(B19,Tableaulistesenfants[Séquence30],0),))</f>
        <v/>
      </c>
      <c r="G19" s="72" t="str">
        <f>IF(C19="","",INDEX(Tableaulistesenfants[Dimanche],MATCH(B19,Tableaulistesenfants[Séquence30],0),))</f>
        <v/>
      </c>
      <c r="H19" s="74" t="str">
        <f>IF(C19="","",INDEX(Tableaulistesenfants[Mercredi],MATCH(B19,Tableaulistesenfants[Séquence30],0),))</f>
        <v/>
      </c>
      <c r="I19" s="61"/>
      <c r="J19" s="62"/>
    </row>
    <row r="20" spans="1:11" ht="16.5" thickBot="1">
      <c r="A20" s="75"/>
      <c r="B20" s="75"/>
      <c r="C20" s="75"/>
      <c r="D20" s="80"/>
      <c r="E20" s="80"/>
      <c r="F20" s="81"/>
      <c r="G20" s="78"/>
      <c r="H20" s="79"/>
      <c r="I20" s="61"/>
      <c r="J20" s="62"/>
      <c r="K20" s="78"/>
    </row>
    <row r="21" spans="1:11" ht="15.75">
      <c r="A21" s="82"/>
      <c r="B21" s="57">
        <f>IF(ROW()-20&lt;=$K$21,ROW()-20,"")</f>
        <v>1</v>
      </c>
      <c r="C21" s="58">
        <f>IF(B21="","",$A$23)</f>
        <v>153</v>
      </c>
      <c r="D21" s="59" t="str">
        <f>IF(C21="","",INDEX(Tableaulistesenfants[Nom],MATCH(B21,Tableaulistesenfants[Séquence31],0),))</f>
        <v>BALAYSSAC</v>
      </c>
      <c r="E21" s="59" t="str">
        <f>IF(C21="","",INDEX(Tableaulistesenfants[Prénom],MATCH(B21,Tableaulistesenfants[Séquence31],0),))</f>
        <v>Benjamin</v>
      </c>
      <c r="F21" s="58" t="str">
        <f>IF(C21="","",INDEX(Tableaulistesenfants[Classe],MATCH(B21,Tableaulistesenfants[Séquence31],0),))</f>
        <v>1e CGEA</v>
      </c>
      <c r="G21" s="58" t="b">
        <f>IF(C21="","",INDEX(Tableaulistesenfants[Dimanche],MATCH(B21,Tableaulistesenfants[Séquence31],0),))</f>
        <v>0</v>
      </c>
      <c r="H21" s="60" t="b">
        <f>IF(C21="","",INDEX(Tableaulistesenfants[Mercredi],MATCH(B21,Tableaulistesenfants[Séquence31],0),))</f>
        <v>0</v>
      </c>
      <c r="I21" s="61"/>
      <c r="J21" s="62"/>
      <c r="K21" s="63">
        <f>SUM(Tableaulistesenfants[Occurrence30])</f>
        <v>4</v>
      </c>
    </row>
    <row r="22" spans="1:11" ht="15.75">
      <c r="A22" s="69"/>
      <c r="B22" s="65">
        <f>IF(ROW()-20&lt;=$K$21,ROW()-20,"")</f>
        <v>2</v>
      </c>
      <c r="C22" s="210">
        <f>IF(B22="","",$A$23)</f>
        <v>153</v>
      </c>
      <c r="D22" s="211" t="str">
        <f>IF(C22="","",INDEX(Tableaulistesenfants[Nom],MATCH(B22,Tableaulistesenfants[Séquence31],0),))</f>
        <v>BAUBY</v>
      </c>
      <c r="E22" s="211" t="str">
        <f>IF(C22="","",INDEX(Tableaulistesenfants[Prénom],MATCH(B22,Tableaulistesenfants[Séquence31],0),))</f>
        <v>Maxence</v>
      </c>
      <c r="F22" s="210" t="str">
        <f>IF(C22="","",INDEX(Tableaulistesenfants[Classe],MATCH(B22,Tableaulistesenfants[Séquence31],0),))</f>
        <v>1e CGEA</v>
      </c>
      <c r="G22" s="210" t="b">
        <f>IF(C22="","",INDEX(Tableaulistesenfants[Dimanche],MATCH(B22,Tableaulistesenfants[Séquence31],0),))</f>
        <v>0</v>
      </c>
      <c r="H22" s="68" t="b">
        <f>IF(C22="","",INDEX(Tableaulistesenfants[Mercredi],MATCH(B22,Tableaulistesenfants[Séquence31],0),))</f>
        <v>0</v>
      </c>
      <c r="I22" s="61"/>
      <c r="J22" s="62"/>
    </row>
    <row r="23" spans="1:11" ht="15.75">
      <c r="A23" s="69">
        <v>153</v>
      </c>
      <c r="B23" s="65">
        <f>IF(ROW()-20&lt;=$K$21,ROW()-20,"")</f>
        <v>3</v>
      </c>
      <c r="C23" s="210">
        <f>IF(B23="","",$A$23)</f>
        <v>153</v>
      </c>
      <c r="D23" s="211" t="str">
        <f>IF(C23="","",INDEX(Tableaulistesenfants[Nom],MATCH(B23,Tableaulistesenfants[Séquence31],0),))</f>
        <v>CASTANIE</v>
      </c>
      <c r="E23" s="211" t="str">
        <f>IF(C23="","",INDEX(Tableaulistesenfants[Prénom],MATCH(B23,Tableaulistesenfants[Séquence31],0),))</f>
        <v>Bruno</v>
      </c>
      <c r="F23" s="210" t="str">
        <f>IF(C23="","",INDEX(Tableaulistesenfants[Classe],MATCH(B23,Tableaulistesenfants[Séquence31],0),))</f>
        <v>1e CGEA</v>
      </c>
      <c r="G23" s="210" t="b">
        <f>IF(C23="","",INDEX(Tableaulistesenfants[Dimanche],MATCH(B23,Tableaulistesenfants[Séquence31],0),))</f>
        <v>0</v>
      </c>
      <c r="H23" s="68" t="b">
        <f>IF(C23="","",INDEX(Tableaulistesenfants[Mercredi],MATCH(B23,Tableaulistesenfants[Séquence31],0),))</f>
        <v>1</v>
      </c>
      <c r="I23" s="61"/>
      <c r="J23" s="62"/>
    </row>
    <row r="24" spans="1:11" ht="15.75">
      <c r="A24" s="69"/>
      <c r="B24" s="65">
        <f>IF(ROW()-20&lt;=$K$21,ROW()-20,"")</f>
        <v>4</v>
      </c>
      <c r="C24" s="210">
        <f>IF(B24="","",$A$23)</f>
        <v>153</v>
      </c>
      <c r="D24" s="211" t="str">
        <f>IF(C24="","",INDEX(Tableaulistesenfants[Nom],MATCH(B24,Tableaulistesenfants[Séquence31],0),))</f>
        <v>ROQUESSOLANE</v>
      </c>
      <c r="E24" s="211" t="str">
        <f>IF(C24="","",INDEX(Tableaulistesenfants[Prénom],MATCH(B24,Tableaulistesenfants[Séquence31],0),))</f>
        <v>Alexandre</v>
      </c>
      <c r="F24" s="210" t="str">
        <f>IF(C24="","",INDEX(Tableaulistesenfants[Classe],MATCH(B24,Tableaulistesenfants[Séquence31],0),))</f>
        <v>1e CGEA</v>
      </c>
      <c r="G24" s="210" t="b">
        <f>IF(C24="","",INDEX(Tableaulistesenfants[Dimanche],MATCH(B24,Tableaulistesenfants[Séquence31],0),))</f>
        <v>0</v>
      </c>
      <c r="H24" s="68" t="b">
        <f>IF(C24="","",INDEX(Tableaulistesenfants[Mercredi],MATCH(B24,Tableaulistesenfants[Séquence31],0),))</f>
        <v>0</v>
      </c>
      <c r="I24" s="61"/>
      <c r="J24" s="62"/>
    </row>
    <row r="25" spans="1:11" ht="16.5" thickBot="1">
      <c r="A25" s="83"/>
      <c r="B25" s="71" t="str">
        <f>IF(ROW()-20&lt;=$K$21,ROW()-20,"")</f>
        <v/>
      </c>
      <c r="C25" s="72" t="str">
        <f>IF(B25="","",$A$23)</f>
        <v/>
      </c>
      <c r="D25" s="73" t="str">
        <f>IF(C25="","",INDEX(Tableaulistesenfants[Nom],MATCH(B25,Tableaulistesenfants[Séquence31],0),))</f>
        <v/>
      </c>
      <c r="E25" s="73" t="str">
        <f>IF(C25="","",INDEX(Tableaulistesenfants[Prénom],MATCH(B25,Tableaulistesenfants[Séquence31],0),))</f>
        <v/>
      </c>
      <c r="F25" s="72" t="str">
        <f>IF(C25="","",INDEX(Tableaulistesenfants[Classe],MATCH(B25,Tableaulistesenfants[Séquence31],0),))</f>
        <v/>
      </c>
      <c r="G25" s="72" t="str">
        <f>IF(C25="","",INDEX(Tableaulistesenfants[Dimanche],MATCH(B25,Tableaulistesenfants[Séquence31],0),))</f>
        <v/>
      </c>
      <c r="H25" s="74" t="str">
        <f>IF(C25="","",INDEX(Tableaulistesenfants[Mercredi],MATCH(B25,Tableaulistesenfants[Séquence31],0),))</f>
        <v/>
      </c>
      <c r="I25" s="61"/>
      <c r="J25" s="62"/>
    </row>
    <row r="26" spans="1:11" ht="16.5" thickBot="1">
      <c r="A26" s="75"/>
      <c r="B26" s="75"/>
      <c r="C26" s="75"/>
      <c r="D26" s="80"/>
      <c r="E26" s="80"/>
      <c r="F26" s="81"/>
      <c r="G26" s="78"/>
      <c r="H26" s="79"/>
      <c r="I26" s="61"/>
      <c r="J26" s="62"/>
      <c r="K26" s="78"/>
    </row>
    <row r="27" spans="1:11" ht="15.75">
      <c r="A27" s="82"/>
      <c r="B27" s="57">
        <f>IF(ROW()-26&lt;=$K$27,ROW()-26,"")</f>
        <v>1</v>
      </c>
      <c r="C27" s="58">
        <f>IF(B27="","",$A$29)</f>
        <v>152</v>
      </c>
      <c r="D27" s="59" t="str">
        <f>IF(C27="","",INDEX(Tableaulistesenfants[Nom],MATCH(B27,Tableaulistesenfants[Séquence32],0),))</f>
        <v>JONQUIERES</v>
      </c>
      <c r="E27" s="59" t="str">
        <f>IF(C27="","",INDEX(Tableaulistesenfants[Prénom],MATCH(B27,Tableaulistesenfants[Séquence32],0),))</f>
        <v>Théophile</v>
      </c>
      <c r="F27" s="58" t="str">
        <f>IF(C27="","",INDEX(Tableaulistesenfants[Classe],MATCH(B27,Tableaulistesenfants[Séquence32],0),))</f>
        <v>2e CGEA</v>
      </c>
      <c r="G27" s="58" t="b">
        <f>IF(C27="","",INDEX(Tableaulistesenfants[Dimanche],MATCH(B27,Tableaulistesenfants[Séquence32],0),))</f>
        <v>0</v>
      </c>
      <c r="H27" s="60" t="b">
        <f>IF(C27="","",INDEX(Tableaulistesenfants[Mercredi],MATCH(B27,Tableaulistesenfants[Séquence32],0),))</f>
        <v>0</v>
      </c>
      <c r="I27" s="61"/>
      <c r="J27" s="62"/>
      <c r="K27" s="63">
        <f>SUM(Tableaulistesenfants[Occurrence31])</f>
        <v>3</v>
      </c>
    </row>
    <row r="28" spans="1:11" ht="15.75">
      <c r="A28" s="69"/>
      <c r="B28" s="65">
        <f>IF(ROW()-26&lt;=$K$27,ROW()-26,"")</f>
        <v>2</v>
      </c>
      <c r="C28" s="210">
        <f>IF(B28="","",$A$29)</f>
        <v>152</v>
      </c>
      <c r="D28" s="211" t="str">
        <f>IF(C28="","",INDEX(Tableaulistesenfants[Nom],MATCH(B28,Tableaulistesenfants[Séquence32],0),))</f>
        <v>JOUGLAS</v>
      </c>
      <c r="E28" s="211" t="str">
        <f>IF(C28="","",INDEX(Tableaulistesenfants[Prénom],MATCH(B28,Tableaulistesenfants[Séquence32],0),))</f>
        <v>Mathieu</v>
      </c>
      <c r="F28" s="210" t="str">
        <f>IF(C28="","",INDEX(Tableaulistesenfants[Classe],MATCH(B28,Tableaulistesenfants[Séquence32],0),))</f>
        <v>2e CGEA</v>
      </c>
      <c r="G28" s="210" t="b">
        <f>IF(C28="","",INDEX(Tableaulistesenfants[Dimanche],MATCH(B28,Tableaulistesenfants[Séquence32],0),))</f>
        <v>0</v>
      </c>
      <c r="H28" s="68" t="b">
        <f>IF(C28="","",INDEX(Tableaulistesenfants[Mercredi],MATCH(B28,Tableaulistesenfants[Séquence32],0),))</f>
        <v>0</v>
      </c>
      <c r="I28" s="61"/>
      <c r="J28" s="62"/>
    </row>
    <row r="29" spans="1:11" ht="15.75">
      <c r="A29" s="69">
        <v>152</v>
      </c>
      <c r="B29" s="65">
        <f>IF(ROW()-26&lt;=$K$27,ROW()-26,"")</f>
        <v>3</v>
      </c>
      <c r="C29" s="210">
        <f>IF(B29="","",$A$29)</f>
        <v>152</v>
      </c>
      <c r="D29" s="211" t="str">
        <f>IF(C29="","",INDEX(Tableaulistesenfants[Nom],MATCH(B29,Tableaulistesenfants[Séquence32],0),))</f>
        <v>ROUFFET</v>
      </c>
      <c r="E29" s="211" t="str">
        <f>IF(C29="","",INDEX(Tableaulistesenfants[Prénom],MATCH(B29,Tableaulistesenfants[Séquence32],0),))</f>
        <v>Anthony</v>
      </c>
      <c r="F29" s="210" t="str">
        <f>IF(C29="","",INDEX(Tableaulistesenfants[Classe],MATCH(B29,Tableaulistesenfants[Séquence32],0),))</f>
        <v>2e CGEA</v>
      </c>
      <c r="G29" s="210" t="b">
        <f>IF(C29="","",INDEX(Tableaulistesenfants[Dimanche],MATCH(B29,Tableaulistesenfants[Séquence32],0),))</f>
        <v>0</v>
      </c>
      <c r="H29" s="68" t="b">
        <f>IF(C29="","",INDEX(Tableaulistesenfants[Mercredi],MATCH(B29,Tableaulistesenfants[Séquence32],0),))</f>
        <v>0</v>
      </c>
      <c r="I29" s="61"/>
      <c r="J29" s="62"/>
    </row>
    <row r="30" spans="1:11" ht="15.75">
      <c r="A30" s="69"/>
      <c r="B30" s="65" t="str">
        <f>IF(ROW()-26&lt;=$K$27,ROW()-26,"")</f>
        <v/>
      </c>
      <c r="C30" s="210" t="str">
        <f>IF(B30="","",$A$29)</f>
        <v/>
      </c>
      <c r="D30" s="211" t="str">
        <f>IF(C30="","",INDEX(Tableaulistesenfants[Nom],MATCH(B30,Tableaulistesenfants[Séquence32],0),))</f>
        <v/>
      </c>
      <c r="E30" s="211" t="str">
        <f>IF(C30="","",INDEX(Tableaulistesenfants[Prénom],MATCH(B30,Tableaulistesenfants[Séquence32],0),))</f>
        <v/>
      </c>
      <c r="F30" s="210" t="str">
        <f>IF(C30="","",INDEX(Tableaulistesenfants[Classe],MATCH(B30,Tableaulistesenfants[Séquence32],0),))</f>
        <v/>
      </c>
      <c r="G30" s="210" t="str">
        <f>IF(C30="","",INDEX(Tableaulistesenfants[Dimanche],MATCH(B30,Tableaulistesenfants[Séquence32],0),))</f>
        <v/>
      </c>
      <c r="H30" s="68" t="str">
        <f>IF(C30="","",INDEX(Tableaulistesenfants[Mercredi],MATCH(B30,Tableaulistesenfants[Séquence32],0),))</f>
        <v/>
      </c>
      <c r="I30" s="61"/>
      <c r="J30" s="62"/>
    </row>
    <row r="31" spans="1:11" ht="16.5" thickBot="1">
      <c r="A31" s="83"/>
      <c r="B31" s="71" t="str">
        <f>IF(ROW()-26&lt;=$K$27,ROW()-26,"")</f>
        <v/>
      </c>
      <c r="C31" s="72" t="str">
        <f>IF(B31="","",$A$29)</f>
        <v/>
      </c>
      <c r="D31" s="73" t="str">
        <f>IF(C31="","",INDEX(Tableaulistesenfants[Nom],MATCH(B31,Tableaulistesenfants[Séquence32],0),))</f>
        <v/>
      </c>
      <c r="E31" s="73" t="str">
        <f>IF(C31="","",INDEX(Tableaulistesenfants[Prénom],MATCH(B31,Tableaulistesenfants[Séquence32],0),))</f>
        <v/>
      </c>
      <c r="F31" s="72" t="str">
        <f>IF(C31="","",INDEX(Tableaulistesenfants[Classe],MATCH(B31,Tableaulistesenfants[Séquence32],0),))</f>
        <v/>
      </c>
      <c r="G31" s="72" t="str">
        <f>IF(C31="","",INDEX(Tableaulistesenfants[Dimanche],MATCH(B31,Tableaulistesenfants[Séquence32],0),))</f>
        <v/>
      </c>
      <c r="H31" s="74" t="str">
        <f>IF(C31="","",INDEX(Tableaulistesenfants[Mercredi],MATCH(B31,Tableaulistesenfants[Séquence32],0),))</f>
        <v/>
      </c>
      <c r="I31" s="61"/>
      <c r="J31" s="62"/>
    </row>
    <row r="32" spans="1:11" ht="16.5" thickBot="1">
      <c r="A32" s="75"/>
      <c r="B32" s="75"/>
      <c r="C32" s="75"/>
      <c r="D32" s="80"/>
      <c r="E32" s="80"/>
      <c r="F32" s="90" t="str">
        <f>IF(C32="","",INDEX(Tableaulistesenfants[Classe],MATCH(B32,Tableaulistesenfants[Séquence7],0),))</f>
        <v/>
      </c>
      <c r="G32" s="78"/>
      <c r="H32" s="79"/>
      <c r="I32" s="61"/>
      <c r="J32" s="62"/>
      <c r="K32" s="78"/>
    </row>
    <row r="33" spans="1:11" ht="15.75">
      <c r="A33" s="82"/>
      <c r="B33" s="57">
        <f>IF(ROW()-32&lt;=$K$33,ROW()-32,"")</f>
        <v>1</v>
      </c>
      <c r="C33" s="58">
        <f>IF(B33="","",$A$35)</f>
        <v>154</v>
      </c>
      <c r="D33" s="59" t="str">
        <f>IF(C33="","",INDEX(Tableaulistesenfants[Nom],MATCH(B33,Tableaulistesenfants[Séquence33],0),))</f>
        <v>CLEDEL</v>
      </c>
      <c r="E33" s="59" t="str">
        <f>IF(C33="","",INDEX(Tableaulistesenfants[Prénom],MATCH(B33,Tableaulistesenfants[Séquence33],0),))</f>
        <v>Hugo</v>
      </c>
      <c r="F33" s="58" t="str">
        <f>IF(C33="","",INDEX(Tableaulistesenfants[Classe],MATCH(B33,Tableaulistesenfants[Séquence33],0),))</f>
        <v>Term CGEA</v>
      </c>
      <c r="G33" s="58" t="b">
        <f>IF(C33="","",INDEX(Tableaulistesenfants[Dimanche],MATCH(B33,Tableaulistesenfants[Séquence33],0),))</f>
        <v>0</v>
      </c>
      <c r="H33" s="60" t="b">
        <f>IF(C33="","",INDEX(Tableaulistesenfants[Mercredi],MATCH(B33,Tableaulistesenfants[Séquence33],0),))</f>
        <v>0</v>
      </c>
      <c r="I33" s="61"/>
      <c r="J33" s="62"/>
      <c r="K33" s="63">
        <f>SUM(Tableaulistesenfants[Occurrence32])</f>
        <v>4</v>
      </c>
    </row>
    <row r="34" spans="1:11" ht="15.75">
      <c r="A34" s="69"/>
      <c r="B34" s="65">
        <f>IF(ROW()-32&lt;=$K$33,ROW()-32,"")</f>
        <v>2</v>
      </c>
      <c r="C34" s="210">
        <f>IF(B34="","",$A$35)</f>
        <v>154</v>
      </c>
      <c r="D34" s="211" t="str">
        <f>IF(C34="","",INDEX(Tableaulistesenfants[Nom],MATCH(B34,Tableaulistesenfants[Séquence33],0),))</f>
        <v>CUBAYNES</v>
      </c>
      <c r="E34" s="211" t="str">
        <f>IF(C34="","",INDEX(Tableaulistesenfants[Prénom],MATCH(B34,Tableaulistesenfants[Séquence33],0),))</f>
        <v>Baptiste</v>
      </c>
      <c r="F34" s="210" t="str">
        <f>IF(C34="","",INDEX(Tableaulistesenfants[Classe],MATCH(B34,Tableaulistesenfants[Séquence33],0),))</f>
        <v>Term CGEA</v>
      </c>
      <c r="G34" s="210" t="b">
        <f>IF(C34="","",INDEX(Tableaulistesenfants[Dimanche],MATCH(B34,Tableaulistesenfants[Séquence33],0),))</f>
        <v>0</v>
      </c>
      <c r="H34" s="68" t="b">
        <f>IF(C34="","",INDEX(Tableaulistesenfants[Mercredi],MATCH(B34,Tableaulistesenfants[Séquence33],0),))</f>
        <v>1</v>
      </c>
      <c r="I34" s="61"/>
      <c r="J34" s="62"/>
    </row>
    <row r="35" spans="1:11" ht="15.75">
      <c r="A35" s="69">
        <v>154</v>
      </c>
      <c r="B35" s="65">
        <f>IF(ROW()-32&lt;=$K$33,ROW()-32,"")</f>
        <v>3</v>
      </c>
      <c r="C35" s="210">
        <f>IF(B35="","",$A$35)</f>
        <v>154</v>
      </c>
      <c r="D35" s="211" t="str">
        <f>IF(C35="","",INDEX(Tableaulistesenfants[Nom],MATCH(B35,Tableaulistesenfants[Séquence33],0),))</f>
        <v>OLIVIE</v>
      </c>
      <c r="E35" s="211" t="str">
        <f>IF(C35="","",INDEX(Tableaulistesenfants[Prénom],MATCH(B35,Tableaulistesenfants[Séquence33],0),))</f>
        <v>Adrien</v>
      </c>
      <c r="F35" s="210" t="str">
        <f>IF(C35="","",INDEX(Tableaulistesenfants[Classe],MATCH(B35,Tableaulistesenfants[Séquence33],0),))</f>
        <v>Term CGEA</v>
      </c>
      <c r="G35" s="210" t="b">
        <f>IF(C35="","",INDEX(Tableaulistesenfants[Dimanche],MATCH(B35,Tableaulistesenfants[Séquence33],0),))</f>
        <v>0</v>
      </c>
      <c r="H35" s="68" t="b">
        <f>IF(C35="","",INDEX(Tableaulistesenfants[Mercredi],MATCH(B35,Tableaulistesenfants[Séquence33],0),))</f>
        <v>0</v>
      </c>
      <c r="I35" s="61"/>
      <c r="J35" s="62"/>
    </row>
    <row r="36" spans="1:11" ht="15.75">
      <c r="A36" s="69"/>
      <c r="B36" s="65">
        <f>IF(ROW()-32&lt;=$K$33,ROW()-32,"")</f>
        <v>4</v>
      </c>
      <c r="C36" s="210">
        <f>IF(B36="","",$A$35)</f>
        <v>154</v>
      </c>
      <c r="D36" s="211" t="str">
        <f>IF(C36="","",INDEX(Tableaulistesenfants[Nom],MATCH(B36,Tableaulistesenfants[Séquence33],0),))</f>
        <v>ROUQUETTE</v>
      </c>
      <c r="E36" s="211" t="str">
        <f>IF(C36="","",INDEX(Tableaulistesenfants[Prénom],MATCH(B36,Tableaulistesenfants[Séquence33],0),))</f>
        <v>Anthony</v>
      </c>
      <c r="F36" s="210" t="str">
        <f>IF(C36="","",INDEX(Tableaulistesenfants[Classe],MATCH(B36,Tableaulistesenfants[Séquence33],0),))</f>
        <v>Term CGEA</v>
      </c>
      <c r="G36" s="210" t="b">
        <f>IF(C36="","",INDEX(Tableaulistesenfants[Dimanche],MATCH(B36,Tableaulistesenfants[Séquence33],0),))</f>
        <v>0</v>
      </c>
      <c r="H36" s="68" t="b">
        <f>IF(C36="","",INDEX(Tableaulistesenfants[Mercredi],MATCH(B36,Tableaulistesenfants[Séquence33],0),))</f>
        <v>1</v>
      </c>
      <c r="I36" s="61"/>
      <c r="J36" s="62"/>
    </row>
    <row r="37" spans="1:11" ht="16.5" thickBot="1">
      <c r="A37" s="83"/>
      <c r="B37" s="71" t="str">
        <f>IF(ROW()-32&lt;=$K$33,ROW()-32,"")</f>
        <v/>
      </c>
      <c r="C37" s="72" t="str">
        <f>IF(B37="","",$A$35)</f>
        <v/>
      </c>
      <c r="D37" s="73" t="str">
        <f>IF(C37="","",INDEX(Tableaulistesenfants[Nom],MATCH(B37,Tableaulistesenfants[Séquence33],0),))</f>
        <v/>
      </c>
      <c r="E37" s="73" t="str">
        <f>IF(C37="","",INDEX(Tableaulistesenfants[Prénom],MATCH(B37,Tableaulistesenfants[Séquence33],0),))</f>
        <v/>
      </c>
      <c r="F37" s="72" t="str">
        <f>IF(C37="","",INDEX(Tableaulistesenfants[Classe],MATCH(B37,Tableaulistesenfants[Séquence33],0),))</f>
        <v/>
      </c>
      <c r="G37" s="72" t="str">
        <f>IF(C37="","",INDEX(Tableaulistesenfants[Dimanche],MATCH(B37,Tableaulistesenfants[Séquence33],0),))</f>
        <v/>
      </c>
      <c r="H37" s="74" t="str">
        <f>IF(C37="","",INDEX(Tableaulistesenfants[Mercredi],MATCH(B37,Tableaulistesenfants[Séquence33],0),))</f>
        <v/>
      </c>
      <c r="I37" s="61"/>
      <c r="J37" s="62"/>
    </row>
    <row r="38" spans="1:11" ht="15.75">
      <c r="A38" s="75"/>
      <c r="B38" s="75"/>
      <c r="C38" s="75"/>
      <c r="D38" s="80"/>
      <c r="E38" s="91"/>
      <c r="F38" s="81"/>
      <c r="G38" s="78"/>
      <c r="H38" s="79"/>
      <c r="I38" s="61"/>
      <c r="J38" s="62"/>
      <c r="K38" s="78"/>
    </row>
    <row r="39" spans="1:11">
      <c r="E39" s="78"/>
      <c r="F39" s="78"/>
      <c r="G39" s="78"/>
      <c r="H39" s="78"/>
    </row>
    <row r="41" spans="1:11">
      <c r="F41" s="95"/>
    </row>
    <row r="46" spans="1:11">
      <c r="F46" s="95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9"/>
  <dimension ref="A1:K620"/>
  <sheetViews>
    <sheetView showGridLines="0" showRowColHeaders="0" topLeftCell="A73" workbookViewId="0">
      <selection activeCell="H100" sqref="H100"/>
    </sheetView>
  </sheetViews>
  <sheetFormatPr baseColWidth="10" defaultRowHeight="15"/>
  <cols>
    <col min="1" max="1" width="15.7109375" customWidth="1"/>
    <col min="2" max="3" width="16.140625" hidden="1" customWidth="1"/>
    <col min="4" max="4" width="25.7109375" customWidth="1"/>
    <col min="5" max="5" width="20.7109375" customWidth="1"/>
    <col min="6" max="8" width="16.7109375" customWidth="1"/>
    <col min="9" max="10" width="11.42578125" customWidth="1"/>
    <col min="11" max="11" width="11.42578125" hidden="1" customWidth="1"/>
  </cols>
  <sheetData>
    <row r="1" spans="1:11" ht="16.5" thickBot="1">
      <c r="A1" s="213" t="s">
        <v>784</v>
      </c>
      <c r="B1" s="213"/>
      <c r="C1" s="213"/>
      <c r="D1" s="213"/>
      <c r="E1" s="214" t="str">
        <f>"Année:  " &amp;Accueil!C18</f>
        <v>Année:  2017</v>
      </c>
      <c r="F1" s="215" t="str">
        <f>Accueil!D18</f>
        <v xml:space="preserve"> / 2018</v>
      </c>
      <c r="G1" s="214" t="s">
        <v>52</v>
      </c>
      <c r="H1" s="216">
        <f>SUM(K3:K97)</f>
        <v>59</v>
      </c>
      <c r="I1" s="50"/>
      <c r="J1" s="50"/>
    </row>
    <row r="2" spans="1:11" ht="16.5" thickBot="1">
      <c r="A2" s="51" t="s">
        <v>53</v>
      </c>
      <c r="B2" s="52"/>
      <c r="C2" s="52"/>
      <c r="D2" s="52" t="s">
        <v>54</v>
      </c>
      <c r="E2" s="52" t="s">
        <v>55</v>
      </c>
      <c r="F2" s="52" t="s">
        <v>56</v>
      </c>
      <c r="G2" s="53" t="s">
        <v>57</v>
      </c>
      <c r="H2" s="54" t="s">
        <v>58</v>
      </c>
      <c r="I2" s="55"/>
      <c r="J2" s="55"/>
    </row>
    <row r="3" spans="1:11" ht="15.75">
      <c r="A3" s="56"/>
      <c r="B3" s="57">
        <f>IF(ROW()-2&lt;=$K$3,ROW()-2,"")</f>
        <v>1</v>
      </c>
      <c r="C3" s="58">
        <f>IF(B3="","",$A$5)</f>
        <v>105</v>
      </c>
      <c r="D3" s="59" t="str">
        <f>IF(C3="","",INDEX(Tableaulistesenfants[Nom],MATCH(B3,Tableaulistesenfants[Séquence34],0),))</f>
        <v>FAYE</v>
      </c>
      <c r="E3" s="59" t="str">
        <f>IF(C3="","",INDEX(Tableaulistesenfants[Prénom],MATCH(B3,Tableaulistesenfants[Séquence34],0),))</f>
        <v>Antoine</v>
      </c>
      <c r="F3" s="58" t="str">
        <f>IF(C3="","",INDEX(Tableaulistesenfants[Classe],MATCH(B3,Tableaulistesenfants[Séquence34],0),))</f>
        <v>3e EA</v>
      </c>
      <c r="G3" s="58" t="b">
        <f>IF(C3="","",INDEX(Tableaulistesenfants[Dimanche],MATCH(B3,Tableaulistesenfants[Séquence34],0),))</f>
        <v>1</v>
      </c>
      <c r="H3" s="60" t="b">
        <f>IF(C3="","",INDEX(Tableaulistesenfants[Mercredi],MATCH(B3,Tableaulistesenfants[Séquence34],0),))</f>
        <v>0</v>
      </c>
      <c r="I3" s="61"/>
      <c r="J3" s="62"/>
      <c r="K3" s="63">
        <f>SUM(Tableaulistesenfants[Occurrence33])</f>
        <v>3</v>
      </c>
    </row>
    <row r="4" spans="1:11" ht="15.75">
      <c r="A4" s="64"/>
      <c r="B4" s="65">
        <f>IF(ROW()-2&lt;=$K$3,ROW()-2,"")</f>
        <v>2</v>
      </c>
      <c r="C4" s="210">
        <f>IF(B4="","",$A$5)</f>
        <v>105</v>
      </c>
      <c r="D4" s="211" t="str">
        <f>IF(C4="","",INDEX(Tableaulistesenfants[Nom],MATCH(B4,Tableaulistesenfants[Séquence34],0),))</f>
        <v>FRESQUET</v>
      </c>
      <c r="E4" s="211" t="str">
        <f>IF(C4="","",INDEX(Tableaulistesenfants[Prénom],MATCH(B4,Tableaulistesenfants[Séquence34],0),))</f>
        <v>Justin</v>
      </c>
      <c r="F4" s="210" t="str">
        <f>IF(C4="","",INDEX(Tableaulistesenfants[Classe],MATCH(B4,Tableaulistesenfants[Séquence34],0),))</f>
        <v>3e EA</v>
      </c>
      <c r="G4" s="210" t="b">
        <f>IF(C4="","",INDEX(Tableaulistesenfants[Dimanche],MATCH(B4,Tableaulistesenfants[Séquence34],0),))</f>
        <v>0</v>
      </c>
      <c r="H4" s="68" t="b">
        <f>IF(C4="","",INDEX(Tableaulistesenfants[Mercredi],MATCH(B4,Tableaulistesenfants[Séquence34],0),))</f>
        <v>0</v>
      </c>
      <c r="I4" s="61"/>
      <c r="J4" s="62"/>
    </row>
    <row r="5" spans="1:11" ht="15.75">
      <c r="A5" s="69">
        <v>105</v>
      </c>
      <c r="B5" s="65">
        <f>IF(ROW()-2&lt;=$K$3,ROW()-2,"")</f>
        <v>3</v>
      </c>
      <c r="C5" s="210">
        <f>IF(B5="","",$A$5)</f>
        <v>105</v>
      </c>
      <c r="D5" s="211" t="str">
        <f>IF(C5="","",INDEX(Tableaulistesenfants[Nom],MATCH(B5,Tableaulistesenfants[Séquence34],0),))</f>
        <v>HAURY</v>
      </c>
      <c r="E5" s="211" t="str">
        <f>IF(C5="","",INDEX(Tableaulistesenfants[Prénom],MATCH(B5,Tableaulistesenfants[Séquence34],0),))</f>
        <v>Lucas</v>
      </c>
      <c r="F5" s="210" t="str">
        <f>IF(C5="","",INDEX(Tableaulistesenfants[Classe],MATCH(B5,Tableaulistesenfants[Séquence34],0),))</f>
        <v>3e EA</v>
      </c>
      <c r="G5" s="210" t="b">
        <f>IF(C5="","",INDEX(Tableaulistesenfants[Dimanche],MATCH(B5,Tableaulistesenfants[Séquence34],0),))</f>
        <v>1</v>
      </c>
      <c r="H5" s="68" t="b">
        <f>IF(C5="","",INDEX(Tableaulistesenfants[Mercredi],MATCH(B5,Tableaulistesenfants[Séquence34],0),))</f>
        <v>0</v>
      </c>
      <c r="I5" s="61"/>
      <c r="J5" s="62"/>
    </row>
    <row r="6" spans="1:11" ht="15.75">
      <c r="A6" s="64"/>
      <c r="B6" s="65" t="str">
        <f>IF(ROW()-2&lt;=$K$3,ROW()-2,"")</f>
        <v/>
      </c>
      <c r="C6" s="210" t="str">
        <f>IF(B6="","",$A$5)</f>
        <v/>
      </c>
      <c r="D6" s="211" t="str">
        <f>IF(C6="","",INDEX(Tableaulistesenfants[Nom],MATCH(B6,Tableaulistesenfants[Séquence34],0),))</f>
        <v/>
      </c>
      <c r="E6" s="211" t="str">
        <f>IF(C6="","",INDEX(Tableaulistesenfants[Prénom],MATCH(B6,Tableaulistesenfants[Séquence34],0),))</f>
        <v/>
      </c>
      <c r="F6" s="210" t="str">
        <f>IF(C6="","",INDEX(Tableaulistesenfants[Classe],MATCH(B6,Tableaulistesenfants[Séquence34],0),))</f>
        <v/>
      </c>
      <c r="G6" s="210" t="str">
        <f>IF(C6="","",INDEX(Tableaulistesenfants[Dimanche],MATCH(B6,Tableaulistesenfants[Séquence34],0),))</f>
        <v/>
      </c>
      <c r="H6" s="68" t="str">
        <f>IF(C6="","",INDEX(Tableaulistesenfants[Mercredi],MATCH(B6,Tableaulistesenfants[Séquence34],0),))</f>
        <v/>
      </c>
      <c r="I6" s="61"/>
      <c r="J6" s="62"/>
    </row>
    <row r="7" spans="1:11" ht="16.5" thickBot="1">
      <c r="A7" s="70"/>
      <c r="B7" s="71" t="str">
        <f>IF(ROW()-2&lt;=$K$3,ROW()-2,"")</f>
        <v/>
      </c>
      <c r="C7" s="72" t="str">
        <f>IF(B7="","",$A$5)</f>
        <v/>
      </c>
      <c r="D7" s="73" t="str">
        <f>IF(C7="","",INDEX(Tableaulistesenfants[Nom],MATCH(B7,Tableaulistesenfants[Séquence34],0),))</f>
        <v/>
      </c>
      <c r="E7" s="73" t="str">
        <f>IF(C7="","",INDEX(Tableaulistesenfants[Prénom],MATCH(B7,Tableaulistesenfants[Séquence34],0),))</f>
        <v/>
      </c>
      <c r="F7" s="72" t="str">
        <f>IF(C7="","",INDEX(Tableaulistesenfants[Classe],MATCH(B7,Tableaulistesenfants[Séquence34],0),))</f>
        <v/>
      </c>
      <c r="G7" s="72" t="str">
        <f>IF(C7="","",INDEX(Tableaulistesenfants[Dimanche],MATCH(B7,Tableaulistesenfants[Séquence34],0),))</f>
        <v/>
      </c>
      <c r="H7" s="74" t="str">
        <f>IF(C7="","",INDEX(Tableaulistesenfants[Mercredi],MATCH(B7,Tableaulistesenfants[Séquence34],0),))</f>
        <v/>
      </c>
      <c r="I7" s="61"/>
      <c r="J7" s="62"/>
    </row>
    <row r="8" spans="1:11" s="78" customFormat="1" ht="16.5" thickBot="1">
      <c r="A8" s="75"/>
      <c r="B8" s="75"/>
      <c r="C8" s="75"/>
      <c r="D8" s="76"/>
      <c r="E8" s="76"/>
      <c r="F8" s="77"/>
      <c r="H8" s="79"/>
      <c r="I8" s="61"/>
      <c r="J8" s="62"/>
    </row>
    <row r="9" spans="1:11" ht="15.75">
      <c r="A9" s="56"/>
      <c r="B9" s="57">
        <f>IF(ROW()-8&lt;=$K$9,ROW()-8,"")</f>
        <v>1</v>
      </c>
      <c r="C9" s="58">
        <f>IF(B9="","",$A$11)</f>
        <v>106</v>
      </c>
      <c r="D9" s="59" t="str">
        <f>IF(C9="","",INDEX(Tableaulistesenfants[Nom],MATCH(B9,Tableaulistesenfants[Séquence35],0),))</f>
        <v>COUDERC</v>
      </c>
      <c r="E9" s="59" t="str">
        <f>IF(C9="","",INDEX(Tableaulistesenfants[Prénom],MATCH(B9,Tableaulistesenfants[Séquence35],0),))</f>
        <v>Maxime</v>
      </c>
      <c r="F9" s="58" t="str">
        <f>IF(C9="","",INDEX(Tableaulistesenfants[Classe],MATCH(B9,Tableaulistesenfants[Séquence35],0),))</f>
        <v>Term CGEA</v>
      </c>
      <c r="G9" s="58" t="b">
        <f>IF(C9="","",INDEX(Tableaulistesenfants[Dimanche],MATCH(B9,Tableaulistesenfants[Séquence35],0),))</f>
        <v>0</v>
      </c>
      <c r="H9" s="60" t="b">
        <f>IF(C9="","",INDEX(Tableaulistesenfants[Mercredi],MATCH(B9,Tableaulistesenfants[Séquence35],0),))</f>
        <v>0</v>
      </c>
      <c r="I9" s="61"/>
      <c r="J9" s="62"/>
      <c r="K9" s="63">
        <f>SUM(Tableaulistesenfants[Occurrence34])</f>
        <v>5</v>
      </c>
    </row>
    <row r="10" spans="1:11" ht="15.75">
      <c r="A10" s="64"/>
      <c r="B10" s="65">
        <f>IF(ROW()-8&lt;=$K$9,ROW()-8,"")</f>
        <v>2</v>
      </c>
      <c r="C10" s="210">
        <f>IF(B10="","",$A$11)</f>
        <v>106</v>
      </c>
      <c r="D10" s="211" t="str">
        <f>IF(C10="","",INDEX(Tableaulistesenfants[Nom],MATCH(B10,Tableaulistesenfants[Séquence35],0),))</f>
        <v>DESTRUEL</v>
      </c>
      <c r="E10" s="211" t="str">
        <f>IF(C10="","",INDEX(Tableaulistesenfants[Prénom],MATCH(B10,Tableaulistesenfants[Séquence35],0),))</f>
        <v>Jérémy</v>
      </c>
      <c r="F10" s="210" t="str">
        <f>IF(C10="","",INDEX(Tableaulistesenfants[Classe],MATCH(B10,Tableaulistesenfants[Séquence35],0),))</f>
        <v>Term CGEA</v>
      </c>
      <c r="G10" s="210" t="b">
        <f>IF(C10="","",INDEX(Tableaulistesenfants[Dimanche],MATCH(B10,Tableaulistesenfants[Séquence35],0),))</f>
        <v>0</v>
      </c>
      <c r="H10" s="68" t="b">
        <f>IF(C10="","",INDEX(Tableaulistesenfants[Mercredi],MATCH(B10,Tableaulistesenfants[Séquence35],0),))</f>
        <v>1</v>
      </c>
      <c r="I10" s="61"/>
      <c r="J10" s="62"/>
    </row>
    <row r="11" spans="1:11" ht="15.75">
      <c r="A11" s="69">
        <v>106</v>
      </c>
      <c r="B11" s="65">
        <f>IF(ROW()-8&lt;=$K$9,ROW()-8,"")</f>
        <v>3</v>
      </c>
      <c r="C11" s="210">
        <f>IF(B11="","",$A$11)</f>
        <v>106</v>
      </c>
      <c r="D11" s="211" t="str">
        <f>IF(C11="","",INDEX(Tableaulistesenfants[Nom],MATCH(B11,Tableaulistesenfants[Séquence35],0),))</f>
        <v>MOLES</v>
      </c>
      <c r="E11" s="211" t="str">
        <f>IF(C11="","",INDEX(Tableaulistesenfants[Prénom],MATCH(B11,Tableaulistesenfants[Séquence35],0),))</f>
        <v>Florian</v>
      </c>
      <c r="F11" s="210" t="str">
        <f>IF(C11="","",INDEX(Tableaulistesenfants[Classe],MATCH(B11,Tableaulistesenfants[Séquence35],0),))</f>
        <v>1e CGEA</v>
      </c>
      <c r="G11" s="210" t="b">
        <f>IF(C11="","",INDEX(Tableaulistesenfants[Dimanche],MATCH(B11,Tableaulistesenfants[Séquence35],0),))</f>
        <v>0</v>
      </c>
      <c r="H11" s="68" t="b">
        <f>IF(C11="","",INDEX(Tableaulistesenfants[Mercredi],MATCH(B11,Tableaulistesenfants[Séquence35],0),))</f>
        <v>1</v>
      </c>
      <c r="I11" s="61"/>
      <c r="J11" s="62"/>
    </row>
    <row r="12" spans="1:11" ht="15.75">
      <c r="A12" s="64"/>
      <c r="B12" s="65">
        <f>IF(ROW()-8&lt;=$K$9,ROW()-8,"")</f>
        <v>4</v>
      </c>
      <c r="C12" s="210">
        <f>IF(B12="","",$A$11)</f>
        <v>106</v>
      </c>
      <c r="D12" s="211" t="str">
        <f>IF(C12="","",INDEX(Tableaulistesenfants[Nom],MATCH(B12,Tableaulistesenfants[Séquence35],0),))</f>
        <v>PEREIRA</v>
      </c>
      <c r="E12" s="211" t="str">
        <f>IF(C12="","",INDEX(Tableaulistesenfants[Prénom],MATCH(B12,Tableaulistesenfants[Séquence35],0),))</f>
        <v>Romain</v>
      </c>
      <c r="F12" s="210" t="str">
        <f>IF(C12="","",INDEX(Tableaulistesenfants[Classe],MATCH(B12,Tableaulistesenfants[Séquence35],0),))</f>
        <v>Term CGEA</v>
      </c>
      <c r="G12" s="210" t="b">
        <f>IF(C12="","",INDEX(Tableaulistesenfants[Dimanche],MATCH(B12,Tableaulistesenfants[Séquence35],0),))</f>
        <v>0</v>
      </c>
      <c r="H12" s="68" t="b">
        <f>IF(C12="","",INDEX(Tableaulistesenfants[Mercredi],MATCH(B12,Tableaulistesenfants[Séquence35],0),))</f>
        <v>1</v>
      </c>
      <c r="I12" s="61"/>
      <c r="J12" s="62"/>
    </row>
    <row r="13" spans="1:11" ht="16.5" thickBot="1">
      <c r="A13" s="70"/>
      <c r="B13" s="71">
        <f>IF(ROW()-8&lt;=$K$9,ROW()-8,"")</f>
        <v>5</v>
      </c>
      <c r="C13" s="72">
        <f>IF(B13="","",$A$11)</f>
        <v>106</v>
      </c>
      <c r="D13" s="73" t="str">
        <f>IF(C13="","",INDEX(Tableaulistesenfants[Nom],MATCH(B13,Tableaulistesenfants[Séquence35],0),))</f>
        <v>TESTAS</v>
      </c>
      <c r="E13" s="73" t="str">
        <f>IF(C13="","",INDEX(Tableaulistesenfants[Prénom],MATCH(B13,Tableaulistesenfants[Séquence35],0),))</f>
        <v>Quentin</v>
      </c>
      <c r="F13" s="72" t="str">
        <f>IF(C13="","",INDEX(Tableaulistesenfants[Classe],MATCH(B13,Tableaulistesenfants[Séquence35],0),))</f>
        <v>Term CGEA</v>
      </c>
      <c r="G13" s="72" t="b">
        <f>IF(C13="","",INDEX(Tableaulistesenfants[Dimanche],MATCH(B13,Tableaulistesenfants[Séquence35],0),))</f>
        <v>0</v>
      </c>
      <c r="H13" s="74" t="b">
        <f>IF(C13="","",INDEX(Tableaulistesenfants[Mercredi],MATCH(B13,Tableaulistesenfants[Séquence35],0),))</f>
        <v>0</v>
      </c>
      <c r="I13" s="61"/>
      <c r="J13" s="62"/>
    </row>
    <row r="14" spans="1:11" s="78" customFormat="1" ht="16.5" thickBot="1">
      <c r="A14" s="75"/>
      <c r="B14" s="75"/>
      <c r="C14" s="75"/>
      <c r="D14" s="80"/>
      <c r="E14" s="80"/>
      <c r="F14" s="81"/>
      <c r="H14" s="79"/>
      <c r="I14" s="61"/>
      <c r="J14" s="62"/>
    </row>
    <row r="15" spans="1:11" ht="15.75">
      <c r="A15" s="82"/>
      <c r="B15" s="57">
        <f>IF(ROW()-14&lt;=$K$15,ROW()-14,"")</f>
        <v>1</v>
      </c>
      <c r="C15" s="58">
        <f>IF(B15="","",$A$17)</f>
        <v>104</v>
      </c>
      <c r="D15" s="59" t="str">
        <f>IF(C15="","",INDEX(Tableaulistesenfants[Nom],MATCH(B15,Tableaulistesenfants[Séquence36],0),))</f>
        <v>MALIRAT</v>
      </c>
      <c r="E15" s="59" t="str">
        <f>IF(C15="","",INDEX(Tableaulistesenfants[Prénom],MATCH(B15,Tableaulistesenfants[Séquence36],0),))</f>
        <v>Lucas</v>
      </c>
      <c r="F15" s="58" t="str">
        <f>IF(C15="","",INDEX(Tableaulistesenfants[Classe],MATCH(B15,Tableaulistesenfants[Séquence36],0),))</f>
        <v>2e TCVA</v>
      </c>
      <c r="G15" s="58" t="b">
        <f>IF(C15="","",INDEX(Tableaulistesenfants[Dimanche],MATCH(B15,Tableaulistesenfants[Séquence36],0),))</f>
        <v>0</v>
      </c>
      <c r="H15" s="60" t="b">
        <f>IF(C15="","",INDEX(Tableaulistesenfants[Mercredi],MATCH(B15,Tableaulistesenfants[Séquence36],0),))</f>
        <v>0</v>
      </c>
      <c r="I15" s="61"/>
      <c r="J15" s="62"/>
      <c r="K15" s="63">
        <f>SUM(Tableaulistesenfants[Occurrence35])</f>
        <v>2</v>
      </c>
    </row>
    <row r="16" spans="1:11" ht="15.75">
      <c r="A16" s="69"/>
      <c r="B16" s="65">
        <f>IF(ROW()-14&lt;=$K$15,ROW()-14,"")</f>
        <v>2</v>
      </c>
      <c r="C16" s="210">
        <f>IF(B16="","",$A$17)</f>
        <v>104</v>
      </c>
      <c r="D16" s="211" t="str">
        <f>IF(C16="","",INDEX(Tableaulistesenfants[Nom],MATCH(B16,Tableaulistesenfants[Séquence36],0),))</f>
        <v>VARLET</v>
      </c>
      <c r="E16" s="211" t="str">
        <f>IF(C16="","",INDEX(Tableaulistesenfants[Prénom],MATCH(B16,Tableaulistesenfants[Séquence36],0),))</f>
        <v>Yohan</v>
      </c>
      <c r="F16" s="210" t="str">
        <f>IF(C16="","",INDEX(Tableaulistesenfants[Classe],MATCH(B16,Tableaulistesenfants[Séquence36],0),))</f>
        <v>2e TCVA</v>
      </c>
      <c r="G16" s="210" t="b">
        <f>IF(C16="","",INDEX(Tableaulistesenfants[Dimanche],MATCH(B16,Tableaulistesenfants[Séquence36],0),))</f>
        <v>0</v>
      </c>
      <c r="H16" s="68" t="b">
        <f>IF(C16="","",INDEX(Tableaulistesenfants[Mercredi],MATCH(B16,Tableaulistesenfants[Séquence36],0),))</f>
        <v>0</v>
      </c>
      <c r="I16" s="61"/>
      <c r="J16" s="62"/>
    </row>
    <row r="17" spans="1:11" ht="15.75">
      <c r="A17" s="69">
        <v>104</v>
      </c>
      <c r="B17" s="65" t="str">
        <f>IF(ROW()-14&lt;=$K$15,ROW()-14,"")</f>
        <v/>
      </c>
      <c r="C17" s="210" t="str">
        <f>IF(B17="","",$A$17)</f>
        <v/>
      </c>
      <c r="D17" s="211" t="str">
        <f>IF(C17="","",INDEX(Tableaulistesenfants[Nom],MATCH(B17,Tableaulistesenfants[Séquence36],0),))</f>
        <v/>
      </c>
      <c r="E17" s="211" t="str">
        <f>IF(C17="","",INDEX(Tableaulistesenfants[Prénom],MATCH(B17,Tableaulistesenfants[Séquence36],0),))</f>
        <v/>
      </c>
      <c r="F17" s="210" t="str">
        <f>IF(C17="","",INDEX(Tableaulistesenfants[Classe],MATCH(B17,Tableaulistesenfants[Séquence36],0),))</f>
        <v/>
      </c>
      <c r="G17" s="210" t="str">
        <f>IF(C17="","",INDEX(Tableaulistesenfants[Dimanche],MATCH(B17,Tableaulistesenfants[Séquence36],0),))</f>
        <v/>
      </c>
      <c r="H17" s="68" t="str">
        <f>IF(C17="","",INDEX(Tableaulistesenfants[Mercredi],MATCH(B17,Tableaulistesenfants[Séquence36],0),))</f>
        <v/>
      </c>
      <c r="I17" s="61"/>
      <c r="J17" s="62"/>
    </row>
    <row r="18" spans="1:11" ht="15.75">
      <c r="A18" s="69"/>
      <c r="B18" s="65" t="str">
        <f>IF(ROW()-14&lt;=$K$15,ROW()-14,"")</f>
        <v/>
      </c>
      <c r="C18" s="210" t="str">
        <f>IF(B18="","",$A$17)</f>
        <v/>
      </c>
      <c r="D18" s="211" t="str">
        <f>IF(C18="","",INDEX(Tableaulistesenfants[Nom],MATCH(B18,Tableaulistesenfants[Séquence36],0),))</f>
        <v/>
      </c>
      <c r="E18" s="211" t="str">
        <f>IF(C18="","",INDEX(Tableaulistesenfants[Prénom],MATCH(B18,Tableaulistesenfants[Séquence36],0),))</f>
        <v/>
      </c>
      <c r="F18" s="210" t="str">
        <f>IF(C18="","",INDEX(Tableaulistesenfants[Classe],MATCH(B18,Tableaulistesenfants[Séquence36],0),))</f>
        <v/>
      </c>
      <c r="G18" s="210" t="str">
        <f>IF(C18="","",INDEX(Tableaulistesenfants[Dimanche],MATCH(B18,Tableaulistesenfants[Séquence36],0),))</f>
        <v/>
      </c>
      <c r="H18" s="68" t="str">
        <f>IF(C18="","",INDEX(Tableaulistesenfants[Mercredi],MATCH(B18,Tableaulistesenfants[Séquence36],0),))</f>
        <v/>
      </c>
      <c r="I18" s="61"/>
      <c r="J18" s="62"/>
    </row>
    <row r="19" spans="1:11" ht="16.5" thickBot="1">
      <c r="A19" s="83"/>
      <c r="B19" s="71" t="str">
        <f>IF(ROW()-14&lt;=$K$15,ROW()-14,"")</f>
        <v/>
      </c>
      <c r="C19" s="72" t="str">
        <f>IF(B19="","",$A$17)</f>
        <v/>
      </c>
      <c r="D19" s="73" t="str">
        <f>IF(C19="","",INDEX(Tableaulistesenfants[Nom],MATCH(B19,Tableaulistesenfants[Séquence36],0),))</f>
        <v/>
      </c>
      <c r="E19" s="73" t="str">
        <f>IF(C19="","",INDEX(Tableaulistesenfants[Prénom],MATCH(B19,Tableaulistesenfants[Séquence36],0),))</f>
        <v/>
      </c>
      <c r="F19" s="72" t="str">
        <f>IF(C19="","",INDEX(Tableaulistesenfants[Classe],MATCH(B19,Tableaulistesenfants[Séquence36],0),))</f>
        <v/>
      </c>
      <c r="G19" s="72" t="str">
        <f>IF(C19="","",INDEX(Tableaulistesenfants[Dimanche],MATCH(B19,Tableaulistesenfants[Séquence36],0),))</f>
        <v/>
      </c>
      <c r="H19" s="74" t="str">
        <f>IF(C19="","",INDEX(Tableaulistesenfants[Mercredi],MATCH(B19,Tableaulistesenfants[Séquence36],0),))</f>
        <v/>
      </c>
      <c r="I19" s="61"/>
      <c r="J19" s="62"/>
    </row>
    <row r="20" spans="1:11" s="78" customFormat="1" ht="16.5" thickBot="1">
      <c r="A20" s="75"/>
      <c r="B20" s="75"/>
      <c r="C20" s="75"/>
      <c r="D20" s="80"/>
      <c r="E20" s="80"/>
      <c r="F20" s="81"/>
      <c r="H20" s="79"/>
      <c r="I20" s="61"/>
      <c r="J20" s="62"/>
    </row>
    <row r="21" spans="1:11" ht="15.75">
      <c r="A21" s="82"/>
      <c r="B21" s="57">
        <f>IF(ROW()-20&lt;=$K$21,ROW()-20,"")</f>
        <v>1</v>
      </c>
      <c r="C21" s="58">
        <f>IF(B21="","",$A$23)</f>
        <v>114</v>
      </c>
      <c r="D21" s="59" t="str">
        <f>IF(C21="","",INDEX(Tableaulistesenfants[Nom],MATCH(B21,Tableaulistesenfants[Séquence37],0),))</f>
        <v>LAPOUGE</v>
      </c>
      <c r="E21" s="59" t="str">
        <f>IF(C21="","",INDEX(Tableaulistesenfants[Prénom],MATCH(B21,Tableaulistesenfants[Séquence37],0),))</f>
        <v>Jeremy</v>
      </c>
      <c r="F21" s="58" t="str">
        <f>IF(C21="","",INDEX(Tableaulistesenfants[Classe],MATCH(B21,Tableaulistesenfants[Séquence37],0),))</f>
        <v>3e EA</v>
      </c>
      <c r="G21" s="58" t="b">
        <f>IF(C21="","",INDEX(Tableaulistesenfants[Dimanche],MATCH(B21,Tableaulistesenfants[Séquence37],0),))</f>
        <v>0</v>
      </c>
      <c r="H21" s="60" t="b">
        <f>IF(C21="","",INDEX(Tableaulistesenfants[Mercredi],MATCH(B21,Tableaulistesenfants[Séquence37],0),))</f>
        <v>0</v>
      </c>
      <c r="I21" s="61"/>
      <c r="J21" s="62"/>
      <c r="K21" s="63">
        <f>SUM(Tableaulistesenfants[Occurrence36])</f>
        <v>3</v>
      </c>
    </row>
    <row r="22" spans="1:11" ht="15.75">
      <c r="A22" s="69"/>
      <c r="B22" s="65">
        <f>IF(ROW()-20&lt;=$K$21,ROW()-20,"")</f>
        <v>2</v>
      </c>
      <c r="C22" s="210">
        <f>IF(B22="","",$A$23)</f>
        <v>114</v>
      </c>
      <c r="D22" s="211" t="str">
        <f>IF(C22="","",INDEX(Tableaulistesenfants[Nom],MATCH(B22,Tableaulistesenfants[Séquence37],0),))</f>
        <v>LISIEWICZ</v>
      </c>
      <c r="E22" s="211" t="str">
        <f>IF(C22="","",INDEX(Tableaulistesenfants[Prénom],MATCH(B22,Tableaulistesenfants[Séquence37],0),))</f>
        <v>Alexandre</v>
      </c>
      <c r="F22" s="210" t="str">
        <f>IF(C22="","",INDEX(Tableaulistesenfants[Classe],MATCH(B22,Tableaulistesenfants[Séquence37],0),))</f>
        <v>3e EA</v>
      </c>
      <c r="G22" s="210" t="b">
        <f>IF(C22="","",INDEX(Tableaulistesenfants[Dimanche],MATCH(B22,Tableaulistesenfants[Séquence37],0),))</f>
        <v>1</v>
      </c>
      <c r="H22" s="68" t="b">
        <f>IF(C22="","",INDEX(Tableaulistesenfants[Mercredi],MATCH(B22,Tableaulistesenfants[Séquence37],0),))</f>
        <v>0</v>
      </c>
      <c r="I22" s="61"/>
      <c r="J22" s="62"/>
    </row>
    <row r="23" spans="1:11" ht="15.75">
      <c r="A23" s="69">
        <v>114</v>
      </c>
      <c r="B23" s="65">
        <f>IF(ROW()-20&lt;=$K$21,ROW()-20,"")</f>
        <v>3</v>
      </c>
      <c r="C23" s="210">
        <f>IF(B23="","",$A$23)</f>
        <v>114</v>
      </c>
      <c r="D23" s="211" t="str">
        <f>IF(C23="","",INDEX(Tableaulistesenfants[Nom],MATCH(B23,Tableaulistesenfants[Séquence37],0),))</f>
        <v>LOUGE</v>
      </c>
      <c r="E23" s="211" t="str">
        <f>IF(C23="","",INDEX(Tableaulistesenfants[Prénom],MATCH(B23,Tableaulistesenfants[Séquence37],0),))</f>
        <v>Simon</v>
      </c>
      <c r="F23" s="210" t="str">
        <f>IF(C23="","",INDEX(Tableaulistesenfants[Classe],MATCH(B23,Tableaulistesenfants[Séquence37],0),))</f>
        <v>3e EA</v>
      </c>
      <c r="G23" s="210" t="b">
        <f>IF(C23="","",INDEX(Tableaulistesenfants[Dimanche],MATCH(B23,Tableaulistesenfants[Séquence37],0),))</f>
        <v>0</v>
      </c>
      <c r="H23" s="68" t="b">
        <f>IF(C23="","",INDEX(Tableaulistesenfants[Mercredi],MATCH(B23,Tableaulistesenfants[Séquence37],0),))</f>
        <v>0</v>
      </c>
      <c r="I23" s="61"/>
      <c r="J23" s="62"/>
    </row>
    <row r="24" spans="1:11" ht="15.75">
      <c r="A24" s="69"/>
      <c r="B24" s="65" t="str">
        <f>IF(ROW()-20&lt;=$K$21,ROW()-20,"")</f>
        <v/>
      </c>
      <c r="C24" s="210" t="str">
        <f>IF(B24="","",$A$23)</f>
        <v/>
      </c>
      <c r="D24" s="211" t="str">
        <f>IF(C24="","",INDEX(Tableaulistesenfants[Nom],MATCH(B24,Tableaulistesenfants[Séquence37],0),))</f>
        <v/>
      </c>
      <c r="E24" s="211" t="str">
        <f>IF(C24="","",INDEX(Tableaulistesenfants[Prénom],MATCH(B24,Tableaulistesenfants[Séquence37],0),))</f>
        <v/>
      </c>
      <c r="F24" s="210" t="str">
        <f>IF(C24="","",INDEX(Tableaulistesenfants[Classe],MATCH(B24,Tableaulistesenfants[Séquence37],0),))</f>
        <v/>
      </c>
      <c r="G24" s="210" t="str">
        <f>IF(C24="","",INDEX(Tableaulistesenfants[Dimanche],MATCH(B24,Tableaulistesenfants[Séquence37],0),))</f>
        <v/>
      </c>
      <c r="H24" s="68" t="str">
        <f>IF(C24="","",INDEX(Tableaulistesenfants[Mercredi],MATCH(B24,Tableaulistesenfants[Séquence37],0),))</f>
        <v/>
      </c>
      <c r="I24" s="61"/>
      <c r="J24" s="62"/>
    </row>
    <row r="25" spans="1:11" ht="16.5" thickBot="1">
      <c r="A25" s="83"/>
      <c r="B25" s="71" t="str">
        <f>IF(ROW()-20&lt;=$K$21,ROW()-20,"")</f>
        <v/>
      </c>
      <c r="C25" s="72" t="str">
        <f>IF(B25="","",$A$23)</f>
        <v/>
      </c>
      <c r="D25" s="73" t="str">
        <f>IF(C25="","",INDEX(Tableaulistesenfants[Nom],MATCH(B25,Tableaulistesenfants[Séquence37],0),))</f>
        <v/>
      </c>
      <c r="E25" s="73" t="str">
        <f>IF(C25="","",INDEX(Tableaulistesenfants[Prénom],MATCH(B25,Tableaulistesenfants[Séquence37],0),))</f>
        <v/>
      </c>
      <c r="F25" s="72" t="str">
        <f>IF(C25="","",INDEX(Tableaulistesenfants[Classe],MATCH(B25,Tableaulistesenfants[Séquence37],0),))</f>
        <v/>
      </c>
      <c r="G25" s="72" t="str">
        <f>IF(C25="","",INDEX(Tableaulistesenfants[Dimanche],MATCH(B25,Tableaulistesenfants[Séquence37],0),))</f>
        <v/>
      </c>
      <c r="H25" s="74" t="str">
        <f>IF(C25="","",INDEX(Tableaulistesenfants[Mercredi],MATCH(B25,Tableaulistesenfants[Séquence37],0),))</f>
        <v/>
      </c>
      <c r="I25" s="61"/>
      <c r="J25" s="62"/>
    </row>
    <row r="26" spans="1:11" s="78" customFormat="1" ht="16.5" thickBot="1">
      <c r="A26" s="75"/>
      <c r="B26" s="75"/>
      <c r="C26" s="75"/>
      <c r="D26" s="80"/>
      <c r="E26" s="80"/>
      <c r="F26" s="81"/>
      <c r="H26" s="79"/>
      <c r="I26" s="61"/>
      <c r="J26" s="62"/>
    </row>
    <row r="27" spans="1:11" ht="15.75">
      <c r="A27" s="82"/>
      <c r="B27" s="57">
        <f>IF(ROW()-26&lt;=$K$27,ROW()-26,"")</f>
        <v>1</v>
      </c>
      <c r="C27" s="58">
        <f>IF(B27="","",$A$29)</f>
        <v>113</v>
      </c>
      <c r="D27" s="59" t="str">
        <f>IF(C27="","",INDEX(Tableaulistesenfants[Nom],MATCH(B27,Tableaulistesenfants[Séquence38],0),))</f>
        <v>CANET</v>
      </c>
      <c r="E27" s="59" t="str">
        <f>IF(C27="","",INDEX(Tableaulistesenfants[Prénom],MATCH(B27,Tableaulistesenfants[Séquence38],0),))</f>
        <v>Gabriel</v>
      </c>
      <c r="F27" s="58" t="str">
        <f>IF(C27="","",INDEX(Tableaulistesenfants[Classe],MATCH(B27,Tableaulistesenfants[Séquence38],0),))</f>
        <v>1e CGEA</v>
      </c>
      <c r="G27" s="58" t="b">
        <f>IF(C27="","",INDEX(Tableaulistesenfants[Dimanche],MATCH(B27,Tableaulistesenfants[Séquence38],0),))</f>
        <v>0</v>
      </c>
      <c r="H27" s="60" t="b">
        <f>IF(C27="","",INDEX(Tableaulistesenfants[Mercredi],MATCH(B27,Tableaulistesenfants[Séquence38],0),))</f>
        <v>0</v>
      </c>
      <c r="I27" s="61"/>
      <c r="J27" s="62"/>
      <c r="K27" s="63">
        <f>SUM(Tableaulistesenfants[Occurrence37])</f>
        <v>4</v>
      </c>
    </row>
    <row r="28" spans="1:11" ht="15.75">
      <c r="A28" s="69"/>
      <c r="B28" s="65">
        <f>IF(ROW()-26&lt;=$K$27,ROW()-26,"")</f>
        <v>2</v>
      </c>
      <c r="C28" s="210">
        <f>IF(B28="","",$A$29)</f>
        <v>113</v>
      </c>
      <c r="D28" s="211" t="str">
        <f>IF(C28="","",INDEX(Tableaulistesenfants[Nom],MATCH(B28,Tableaulistesenfants[Séquence38],0),))</f>
        <v>LAUNAY</v>
      </c>
      <c r="E28" s="211" t="str">
        <f>IF(C28="","",INDEX(Tableaulistesenfants[Prénom],MATCH(B28,Tableaulistesenfants[Séquence38],0),))</f>
        <v>Remi</v>
      </c>
      <c r="F28" s="210" t="str">
        <f>IF(C28="","",INDEX(Tableaulistesenfants[Classe],MATCH(B28,Tableaulistesenfants[Séquence38],0),))</f>
        <v>1e CGEA</v>
      </c>
      <c r="G28" s="210" t="b">
        <f>IF(C28="","",INDEX(Tableaulistesenfants[Dimanche],MATCH(B28,Tableaulistesenfants[Séquence38],0),))</f>
        <v>1</v>
      </c>
      <c r="H28" s="68" t="b">
        <f>IF(C28="","",INDEX(Tableaulistesenfants[Mercredi],MATCH(B28,Tableaulistesenfants[Séquence38],0),))</f>
        <v>0</v>
      </c>
      <c r="I28" s="61"/>
      <c r="J28" s="62"/>
    </row>
    <row r="29" spans="1:11" ht="15.75">
      <c r="A29" s="69">
        <v>113</v>
      </c>
      <c r="B29" s="65">
        <f>IF(ROW()-26&lt;=$K$27,ROW()-26,"")</f>
        <v>3</v>
      </c>
      <c r="C29" s="210">
        <f>IF(B29="","",$A$29)</f>
        <v>113</v>
      </c>
      <c r="D29" s="211" t="str">
        <f>IF(C29="","",INDEX(Tableaulistesenfants[Nom],MATCH(B29,Tableaulistesenfants[Séquence38],0),))</f>
        <v>PAGES</v>
      </c>
      <c r="E29" s="211" t="str">
        <f>IF(C29="","",INDEX(Tableaulistesenfants[Prénom],MATCH(B29,Tableaulistesenfants[Séquence38],0),))</f>
        <v>Nathan</v>
      </c>
      <c r="F29" s="210" t="str">
        <f>IF(C29="","",INDEX(Tableaulistesenfants[Classe],MATCH(B29,Tableaulistesenfants[Séquence38],0),))</f>
        <v>Term STAV</v>
      </c>
      <c r="G29" s="210" t="b">
        <f>IF(C29="","",INDEX(Tableaulistesenfants[Dimanche],MATCH(B29,Tableaulistesenfants[Séquence38],0),))</f>
        <v>0</v>
      </c>
      <c r="H29" s="68" t="b">
        <f>IF(C29="","",INDEX(Tableaulistesenfants[Mercredi],MATCH(B29,Tableaulistesenfants[Séquence38],0),))</f>
        <v>1</v>
      </c>
      <c r="I29" s="61"/>
      <c r="J29" s="62"/>
    </row>
    <row r="30" spans="1:11" ht="15.75">
      <c r="A30" s="69"/>
      <c r="B30" s="65">
        <f>IF(ROW()-26&lt;=$K$27,ROW()-26,"")</f>
        <v>4</v>
      </c>
      <c r="C30" s="210">
        <f>IF(B30="","",$A$29)</f>
        <v>113</v>
      </c>
      <c r="D30" s="211" t="str">
        <f>IF(C30="","",INDEX(Tableaulistesenfants[Nom],MATCH(B30,Tableaulistesenfants[Séquence38],0),))</f>
        <v>PESTEIL</v>
      </c>
      <c r="E30" s="211" t="str">
        <f>IF(C30="","",INDEX(Tableaulistesenfants[Prénom],MATCH(B30,Tableaulistesenfants[Séquence38],0),))</f>
        <v>Loic</v>
      </c>
      <c r="F30" s="210" t="str">
        <f>IF(C30="","",INDEX(Tableaulistesenfants[Classe],MATCH(B30,Tableaulistesenfants[Séquence38],0),))</f>
        <v>1e CGEA</v>
      </c>
      <c r="G30" s="210" t="b">
        <f>IF(C30="","",INDEX(Tableaulistesenfants[Dimanche],MATCH(B30,Tableaulistesenfants[Séquence38],0),))</f>
        <v>0</v>
      </c>
      <c r="H30" s="68" t="b">
        <f>IF(C30="","",INDEX(Tableaulistesenfants[Mercredi],MATCH(B30,Tableaulistesenfants[Séquence38],0),))</f>
        <v>0</v>
      </c>
      <c r="I30" s="61"/>
      <c r="J30" s="62"/>
    </row>
    <row r="31" spans="1:11" ht="16.5" thickBot="1">
      <c r="A31" s="83"/>
      <c r="B31" s="71" t="str">
        <f>IF(ROW()-26&lt;=$K$27,ROW()-26,"")</f>
        <v/>
      </c>
      <c r="C31" s="72" t="str">
        <f>IF(B31="","",$A$29)</f>
        <v/>
      </c>
      <c r="D31" s="73" t="str">
        <f>IF(C31="","",INDEX(Tableaulistesenfants[Nom],MATCH(B31,Tableaulistesenfants[Séquence38],0),))</f>
        <v/>
      </c>
      <c r="E31" s="73" t="str">
        <f>IF(C31="","",INDEX(Tableaulistesenfants[Prénom],MATCH(B31,Tableaulistesenfants[Séquence38],0),))</f>
        <v/>
      </c>
      <c r="F31" s="72" t="str">
        <f>IF(C31="","",INDEX(Tableaulistesenfants[Classe],MATCH(B31,Tableaulistesenfants[Séquence38],0),))</f>
        <v/>
      </c>
      <c r="G31" s="72" t="str">
        <f>IF(C31="","",INDEX(Tableaulistesenfants[Dimanche],MATCH(B31,Tableaulistesenfants[Séquence38],0),))</f>
        <v/>
      </c>
      <c r="H31" s="74" t="str">
        <f>IF(C31="","",INDEX(Tableaulistesenfants[Mercredi],MATCH(B31,Tableaulistesenfants[Séquence38],0),))</f>
        <v/>
      </c>
      <c r="I31" s="61"/>
      <c r="J31" s="62"/>
    </row>
    <row r="32" spans="1:11" s="78" customFormat="1" ht="16.5" thickBot="1">
      <c r="A32" s="75"/>
      <c r="B32" s="75"/>
      <c r="C32" s="75"/>
      <c r="D32" s="80"/>
      <c r="E32" s="80"/>
      <c r="F32" s="90" t="str">
        <f>IF(C32="","",INDEX(Tableaulistesenfants[Classe],MATCH(B32,Tableaulistesenfants[Séquence7],0),))</f>
        <v/>
      </c>
      <c r="H32" s="79"/>
      <c r="I32" s="61"/>
      <c r="J32" s="62"/>
    </row>
    <row r="33" spans="1:11" ht="15.75">
      <c r="A33" s="82"/>
      <c r="B33" s="57">
        <f>IF(ROW()-32&lt;=$K$33,ROW()-32,"")</f>
        <v>1</v>
      </c>
      <c r="C33" s="58">
        <f>IF(B33="","",$A$35)</f>
        <v>115</v>
      </c>
      <c r="D33" s="59" t="str">
        <f>IF(C33="","",INDEX(Tableaulistesenfants[Nom],MATCH(B33,Tableaulistesenfants[Séquence39],0),))</f>
        <v>ARIZA</v>
      </c>
      <c r="E33" s="59" t="str">
        <f>IF(C33="","",INDEX(Tableaulistesenfants[Prénom],MATCH(B33,Tableaulistesenfants[Séquence39],0),))</f>
        <v>Esteban</v>
      </c>
      <c r="F33" s="58" t="str">
        <f>IF(C33="","",INDEX(Tableaulistesenfants[Classe],MATCH(B33,Tableaulistesenfants[Séquence39],0),))</f>
        <v>2e GT</v>
      </c>
      <c r="G33" s="58" t="b">
        <f>IF(C33="","",INDEX(Tableaulistesenfants[Dimanche],MATCH(B33,Tableaulistesenfants[Séquence39],0),))</f>
        <v>1</v>
      </c>
      <c r="H33" s="60" t="b">
        <f>IF(C33="","",INDEX(Tableaulistesenfants[Mercredi],MATCH(B33,Tableaulistesenfants[Séquence39],0),))</f>
        <v>0</v>
      </c>
      <c r="I33" s="61"/>
      <c r="J33" s="62"/>
      <c r="K33" s="63">
        <f>SUM(Tableaulistesenfants[Occurrence38])</f>
        <v>4</v>
      </c>
    </row>
    <row r="34" spans="1:11" ht="15.75">
      <c r="A34" s="69"/>
      <c r="B34" s="65">
        <f>IF(ROW()-32&lt;=$K$33,ROW()-32,"")</f>
        <v>2</v>
      </c>
      <c r="C34" s="210">
        <f>IF(B34="","",$A$35)</f>
        <v>115</v>
      </c>
      <c r="D34" s="211" t="str">
        <f>IF(C34="","",INDEX(Tableaulistesenfants[Nom],MATCH(B34,Tableaulistesenfants[Séquence39],0),))</f>
        <v>DESTANG</v>
      </c>
      <c r="E34" s="211" t="str">
        <f>IF(C34="","",INDEX(Tableaulistesenfants[Prénom],MATCH(B34,Tableaulistesenfants[Séquence39],0),))</f>
        <v>Antonin</v>
      </c>
      <c r="F34" s="210" t="str">
        <f>IF(C34="","",INDEX(Tableaulistesenfants[Classe],MATCH(B34,Tableaulistesenfants[Séquence39],0),))</f>
        <v>2e GT</v>
      </c>
      <c r="G34" s="210" t="b">
        <f>IF(C34="","",INDEX(Tableaulistesenfants[Dimanche],MATCH(B34,Tableaulistesenfants[Séquence39],0),))</f>
        <v>0</v>
      </c>
      <c r="H34" s="68" t="b">
        <f>IF(C34="","",INDEX(Tableaulistesenfants[Mercredi],MATCH(B34,Tableaulistesenfants[Séquence39],0),))</f>
        <v>0</v>
      </c>
      <c r="I34" s="61"/>
      <c r="J34" s="62"/>
    </row>
    <row r="35" spans="1:11" ht="15.75">
      <c r="A35" s="69">
        <v>115</v>
      </c>
      <c r="B35" s="65">
        <f>IF(ROW()-32&lt;=$K$33,ROW()-32,"")</f>
        <v>3</v>
      </c>
      <c r="C35" s="210">
        <f>IF(B35="","",$A$35)</f>
        <v>115</v>
      </c>
      <c r="D35" s="211" t="str">
        <f>IF(C35="","",INDEX(Tableaulistesenfants[Nom],MATCH(B35,Tableaulistesenfants[Séquence39],0),))</f>
        <v>MOUCHONNET</v>
      </c>
      <c r="E35" s="211" t="str">
        <f>IF(C35="","",INDEX(Tableaulistesenfants[Prénom],MATCH(B35,Tableaulistesenfants[Séquence39],0),))</f>
        <v>Alexandre</v>
      </c>
      <c r="F35" s="210" t="str">
        <f>IF(C35="","",INDEX(Tableaulistesenfants[Classe],MATCH(B35,Tableaulistesenfants[Séquence39],0),))</f>
        <v>2e CF</v>
      </c>
      <c r="G35" s="210" t="b">
        <f>IF(C35="","",INDEX(Tableaulistesenfants[Dimanche],MATCH(B35,Tableaulistesenfants[Séquence39],0),))</f>
        <v>0</v>
      </c>
      <c r="H35" s="68" t="b">
        <f>IF(C35="","",INDEX(Tableaulistesenfants[Mercredi],MATCH(B35,Tableaulistesenfants[Séquence39],0),))</f>
        <v>0</v>
      </c>
      <c r="I35" s="61"/>
      <c r="J35" s="62"/>
    </row>
    <row r="36" spans="1:11" ht="15.75">
      <c r="A36" s="69"/>
      <c r="B36" s="65">
        <f>IF(ROW()-32&lt;=$K$33,ROW()-32,"")</f>
        <v>4</v>
      </c>
      <c r="C36" s="210">
        <f>IF(B36="","",$A$35)</f>
        <v>115</v>
      </c>
      <c r="D36" s="211" t="str">
        <f>IF(C36="","",INDEX(Tableaulistesenfants[Nom],MATCH(B36,Tableaulistesenfants[Séquence39],0),))</f>
        <v>PLANCHET</v>
      </c>
      <c r="E36" s="211" t="str">
        <f>IF(C36="","",INDEX(Tableaulistesenfants[Prénom],MATCH(B36,Tableaulistesenfants[Séquence39],0),))</f>
        <v>Tristan</v>
      </c>
      <c r="F36" s="210" t="str">
        <f>IF(C36="","",INDEX(Tableaulistesenfants[Classe],MATCH(B36,Tableaulistesenfants[Séquence39],0),))</f>
        <v>2e CF</v>
      </c>
      <c r="G36" s="210" t="b">
        <f>IF(C36="","",INDEX(Tableaulistesenfants[Dimanche],MATCH(B36,Tableaulistesenfants[Séquence39],0),))</f>
        <v>1</v>
      </c>
      <c r="H36" s="68" t="b">
        <f>IF(C36="","",INDEX(Tableaulistesenfants[Mercredi],MATCH(B36,Tableaulistesenfants[Séquence39],0),))</f>
        <v>0</v>
      </c>
      <c r="I36" s="61"/>
      <c r="J36" s="62"/>
    </row>
    <row r="37" spans="1:11" ht="16.5" thickBot="1">
      <c r="A37" s="83"/>
      <c r="B37" s="71" t="str">
        <f>IF(ROW()-32&lt;=$K$33,ROW()-32,"")</f>
        <v/>
      </c>
      <c r="C37" s="72" t="str">
        <f>IF(B37="","",$A$35)</f>
        <v/>
      </c>
      <c r="D37" s="73" t="str">
        <f>IF(C37="","",INDEX(Tableaulistesenfants[Nom],MATCH(B37,Tableaulistesenfants[Séquence39],0),))</f>
        <v/>
      </c>
      <c r="E37" s="73" t="str">
        <f>IF(C37="","",INDEX(Tableaulistesenfants[Prénom],MATCH(B37,Tableaulistesenfants[Séquence39],0),))</f>
        <v/>
      </c>
      <c r="F37" s="72" t="str">
        <f>IF(C37="","",INDEX(Tableaulistesenfants[Classe],MATCH(B37,Tableaulistesenfants[Séquence39],0),))</f>
        <v/>
      </c>
      <c r="G37" s="72" t="str">
        <f>IF(C37="","",INDEX(Tableaulistesenfants[Dimanche],MATCH(B37,Tableaulistesenfants[Séquence39],0),))</f>
        <v/>
      </c>
      <c r="H37" s="74" t="str">
        <f>IF(C37="","",INDEX(Tableaulistesenfants[Mercredi],MATCH(B37,Tableaulistesenfants[Séquence39],0),))</f>
        <v/>
      </c>
      <c r="I37" s="61"/>
      <c r="J37" s="62"/>
    </row>
    <row r="38" spans="1:11" s="78" customFormat="1" ht="16.5" thickBot="1">
      <c r="A38" s="75"/>
      <c r="B38" s="75"/>
      <c r="C38" s="75"/>
      <c r="D38" s="80"/>
      <c r="E38" s="91"/>
      <c r="F38" s="81"/>
      <c r="H38" s="79"/>
      <c r="I38" s="61"/>
      <c r="J38" s="62"/>
    </row>
    <row r="39" spans="1:11" ht="15.75">
      <c r="A39" s="82"/>
      <c r="B39" s="57">
        <f>IF(ROW()-38&lt;=$K$39,ROW()-38,"")</f>
        <v>1</v>
      </c>
      <c r="C39" s="58">
        <f>IF(B39="","",$A$41)</f>
        <v>119</v>
      </c>
      <c r="D39" s="59" t="str">
        <f>IF(C39="","",INDEX(Tableaulistesenfants[Nom],MATCH(B39,Tableaulistesenfants[Séquence40],0),))</f>
        <v>PEZIN</v>
      </c>
      <c r="E39" s="59" t="str">
        <f>IF(C39="","",INDEX(Tableaulistesenfants[Prénom],MATCH(B39,Tableaulistesenfants[Séquence40],0),))</f>
        <v>Jean Marie</v>
      </c>
      <c r="F39" s="58" t="str">
        <f>IF(C39="","",INDEX(Tableaulistesenfants[Classe],MATCH(B39,Tableaulistesenfants[Séquence40],0),))</f>
        <v>2e CGEA</v>
      </c>
      <c r="G39" s="58" t="b">
        <f>IF(C39="","",INDEX(Tableaulistesenfants[Dimanche],MATCH(B39,Tableaulistesenfants[Séquence40],0),))</f>
        <v>0</v>
      </c>
      <c r="H39" s="60" t="b">
        <f>IF(C39="","",INDEX(Tableaulistesenfants[Mercredi],MATCH(B39,Tableaulistesenfants[Séquence40],0),))</f>
        <v>1</v>
      </c>
      <c r="I39" s="61"/>
      <c r="J39" s="62"/>
      <c r="K39" s="63">
        <f>SUM(Tableaulistesenfants[Occurrence39])</f>
        <v>3</v>
      </c>
    </row>
    <row r="40" spans="1:11" ht="15.75">
      <c r="A40" s="69"/>
      <c r="B40" s="65">
        <f>IF(ROW()-38&lt;=$K$39,ROW()-38,"")</f>
        <v>2</v>
      </c>
      <c r="C40" s="210">
        <f>IF(B40="","",$A$41)</f>
        <v>119</v>
      </c>
      <c r="D40" s="211" t="str">
        <f>IF(C40="","",INDEX(Tableaulistesenfants[Nom],MATCH(B40,Tableaulistesenfants[Séquence40],0),))</f>
        <v>SOULIE</v>
      </c>
      <c r="E40" s="211" t="str">
        <f>IF(C40="","",INDEX(Tableaulistesenfants[Prénom],MATCH(B40,Tableaulistesenfants[Séquence40],0),))</f>
        <v>Cyprien</v>
      </c>
      <c r="F40" s="210" t="str">
        <f>IF(C40="","",INDEX(Tableaulistesenfants[Classe],MATCH(B40,Tableaulistesenfants[Séquence40],0),))</f>
        <v>2e CGEA</v>
      </c>
      <c r="G40" s="210" t="b">
        <f>IF(C40="","",INDEX(Tableaulistesenfants[Dimanche],MATCH(B40,Tableaulistesenfants[Séquence40],0),))</f>
        <v>0</v>
      </c>
      <c r="H40" s="68" t="b">
        <f>IF(C40="","",INDEX(Tableaulistesenfants[Mercredi],MATCH(B40,Tableaulistesenfants[Séquence40],0),))</f>
        <v>1</v>
      </c>
      <c r="I40" s="61"/>
      <c r="J40" s="62"/>
    </row>
    <row r="41" spans="1:11" ht="15.75">
      <c r="A41" s="69">
        <v>119</v>
      </c>
      <c r="B41" s="65">
        <f>IF(ROW()-38&lt;=$K$39,ROW()-38,"")</f>
        <v>3</v>
      </c>
      <c r="C41" s="210">
        <f>IF(B41="","",$A$41)</f>
        <v>119</v>
      </c>
      <c r="D41" s="211" t="str">
        <f>IF(C41="","",INDEX(Tableaulistesenfants[Nom],MATCH(B41,Tableaulistesenfants[Séquence40],0),))</f>
        <v>VAISSIERES</v>
      </c>
      <c r="E41" s="211" t="str">
        <f>IF(C41="","",INDEX(Tableaulistesenfants[Prénom],MATCH(B41,Tableaulistesenfants[Séquence40],0),))</f>
        <v>Maël</v>
      </c>
      <c r="F41" s="210" t="str">
        <f>IF(C41="","",INDEX(Tableaulistesenfants[Classe],MATCH(B41,Tableaulistesenfants[Séquence40],0),))</f>
        <v>2e CGEA</v>
      </c>
      <c r="G41" s="210" t="b">
        <f>IF(C41="","",INDEX(Tableaulistesenfants[Dimanche],MATCH(B41,Tableaulistesenfants[Séquence40],0),))</f>
        <v>0</v>
      </c>
      <c r="H41" s="68" t="b">
        <f>IF(C41="","",INDEX(Tableaulistesenfants[Mercredi],MATCH(B41,Tableaulistesenfants[Séquence40],0),))</f>
        <v>0</v>
      </c>
      <c r="I41" s="61"/>
      <c r="J41" s="62"/>
    </row>
    <row r="42" spans="1:11" ht="15.75">
      <c r="A42" s="69"/>
      <c r="B42" s="65" t="str">
        <f>IF(ROW()-38&lt;=$K$39,ROW()-38,"")</f>
        <v/>
      </c>
      <c r="C42" s="210" t="str">
        <f>IF(B42="","",$A$41)</f>
        <v/>
      </c>
      <c r="D42" s="211" t="str">
        <f>IF(C42="","",INDEX(Tableaulistesenfants[Nom],MATCH(B42,Tableaulistesenfants[Séquence40],0),))</f>
        <v/>
      </c>
      <c r="E42" s="211" t="str">
        <f>IF(C42="","",INDEX(Tableaulistesenfants[Prénom],MATCH(B42,Tableaulistesenfants[Séquence40],0),))</f>
        <v/>
      </c>
      <c r="F42" s="210" t="str">
        <f>IF(C42="","",INDEX(Tableaulistesenfants[Classe],MATCH(B42,Tableaulistesenfants[Séquence40],0),))</f>
        <v/>
      </c>
      <c r="G42" s="210" t="str">
        <f>IF(C42="","",INDEX(Tableaulistesenfants[Dimanche],MATCH(B42,Tableaulistesenfants[Séquence40],0),))</f>
        <v/>
      </c>
      <c r="H42" s="68" t="str">
        <f>IF(C42="","",INDEX(Tableaulistesenfants[Mercredi],MATCH(B42,Tableaulistesenfants[Séquence40],0),))</f>
        <v/>
      </c>
      <c r="I42" s="61"/>
      <c r="J42" s="62"/>
    </row>
    <row r="43" spans="1:11" ht="16.5" thickBot="1">
      <c r="A43" s="83"/>
      <c r="B43" s="71" t="str">
        <f>IF(ROW()-38&lt;=$K$39,ROW()-38,"")</f>
        <v/>
      </c>
      <c r="C43" s="72" t="str">
        <f>IF(B43="","",$A$41)</f>
        <v/>
      </c>
      <c r="D43" s="73" t="str">
        <f>IF(C43="","",INDEX(Tableaulistesenfants[Nom],MATCH(B43,Tableaulistesenfants[Séquence40],0),))</f>
        <v/>
      </c>
      <c r="E43" s="73" t="str">
        <f>IF(C43="","",INDEX(Tableaulistesenfants[Prénom],MATCH(B43,Tableaulistesenfants[Séquence40],0),))</f>
        <v/>
      </c>
      <c r="F43" s="72" t="str">
        <f>IF(C43="","",INDEX(Tableaulistesenfants[Classe],MATCH(B43,Tableaulistesenfants[Séquence40],0),))</f>
        <v/>
      </c>
      <c r="G43" s="72" t="str">
        <f>IF(C43="","",INDEX(Tableaulistesenfants[Dimanche],MATCH(B43,Tableaulistesenfants[Séquence40],0),))</f>
        <v/>
      </c>
      <c r="H43" s="74" t="str">
        <f>IF(C43="","",INDEX(Tableaulistesenfants[Mercredi],MATCH(B43,Tableaulistesenfants[Séquence40],0),))</f>
        <v/>
      </c>
      <c r="I43" s="61"/>
      <c r="J43" s="62"/>
    </row>
    <row r="44" spans="1:11" s="78" customFormat="1" ht="16.5" thickBot="1">
      <c r="A44" s="75"/>
      <c r="B44" s="75"/>
      <c r="C44" s="75"/>
      <c r="D44" s="80"/>
      <c r="E44" s="80"/>
      <c r="F44" s="81"/>
      <c r="H44" s="79"/>
      <c r="I44" s="61"/>
      <c r="J44" s="62"/>
    </row>
    <row r="45" spans="1:11" ht="15.75">
      <c r="A45" s="82"/>
      <c r="B45" s="57">
        <f>IF(ROW()-44&lt;=$K$45,ROW()-44,"")</f>
        <v>1</v>
      </c>
      <c r="C45" s="58">
        <f>IF(B45="","",$A$47)</f>
        <v>112</v>
      </c>
      <c r="D45" s="59" t="str">
        <f>IF(C45="","",INDEX(Tableaulistesenfants[Nom],MATCH(B45,Tableaulistesenfants[Séquence41],0),))</f>
        <v>DE JESUS</v>
      </c>
      <c r="E45" s="59" t="str">
        <f>IF(C45="","",INDEX(Tableaulistesenfants[Prénom],MATCH(B45,Tableaulistesenfants[Séquence41],0),))</f>
        <v>Guillaume</v>
      </c>
      <c r="F45" s="58" t="str">
        <f>IF(C45="","",INDEX(Tableaulistesenfants[Classe],MATCH(B45,Tableaulistesenfants[Séquence41],0),))</f>
        <v>2e CGEA</v>
      </c>
      <c r="G45" s="58" t="b">
        <f>IF(C45="","",INDEX(Tableaulistesenfants[Dimanche],MATCH(B45,Tableaulistesenfants[Séquence41],0),))</f>
        <v>1</v>
      </c>
      <c r="H45" s="60" t="b">
        <f>IF(C45="","",INDEX(Tableaulistesenfants[Mercredi],MATCH(B45,Tableaulistesenfants[Séquence41],0),))</f>
        <v>0</v>
      </c>
      <c r="I45" s="61"/>
      <c r="J45" s="62"/>
      <c r="K45" s="63">
        <f>SUM(Tableaulistesenfants[Occurrence40])</f>
        <v>4</v>
      </c>
    </row>
    <row r="46" spans="1:11" ht="15.75">
      <c r="A46" s="69"/>
      <c r="B46" s="65">
        <f>IF(ROW()-44&lt;=$K$45,ROW()-44,"")</f>
        <v>2</v>
      </c>
      <c r="C46" s="210">
        <f>IF(B46="","",$A$47)</f>
        <v>112</v>
      </c>
      <c r="D46" s="211" t="str">
        <f>IF(C46="","",INDEX(Tableaulistesenfants[Nom],MATCH(B46,Tableaulistesenfants[Séquence41],0),))</f>
        <v>DUEE</v>
      </c>
      <c r="E46" s="211" t="str">
        <f>IF(C46="","",INDEX(Tableaulistesenfants[Prénom],MATCH(B46,Tableaulistesenfants[Séquence41],0),))</f>
        <v>Quentin</v>
      </c>
      <c r="F46" s="210" t="str">
        <f>IF(C46="","",INDEX(Tableaulistesenfants[Classe],MATCH(B46,Tableaulistesenfants[Séquence41],0),))</f>
        <v>2e CGEA</v>
      </c>
      <c r="G46" s="210" t="b">
        <f>IF(C46="","",INDEX(Tableaulistesenfants[Dimanche],MATCH(B46,Tableaulistesenfants[Séquence41],0),))</f>
        <v>0</v>
      </c>
      <c r="H46" s="68" t="b">
        <f>IF(C46="","",INDEX(Tableaulistesenfants[Mercredi],MATCH(B46,Tableaulistesenfants[Séquence41],0),))</f>
        <v>0</v>
      </c>
      <c r="I46" s="61"/>
      <c r="J46" s="62"/>
    </row>
    <row r="47" spans="1:11" ht="15.75">
      <c r="A47" s="69">
        <v>112</v>
      </c>
      <c r="B47" s="65">
        <f>IF(ROW()-44&lt;=$K$45,ROW()-44,"")</f>
        <v>3</v>
      </c>
      <c r="C47" s="210">
        <f>IF(B47="","",$A$47)</f>
        <v>112</v>
      </c>
      <c r="D47" s="211" t="str">
        <f>IF(C47="","",INDEX(Tableaulistesenfants[Nom],MATCH(B47,Tableaulistesenfants[Séquence41],0),))</f>
        <v>MEHATS</v>
      </c>
      <c r="E47" s="211" t="str">
        <f>IF(C47="","",INDEX(Tableaulistesenfants[Prénom],MATCH(B47,Tableaulistesenfants[Séquence41],0),))</f>
        <v>Matthieu</v>
      </c>
      <c r="F47" s="210" t="str">
        <f>IF(C47="","",INDEX(Tableaulistesenfants[Classe],MATCH(B47,Tableaulistesenfants[Séquence41],0),))</f>
        <v>2e CGEA</v>
      </c>
      <c r="G47" s="210" t="b">
        <f>IF(C47="","",INDEX(Tableaulistesenfants[Dimanche],MATCH(B47,Tableaulistesenfants[Séquence41],0),))</f>
        <v>1</v>
      </c>
      <c r="H47" s="68" t="b">
        <f>IF(C47="","",INDEX(Tableaulistesenfants[Mercredi],MATCH(B47,Tableaulistesenfants[Séquence41],0),))</f>
        <v>0</v>
      </c>
      <c r="I47" s="61"/>
      <c r="J47" s="62"/>
    </row>
    <row r="48" spans="1:11" ht="15.75">
      <c r="A48" s="69"/>
      <c r="B48" s="65">
        <f>IF(ROW()-44&lt;=$K$45,ROW()-44,"")</f>
        <v>4</v>
      </c>
      <c r="C48" s="210">
        <f>IF(B48="","",$A$47)</f>
        <v>112</v>
      </c>
      <c r="D48" s="211" t="str">
        <f>IF(C48="","",INDEX(Tableaulistesenfants[Nom],MATCH(B48,Tableaulistesenfants[Séquence41],0),))</f>
        <v>POULET</v>
      </c>
      <c r="E48" s="211" t="str">
        <f>IF(C48="","",INDEX(Tableaulistesenfants[Prénom],MATCH(B48,Tableaulistesenfants[Séquence41],0),))</f>
        <v>Grégory</v>
      </c>
      <c r="F48" s="210" t="str">
        <f>IF(C48="","",INDEX(Tableaulistesenfants[Classe],MATCH(B48,Tableaulistesenfants[Séquence41],0),))</f>
        <v>2e CGEA</v>
      </c>
      <c r="G48" s="210" t="b">
        <f>IF(C48="","",INDEX(Tableaulistesenfants[Dimanche],MATCH(B48,Tableaulistesenfants[Séquence41],0),))</f>
        <v>0</v>
      </c>
      <c r="H48" s="68" t="b">
        <f>IF(C48="","",INDEX(Tableaulistesenfants[Mercredi],MATCH(B48,Tableaulistesenfants[Séquence41],0),))</f>
        <v>0</v>
      </c>
      <c r="I48" s="61"/>
      <c r="J48" s="62"/>
    </row>
    <row r="49" spans="1:11" ht="16.5" thickBot="1">
      <c r="A49" s="83"/>
      <c r="B49" s="71" t="str">
        <f>IF(ROW()-44&lt;=$K$45,ROW()-44,"")</f>
        <v/>
      </c>
      <c r="C49" s="72" t="str">
        <f>IF(B49="","",$A$47)</f>
        <v/>
      </c>
      <c r="D49" s="73" t="str">
        <f>IF(C49="","",INDEX(Tableaulistesenfants[Nom],MATCH(B49,Tableaulistesenfants[Séquence41],0),))</f>
        <v/>
      </c>
      <c r="E49" s="73" t="str">
        <f>IF(C49="","",INDEX(Tableaulistesenfants[Prénom],MATCH(B49,Tableaulistesenfants[Séquence41],0),))</f>
        <v/>
      </c>
      <c r="F49" s="72" t="str">
        <f>IF(C49="","",INDEX(Tableaulistesenfants[Classe],MATCH(B49,Tableaulistesenfants[Séquence41],0),))</f>
        <v/>
      </c>
      <c r="G49" s="72" t="str">
        <f>IF(C49="","",INDEX(Tableaulistesenfants[Dimanche],MATCH(B49,Tableaulistesenfants[Séquence41],0),))</f>
        <v/>
      </c>
      <c r="H49" s="74" t="str">
        <f>IF(C49="","",INDEX(Tableaulistesenfants[Mercredi],MATCH(B49,Tableaulistesenfants[Séquence41],0),))</f>
        <v/>
      </c>
      <c r="I49" s="61"/>
      <c r="J49" s="62"/>
    </row>
    <row r="50" spans="1:11" s="78" customFormat="1" ht="16.5" thickBot="1">
      <c r="A50" s="75"/>
      <c r="B50" s="75"/>
      <c r="C50" s="75"/>
      <c r="D50" s="80"/>
      <c r="E50" s="80"/>
      <c r="F50" s="81"/>
      <c r="H50" s="79"/>
      <c r="I50" s="61"/>
      <c r="J50" s="62"/>
    </row>
    <row r="51" spans="1:11" ht="15.75">
      <c r="A51" s="92"/>
      <c r="B51" s="57">
        <f>IF(ROW()-50&lt;=$K$51,ROW()-50,"")</f>
        <v>1</v>
      </c>
      <c r="C51" s="58">
        <f>IF(B51="","",$A$53)</f>
        <v>117</v>
      </c>
      <c r="D51" s="59" t="str">
        <f>IF(C51="","",INDEX(Tableaulistesenfants[Nom],MATCH(B51,Tableaulistesenfants[Séquence42],0),))</f>
        <v>CASSAN</v>
      </c>
      <c r="E51" s="59" t="str">
        <f>IF(C51="","",INDEX(Tableaulistesenfants[Prénom],MATCH(B51,Tableaulistesenfants[Séquence42],0),))</f>
        <v>Cedric</v>
      </c>
      <c r="F51" s="58" t="str">
        <f>IF(C51="","",INDEX(Tableaulistesenfants[Classe],MATCH(B51,Tableaulistesenfants[Séquence42],0),))</f>
        <v>Term CGEA</v>
      </c>
      <c r="G51" s="58" t="b">
        <f>IF(C51="","",INDEX(Tableaulistesenfants[Dimanche],MATCH(B51,Tableaulistesenfants[Séquence42],0),))</f>
        <v>1</v>
      </c>
      <c r="H51" s="60" t="b">
        <f>IF(C51="","",INDEX(Tableaulistesenfants[Mercredi],MATCH(B51,Tableaulistesenfants[Séquence42],0),))</f>
        <v>0</v>
      </c>
      <c r="I51" s="61"/>
      <c r="J51" s="62"/>
      <c r="K51" s="63">
        <f>SUM(Tableaulistesenfants[Occurrence41])</f>
        <v>4</v>
      </c>
    </row>
    <row r="52" spans="1:11" ht="15.75">
      <c r="A52" s="93"/>
      <c r="B52" s="65">
        <f>IF(ROW()-50&lt;=$K$51,ROW()-50,"")</f>
        <v>2</v>
      </c>
      <c r="C52" s="210">
        <f>IF(B52="","",$A$53)</f>
        <v>117</v>
      </c>
      <c r="D52" s="211" t="str">
        <f>IF(C52="","",INDEX(Tableaulistesenfants[Nom],MATCH(B52,Tableaulistesenfants[Séquence42],0),))</f>
        <v>GUEVEL</v>
      </c>
      <c r="E52" s="211" t="str">
        <f>IF(C52="","",INDEX(Tableaulistesenfants[Prénom],MATCH(B52,Tableaulistesenfants[Séquence42],0),))</f>
        <v>Allan</v>
      </c>
      <c r="F52" s="210" t="str">
        <f>IF(C52="","",INDEX(Tableaulistesenfants[Classe],MATCH(B52,Tableaulistesenfants[Séquence42],0),))</f>
        <v>1e TCVA</v>
      </c>
      <c r="G52" s="210" t="b">
        <f>IF(C52="","",INDEX(Tableaulistesenfants[Dimanche],MATCH(B52,Tableaulistesenfants[Séquence42],0),))</f>
        <v>1</v>
      </c>
      <c r="H52" s="68" t="b">
        <f>IF(C52="","",INDEX(Tableaulistesenfants[Mercredi],MATCH(B52,Tableaulistesenfants[Séquence42],0),))</f>
        <v>0</v>
      </c>
      <c r="I52" s="61"/>
      <c r="J52" s="62"/>
    </row>
    <row r="53" spans="1:11" ht="15.75">
      <c r="A53" s="93">
        <v>117</v>
      </c>
      <c r="B53" s="65">
        <f>IF(ROW()-50&lt;=$K$51,ROW()-50,"")</f>
        <v>3</v>
      </c>
      <c r="C53" s="210">
        <f>IF(B53="","",$A$53)</f>
        <v>117</v>
      </c>
      <c r="D53" s="211" t="str">
        <f>IF(C53="","",INDEX(Tableaulistesenfants[Nom],MATCH(B53,Tableaulistesenfants[Séquence42],0),))</f>
        <v>MEDINA</v>
      </c>
      <c r="E53" s="211" t="str">
        <f>IF(C53="","",INDEX(Tableaulistesenfants[Prénom],MATCH(B53,Tableaulistesenfants[Séquence42],0),))</f>
        <v>Romain</v>
      </c>
      <c r="F53" s="210" t="str">
        <f>IF(C53="","",INDEX(Tableaulistesenfants[Classe],MATCH(B53,Tableaulistesenfants[Séquence42],0),))</f>
        <v>Term TCVA</v>
      </c>
      <c r="G53" s="210" t="b">
        <f>IF(C53="","",INDEX(Tableaulistesenfants[Dimanche],MATCH(B53,Tableaulistesenfants[Séquence42],0),))</f>
        <v>0</v>
      </c>
      <c r="H53" s="68" t="b">
        <f>IF(C53="","",INDEX(Tableaulistesenfants[Mercredi],MATCH(B53,Tableaulistesenfants[Séquence42],0),))</f>
        <v>0</v>
      </c>
      <c r="I53" s="61"/>
      <c r="J53" s="62"/>
    </row>
    <row r="54" spans="1:11" ht="15.75">
      <c r="A54" s="93"/>
      <c r="B54" s="65">
        <f>IF(ROW()-50&lt;=$K$51,ROW()-50,"")</f>
        <v>4</v>
      </c>
      <c r="C54" s="210">
        <f>IF(B54="","",$A$53)</f>
        <v>117</v>
      </c>
      <c r="D54" s="211" t="str">
        <f>IF(C54="","",INDEX(Tableaulistesenfants[Nom],MATCH(B54,Tableaulistesenfants[Séquence42],0),))</f>
        <v>SALARIS</v>
      </c>
      <c r="E54" s="211" t="str">
        <f>IF(C54="","",INDEX(Tableaulistesenfants[Prénom],MATCH(B54,Tableaulistesenfants[Séquence42],0),))</f>
        <v>Nicolas</v>
      </c>
      <c r="F54" s="210" t="str">
        <f>IF(C54="","",INDEX(Tableaulistesenfants[Classe],MATCH(B54,Tableaulistesenfants[Séquence42],0),))</f>
        <v>Term TCVA</v>
      </c>
      <c r="G54" s="210" t="b">
        <f>IF(C54="","",INDEX(Tableaulistesenfants[Dimanche],MATCH(B54,Tableaulistesenfants[Séquence42],0),))</f>
        <v>0</v>
      </c>
      <c r="H54" s="68" t="b">
        <f>IF(C54="","",INDEX(Tableaulistesenfants[Mercredi],MATCH(B54,Tableaulistesenfants[Séquence42],0),))</f>
        <v>0</v>
      </c>
      <c r="I54" s="61"/>
      <c r="J54" s="62"/>
    </row>
    <row r="55" spans="1:11" ht="16.5" thickBot="1">
      <c r="A55" s="94"/>
      <c r="B55" s="71" t="str">
        <f>IF(ROW()-50&lt;=$K$51,ROW()-50,"")</f>
        <v/>
      </c>
      <c r="C55" s="72" t="str">
        <f>IF(B55="","",$A$53)</f>
        <v/>
      </c>
      <c r="D55" s="73" t="str">
        <f>IF(C55="","",INDEX(Tableaulistesenfants[Nom],MATCH(B55,Tableaulistesenfants[Séquence42],0),))</f>
        <v/>
      </c>
      <c r="E55" s="73" t="str">
        <f>IF(C55="","",INDEX(Tableaulistesenfants[Prénom],MATCH(B55,Tableaulistesenfants[Séquence42],0),))</f>
        <v/>
      </c>
      <c r="F55" s="72" t="str">
        <f>IF(C55="","",INDEX(Tableaulistesenfants[Classe],MATCH(B55,Tableaulistesenfants[Séquence42],0),))</f>
        <v/>
      </c>
      <c r="G55" s="72" t="str">
        <f>IF(C55="","",INDEX(Tableaulistesenfants[Dimanche],MATCH(B55,Tableaulistesenfants[Séquence42],0),))</f>
        <v/>
      </c>
      <c r="H55" s="74" t="str">
        <f>IF(C55="","",INDEX(Tableaulistesenfants[Mercredi],MATCH(B55,Tableaulistesenfants[Séquence42],0),))</f>
        <v/>
      </c>
      <c r="I55" s="61"/>
      <c r="J55" s="62"/>
    </row>
    <row r="56" spans="1:11" s="78" customFormat="1" ht="16.5" thickBot="1">
      <c r="A56" s="75"/>
      <c r="B56" s="75"/>
      <c r="C56" s="75"/>
      <c r="D56" s="80"/>
      <c r="E56" s="80"/>
      <c r="F56" s="81"/>
      <c r="H56" s="79"/>
      <c r="I56" s="61"/>
      <c r="J56" s="62"/>
    </row>
    <row r="57" spans="1:11" ht="15.75">
      <c r="A57" s="82"/>
      <c r="B57" s="57">
        <f>IF(ROW()-56&lt;=$K$57,ROW()-56,"")</f>
        <v>1</v>
      </c>
      <c r="C57" s="58">
        <f>IF(B57="","",$A$59)</f>
        <v>111</v>
      </c>
      <c r="D57" s="59" t="str">
        <f>IF(C57="","",INDEX(Tableaulistesenfants[Nom],MATCH(B57,Tableaulistesenfants[Séquence43],0),))</f>
        <v>GRAMMONT</v>
      </c>
      <c r="E57" s="59" t="str">
        <f>IF(C57="","",INDEX(Tableaulistesenfants[Prénom],MATCH(B57,Tableaulistesenfants[Séquence43],0),))</f>
        <v>Matthieu</v>
      </c>
      <c r="F57" s="58" t="str">
        <f>IF(C57="","",INDEX(Tableaulistesenfants[Classe],MATCH(B57,Tableaulistesenfants[Séquence43],0),))</f>
        <v>2e GT</v>
      </c>
      <c r="G57" s="58" t="b">
        <f>IF(C57="","",INDEX(Tableaulistesenfants[Dimanche],MATCH(B57,Tableaulistesenfants[Séquence43],0),))</f>
        <v>0</v>
      </c>
      <c r="H57" s="60" t="b">
        <f>IF(C57="","",INDEX(Tableaulistesenfants[Mercredi],MATCH(B57,Tableaulistesenfants[Séquence43],0),))</f>
        <v>0</v>
      </c>
      <c r="I57" s="61"/>
      <c r="J57" s="62"/>
      <c r="K57" s="63">
        <f>SUM(Tableaulistesenfants[Occurrence42])</f>
        <v>4</v>
      </c>
    </row>
    <row r="58" spans="1:11" ht="15.75">
      <c r="A58" s="69"/>
      <c r="B58" s="65">
        <f>IF(ROW()-56&lt;=$K$57,ROW()-56,"")</f>
        <v>2</v>
      </c>
      <c r="C58" s="210">
        <f>IF(B58="","",$A$59)</f>
        <v>111</v>
      </c>
      <c r="D58" s="211" t="str">
        <f>IF(C58="","",INDEX(Tableaulistesenfants[Nom],MATCH(B58,Tableaulistesenfants[Séquence43],0),))</f>
        <v>LALANNE</v>
      </c>
      <c r="E58" s="211" t="str">
        <f>IF(C58="","",INDEX(Tableaulistesenfants[Prénom],MATCH(B58,Tableaulistesenfants[Séquence43],0),))</f>
        <v>Rémi</v>
      </c>
      <c r="F58" s="210" t="str">
        <f>IF(C58="","",INDEX(Tableaulistesenfants[Classe],MATCH(B58,Tableaulistesenfants[Séquence43],0),))</f>
        <v>2e GT</v>
      </c>
      <c r="G58" s="210" t="b">
        <f>IF(C58="","",INDEX(Tableaulistesenfants[Dimanche],MATCH(B58,Tableaulistesenfants[Séquence43],0),))</f>
        <v>0</v>
      </c>
      <c r="H58" s="68" t="b">
        <f>IF(C58="","",INDEX(Tableaulistesenfants[Mercredi],MATCH(B58,Tableaulistesenfants[Séquence43],0),))</f>
        <v>0</v>
      </c>
      <c r="I58" s="61"/>
      <c r="J58" s="62"/>
    </row>
    <row r="59" spans="1:11" ht="15.75">
      <c r="A59" s="69">
        <v>111</v>
      </c>
      <c r="B59" s="65">
        <f>IF(ROW()-56&lt;=$K$57,ROW()-56,"")</f>
        <v>3</v>
      </c>
      <c r="C59" s="210">
        <f>IF(B59="","",$A$59)</f>
        <v>111</v>
      </c>
      <c r="D59" s="211" t="str">
        <f>IF(C59="","",INDEX(Tableaulistesenfants[Nom],MATCH(B59,Tableaulistesenfants[Séquence43],0),))</f>
        <v>LAMOTHE</v>
      </c>
      <c r="E59" s="211" t="str">
        <f>IF(C59="","",INDEX(Tableaulistesenfants[Prénom],MATCH(B59,Tableaulistesenfants[Séquence43],0),))</f>
        <v>Florian</v>
      </c>
      <c r="F59" s="210" t="str">
        <f>IF(C59="","",INDEX(Tableaulistesenfants[Classe],MATCH(B59,Tableaulistesenfants[Séquence43],0),))</f>
        <v>2e GT</v>
      </c>
      <c r="G59" s="210" t="b">
        <f>IF(C59="","",INDEX(Tableaulistesenfants[Dimanche],MATCH(B59,Tableaulistesenfants[Séquence43],0),))</f>
        <v>0</v>
      </c>
      <c r="H59" s="68" t="b">
        <f>IF(C59="","",INDEX(Tableaulistesenfants[Mercredi],MATCH(B59,Tableaulistesenfants[Séquence43],0),))</f>
        <v>0</v>
      </c>
      <c r="I59" s="61"/>
      <c r="J59" s="62"/>
    </row>
    <row r="60" spans="1:11" ht="15.75">
      <c r="A60" s="69"/>
      <c r="B60" s="65">
        <f>IF(ROW()-56&lt;=$K$57,ROW()-56,"")</f>
        <v>4</v>
      </c>
      <c r="C60" s="210">
        <f>IF(B60="","",$A$59)</f>
        <v>111</v>
      </c>
      <c r="D60" s="211" t="str">
        <f>IF(C60="","",INDEX(Tableaulistesenfants[Nom],MATCH(B60,Tableaulistesenfants[Séquence43],0),))</f>
        <v>VIGEON</v>
      </c>
      <c r="E60" s="211" t="str">
        <f>IF(C60="","",INDEX(Tableaulistesenfants[Prénom],MATCH(B60,Tableaulistesenfants[Séquence43],0),))</f>
        <v>Justin</v>
      </c>
      <c r="F60" s="210" t="str">
        <f>IF(C60="","",INDEX(Tableaulistesenfants[Classe],MATCH(B60,Tableaulistesenfants[Séquence43],0),))</f>
        <v>2e GT</v>
      </c>
      <c r="G60" s="210" t="b">
        <f>IF(C60="","",INDEX(Tableaulistesenfants[Dimanche],MATCH(B60,Tableaulistesenfants[Séquence43],0),))</f>
        <v>0</v>
      </c>
      <c r="H60" s="68" t="b">
        <f>IF(C60="","",INDEX(Tableaulistesenfants[Mercredi],MATCH(B60,Tableaulistesenfants[Séquence43],0),))</f>
        <v>1</v>
      </c>
      <c r="I60" s="61"/>
      <c r="J60" s="62"/>
    </row>
    <row r="61" spans="1:11" ht="16.5" thickBot="1">
      <c r="A61" s="83"/>
      <c r="B61" s="71" t="str">
        <f>IF(ROW()-56&lt;=$K$57,ROW()-56,"")</f>
        <v/>
      </c>
      <c r="C61" s="72" t="str">
        <f>IF(B61="","",$A$59)</f>
        <v/>
      </c>
      <c r="D61" s="73" t="str">
        <f>IF(C61="","",INDEX(Tableaulistesenfants[Nom],MATCH(B61,Tableaulistesenfants[Séquence43],0),))</f>
        <v/>
      </c>
      <c r="E61" s="73" t="str">
        <f>IF(C61="","",INDEX(Tableaulistesenfants[Prénom],MATCH(B61,Tableaulistesenfants[Séquence43],0),))</f>
        <v/>
      </c>
      <c r="F61" s="72" t="str">
        <f>IF(C61="","",INDEX(Tableaulistesenfants[Classe],MATCH(B61,Tableaulistesenfants[Séquence43],0),))</f>
        <v/>
      </c>
      <c r="G61" s="72" t="str">
        <f>IF(C61="","",INDEX(Tableaulistesenfants[Dimanche],MATCH(B61,Tableaulistesenfants[Séquence43],0),))</f>
        <v/>
      </c>
      <c r="H61" s="74" t="str">
        <f>IF(C61="","",INDEX(Tableaulistesenfants[Mercredi],MATCH(B61,Tableaulistesenfants[Séquence43],0),))</f>
        <v/>
      </c>
      <c r="I61" s="61"/>
      <c r="J61" s="62"/>
    </row>
    <row r="62" spans="1:11" s="78" customFormat="1" ht="16.5" thickBot="1">
      <c r="A62" s="75"/>
      <c r="B62" s="75"/>
      <c r="C62" s="75"/>
      <c r="D62" s="80"/>
      <c r="E62" s="80"/>
      <c r="F62" s="81"/>
      <c r="H62" s="79"/>
      <c r="I62" s="61"/>
      <c r="J62" s="62"/>
    </row>
    <row r="63" spans="1:11" ht="15.75">
      <c r="A63" s="82"/>
      <c r="B63" s="57">
        <f>IF(ROW()-62&lt;=$K$63,ROW()-62,"")</f>
        <v>1</v>
      </c>
      <c r="C63" s="58">
        <f t="shared" ref="C63:C68" si="0">IF(B63="","",$A$65)</f>
        <v>118</v>
      </c>
      <c r="D63" s="59" t="str">
        <f>IF(C63="","",INDEX(Tableaulistesenfants[Nom],MATCH(B63,Tableaulistesenfants[Séquence44],0),))</f>
        <v>CALMETTES</v>
      </c>
      <c r="E63" s="59" t="str">
        <f>IF(C63="","",INDEX(Tableaulistesenfants[Prénom],MATCH(B63,Tableaulistesenfants[Séquence44],0),))</f>
        <v>Florian</v>
      </c>
      <c r="F63" s="58" t="str">
        <f>IF(C63="","",INDEX(Tableaulistesenfants[Classe],MATCH(B63,Tableaulistesenfants[Séquence44],0),))</f>
        <v>1e STAV</v>
      </c>
      <c r="G63" s="58" t="b">
        <f>IF(C63="","",INDEX(Tableaulistesenfants[Dimanche],MATCH(B63,Tableaulistesenfants[Séquence44],0),))</f>
        <v>0</v>
      </c>
      <c r="H63" s="60" t="b">
        <f>IF(C63="","",INDEX(Tableaulistesenfants[Mercredi],MATCH(B63,Tableaulistesenfants[Séquence44],0),))</f>
        <v>1</v>
      </c>
      <c r="I63" s="61"/>
      <c r="J63" s="62"/>
      <c r="K63" s="63">
        <f>SUM(Tableaulistesenfants[Occurrence43])</f>
        <v>4</v>
      </c>
    </row>
    <row r="64" spans="1:11" ht="15.75">
      <c r="A64" s="69"/>
      <c r="B64" s="65">
        <f>IF(ROW()-62&lt;=$K$63,ROW()-62,"")</f>
        <v>2</v>
      </c>
      <c r="C64" s="210">
        <f t="shared" si="0"/>
        <v>118</v>
      </c>
      <c r="D64" s="211" t="str">
        <f>IF(C64="","",INDEX(Tableaulistesenfants[Nom],MATCH(B64,Tableaulistesenfants[Séquence44],0),))</f>
        <v>IZQUIERDO</v>
      </c>
      <c r="E64" s="211" t="str">
        <f>IF(C64="","",INDEX(Tableaulistesenfants[Prénom],MATCH(B64,Tableaulistesenfants[Séquence44],0),))</f>
        <v>Alexian</v>
      </c>
      <c r="F64" s="210" t="str">
        <f>IF(C64="","",INDEX(Tableaulistesenfants[Classe],MATCH(B64,Tableaulistesenfants[Séquence44],0),))</f>
        <v>1e STAV</v>
      </c>
      <c r="G64" s="210" t="b">
        <f>IF(C64="","",INDEX(Tableaulistesenfants[Dimanche],MATCH(B64,Tableaulistesenfants[Séquence44],0),))</f>
        <v>0</v>
      </c>
      <c r="H64" s="68" t="b">
        <f>IF(C64="","",INDEX(Tableaulistesenfants[Mercredi],MATCH(B64,Tableaulistesenfants[Séquence44],0),))</f>
        <v>1</v>
      </c>
      <c r="I64" s="61"/>
      <c r="J64" s="62"/>
    </row>
    <row r="65" spans="1:11" ht="15.75">
      <c r="A65" s="69">
        <v>118</v>
      </c>
      <c r="B65" s="65">
        <f>IF(ROW()-62&lt;=$K$63,ROW()-62,"")</f>
        <v>3</v>
      </c>
      <c r="C65" s="210">
        <f t="shared" si="0"/>
        <v>118</v>
      </c>
      <c r="D65" s="211" t="str">
        <f>IF(C65="","",INDEX(Tableaulistesenfants[Nom],MATCH(B65,Tableaulistesenfants[Séquence44],0),))</f>
        <v>MAZARGUIL</v>
      </c>
      <c r="E65" s="211" t="str">
        <f>IF(C65="","",INDEX(Tableaulistesenfants[Prénom],MATCH(B65,Tableaulistesenfants[Séquence44],0),))</f>
        <v>Cedric</v>
      </c>
      <c r="F65" s="210" t="str">
        <f>IF(C65="","",INDEX(Tableaulistesenfants[Classe],MATCH(B65,Tableaulistesenfants[Séquence44],0),))</f>
        <v>1e STAV</v>
      </c>
      <c r="G65" s="210" t="b">
        <f>IF(C65="","",INDEX(Tableaulistesenfants[Dimanche],MATCH(B65,Tableaulistesenfants[Séquence44],0),))</f>
        <v>0</v>
      </c>
      <c r="H65" s="68" t="b">
        <f>IF(C65="","",INDEX(Tableaulistesenfants[Mercredi],MATCH(B65,Tableaulistesenfants[Séquence44],0),))</f>
        <v>1</v>
      </c>
      <c r="I65" s="61"/>
      <c r="J65" s="62"/>
    </row>
    <row r="66" spans="1:11" ht="15.75">
      <c r="A66" s="69"/>
      <c r="B66" s="65">
        <f>IF(ROW()-62&lt;=$K$63,ROW()-62,"")</f>
        <v>4</v>
      </c>
      <c r="C66" s="210">
        <f t="shared" si="0"/>
        <v>118</v>
      </c>
      <c r="D66" s="211" t="str">
        <f>IF(C66="","",INDEX(Tableaulistesenfants[Nom],MATCH(B66,Tableaulistesenfants[Séquence44],0),))</f>
        <v>MAZET</v>
      </c>
      <c r="E66" s="211" t="str">
        <f>IF(C66="","",INDEX(Tableaulistesenfants[Prénom],MATCH(B66,Tableaulistesenfants[Séquence44],0),))</f>
        <v>Anthony</v>
      </c>
      <c r="F66" s="210" t="str">
        <f>IF(C66="","",INDEX(Tableaulistesenfants[Classe],MATCH(B66,Tableaulistesenfants[Séquence44],0),))</f>
        <v>1e STAV</v>
      </c>
      <c r="G66" s="210" t="b">
        <f>IF(C66="","",INDEX(Tableaulistesenfants[Dimanche],MATCH(B66,Tableaulistesenfants[Séquence44],0),))</f>
        <v>0</v>
      </c>
      <c r="H66" s="68" t="b">
        <f>IF(C66="","",INDEX(Tableaulistesenfants[Mercredi],MATCH(B66,Tableaulistesenfants[Séquence44],0),))</f>
        <v>1</v>
      </c>
      <c r="I66" s="61"/>
      <c r="J66" s="62"/>
    </row>
    <row r="67" spans="1:11" ht="16.5" thickBot="1">
      <c r="A67" s="83"/>
      <c r="B67" s="71" t="str">
        <f>IF(ROW()-62&lt;=$K$63,ROW()-62,"")</f>
        <v/>
      </c>
      <c r="C67" s="72" t="str">
        <f t="shared" si="0"/>
        <v/>
      </c>
      <c r="D67" s="73" t="str">
        <f>IF(C67="","",INDEX(Tableaulistesenfants[Nom],MATCH(B67,Tableaulistesenfants[Séquence44],0),))</f>
        <v/>
      </c>
      <c r="E67" s="73" t="str">
        <f>IF(C67="","",INDEX(Tableaulistesenfants[Prénom],MATCH(B67,Tableaulistesenfants[Séquence44],0),))</f>
        <v/>
      </c>
      <c r="F67" s="72" t="str">
        <f>IF(C67="","",INDEX(Tableaulistesenfants[Classe],MATCH(B67,Tableaulistesenfants[Séquence44],0),))</f>
        <v/>
      </c>
      <c r="G67" s="72" t="str">
        <f>IF(C67="","",INDEX(Tableaulistesenfants[Dimanche],MATCH(B67,Tableaulistesenfants[Séquence44],0),))</f>
        <v/>
      </c>
      <c r="H67" s="74" t="str">
        <f>IF(C67="","",INDEX(Tableaulistesenfants[Mercredi],MATCH(B67,Tableaulistesenfants[Séquence44],0),))</f>
        <v/>
      </c>
      <c r="I67" s="61"/>
      <c r="J67" s="62"/>
    </row>
    <row r="68" spans="1:11" s="78" customFormat="1" ht="16.5" thickBot="1">
      <c r="A68" s="75"/>
      <c r="B68" s="75"/>
      <c r="C68" s="90" t="str">
        <f t="shared" si="0"/>
        <v/>
      </c>
      <c r="D68" s="91" t="str">
        <f>IF(C68="","",INDEX(Tableaulistesenfants[Nom],MATCH(B68,Tableaulistesenfants[Séquence13],0),))</f>
        <v/>
      </c>
      <c r="E68" s="91" t="str">
        <f>IF(C68="","",INDEX(Tableaulistesenfants[Prénom],MATCH(B68,Tableaulistesenfants[Séquence13],0),))</f>
        <v/>
      </c>
      <c r="F68" s="90" t="str">
        <f>IF(C68="","",INDEX(Tableaulistesenfants[Classe],MATCH(B68,Tableaulistesenfants[Séquence13],0),))</f>
        <v/>
      </c>
      <c r="H68" s="79"/>
      <c r="I68" s="61"/>
      <c r="J68" s="62"/>
    </row>
    <row r="69" spans="1:11" ht="15.75">
      <c r="A69" s="82"/>
      <c r="B69" s="57">
        <f>IF(ROW()-68&lt;=$K$69,ROW()-68,"")</f>
        <v>1</v>
      </c>
      <c r="C69" s="58">
        <f>IF(B69="","",$A$71)</f>
        <v>110</v>
      </c>
      <c r="D69" s="59" t="str">
        <f>IF(C69="","",INDEX(Tableaulistesenfants[Nom],MATCH(B69,Tableaulistesenfants[Séquence45],0),))</f>
        <v>BABOULENE</v>
      </c>
      <c r="E69" s="59" t="str">
        <f>IF(C69="","",INDEX(Tableaulistesenfants[Prénom],MATCH(B69,Tableaulistesenfants[Séquence45],0),))</f>
        <v>Lucas</v>
      </c>
      <c r="F69" s="58" t="str">
        <f>IF(C69="","",INDEX(Tableaulistesenfants[Classe],MATCH(B69,Tableaulistesenfants[Séquence45],0),))</f>
        <v>1e CGEA</v>
      </c>
      <c r="G69" s="58" t="b">
        <f>IF(C69="","",INDEX(Tableaulistesenfants[Dimanche],MATCH(B69,Tableaulistesenfants[Séquence45],0),))</f>
        <v>0</v>
      </c>
      <c r="H69" s="60" t="b">
        <f>IF(C69="","",INDEX(Tableaulistesenfants[Mercredi],MATCH(B69,Tableaulistesenfants[Séquence45],0),))</f>
        <v>1</v>
      </c>
      <c r="I69" s="61"/>
      <c r="J69" s="62"/>
      <c r="K69" s="63">
        <f>SUM(Tableaulistesenfants[Occurrence44])</f>
        <v>4</v>
      </c>
    </row>
    <row r="70" spans="1:11" ht="15.75">
      <c r="A70" s="69"/>
      <c r="B70" s="65">
        <f>IF(ROW()-68&lt;=$K$69,ROW()-68,"")</f>
        <v>2</v>
      </c>
      <c r="C70" s="210">
        <f>IF(B70="","",$A$71)</f>
        <v>110</v>
      </c>
      <c r="D70" s="211" t="str">
        <f>IF(C70="","",INDEX(Tableaulistesenfants[Nom],MATCH(B70,Tableaulistesenfants[Séquence45],0),))</f>
        <v>BAULES</v>
      </c>
      <c r="E70" s="211" t="str">
        <f>IF(C70="","",INDEX(Tableaulistesenfants[Prénom],MATCH(B70,Tableaulistesenfants[Séquence45],0),))</f>
        <v>Guillaume</v>
      </c>
      <c r="F70" s="210" t="str">
        <f>IF(C70="","",INDEX(Tableaulistesenfants[Classe],MATCH(B70,Tableaulistesenfants[Séquence45],0),))</f>
        <v>1e TCVA</v>
      </c>
      <c r="G70" s="210" t="b">
        <f>IF(C70="","",INDEX(Tableaulistesenfants[Dimanche],MATCH(B70,Tableaulistesenfants[Séquence45],0),))</f>
        <v>0</v>
      </c>
      <c r="H70" s="68" t="b">
        <f>IF(C70="","",INDEX(Tableaulistesenfants[Mercredi],MATCH(B70,Tableaulistesenfants[Séquence45],0),))</f>
        <v>0</v>
      </c>
      <c r="I70" s="61"/>
      <c r="J70" s="62"/>
    </row>
    <row r="71" spans="1:11" ht="15.75">
      <c r="A71" s="69">
        <v>110</v>
      </c>
      <c r="B71" s="65">
        <f>IF(ROW()-68&lt;=$K$69,ROW()-68,"")</f>
        <v>3</v>
      </c>
      <c r="C71" s="210">
        <f>IF(B71="","",$A$71)</f>
        <v>110</v>
      </c>
      <c r="D71" s="211" t="str">
        <f>IF(C71="","",INDEX(Tableaulistesenfants[Nom],MATCH(B71,Tableaulistesenfants[Séquence45],0),))</f>
        <v>CROS</v>
      </c>
      <c r="E71" s="211" t="str">
        <f>IF(C71="","",INDEX(Tableaulistesenfants[Prénom],MATCH(B71,Tableaulistesenfants[Séquence45],0),))</f>
        <v>Mathieu</v>
      </c>
      <c r="F71" s="210" t="str">
        <f>IF(C71="","",INDEX(Tableaulistesenfants[Classe],MATCH(B71,Tableaulistesenfants[Séquence45],0),))</f>
        <v>1e CF</v>
      </c>
      <c r="G71" s="210" t="b">
        <f>IF(C71="","",INDEX(Tableaulistesenfants[Dimanche],MATCH(B71,Tableaulistesenfants[Séquence45],0),))</f>
        <v>0</v>
      </c>
      <c r="H71" s="68" t="b">
        <f>IF(C71="","",INDEX(Tableaulistesenfants[Mercredi],MATCH(B71,Tableaulistesenfants[Séquence45],0),))</f>
        <v>1</v>
      </c>
      <c r="I71" s="61"/>
      <c r="J71" s="62"/>
    </row>
    <row r="72" spans="1:11" ht="15.75">
      <c r="A72" s="69"/>
      <c r="B72" s="65">
        <f>IF(ROW()-68&lt;=$K$69,ROW()-68,"")</f>
        <v>4</v>
      </c>
      <c r="C72" s="210">
        <f>IF(B72="","",$A$71)</f>
        <v>110</v>
      </c>
      <c r="D72" s="211" t="str">
        <f>IF(C72="","",INDEX(Tableaulistesenfants[Nom],MATCH(B72,Tableaulistesenfants[Séquence45],0),))</f>
        <v>MENARD</v>
      </c>
      <c r="E72" s="211" t="str">
        <f>IF(C72="","",INDEX(Tableaulistesenfants[Prénom],MATCH(B72,Tableaulistesenfants[Séquence45],0),))</f>
        <v>Arthur</v>
      </c>
      <c r="F72" s="210" t="str">
        <f>IF(C72="","",INDEX(Tableaulistesenfants[Classe],MATCH(B72,Tableaulistesenfants[Séquence45],0),))</f>
        <v>2e TCVA</v>
      </c>
      <c r="G72" s="210" t="b">
        <f>IF(C72="","",INDEX(Tableaulistesenfants[Dimanche],MATCH(B72,Tableaulistesenfants[Séquence45],0),))</f>
        <v>1</v>
      </c>
      <c r="H72" s="68" t="b">
        <f>IF(C72="","",INDEX(Tableaulistesenfants[Mercredi],MATCH(B72,Tableaulistesenfants[Séquence45],0),))</f>
        <v>0</v>
      </c>
      <c r="I72" s="61"/>
      <c r="J72" s="62"/>
    </row>
    <row r="73" spans="1:11" ht="16.5" thickBot="1">
      <c r="A73" s="83"/>
      <c r="B73" s="71" t="str">
        <f>IF(ROW()-68&lt;=$K$69,ROW()-68,"")</f>
        <v/>
      </c>
      <c r="C73" s="72" t="str">
        <f>IF(B73="","",$A$71)</f>
        <v/>
      </c>
      <c r="D73" s="73" t="str">
        <f>IF(C73="","",INDEX(Tableaulistesenfants[Nom],MATCH(B73,Tableaulistesenfants[Séquence45],0),))</f>
        <v/>
      </c>
      <c r="E73" s="73" t="str">
        <f>IF(C73="","",INDEX(Tableaulistesenfants[Prénom],MATCH(B73,Tableaulistesenfants[Séquence45],0),))</f>
        <v/>
      </c>
      <c r="F73" s="72" t="str">
        <f>IF(C73="","",INDEX(Tableaulistesenfants[Classe],MATCH(B73,Tableaulistesenfants[Séquence45],0),))</f>
        <v/>
      </c>
      <c r="G73" s="72" t="str">
        <f>IF(C73="","",INDEX(Tableaulistesenfants[Dimanche],MATCH(B73,Tableaulistesenfants[Séquence45],0),))</f>
        <v/>
      </c>
      <c r="H73" s="74" t="str">
        <f>IF(C73="","",INDEX(Tableaulistesenfants[Mercredi],MATCH(B73,Tableaulistesenfants[Séquence45],0),))</f>
        <v/>
      </c>
      <c r="I73" s="61"/>
      <c r="J73" s="62"/>
    </row>
    <row r="74" spans="1:11" s="78" customFormat="1" ht="16.5" thickBot="1">
      <c r="A74" s="75"/>
      <c r="B74" s="75"/>
      <c r="C74" s="75"/>
      <c r="D74" s="80"/>
      <c r="E74" s="80"/>
      <c r="F74" s="81"/>
      <c r="H74" s="79"/>
      <c r="I74" s="61"/>
      <c r="J74" s="62"/>
    </row>
    <row r="75" spans="1:11" ht="15.75">
      <c r="A75" s="82"/>
      <c r="B75" s="57">
        <f>IF(ROW()-74&lt;=$K$75,ROW()-74,"")</f>
        <v>1</v>
      </c>
      <c r="C75" s="58">
        <f>IF(B75="","",$A$77)</f>
        <v>116</v>
      </c>
      <c r="D75" s="59" t="str">
        <f>IF(C75="","",INDEX(Tableaulistesenfants[Nom],MATCH(B75,Tableaulistesenfants[Séquence46],0),))</f>
        <v>GARNERO</v>
      </c>
      <c r="E75" s="59" t="str">
        <f>IF(C75="","",INDEX(Tableaulistesenfants[Prénom],MATCH(B75,Tableaulistesenfants[Séquence46],0),))</f>
        <v>Logan</v>
      </c>
      <c r="F75" s="58" t="str">
        <f>IF(C75="","",INDEX(Tableaulistesenfants[Classe],MATCH(B75,Tableaulistesenfants[Séquence46],0),))</f>
        <v>1e CF</v>
      </c>
      <c r="G75" s="58" t="b">
        <f>IF(C75="","",INDEX(Tableaulistesenfants[Dimanche],MATCH(B75,Tableaulistesenfants[Séquence46],0),))</f>
        <v>1</v>
      </c>
      <c r="H75" s="60" t="b">
        <f>IF(C75="","",INDEX(Tableaulistesenfants[Mercredi],MATCH(B75,Tableaulistesenfants[Séquence46],0),))</f>
        <v>0</v>
      </c>
      <c r="I75" s="61"/>
      <c r="J75" s="62"/>
      <c r="K75" s="63">
        <f>SUM(Tableaulistesenfants[Occurrence45])</f>
        <v>4</v>
      </c>
    </row>
    <row r="76" spans="1:11" ht="15.75">
      <c r="A76" s="69"/>
      <c r="B76" s="65">
        <f>IF(ROW()-74&lt;=$K$75,ROW()-74,"")</f>
        <v>2</v>
      </c>
      <c r="C76" s="210">
        <f>IF(B76="","",$A$77)</f>
        <v>116</v>
      </c>
      <c r="D76" s="211" t="str">
        <f>IF(C76="","",INDEX(Tableaulistesenfants[Nom],MATCH(B76,Tableaulistesenfants[Séquence46],0),))</f>
        <v>MOUTINHO</v>
      </c>
      <c r="E76" s="211" t="str">
        <f>IF(C76="","",INDEX(Tableaulistesenfants[Prénom],MATCH(B76,Tableaulistesenfants[Séquence46],0),))</f>
        <v>Romain</v>
      </c>
      <c r="F76" s="210" t="str">
        <f>IF(C76="","",INDEX(Tableaulistesenfants[Classe],MATCH(B76,Tableaulistesenfants[Séquence46],0),))</f>
        <v>1e CF</v>
      </c>
      <c r="G76" s="210" t="b">
        <f>IF(C76="","",INDEX(Tableaulistesenfants[Dimanche],MATCH(B76,Tableaulistesenfants[Séquence46],0),))</f>
        <v>1</v>
      </c>
      <c r="H76" s="68" t="b">
        <f>IF(C76="","",INDEX(Tableaulistesenfants[Mercredi],MATCH(B76,Tableaulistesenfants[Séquence46],0),))</f>
        <v>0</v>
      </c>
      <c r="I76" s="61"/>
      <c r="J76" s="62"/>
    </row>
    <row r="77" spans="1:11" ht="15.75">
      <c r="A77" s="69">
        <v>116</v>
      </c>
      <c r="B77" s="65">
        <f>IF(ROW()-74&lt;=$K$75,ROW()-74,"")</f>
        <v>3</v>
      </c>
      <c r="C77" s="210">
        <f>IF(B77="","",$A$77)</f>
        <v>116</v>
      </c>
      <c r="D77" s="211" t="str">
        <f>IF(C77="","",INDEX(Tableaulistesenfants[Nom],MATCH(B77,Tableaulistesenfants[Séquence46],0),))</f>
        <v>NUNES</v>
      </c>
      <c r="E77" s="211" t="str">
        <f>IF(C77="","",INDEX(Tableaulistesenfants[Prénom],MATCH(B77,Tableaulistesenfants[Séquence46],0),))</f>
        <v>Rayan</v>
      </c>
      <c r="F77" s="210" t="str">
        <f>IF(C77="","",INDEX(Tableaulistesenfants[Classe],MATCH(B77,Tableaulistesenfants[Séquence46],0),))</f>
        <v>1e TCVA</v>
      </c>
      <c r="G77" s="210" t="b">
        <f>IF(C77="","",INDEX(Tableaulistesenfants[Dimanche],MATCH(B77,Tableaulistesenfants[Séquence46],0),))</f>
        <v>1</v>
      </c>
      <c r="H77" s="68" t="b">
        <f>IF(C77="","",INDEX(Tableaulistesenfants[Mercredi],MATCH(B77,Tableaulistesenfants[Séquence46],0),))</f>
        <v>0</v>
      </c>
      <c r="I77" s="61"/>
      <c r="J77" s="62"/>
    </row>
    <row r="78" spans="1:11" ht="15.75">
      <c r="A78" s="69"/>
      <c r="B78" s="65">
        <f>IF(ROW()-74&lt;=$K$75,ROW()-74,"")</f>
        <v>4</v>
      </c>
      <c r="C78" s="210">
        <f>IF(B78="","",$A$77)</f>
        <v>116</v>
      </c>
      <c r="D78" s="211" t="str">
        <f>IF(C78="","",INDEX(Tableaulistesenfants[Nom],MATCH(B78,Tableaulistesenfants[Séquence46],0),))</f>
        <v>VANFLETEREN</v>
      </c>
      <c r="E78" s="211" t="str">
        <f>IF(C78="","",INDEX(Tableaulistesenfants[Prénom],MATCH(B78,Tableaulistesenfants[Séquence46],0),))</f>
        <v>Baptiste</v>
      </c>
      <c r="F78" s="210" t="str">
        <f>IF(C78="","",INDEX(Tableaulistesenfants[Classe],MATCH(B78,Tableaulistesenfants[Séquence46],0),))</f>
        <v>1e CF</v>
      </c>
      <c r="G78" s="210" t="b">
        <f>IF(C78="","",INDEX(Tableaulistesenfants[Dimanche],MATCH(B78,Tableaulistesenfants[Séquence46],0),))</f>
        <v>1</v>
      </c>
      <c r="H78" s="68" t="b">
        <f>IF(C78="","",INDEX(Tableaulistesenfants[Mercredi],MATCH(B78,Tableaulistesenfants[Séquence46],0),))</f>
        <v>0</v>
      </c>
      <c r="I78" s="61"/>
      <c r="J78" s="62"/>
    </row>
    <row r="79" spans="1:11" ht="16.5" thickBot="1">
      <c r="A79" s="83"/>
      <c r="B79" s="71" t="str">
        <f>IF(ROW()-74&lt;=$K$75,ROW()-74,"")</f>
        <v/>
      </c>
      <c r="C79" s="72" t="str">
        <f>IF(B79="","",$A$77)</f>
        <v/>
      </c>
      <c r="D79" s="73" t="str">
        <f>IF(C79="","",INDEX(Tableaulistesenfants[Nom],MATCH(B79,Tableaulistesenfants[Séquence46],0),))</f>
        <v/>
      </c>
      <c r="E79" s="73" t="str">
        <f>IF(C79="","",INDEX(Tableaulistesenfants[Prénom],MATCH(B79,Tableaulistesenfants[Séquence46],0),))</f>
        <v/>
      </c>
      <c r="F79" s="72" t="str">
        <f>IF(C79="","",INDEX(Tableaulistesenfants[Classe],MATCH(B79,Tableaulistesenfants[Séquence46],0),))</f>
        <v/>
      </c>
      <c r="G79" s="72" t="str">
        <f>IF(C79="","",INDEX(Tableaulistesenfants[Dimanche],MATCH(B79,Tableaulistesenfants[Séquence46],0),))</f>
        <v/>
      </c>
      <c r="H79" s="74" t="str">
        <f>IF(C79="","",INDEX(Tableaulistesenfants[Mercredi],MATCH(B79,Tableaulistesenfants[Séquence46],0),))</f>
        <v/>
      </c>
      <c r="I79" s="61"/>
      <c r="J79" s="62"/>
    </row>
    <row r="80" spans="1:11" s="78" customFormat="1" ht="16.5" thickBot="1">
      <c r="A80" s="75"/>
      <c r="B80" s="75"/>
      <c r="C80" s="75"/>
      <c r="D80" s="80"/>
      <c r="E80" s="80"/>
      <c r="F80" s="106"/>
      <c r="H80" s="79"/>
      <c r="I80" s="61"/>
      <c r="J80" s="62"/>
    </row>
    <row r="81" spans="1:11" ht="15.75">
      <c r="A81" s="82"/>
      <c r="B81" s="57">
        <f>IF(ROW()-80&lt;=$K$81,ROW()-80,"")</f>
        <v>1</v>
      </c>
      <c r="C81" s="58">
        <f t="shared" ref="C81:C86" si="1">IF(B81="","",$A$83)</f>
        <v>126</v>
      </c>
      <c r="D81" s="59" t="str">
        <f>IF(C81="","",INDEX(Tableaulistesenfants[Nom],MATCH(B81,Tableaulistesenfants[Séquence47],0),))</f>
        <v>BOUCHEYROU</v>
      </c>
      <c r="E81" s="59" t="str">
        <f>IF(C81="","",INDEX(Tableaulistesenfants[Prénom],MATCH(B81,Tableaulistesenfants[Séquence47],0),))</f>
        <v>Arthur</v>
      </c>
      <c r="F81" s="58" t="str">
        <f>IF(C81="","",INDEX(Tableaulistesenfants[Classe],MATCH(B81,Tableaulistesenfants[Séquence47],0),))</f>
        <v>Term CF</v>
      </c>
      <c r="G81" s="58" t="b">
        <f>IF(C81="","",INDEX(Tableaulistesenfants[Dimanche],MATCH(B81,Tableaulistesenfants[Séquence47],0),))</f>
        <v>0</v>
      </c>
      <c r="H81" s="60" t="b">
        <f>IF(C81="","",INDEX(Tableaulistesenfants[Mercredi],MATCH(B81,Tableaulistesenfants[Séquence47],0),))</f>
        <v>0</v>
      </c>
      <c r="I81" s="61"/>
      <c r="J81" s="62"/>
      <c r="K81" s="63">
        <f>SUM(Tableaulistesenfants[Occurrence46])</f>
        <v>4</v>
      </c>
    </row>
    <row r="82" spans="1:11" ht="15.75">
      <c r="A82" s="69"/>
      <c r="B82" s="65">
        <f>IF(ROW()-80&lt;=$K$81,ROW()-80,"")</f>
        <v>2</v>
      </c>
      <c r="C82" s="210">
        <f t="shared" si="1"/>
        <v>126</v>
      </c>
      <c r="D82" s="211" t="str">
        <f>IF(C82="","",INDEX(Tableaulistesenfants[Nom],MATCH(B82,Tableaulistesenfants[Séquence47],0),))</f>
        <v>DELMAS</v>
      </c>
      <c r="E82" s="211" t="str">
        <f>IF(C82="","",INDEX(Tableaulistesenfants[Prénom],MATCH(B82,Tableaulistesenfants[Séquence47],0),))</f>
        <v>Nathan</v>
      </c>
      <c r="F82" s="210" t="str">
        <f>IF(C82="","",INDEX(Tableaulistesenfants[Classe],MATCH(B82,Tableaulistesenfants[Séquence47],0),))</f>
        <v>Term CF</v>
      </c>
      <c r="G82" s="210" t="b">
        <f>IF(C82="","",INDEX(Tableaulistesenfants[Dimanche],MATCH(B82,Tableaulistesenfants[Séquence47],0),))</f>
        <v>1</v>
      </c>
      <c r="H82" s="68" t="b">
        <f>IF(C82="","",INDEX(Tableaulistesenfants[Mercredi],MATCH(B82,Tableaulistesenfants[Séquence47],0),))</f>
        <v>0</v>
      </c>
      <c r="I82" s="61"/>
      <c r="J82" s="62"/>
    </row>
    <row r="83" spans="1:11" ht="15.75">
      <c r="A83" s="69">
        <v>126</v>
      </c>
      <c r="B83" s="65">
        <f>IF(ROW()-80&lt;=$K$81,ROW()-80,"")</f>
        <v>3</v>
      </c>
      <c r="C83" s="210">
        <f t="shared" si="1"/>
        <v>126</v>
      </c>
      <c r="D83" s="211" t="str">
        <f>IF(C83="","",INDEX(Tableaulistesenfants[Nom],MATCH(B83,Tableaulistesenfants[Séquence47],0),))</f>
        <v>GROS</v>
      </c>
      <c r="E83" s="211" t="str">
        <f>IF(C83="","",INDEX(Tableaulistesenfants[Prénom],MATCH(B83,Tableaulistesenfants[Séquence47],0),))</f>
        <v>Lucas</v>
      </c>
      <c r="F83" s="210" t="str">
        <f>IF(C83="","",INDEX(Tableaulistesenfants[Classe],MATCH(B83,Tableaulistesenfants[Séquence47],0),))</f>
        <v>Term CF</v>
      </c>
      <c r="G83" s="210" t="b">
        <f>IF(C83="","",INDEX(Tableaulistesenfants[Dimanche],MATCH(B83,Tableaulistesenfants[Séquence47],0),))</f>
        <v>1</v>
      </c>
      <c r="H83" s="68" t="b">
        <f>IF(C83="","",INDEX(Tableaulistesenfants[Mercredi],MATCH(B83,Tableaulistesenfants[Séquence47],0),))</f>
        <v>0</v>
      </c>
      <c r="I83" s="61"/>
      <c r="J83" s="62"/>
    </row>
    <row r="84" spans="1:11" ht="15.75">
      <c r="A84" s="69"/>
      <c r="B84" s="65">
        <f>IF(ROW()-80&lt;=$K$81,ROW()-80,"")</f>
        <v>4</v>
      </c>
      <c r="C84" s="210">
        <f t="shared" si="1"/>
        <v>126</v>
      </c>
      <c r="D84" s="211" t="str">
        <f>IF(C84="","",INDEX(Tableaulistesenfants[Nom],MATCH(B84,Tableaulistesenfants[Séquence47],0),))</f>
        <v>MECKES</v>
      </c>
      <c r="E84" s="211" t="str">
        <f>IF(C84="","",INDEX(Tableaulistesenfants[Prénom],MATCH(B84,Tableaulistesenfants[Séquence47],0),))</f>
        <v>Victor</v>
      </c>
      <c r="F84" s="210" t="str">
        <f>IF(C84="","",INDEX(Tableaulistesenfants[Classe],MATCH(B84,Tableaulistesenfants[Séquence47],0),))</f>
        <v>Term CF</v>
      </c>
      <c r="G84" s="210" t="b">
        <f>IF(C84="","",INDEX(Tableaulistesenfants[Dimanche],MATCH(B84,Tableaulistesenfants[Séquence47],0),))</f>
        <v>1</v>
      </c>
      <c r="H84" s="68" t="b">
        <f>IF(C84="","",INDEX(Tableaulistesenfants[Mercredi],MATCH(B84,Tableaulistesenfants[Séquence47],0),))</f>
        <v>0</v>
      </c>
      <c r="I84" s="61"/>
      <c r="J84" s="62"/>
    </row>
    <row r="85" spans="1:11" ht="16.5" thickBot="1">
      <c r="A85" s="83"/>
      <c r="B85" s="71" t="str">
        <f>IF(ROW()-80&lt;=$K$81,ROW()-80,"")</f>
        <v/>
      </c>
      <c r="C85" s="72" t="str">
        <f t="shared" si="1"/>
        <v/>
      </c>
      <c r="D85" s="73" t="str">
        <f>IF(C85="","",INDEX(Tableaulistesenfants[Nom],MATCH(B85,Tableaulistesenfants[Séquence47],0),))</f>
        <v/>
      </c>
      <c r="E85" s="73" t="str">
        <f>IF(C85="","",INDEX(Tableaulistesenfants[Prénom],MATCH(B85,Tableaulistesenfants[Séquence47],0),))</f>
        <v/>
      </c>
      <c r="F85" s="72" t="str">
        <f>IF(C85="","",INDEX(Tableaulistesenfants[Classe],MATCH(B85,Tableaulistesenfants[Séquence47],0),))</f>
        <v/>
      </c>
      <c r="G85" s="72" t="str">
        <f>IF(C85="","",INDEX(Tableaulistesenfants[Dimanche],MATCH(B85,Tableaulistesenfants[Séquence47],0),))</f>
        <v/>
      </c>
      <c r="H85" s="74" t="str">
        <f>IF(C85="","",INDEX(Tableaulistesenfants[Mercredi],MATCH(B85,Tableaulistesenfants[Séquence47],0),))</f>
        <v/>
      </c>
      <c r="I85" s="61"/>
      <c r="J85" s="62"/>
    </row>
    <row r="86" spans="1:11" ht="16.5" thickBot="1">
      <c r="A86" s="75"/>
      <c r="B86" s="75"/>
      <c r="C86" s="90" t="str">
        <f t="shared" si="1"/>
        <v/>
      </c>
      <c r="D86" s="80"/>
      <c r="E86" s="80"/>
      <c r="F86" s="106"/>
      <c r="G86" s="78"/>
      <c r="H86" s="79"/>
      <c r="I86" s="61"/>
      <c r="J86" s="62"/>
    </row>
    <row r="87" spans="1:11" ht="15.75">
      <c r="A87" s="82"/>
      <c r="B87" s="57">
        <f>IF(ROW()-86&lt;=$K$87,ROW()-86,"")</f>
        <v>1</v>
      </c>
      <c r="C87" s="58">
        <f>IF(B87="","",$A$89)</f>
        <v>127</v>
      </c>
      <c r="D87" s="59" t="str">
        <f>IF(C87="","",INDEX(Tableaulistesenfants[Nom],MATCH(B87,Tableaulistesenfants[Séquence48],0),))</f>
        <v>BOISSARIE</v>
      </c>
      <c r="E87" s="59" t="str">
        <f>IF(C87="","",INDEX(Tableaulistesenfants[Prénom],MATCH(B87,Tableaulistesenfants[Séquence48],0),))</f>
        <v>Antoine</v>
      </c>
      <c r="F87" s="58" t="str">
        <f>IF(C87="","",INDEX(Tableaulistesenfants[Classe],MATCH(B87,Tableaulistesenfants[Séquence48],0),))</f>
        <v>1e STAV</v>
      </c>
      <c r="G87" s="58" t="b">
        <f>IF(C87="","",INDEX(Tableaulistesenfants[Dimanche],MATCH(B87,Tableaulistesenfants[Séquence48],0),))</f>
        <v>1</v>
      </c>
      <c r="H87" s="60" t="b">
        <f>IF(C87="","",INDEX(Tableaulistesenfants[Mercredi],MATCH(B87,Tableaulistesenfants[Séquence48],0),))</f>
        <v>0</v>
      </c>
      <c r="I87" s="61"/>
      <c r="J87" s="62"/>
      <c r="K87" s="63">
        <f>SUM(Tableaulistesenfants[Occurrence47])</f>
        <v>3</v>
      </c>
    </row>
    <row r="88" spans="1:11" ht="15.75">
      <c r="A88" s="69"/>
      <c r="B88" s="65">
        <f>IF(ROW()-86&lt;=$K$87,ROW()-86,"")</f>
        <v>2</v>
      </c>
      <c r="C88" s="210">
        <f>IF(B88="","",$A$89)</f>
        <v>127</v>
      </c>
      <c r="D88" s="211" t="str">
        <f>IF(C88="","",INDEX(Tableaulistesenfants[Nom],MATCH(B88,Tableaulistesenfants[Séquence48],0),))</f>
        <v>GUILLERMIN</v>
      </c>
      <c r="E88" s="211" t="str">
        <f>IF(C88="","",INDEX(Tableaulistesenfants[Prénom],MATCH(B88,Tableaulistesenfants[Séquence48],0),))</f>
        <v>Yorick</v>
      </c>
      <c r="F88" s="210" t="str">
        <f>IF(C88="","",INDEX(Tableaulistesenfants[Classe],MATCH(B88,Tableaulistesenfants[Séquence48],0),))</f>
        <v>Term TCVA</v>
      </c>
      <c r="G88" s="210" t="b">
        <f>IF(C88="","",INDEX(Tableaulistesenfants[Dimanche],MATCH(B88,Tableaulistesenfants[Séquence48],0),))</f>
        <v>0</v>
      </c>
      <c r="H88" s="68" t="b">
        <f>IF(C88="","",INDEX(Tableaulistesenfants[Mercredi],MATCH(B88,Tableaulistesenfants[Séquence48],0),))</f>
        <v>0</v>
      </c>
      <c r="I88" s="61"/>
      <c r="J88" s="62"/>
    </row>
    <row r="89" spans="1:11" ht="15.75">
      <c r="A89" s="69">
        <v>127</v>
      </c>
      <c r="B89" s="65">
        <f>IF(ROW()-86&lt;=$K$87,ROW()-86,"")</f>
        <v>3</v>
      </c>
      <c r="C89" s="210">
        <f>IF(B89="","",$A$89)</f>
        <v>127</v>
      </c>
      <c r="D89" s="211" t="str">
        <f>IF(C89="","",INDEX(Tableaulistesenfants[Nom],MATCH(B89,Tableaulistesenfants[Séquence48],0),))</f>
        <v>TABERNA-ARMENGAUD</v>
      </c>
      <c r="E89" s="211" t="str">
        <f>IF(C89="","",INDEX(Tableaulistesenfants[Prénom],MATCH(B89,Tableaulistesenfants[Séquence48],0),))</f>
        <v>Matthias</v>
      </c>
      <c r="F89" s="210" t="str">
        <f>IF(C89="","",INDEX(Tableaulistesenfants[Classe],MATCH(B89,Tableaulistesenfants[Séquence48],0),))</f>
        <v>Term STAV</v>
      </c>
      <c r="G89" s="210" t="b">
        <f>IF(C89="","",INDEX(Tableaulistesenfants[Dimanche],MATCH(B89,Tableaulistesenfants[Séquence48],0),))</f>
        <v>1</v>
      </c>
      <c r="H89" s="68" t="b">
        <f>IF(C89="","",INDEX(Tableaulistesenfants[Mercredi],MATCH(B89,Tableaulistesenfants[Séquence48],0),))</f>
        <v>0</v>
      </c>
      <c r="I89" s="61"/>
      <c r="J89" s="62"/>
    </row>
    <row r="90" spans="1:11" ht="15.75">
      <c r="A90" s="69"/>
      <c r="B90" s="65" t="str">
        <f>IF(ROW()-86&lt;=$K$87,ROW()-86,"")</f>
        <v/>
      </c>
      <c r="C90" s="210" t="str">
        <f>IF(B90="","",$A$89)</f>
        <v/>
      </c>
      <c r="D90" s="211" t="str">
        <f>IF(C90="","",INDEX(Tableaulistesenfants[Nom],MATCH(B90,Tableaulistesenfants[Séquence48],0),))</f>
        <v/>
      </c>
      <c r="E90" s="211" t="str">
        <f>IF(C90="","",INDEX(Tableaulistesenfants[Prénom],MATCH(B90,Tableaulistesenfants[Séquence48],0),))</f>
        <v/>
      </c>
      <c r="F90" s="210" t="str">
        <f>IF(C90="","",INDEX(Tableaulistesenfants[Classe],MATCH(B90,Tableaulistesenfants[Séquence48],0),))</f>
        <v/>
      </c>
      <c r="G90" s="210" t="str">
        <f>IF(C90="","",INDEX(Tableaulistesenfants[Dimanche],MATCH(B90,Tableaulistesenfants[Séquence48],0),))</f>
        <v/>
      </c>
      <c r="H90" s="68" t="str">
        <f>IF(C90="","",INDEX(Tableaulistesenfants[Mercredi],MATCH(B90,Tableaulistesenfants[Séquence48],0),))</f>
        <v/>
      </c>
      <c r="I90" s="61"/>
      <c r="J90" s="62"/>
    </row>
    <row r="91" spans="1:11" ht="16.5" thickBot="1">
      <c r="A91" s="83"/>
      <c r="B91" s="71" t="str">
        <f>IF(ROW()-86&lt;=$K$87,ROW()-86,"")</f>
        <v/>
      </c>
      <c r="C91" s="72" t="str">
        <f>IF(B91="","",$A$89)</f>
        <v/>
      </c>
      <c r="D91" s="73" t="str">
        <f>IF(C91="","",INDEX(Tableaulistesenfants[Nom],MATCH(B91,Tableaulistesenfants[Séquence48],0),))</f>
        <v/>
      </c>
      <c r="E91" s="73" t="str">
        <f>IF(C91="","",INDEX(Tableaulistesenfants[Prénom],MATCH(B91,Tableaulistesenfants[Séquence48],0),))</f>
        <v/>
      </c>
      <c r="F91" s="72" t="str">
        <f>IF(C91="","",INDEX(Tableaulistesenfants[Classe],MATCH(B91,Tableaulistesenfants[Séquence48],0),))</f>
        <v/>
      </c>
      <c r="G91" s="72" t="str">
        <f>IF(C91="","",INDEX(Tableaulistesenfants[Dimanche],MATCH(B91,Tableaulistesenfants[Séquence48],0),))</f>
        <v/>
      </c>
      <c r="H91" s="74" t="str">
        <f>IF(C91="","",INDEX(Tableaulistesenfants[Mercredi],MATCH(B91,Tableaulistesenfants[Séquence48],0),))</f>
        <v/>
      </c>
      <c r="I91" s="61"/>
      <c r="J91" s="62"/>
    </row>
    <row r="92" spans="1:11" ht="16.5" thickBot="1">
      <c r="A92" s="75"/>
      <c r="B92" s="75"/>
      <c r="C92" s="75"/>
      <c r="D92" s="80"/>
      <c r="E92" s="80"/>
      <c r="F92" s="106"/>
      <c r="G92" s="78"/>
      <c r="H92" s="79"/>
      <c r="I92" s="61"/>
      <c r="J92" s="62"/>
    </row>
    <row r="93" spans="1:11" ht="15.75">
      <c r="A93" s="82"/>
      <c r="B93" s="57">
        <f>IF(ROW()-92&lt;=$K$93,ROW()-92,"")</f>
        <v>1</v>
      </c>
      <c r="C93" s="58">
        <f>IF(B93="","",$A$95)</f>
        <v>124</v>
      </c>
      <c r="D93" s="59" t="str">
        <f>IF(C93="","",INDEX(Tableaulistesenfants[Nom],MATCH(B93,Tableaulistesenfants[Séquence49],0),))</f>
        <v>DELBOURG</v>
      </c>
      <c r="E93" s="59" t="str">
        <f>IF(C93="","",INDEX(Tableaulistesenfants[Prénom],MATCH(B93,Tableaulistesenfants[Séquence49],0),))</f>
        <v>Raphael</v>
      </c>
      <c r="F93" s="58" t="str">
        <f>IF(C93="","",INDEX(Tableaulistesenfants[Classe],MATCH(B93,Tableaulistesenfants[Séquence49],0),))</f>
        <v>Term STAV</v>
      </c>
      <c r="G93" s="58" t="b">
        <f>IF(C93="","",INDEX(Tableaulistesenfants[Dimanche],MATCH(B93,Tableaulistesenfants[Séquence49],0),))</f>
        <v>0</v>
      </c>
      <c r="H93" s="60" t="b">
        <f>IF(C93="","",INDEX(Tableaulistesenfants[Mercredi],MATCH(B93,Tableaulistesenfants[Séquence49],0),))</f>
        <v>0</v>
      </c>
      <c r="I93" s="61"/>
      <c r="J93" s="62"/>
      <c r="K93" s="63">
        <f>SUM(Tableaulistesenfants[Occurrence48])</f>
        <v>4</v>
      </c>
    </row>
    <row r="94" spans="1:11" ht="15.75">
      <c r="A94" s="69"/>
      <c r="B94" s="65">
        <f>IF(ROW()-92&lt;=$K$93,ROW()-92,"")</f>
        <v>2</v>
      </c>
      <c r="C94" s="210">
        <f>IF(B94="","",$A$95)</f>
        <v>124</v>
      </c>
      <c r="D94" s="211" t="str">
        <f>IF(C94="","",INDEX(Tableaulistesenfants[Nom],MATCH(B94,Tableaulistesenfants[Séquence49],0),))</f>
        <v>MUR</v>
      </c>
      <c r="E94" s="211" t="str">
        <f>IF(C94="","",INDEX(Tableaulistesenfants[Prénom],MATCH(B94,Tableaulistesenfants[Séquence49],0),))</f>
        <v>Lucas</v>
      </c>
      <c r="F94" s="210" t="str">
        <f>IF(C94="","",INDEX(Tableaulistesenfants[Classe],MATCH(B94,Tableaulistesenfants[Séquence49],0),))</f>
        <v>Term STAV</v>
      </c>
      <c r="G94" s="210" t="b">
        <f>IF(C94="","",INDEX(Tableaulistesenfants[Dimanche],MATCH(B94,Tableaulistesenfants[Séquence49],0),))</f>
        <v>0</v>
      </c>
      <c r="H94" s="68" t="b">
        <f>IF(C94="","",INDEX(Tableaulistesenfants[Mercredi],MATCH(B94,Tableaulistesenfants[Séquence49],0),))</f>
        <v>0</v>
      </c>
      <c r="I94" s="61"/>
      <c r="J94" s="62"/>
    </row>
    <row r="95" spans="1:11" ht="15.75">
      <c r="A95" s="69">
        <v>124</v>
      </c>
      <c r="B95" s="65">
        <f>IF(ROW()-92&lt;=$K$93,ROW()-92,"")</f>
        <v>3</v>
      </c>
      <c r="C95" s="210">
        <f>IF(B95="","",$A$95)</f>
        <v>124</v>
      </c>
      <c r="D95" s="211" t="str">
        <f>IF(C95="","",INDEX(Tableaulistesenfants[Nom],MATCH(B95,Tableaulistesenfants[Séquence49],0),))</f>
        <v>PIQUEMAL</v>
      </c>
      <c r="E95" s="211" t="str">
        <f>IF(C95="","",INDEX(Tableaulistesenfants[Prénom],MATCH(B95,Tableaulistesenfants[Séquence49],0),))</f>
        <v>Simon</v>
      </c>
      <c r="F95" s="210" t="str">
        <f>IF(C95="","",INDEX(Tableaulistesenfants[Classe],MATCH(B95,Tableaulistesenfants[Séquence49],0),))</f>
        <v>Term STAV</v>
      </c>
      <c r="G95" s="210" t="b">
        <f>IF(C95="","",INDEX(Tableaulistesenfants[Dimanche],MATCH(B95,Tableaulistesenfants[Séquence49],0),))</f>
        <v>0</v>
      </c>
      <c r="H95" s="68" t="b">
        <f>IF(C95="","",INDEX(Tableaulistesenfants[Mercredi],MATCH(B95,Tableaulistesenfants[Séquence49],0),))</f>
        <v>0</v>
      </c>
      <c r="I95" s="61"/>
      <c r="J95" s="62"/>
    </row>
    <row r="96" spans="1:11" ht="15.75">
      <c r="A96" s="69"/>
      <c r="B96" s="65">
        <f>IF(ROW()-92&lt;=$K$93,ROW()-92,"")</f>
        <v>4</v>
      </c>
      <c r="C96" s="210">
        <f>IF(B96="","",$A$95)</f>
        <v>124</v>
      </c>
      <c r="D96" s="211" t="str">
        <f>IF(C96="","",INDEX(Tableaulistesenfants[Nom],MATCH(B96,Tableaulistesenfants[Séquence49],0),))</f>
        <v>VANAUDENHOVE</v>
      </c>
      <c r="E96" s="211" t="str">
        <f>IF(C96="","",INDEX(Tableaulistesenfants[Prénom],MATCH(B96,Tableaulistesenfants[Séquence49],0),))</f>
        <v>Arthur</v>
      </c>
      <c r="F96" s="210" t="str">
        <f>IF(C96="","",INDEX(Tableaulistesenfants[Classe],MATCH(B96,Tableaulistesenfants[Séquence49],0),))</f>
        <v>Term STAV</v>
      </c>
      <c r="G96" s="210" t="b">
        <f>IF(C96="","",INDEX(Tableaulistesenfants[Dimanche],MATCH(B96,Tableaulistesenfants[Séquence49],0),))</f>
        <v>0</v>
      </c>
      <c r="H96" s="68" t="b">
        <f>IF(C96="","",INDEX(Tableaulistesenfants[Mercredi],MATCH(B96,Tableaulistesenfants[Séquence49],0),))</f>
        <v>0</v>
      </c>
      <c r="I96" s="61"/>
      <c r="J96" s="62"/>
    </row>
    <row r="97" spans="1:10" ht="16.5" thickBot="1">
      <c r="A97" s="83"/>
      <c r="B97" s="71" t="str">
        <f>IF(ROW()-92&lt;=$K$93,ROW()-92,"")</f>
        <v/>
      </c>
      <c r="C97" s="72" t="str">
        <f>IF(B97="","",$A$95)</f>
        <v/>
      </c>
      <c r="D97" s="73" t="str">
        <f>IF(C97="","",INDEX(Tableaulistesenfants[Nom],MATCH(B97,Tableaulistesenfants[Séquence49],0),))</f>
        <v/>
      </c>
      <c r="E97" s="73" t="str">
        <f>IF(C97="","",INDEX(Tableaulistesenfants[Prénom],MATCH(B97,Tableaulistesenfants[Séquence49],0),))</f>
        <v/>
      </c>
      <c r="F97" s="72" t="str">
        <f>IF(C97="","",INDEX(Tableaulistesenfants[Classe],MATCH(B97,Tableaulistesenfants[Séquence49],0),))</f>
        <v/>
      </c>
      <c r="G97" s="72" t="str">
        <f>IF(C97="","",INDEX(Tableaulistesenfants[Dimanche],MATCH(B97,Tableaulistesenfants[Séquence49],0),))</f>
        <v/>
      </c>
      <c r="H97" s="74" t="str">
        <f>IF(C97="","",INDEX(Tableaulistesenfants[Mercredi],MATCH(B97,Tableaulistesenfants[Séquence49],0),))</f>
        <v/>
      </c>
      <c r="I97" s="61"/>
      <c r="J97" s="62"/>
    </row>
    <row r="98" spans="1:10">
      <c r="I98" s="61"/>
      <c r="J98" s="62"/>
    </row>
    <row r="99" spans="1:10">
      <c r="I99" s="61"/>
      <c r="J99" s="62"/>
    </row>
    <row r="100" spans="1:10">
      <c r="F100" s="95"/>
      <c r="I100" s="61"/>
      <c r="J100" s="62"/>
    </row>
    <row r="101" spans="1:10">
      <c r="I101" s="61"/>
      <c r="J101" s="62"/>
    </row>
    <row r="102" spans="1:10">
      <c r="I102" s="61"/>
      <c r="J102" s="62"/>
    </row>
    <row r="103" spans="1:10">
      <c r="J103" s="62"/>
    </row>
    <row r="104" spans="1:10">
      <c r="G104" s="95"/>
      <c r="J104" s="62"/>
    </row>
    <row r="105" spans="1:10">
      <c r="J105" s="62"/>
    </row>
    <row r="106" spans="1:10">
      <c r="J106" s="62"/>
    </row>
    <row r="107" spans="1:10">
      <c r="I107" s="61"/>
      <c r="J107" s="62"/>
    </row>
    <row r="108" spans="1:10">
      <c r="I108" s="61"/>
      <c r="J108" s="62"/>
    </row>
    <row r="109" spans="1:10">
      <c r="I109" s="61"/>
      <c r="J109" s="62"/>
    </row>
    <row r="110" spans="1:10">
      <c r="I110" s="61"/>
      <c r="J110" s="62"/>
    </row>
    <row r="111" spans="1:10">
      <c r="I111" s="61"/>
      <c r="J111" s="62"/>
    </row>
    <row r="112" spans="1:10">
      <c r="I112" s="61"/>
      <c r="J112" s="62"/>
    </row>
    <row r="113" spans="9:10">
      <c r="I113" s="61"/>
      <c r="J113" s="62"/>
    </row>
    <row r="114" spans="9:10">
      <c r="I114" s="61"/>
      <c r="J114" s="62"/>
    </row>
    <row r="115" spans="9:10">
      <c r="I115" s="61"/>
      <c r="J115" s="62"/>
    </row>
    <row r="116" spans="9:10">
      <c r="I116" s="61"/>
      <c r="J116" s="62"/>
    </row>
    <row r="117" spans="9:10">
      <c r="I117" s="61"/>
      <c r="J117" s="62"/>
    </row>
    <row r="118" spans="9:10">
      <c r="I118" s="61"/>
      <c r="J118" s="62"/>
    </row>
    <row r="119" spans="9:10">
      <c r="I119" s="61"/>
      <c r="J119" s="62"/>
    </row>
    <row r="120" spans="9:10">
      <c r="I120" s="61"/>
      <c r="J120" s="62"/>
    </row>
    <row r="121" spans="9:10">
      <c r="I121" s="61"/>
      <c r="J121" s="62"/>
    </row>
    <row r="122" spans="9:10">
      <c r="I122" s="61"/>
      <c r="J122" s="62"/>
    </row>
    <row r="123" spans="9:10">
      <c r="I123" s="61"/>
      <c r="J123" s="62"/>
    </row>
    <row r="124" spans="9:10">
      <c r="I124" s="61"/>
      <c r="J124" s="62"/>
    </row>
    <row r="125" spans="9:10">
      <c r="I125" s="61"/>
      <c r="J125" s="62"/>
    </row>
    <row r="126" spans="9:10">
      <c r="I126" s="61"/>
      <c r="J126" s="62"/>
    </row>
    <row r="127" spans="9:10">
      <c r="I127" s="61"/>
      <c r="J127" s="62"/>
    </row>
    <row r="128" spans="9:10">
      <c r="I128" s="61"/>
      <c r="J128" s="62"/>
    </row>
    <row r="129" spans="9:10">
      <c r="I129" s="61"/>
      <c r="J129" s="62"/>
    </row>
    <row r="130" spans="9:10">
      <c r="I130" s="61"/>
      <c r="J130" s="62"/>
    </row>
    <row r="131" spans="9:10">
      <c r="I131" s="61"/>
      <c r="J131" s="62"/>
    </row>
    <row r="132" spans="9:10">
      <c r="I132" s="61"/>
      <c r="J132" s="62"/>
    </row>
    <row r="133" spans="9:10">
      <c r="I133" s="61"/>
      <c r="J133" s="62"/>
    </row>
    <row r="134" spans="9:10">
      <c r="I134" s="61"/>
      <c r="J134" s="62"/>
    </row>
    <row r="135" spans="9:10">
      <c r="I135" s="61"/>
      <c r="J135" s="62"/>
    </row>
    <row r="136" spans="9:10">
      <c r="I136" s="61"/>
      <c r="J136" s="62"/>
    </row>
    <row r="137" spans="9:10">
      <c r="I137" s="61"/>
      <c r="J137" s="62"/>
    </row>
    <row r="138" spans="9:10">
      <c r="I138" s="61"/>
      <c r="J138" s="62"/>
    </row>
    <row r="139" spans="9:10">
      <c r="I139" s="61"/>
      <c r="J139" s="62"/>
    </row>
    <row r="140" spans="9:10">
      <c r="I140" s="61"/>
      <c r="J140" s="62"/>
    </row>
    <row r="141" spans="9:10">
      <c r="I141" s="61"/>
      <c r="J141" s="62"/>
    </row>
    <row r="142" spans="9:10">
      <c r="I142" s="61"/>
      <c r="J142" s="62"/>
    </row>
    <row r="143" spans="9:10">
      <c r="I143" s="61"/>
      <c r="J143" s="62"/>
    </row>
    <row r="144" spans="9:10">
      <c r="I144" s="61"/>
      <c r="J144" s="62"/>
    </row>
    <row r="145" spans="9:10">
      <c r="I145" s="61"/>
      <c r="J145" s="62"/>
    </row>
    <row r="146" spans="9:10">
      <c r="I146" s="61"/>
      <c r="J146" s="62"/>
    </row>
    <row r="147" spans="9:10">
      <c r="I147" s="61"/>
      <c r="J147" s="62"/>
    </row>
    <row r="148" spans="9:10">
      <c r="I148" s="61"/>
      <c r="J148" s="62"/>
    </row>
    <row r="149" spans="9:10">
      <c r="I149" s="61"/>
      <c r="J149" s="62"/>
    </row>
    <row r="150" spans="9:10">
      <c r="I150" s="61"/>
      <c r="J150" s="62"/>
    </row>
    <row r="151" spans="9:10">
      <c r="I151" s="61"/>
      <c r="J151" s="62"/>
    </row>
    <row r="152" spans="9:10">
      <c r="I152" s="61"/>
      <c r="J152" s="62"/>
    </row>
    <row r="153" spans="9:10">
      <c r="I153" s="61"/>
      <c r="J153" s="62"/>
    </row>
    <row r="154" spans="9:10">
      <c r="I154" s="61"/>
      <c r="J154" s="62"/>
    </row>
    <row r="155" spans="9:10">
      <c r="I155" s="61"/>
      <c r="J155" s="62"/>
    </row>
    <row r="156" spans="9:10">
      <c r="I156" s="61"/>
      <c r="J156" s="62"/>
    </row>
    <row r="157" spans="9:10">
      <c r="I157" s="61"/>
      <c r="J157" s="62"/>
    </row>
    <row r="158" spans="9:10">
      <c r="I158" s="61"/>
      <c r="J158" s="62"/>
    </row>
    <row r="159" spans="9:10">
      <c r="I159" s="61"/>
      <c r="J159" s="62"/>
    </row>
    <row r="160" spans="9:10">
      <c r="I160" s="61"/>
      <c r="J160" s="62"/>
    </row>
    <row r="161" spans="9:10">
      <c r="I161" s="61"/>
      <c r="J161" s="62"/>
    </row>
    <row r="162" spans="9:10">
      <c r="I162" s="61"/>
      <c r="J162" s="62"/>
    </row>
    <row r="163" spans="9:10">
      <c r="I163" s="61"/>
      <c r="J163" s="62"/>
    </row>
    <row r="164" spans="9:10">
      <c r="I164" s="61"/>
      <c r="J164" s="62"/>
    </row>
    <row r="165" spans="9:10">
      <c r="I165" s="61"/>
      <c r="J165" s="62"/>
    </row>
    <row r="166" spans="9:10">
      <c r="I166" s="61"/>
      <c r="J166" s="62"/>
    </row>
    <row r="167" spans="9:10">
      <c r="I167" s="61"/>
      <c r="J167" s="62"/>
    </row>
    <row r="168" spans="9:10">
      <c r="I168" s="61"/>
      <c r="J168" s="62"/>
    </row>
    <row r="169" spans="9:10">
      <c r="I169" s="61"/>
      <c r="J169" s="62"/>
    </row>
    <row r="170" spans="9:10">
      <c r="I170" s="61"/>
      <c r="J170" s="62"/>
    </row>
    <row r="171" spans="9:10">
      <c r="I171" s="61"/>
      <c r="J171" s="62"/>
    </row>
    <row r="172" spans="9:10">
      <c r="I172" s="61"/>
      <c r="J172" s="62"/>
    </row>
    <row r="173" spans="9:10">
      <c r="I173" s="61"/>
      <c r="J173" s="62"/>
    </row>
    <row r="174" spans="9:10">
      <c r="I174" s="61"/>
      <c r="J174" s="62"/>
    </row>
    <row r="175" spans="9:10">
      <c r="I175" s="61"/>
      <c r="J175" s="62"/>
    </row>
    <row r="176" spans="9:10">
      <c r="I176" s="61"/>
      <c r="J176" s="62"/>
    </row>
    <row r="177" spans="9:10">
      <c r="I177" s="61"/>
      <c r="J177" s="62"/>
    </row>
    <row r="178" spans="9:10">
      <c r="I178" s="61"/>
      <c r="J178" s="62"/>
    </row>
    <row r="179" spans="9:10">
      <c r="I179" s="61"/>
      <c r="J179" s="62"/>
    </row>
    <row r="180" spans="9:10">
      <c r="I180" s="61"/>
      <c r="J180" s="62"/>
    </row>
    <row r="181" spans="9:10">
      <c r="I181" s="61"/>
      <c r="J181" s="62"/>
    </row>
    <row r="182" spans="9:10">
      <c r="I182" s="61"/>
      <c r="J182" s="62"/>
    </row>
    <row r="183" spans="9:10">
      <c r="I183" s="61"/>
      <c r="J183" s="62"/>
    </row>
    <row r="184" spans="9:10">
      <c r="I184" s="61"/>
      <c r="J184" s="62"/>
    </row>
    <row r="185" spans="9:10">
      <c r="I185" s="61"/>
      <c r="J185" s="62"/>
    </row>
    <row r="186" spans="9:10">
      <c r="I186" s="61"/>
      <c r="J186" s="62"/>
    </row>
    <row r="187" spans="9:10">
      <c r="I187" s="61"/>
      <c r="J187" s="62"/>
    </row>
    <row r="188" spans="9:10">
      <c r="I188" s="61"/>
      <c r="J188" s="62"/>
    </row>
    <row r="189" spans="9:10">
      <c r="I189" s="61"/>
      <c r="J189" s="62"/>
    </row>
    <row r="190" spans="9:10">
      <c r="I190" s="61"/>
      <c r="J190" s="62"/>
    </row>
    <row r="191" spans="9:10">
      <c r="I191" s="61"/>
      <c r="J191" s="62"/>
    </row>
    <row r="192" spans="9:10">
      <c r="I192" s="61"/>
      <c r="J192" s="62"/>
    </row>
    <row r="193" spans="9:10">
      <c r="I193" s="61"/>
      <c r="J193" s="62"/>
    </row>
    <row r="194" spans="9:10">
      <c r="I194" s="61"/>
      <c r="J194" s="62"/>
    </row>
    <row r="195" spans="9:10">
      <c r="I195" s="61"/>
      <c r="J195" s="62"/>
    </row>
    <row r="196" spans="9:10">
      <c r="I196" s="61"/>
      <c r="J196" s="62"/>
    </row>
    <row r="197" spans="9:10">
      <c r="I197" s="61"/>
      <c r="J197" s="62"/>
    </row>
    <row r="198" spans="9:10">
      <c r="I198" s="61"/>
      <c r="J198" s="62"/>
    </row>
    <row r="199" spans="9:10">
      <c r="I199" s="61"/>
      <c r="J199" s="62"/>
    </row>
    <row r="200" spans="9:10">
      <c r="I200" s="61"/>
      <c r="J200" s="62"/>
    </row>
    <row r="201" spans="9:10">
      <c r="I201" s="61"/>
      <c r="J201" s="62"/>
    </row>
    <row r="202" spans="9:10">
      <c r="I202" s="61"/>
      <c r="J202" s="62"/>
    </row>
    <row r="203" spans="9:10">
      <c r="I203" s="61"/>
      <c r="J203" s="62"/>
    </row>
    <row r="204" spans="9:10">
      <c r="I204" s="61"/>
      <c r="J204" s="62"/>
    </row>
    <row r="205" spans="9:10">
      <c r="I205" s="61"/>
      <c r="J205" s="62"/>
    </row>
    <row r="206" spans="9:10">
      <c r="I206" s="61"/>
      <c r="J206" s="62"/>
    </row>
    <row r="207" spans="9:10">
      <c r="I207" s="61"/>
      <c r="J207" s="62"/>
    </row>
    <row r="208" spans="9:10">
      <c r="I208" s="61"/>
      <c r="J208" s="62"/>
    </row>
    <row r="209" spans="9:10">
      <c r="I209" s="61"/>
      <c r="J209" s="62"/>
    </row>
    <row r="210" spans="9:10">
      <c r="I210" s="61"/>
      <c r="J210" s="62"/>
    </row>
    <row r="211" spans="9:10">
      <c r="I211" s="61"/>
      <c r="J211" s="62"/>
    </row>
    <row r="212" spans="9:10">
      <c r="I212" s="61"/>
      <c r="J212" s="62"/>
    </row>
    <row r="213" spans="9:10">
      <c r="I213" s="61"/>
      <c r="J213" s="62"/>
    </row>
    <row r="214" spans="9:10">
      <c r="I214" s="61"/>
      <c r="J214" s="62"/>
    </row>
    <row r="215" spans="9:10">
      <c r="I215" s="61"/>
      <c r="J215" s="62"/>
    </row>
    <row r="216" spans="9:10">
      <c r="I216" s="61"/>
      <c r="J216" s="62"/>
    </row>
    <row r="217" spans="9:10">
      <c r="I217" s="61"/>
      <c r="J217" s="62"/>
    </row>
    <row r="218" spans="9:10">
      <c r="I218" s="61"/>
      <c r="J218" s="62"/>
    </row>
    <row r="219" spans="9:10">
      <c r="I219" s="61"/>
      <c r="J219" s="62"/>
    </row>
    <row r="220" spans="9:10">
      <c r="I220" s="61"/>
      <c r="J220" s="62"/>
    </row>
    <row r="221" spans="9:10">
      <c r="I221" s="61"/>
      <c r="J221" s="62"/>
    </row>
    <row r="222" spans="9:10">
      <c r="I222" s="61"/>
      <c r="J222" s="62"/>
    </row>
    <row r="223" spans="9:10">
      <c r="I223" s="61"/>
      <c r="J223" s="62"/>
    </row>
    <row r="224" spans="9:10">
      <c r="I224" s="61"/>
      <c r="J224" s="62"/>
    </row>
    <row r="225" spans="9:10">
      <c r="I225" s="61"/>
      <c r="J225" s="62"/>
    </row>
    <row r="226" spans="9:10">
      <c r="I226" s="61"/>
      <c r="J226" s="62"/>
    </row>
    <row r="227" spans="9:10">
      <c r="I227" s="61"/>
      <c r="J227" s="62"/>
    </row>
    <row r="228" spans="9:10">
      <c r="I228" s="61"/>
      <c r="J228" s="62"/>
    </row>
    <row r="229" spans="9:10">
      <c r="I229" s="61"/>
      <c r="J229" s="62"/>
    </row>
    <row r="230" spans="9:10">
      <c r="I230" s="61"/>
      <c r="J230" s="62"/>
    </row>
    <row r="231" spans="9:10">
      <c r="I231" s="61"/>
      <c r="J231" s="62"/>
    </row>
    <row r="232" spans="9:10">
      <c r="I232" s="61"/>
      <c r="J232" s="62"/>
    </row>
    <row r="233" spans="9:10">
      <c r="I233" s="61"/>
      <c r="J233" s="62"/>
    </row>
    <row r="234" spans="9:10">
      <c r="I234" s="61"/>
      <c r="J234" s="62"/>
    </row>
    <row r="235" spans="9:10">
      <c r="I235" s="61"/>
      <c r="J235" s="62"/>
    </row>
    <row r="236" spans="9:10">
      <c r="I236" s="61"/>
      <c r="J236" s="62"/>
    </row>
    <row r="237" spans="9:10">
      <c r="I237" s="61"/>
      <c r="J237" s="62"/>
    </row>
    <row r="238" spans="9:10">
      <c r="I238" s="61"/>
      <c r="J238" s="62"/>
    </row>
    <row r="239" spans="9:10">
      <c r="I239" s="61"/>
      <c r="J239" s="62"/>
    </row>
    <row r="240" spans="9:10">
      <c r="I240" s="61"/>
      <c r="J240" s="62"/>
    </row>
    <row r="241" spans="9:10">
      <c r="I241" s="61"/>
      <c r="J241" s="62"/>
    </row>
    <row r="242" spans="9:10">
      <c r="I242" s="61"/>
      <c r="J242" s="62"/>
    </row>
    <row r="243" spans="9:10">
      <c r="I243" s="61"/>
      <c r="J243" s="62"/>
    </row>
    <row r="244" spans="9:10">
      <c r="I244" s="61"/>
      <c r="J244" s="62"/>
    </row>
    <row r="245" spans="9:10">
      <c r="I245" s="61"/>
      <c r="J245" s="62"/>
    </row>
    <row r="246" spans="9:10">
      <c r="I246" s="61"/>
      <c r="J246" s="62"/>
    </row>
    <row r="247" spans="9:10">
      <c r="I247" s="61"/>
      <c r="J247" s="62"/>
    </row>
    <row r="248" spans="9:10">
      <c r="I248" s="61"/>
      <c r="J248" s="62"/>
    </row>
    <row r="249" spans="9:10">
      <c r="I249" s="61"/>
      <c r="J249" s="62"/>
    </row>
    <row r="250" spans="9:10">
      <c r="I250" s="61"/>
      <c r="J250" s="62"/>
    </row>
    <row r="251" spans="9:10">
      <c r="I251" s="61"/>
      <c r="J251" s="62"/>
    </row>
    <row r="252" spans="9:10">
      <c r="I252" s="61"/>
      <c r="J252" s="62"/>
    </row>
    <row r="253" spans="9:10">
      <c r="I253" s="61"/>
      <c r="J253" s="62"/>
    </row>
    <row r="254" spans="9:10">
      <c r="I254" s="61"/>
      <c r="J254" s="62"/>
    </row>
    <row r="255" spans="9:10">
      <c r="I255" s="61"/>
      <c r="J255" s="62"/>
    </row>
    <row r="256" spans="9:10">
      <c r="I256" s="61"/>
      <c r="J256" s="62"/>
    </row>
    <row r="257" spans="9:10">
      <c r="I257" s="61"/>
      <c r="J257" s="62"/>
    </row>
    <row r="258" spans="9:10">
      <c r="I258" s="61"/>
      <c r="J258" s="62"/>
    </row>
    <row r="259" spans="9:10">
      <c r="I259" s="61"/>
      <c r="J259" s="62"/>
    </row>
    <row r="260" spans="9:10">
      <c r="I260" s="61"/>
      <c r="J260" s="62"/>
    </row>
    <row r="261" spans="9:10">
      <c r="I261" s="61"/>
      <c r="J261" s="62"/>
    </row>
    <row r="262" spans="9:10">
      <c r="I262" s="61"/>
      <c r="J262" s="62"/>
    </row>
    <row r="263" spans="9:10">
      <c r="I263" s="61"/>
      <c r="J263" s="62"/>
    </row>
    <row r="264" spans="9:10">
      <c r="I264" s="61"/>
      <c r="J264" s="62"/>
    </row>
    <row r="265" spans="9:10">
      <c r="I265" s="61"/>
      <c r="J265" s="62"/>
    </row>
    <row r="266" spans="9:10">
      <c r="I266" s="61"/>
      <c r="J266" s="62"/>
    </row>
    <row r="267" spans="9:10">
      <c r="I267" s="61"/>
      <c r="J267" s="62"/>
    </row>
    <row r="268" spans="9:10">
      <c r="I268" s="61"/>
      <c r="J268" s="62"/>
    </row>
    <row r="269" spans="9:10">
      <c r="I269" s="61"/>
      <c r="J269" s="62"/>
    </row>
    <row r="270" spans="9:10">
      <c r="I270" s="61"/>
      <c r="J270" s="62"/>
    </row>
    <row r="271" spans="9:10">
      <c r="I271" s="61"/>
      <c r="J271" s="62"/>
    </row>
    <row r="272" spans="9:10">
      <c r="I272" s="61"/>
      <c r="J272" s="62"/>
    </row>
    <row r="273" spans="9:10">
      <c r="I273" s="61"/>
      <c r="J273" s="62"/>
    </row>
    <row r="274" spans="9:10">
      <c r="I274" s="61"/>
      <c r="J274" s="62"/>
    </row>
    <row r="275" spans="9:10">
      <c r="I275" s="61"/>
      <c r="J275" s="62"/>
    </row>
    <row r="276" spans="9:10">
      <c r="I276" s="61"/>
      <c r="J276" s="62"/>
    </row>
    <row r="277" spans="9:10">
      <c r="I277" s="61"/>
      <c r="J277" s="62"/>
    </row>
    <row r="278" spans="9:10">
      <c r="I278" s="61"/>
      <c r="J278" s="62"/>
    </row>
    <row r="279" spans="9:10">
      <c r="I279" s="61"/>
      <c r="J279" s="62"/>
    </row>
    <row r="280" spans="9:10">
      <c r="I280" s="61"/>
      <c r="J280" s="62"/>
    </row>
    <row r="281" spans="9:10">
      <c r="I281" s="61"/>
      <c r="J281" s="62"/>
    </row>
    <row r="282" spans="9:10">
      <c r="I282" s="61"/>
      <c r="J282" s="62"/>
    </row>
    <row r="283" spans="9:10">
      <c r="I283" s="61"/>
      <c r="J283" s="62"/>
    </row>
    <row r="284" spans="9:10">
      <c r="I284" s="61"/>
      <c r="J284" s="62"/>
    </row>
    <row r="285" spans="9:10">
      <c r="I285" s="61"/>
      <c r="J285" s="62"/>
    </row>
    <row r="286" spans="9:10">
      <c r="I286" s="61"/>
      <c r="J286" s="62"/>
    </row>
    <row r="287" spans="9:10">
      <c r="I287" s="61"/>
      <c r="J287" s="62"/>
    </row>
    <row r="288" spans="9:10">
      <c r="I288" s="61"/>
      <c r="J288" s="62"/>
    </row>
    <row r="289" spans="9:10">
      <c r="I289" s="61"/>
      <c r="J289" s="62"/>
    </row>
    <row r="290" spans="9:10">
      <c r="I290" s="61"/>
      <c r="J290" s="62"/>
    </row>
    <row r="291" spans="9:10">
      <c r="I291" s="61"/>
      <c r="J291" s="62"/>
    </row>
    <row r="292" spans="9:10">
      <c r="I292" s="61"/>
      <c r="J292" s="62"/>
    </row>
    <row r="293" spans="9:10">
      <c r="I293" s="61"/>
      <c r="J293" s="62"/>
    </row>
    <row r="294" spans="9:10">
      <c r="I294" s="61"/>
      <c r="J294" s="62"/>
    </row>
    <row r="295" spans="9:10">
      <c r="I295" s="61"/>
      <c r="J295" s="62"/>
    </row>
    <row r="296" spans="9:10">
      <c r="I296" s="61"/>
      <c r="J296" s="62"/>
    </row>
    <row r="297" spans="9:10">
      <c r="I297" s="61"/>
      <c r="J297" s="62"/>
    </row>
    <row r="298" spans="9:10">
      <c r="I298" s="61"/>
      <c r="J298" s="62"/>
    </row>
    <row r="299" spans="9:10">
      <c r="I299" s="61"/>
      <c r="J299" s="62"/>
    </row>
    <row r="300" spans="9:10">
      <c r="I300" s="61"/>
      <c r="J300" s="62"/>
    </row>
    <row r="301" spans="9:10">
      <c r="I301" s="61"/>
      <c r="J301" s="62"/>
    </row>
    <row r="302" spans="9:10">
      <c r="I302" s="61"/>
      <c r="J302" s="62"/>
    </row>
    <row r="303" spans="9:10">
      <c r="I303" s="61"/>
      <c r="J303" s="62"/>
    </row>
    <row r="304" spans="9:10">
      <c r="I304" s="61"/>
      <c r="J304" s="62"/>
    </row>
    <row r="305" spans="9:10">
      <c r="I305" s="61"/>
      <c r="J305" s="62"/>
    </row>
    <row r="306" spans="9:10">
      <c r="I306" s="61"/>
      <c r="J306" s="62"/>
    </row>
    <row r="307" spans="9:10">
      <c r="I307" s="61"/>
      <c r="J307" s="62"/>
    </row>
    <row r="308" spans="9:10">
      <c r="I308" s="61"/>
      <c r="J308" s="62"/>
    </row>
    <row r="309" spans="9:10">
      <c r="I309" s="61"/>
      <c r="J309" s="62"/>
    </row>
    <row r="310" spans="9:10">
      <c r="I310" s="61"/>
      <c r="J310" s="62"/>
    </row>
    <row r="311" spans="9:10">
      <c r="I311" s="61"/>
      <c r="J311" s="62"/>
    </row>
    <row r="312" spans="9:10">
      <c r="I312" s="61"/>
      <c r="J312" s="62"/>
    </row>
    <row r="313" spans="9:10">
      <c r="I313" s="61"/>
      <c r="J313" s="62"/>
    </row>
    <row r="314" spans="9:10">
      <c r="I314" s="61"/>
      <c r="J314" s="62"/>
    </row>
    <row r="315" spans="9:10">
      <c r="I315" s="61"/>
      <c r="J315" s="62"/>
    </row>
    <row r="316" spans="9:10">
      <c r="I316" s="61"/>
      <c r="J316" s="62"/>
    </row>
    <row r="317" spans="9:10">
      <c r="I317" s="61"/>
      <c r="J317" s="62"/>
    </row>
    <row r="318" spans="9:10">
      <c r="I318" s="61"/>
      <c r="J318" s="62"/>
    </row>
    <row r="319" spans="9:10">
      <c r="I319" s="61"/>
      <c r="J319" s="62"/>
    </row>
    <row r="320" spans="9:10">
      <c r="I320" s="61"/>
      <c r="J320" s="62"/>
    </row>
    <row r="321" spans="9:10">
      <c r="I321" s="61"/>
      <c r="J321" s="62"/>
    </row>
    <row r="322" spans="9:10">
      <c r="I322" s="61"/>
      <c r="J322" s="62"/>
    </row>
    <row r="323" spans="9:10">
      <c r="I323" s="61"/>
      <c r="J323" s="62"/>
    </row>
    <row r="324" spans="9:10">
      <c r="I324" s="61"/>
      <c r="J324" s="62"/>
    </row>
    <row r="325" spans="9:10">
      <c r="I325" s="61"/>
      <c r="J325" s="62"/>
    </row>
    <row r="326" spans="9:10">
      <c r="I326" s="61"/>
      <c r="J326" s="62"/>
    </row>
    <row r="327" spans="9:10">
      <c r="I327" s="61"/>
      <c r="J327" s="62"/>
    </row>
    <row r="328" spans="9:10">
      <c r="I328" s="61"/>
      <c r="J328" s="62"/>
    </row>
    <row r="329" spans="9:10">
      <c r="I329" s="61"/>
      <c r="J329" s="62"/>
    </row>
    <row r="330" spans="9:10">
      <c r="I330" s="61"/>
      <c r="J330" s="62"/>
    </row>
    <row r="331" spans="9:10">
      <c r="I331" s="61"/>
      <c r="J331" s="62"/>
    </row>
    <row r="332" spans="9:10">
      <c r="I332" s="61"/>
      <c r="J332" s="62"/>
    </row>
    <row r="333" spans="9:10">
      <c r="I333" s="61"/>
      <c r="J333" s="62"/>
    </row>
    <row r="334" spans="9:10">
      <c r="I334" s="61"/>
      <c r="J334" s="62"/>
    </row>
    <row r="335" spans="9:10">
      <c r="I335" s="61"/>
      <c r="J335" s="62"/>
    </row>
    <row r="336" spans="9:10">
      <c r="I336" s="61"/>
      <c r="J336" s="62"/>
    </row>
    <row r="337" spans="9:10">
      <c r="I337" s="61"/>
      <c r="J337" s="62"/>
    </row>
    <row r="338" spans="9:10">
      <c r="I338" s="61"/>
      <c r="J338" s="62"/>
    </row>
    <row r="339" spans="9:10">
      <c r="I339" s="61"/>
      <c r="J339" s="62"/>
    </row>
    <row r="340" spans="9:10">
      <c r="I340" s="61"/>
      <c r="J340" s="62"/>
    </row>
    <row r="341" spans="9:10">
      <c r="I341" s="61"/>
      <c r="J341" s="62"/>
    </row>
    <row r="342" spans="9:10">
      <c r="I342" s="61"/>
      <c r="J342" s="62"/>
    </row>
    <row r="343" spans="9:10">
      <c r="I343" s="61"/>
      <c r="J343" s="62"/>
    </row>
    <row r="344" spans="9:10">
      <c r="I344" s="61"/>
      <c r="J344" s="62"/>
    </row>
    <row r="345" spans="9:10">
      <c r="I345" s="61"/>
      <c r="J345" s="62"/>
    </row>
    <row r="346" spans="9:10">
      <c r="I346" s="61"/>
      <c r="J346" s="62"/>
    </row>
    <row r="347" spans="9:10">
      <c r="I347" s="61"/>
      <c r="J347" s="62"/>
    </row>
    <row r="348" spans="9:10">
      <c r="I348" s="61"/>
      <c r="J348" s="62"/>
    </row>
    <row r="349" spans="9:10">
      <c r="I349" s="61"/>
      <c r="J349" s="62"/>
    </row>
    <row r="350" spans="9:10">
      <c r="I350" s="61"/>
      <c r="J350" s="62"/>
    </row>
    <row r="351" spans="9:10">
      <c r="I351" s="61"/>
      <c r="J351" s="62"/>
    </row>
    <row r="352" spans="9:10">
      <c r="I352" s="61"/>
      <c r="J352" s="62"/>
    </row>
    <row r="353" spans="9:10">
      <c r="I353" s="61"/>
      <c r="J353" s="62"/>
    </row>
    <row r="354" spans="9:10">
      <c r="I354" s="61"/>
      <c r="J354" s="62"/>
    </row>
    <row r="355" spans="9:10">
      <c r="I355" s="61"/>
      <c r="J355" s="62"/>
    </row>
    <row r="356" spans="9:10">
      <c r="I356" s="61"/>
      <c r="J356" s="62"/>
    </row>
    <row r="357" spans="9:10">
      <c r="I357" s="61"/>
      <c r="J357" s="62"/>
    </row>
    <row r="358" spans="9:10">
      <c r="I358" s="61"/>
      <c r="J358" s="62"/>
    </row>
    <row r="359" spans="9:10">
      <c r="I359" s="61"/>
      <c r="J359" s="62"/>
    </row>
    <row r="360" spans="9:10">
      <c r="I360" s="61"/>
      <c r="J360" s="62"/>
    </row>
    <row r="361" spans="9:10">
      <c r="I361" s="61"/>
      <c r="J361" s="62"/>
    </row>
    <row r="362" spans="9:10">
      <c r="I362" s="61"/>
      <c r="J362" s="62"/>
    </row>
    <row r="363" spans="9:10">
      <c r="I363" s="61"/>
      <c r="J363" s="62"/>
    </row>
    <row r="364" spans="9:10">
      <c r="I364" s="61"/>
      <c r="J364" s="62"/>
    </row>
    <row r="365" spans="9:10">
      <c r="I365" s="61"/>
      <c r="J365" s="62"/>
    </row>
    <row r="366" spans="9:10">
      <c r="I366" s="61"/>
      <c r="J366" s="62"/>
    </row>
    <row r="367" spans="9:10">
      <c r="I367" s="61"/>
      <c r="J367" s="62"/>
    </row>
    <row r="368" spans="9:10">
      <c r="I368" s="61"/>
      <c r="J368" s="62"/>
    </row>
    <row r="369" spans="9:10">
      <c r="I369" s="61"/>
      <c r="J369" s="62"/>
    </row>
    <row r="370" spans="9:10">
      <c r="I370" s="61"/>
      <c r="J370" s="62"/>
    </row>
    <row r="371" spans="9:10">
      <c r="I371" s="61"/>
      <c r="J371" s="62"/>
    </row>
    <row r="372" spans="9:10">
      <c r="I372" s="61"/>
      <c r="J372" s="62"/>
    </row>
    <row r="373" spans="9:10">
      <c r="I373" s="61"/>
      <c r="J373" s="62"/>
    </row>
    <row r="374" spans="9:10">
      <c r="I374" s="61"/>
      <c r="J374" s="62"/>
    </row>
    <row r="375" spans="9:10">
      <c r="I375" s="61"/>
      <c r="J375" s="62"/>
    </row>
    <row r="376" spans="9:10">
      <c r="I376" s="61"/>
      <c r="J376" s="62"/>
    </row>
    <row r="377" spans="9:10">
      <c r="I377" s="61"/>
      <c r="J377" s="62"/>
    </row>
    <row r="378" spans="9:10">
      <c r="I378" s="61"/>
      <c r="J378" s="62"/>
    </row>
    <row r="379" spans="9:10">
      <c r="I379" s="61"/>
      <c r="J379" s="62"/>
    </row>
    <row r="380" spans="9:10">
      <c r="I380" s="61"/>
      <c r="J380" s="62"/>
    </row>
    <row r="381" spans="9:10">
      <c r="I381" s="61"/>
      <c r="J381" s="62"/>
    </row>
    <row r="382" spans="9:10">
      <c r="I382" s="61"/>
      <c r="J382" s="62"/>
    </row>
    <row r="383" spans="9:10">
      <c r="I383" s="61"/>
      <c r="J383" s="62"/>
    </row>
    <row r="384" spans="9:10">
      <c r="I384" s="61"/>
      <c r="J384" s="62"/>
    </row>
    <row r="385" spans="9:10">
      <c r="I385" s="61"/>
      <c r="J385" s="62"/>
    </row>
    <row r="386" spans="9:10">
      <c r="I386" s="61"/>
      <c r="J386" s="62"/>
    </row>
    <row r="387" spans="9:10">
      <c r="I387" s="61"/>
      <c r="J387" s="62"/>
    </row>
    <row r="388" spans="9:10">
      <c r="I388" s="61"/>
      <c r="J388" s="62"/>
    </row>
    <row r="389" spans="9:10">
      <c r="I389" s="61"/>
      <c r="J389" s="62"/>
    </row>
    <row r="390" spans="9:10">
      <c r="I390" s="61"/>
      <c r="J390" s="62"/>
    </row>
    <row r="391" spans="9:10">
      <c r="I391" s="61"/>
      <c r="J391" s="62"/>
    </row>
    <row r="392" spans="9:10">
      <c r="I392" s="61"/>
      <c r="J392" s="62"/>
    </row>
    <row r="393" spans="9:10">
      <c r="I393" s="61"/>
      <c r="J393" s="62"/>
    </row>
    <row r="394" spans="9:10">
      <c r="I394" s="61"/>
      <c r="J394" s="62"/>
    </row>
    <row r="395" spans="9:10">
      <c r="I395" s="61"/>
      <c r="J395" s="62"/>
    </row>
    <row r="396" spans="9:10">
      <c r="I396" s="61"/>
      <c r="J396" s="62"/>
    </row>
    <row r="397" spans="9:10">
      <c r="I397" s="61"/>
      <c r="J397" s="62"/>
    </row>
    <row r="398" spans="9:10">
      <c r="I398" s="61"/>
      <c r="J398" s="62"/>
    </row>
    <row r="399" spans="9:10">
      <c r="I399" s="61"/>
      <c r="J399" s="62"/>
    </row>
    <row r="400" spans="9:10">
      <c r="I400" s="61"/>
      <c r="J400" s="62"/>
    </row>
    <row r="401" spans="9:10">
      <c r="I401" s="61"/>
      <c r="J401" s="62"/>
    </row>
    <row r="402" spans="9:10">
      <c r="I402" s="61"/>
      <c r="J402" s="62"/>
    </row>
    <row r="403" spans="9:10">
      <c r="I403" s="61"/>
      <c r="J403" s="62"/>
    </row>
    <row r="404" spans="9:10">
      <c r="I404" s="61"/>
      <c r="J404" s="62"/>
    </row>
    <row r="405" spans="9:10">
      <c r="I405" s="61"/>
      <c r="J405" s="62"/>
    </row>
    <row r="406" spans="9:10">
      <c r="I406" s="61"/>
      <c r="J406" s="62"/>
    </row>
    <row r="407" spans="9:10">
      <c r="I407" s="61"/>
      <c r="J407" s="62"/>
    </row>
    <row r="408" spans="9:10">
      <c r="I408" s="61"/>
      <c r="J408" s="62"/>
    </row>
    <row r="409" spans="9:10">
      <c r="I409" s="61"/>
      <c r="J409" s="62"/>
    </row>
    <row r="410" spans="9:10">
      <c r="I410" s="61"/>
      <c r="J410" s="62"/>
    </row>
    <row r="411" spans="9:10">
      <c r="I411" s="61"/>
      <c r="J411" s="62"/>
    </row>
    <row r="412" spans="9:10">
      <c r="I412" s="61"/>
      <c r="J412" s="62"/>
    </row>
    <row r="413" spans="9:10">
      <c r="I413" s="61"/>
      <c r="J413" s="62"/>
    </row>
    <row r="414" spans="9:10">
      <c r="I414" s="61"/>
      <c r="J414" s="62"/>
    </row>
    <row r="415" spans="9:10">
      <c r="I415" s="61"/>
      <c r="J415" s="62"/>
    </row>
    <row r="416" spans="9:10">
      <c r="I416" s="61"/>
      <c r="J416" s="62"/>
    </row>
    <row r="417" spans="9:10">
      <c r="I417" s="61"/>
      <c r="J417" s="62"/>
    </row>
    <row r="418" spans="9:10">
      <c r="I418" s="61"/>
      <c r="J418" s="62"/>
    </row>
    <row r="419" spans="9:10">
      <c r="I419" s="61"/>
      <c r="J419" s="62"/>
    </row>
    <row r="420" spans="9:10">
      <c r="I420" s="61"/>
      <c r="J420" s="62"/>
    </row>
    <row r="421" spans="9:10">
      <c r="I421" s="61"/>
      <c r="J421" s="62"/>
    </row>
    <row r="422" spans="9:10">
      <c r="I422" s="61"/>
      <c r="J422" s="62"/>
    </row>
    <row r="423" spans="9:10">
      <c r="I423" s="61"/>
      <c r="J423" s="62"/>
    </row>
    <row r="424" spans="9:10">
      <c r="I424" s="61"/>
      <c r="J424" s="62"/>
    </row>
    <row r="425" spans="9:10">
      <c r="I425" s="61"/>
      <c r="J425" s="62"/>
    </row>
    <row r="426" spans="9:10">
      <c r="I426" s="61"/>
      <c r="J426" s="62"/>
    </row>
    <row r="427" spans="9:10">
      <c r="I427" s="61"/>
      <c r="J427" s="62"/>
    </row>
    <row r="428" spans="9:10">
      <c r="I428" s="61"/>
      <c r="J428" s="62"/>
    </row>
    <row r="429" spans="9:10">
      <c r="I429" s="61"/>
      <c r="J429" s="62"/>
    </row>
    <row r="430" spans="9:10">
      <c r="I430" s="61"/>
      <c r="J430" s="62"/>
    </row>
    <row r="431" spans="9:10">
      <c r="I431" s="61"/>
      <c r="J431" s="62"/>
    </row>
    <row r="432" spans="9:10">
      <c r="I432" s="61"/>
      <c r="J432" s="62"/>
    </row>
    <row r="433" spans="9:10">
      <c r="I433" s="61"/>
      <c r="J433" s="62"/>
    </row>
    <row r="434" spans="9:10">
      <c r="I434" s="61"/>
      <c r="J434" s="62"/>
    </row>
    <row r="435" spans="9:10">
      <c r="I435" s="61"/>
      <c r="J435" s="62"/>
    </row>
    <row r="436" spans="9:10">
      <c r="I436" s="61"/>
      <c r="J436" s="62"/>
    </row>
    <row r="437" spans="9:10">
      <c r="I437" s="61"/>
      <c r="J437" s="62"/>
    </row>
    <row r="438" spans="9:10">
      <c r="I438" s="61"/>
      <c r="J438" s="62"/>
    </row>
    <row r="439" spans="9:10">
      <c r="I439" s="61"/>
      <c r="J439" s="62"/>
    </row>
    <row r="440" spans="9:10">
      <c r="I440" s="61"/>
      <c r="J440" s="62"/>
    </row>
    <row r="441" spans="9:10">
      <c r="I441" s="61"/>
      <c r="J441" s="62"/>
    </row>
    <row r="442" spans="9:10">
      <c r="I442" s="61"/>
      <c r="J442" s="62"/>
    </row>
    <row r="443" spans="9:10">
      <c r="I443" s="61"/>
      <c r="J443" s="62"/>
    </row>
    <row r="444" spans="9:10">
      <c r="I444" s="61"/>
      <c r="J444" s="62"/>
    </row>
    <row r="445" spans="9:10">
      <c r="I445" s="61"/>
      <c r="J445" s="62"/>
    </row>
    <row r="446" spans="9:10">
      <c r="I446" s="61"/>
      <c r="J446" s="62"/>
    </row>
    <row r="447" spans="9:10">
      <c r="I447" s="61"/>
      <c r="J447" s="62"/>
    </row>
    <row r="448" spans="9:10">
      <c r="I448" s="61"/>
      <c r="J448" s="62"/>
    </row>
    <row r="449" spans="9:10">
      <c r="I449" s="61"/>
      <c r="J449" s="62"/>
    </row>
    <row r="450" spans="9:10">
      <c r="I450" s="61"/>
      <c r="J450" s="62"/>
    </row>
    <row r="451" spans="9:10">
      <c r="I451" s="61"/>
      <c r="J451" s="62"/>
    </row>
    <row r="452" spans="9:10">
      <c r="I452" s="61"/>
      <c r="J452" s="62"/>
    </row>
    <row r="453" spans="9:10">
      <c r="I453" s="61"/>
      <c r="J453" s="62"/>
    </row>
    <row r="454" spans="9:10">
      <c r="I454" s="61"/>
      <c r="J454" s="62"/>
    </row>
    <row r="455" spans="9:10">
      <c r="I455" s="61"/>
      <c r="J455" s="62"/>
    </row>
    <row r="456" spans="9:10">
      <c r="I456" s="61"/>
      <c r="J456" s="62"/>
    </row>
    <row r="457" spans="9:10">
      <c r="I457" s="61"/>
      <c r="J457" s="62"/>
    </row>
    <row r="458" spans="9:10">
      <c r="I458" s="61"/>
      <c r="J458" s="62"/>
    </row>
    <row r="459" spans="9:10">
      <c r="I459" s="61"/>
      <c r="J459" s="62"/>
    </row>
    <row r="460" spans="9:10">
      <c r="I460" s="61"/>
      <c r="J460" s="62"/>
    </row>
    <row r="461" spans="9:10">
      <c r="I461" s="61"/>
      <c r="J461" s="62"/>
    </row>
    <row r="462" spans="9:10">
      <c r="I462" s="61"/>
      <c r="J462" s="62"/>
    </row>
    <row r="463" spans="9:10">
      <c r="I463" s="61"/>
      <c r="J463" s="62"/>
    </row>
    <row r="464" spans="9:10">
      <c r="I464" s="61"/>
      <c r="J464" s="62"/>
    </row>
    <row r="465" spans="9:10">
      <c r="I465" s="61"/>
      <c r="J465" s="62"/>
    </row>
    <row r="466" spans="9:10">
      <c r="I466" s="61"/>
      <c r="J466" s="62"/>
    </row>
    <row r="467" spans="9:10">
      <c r="I467" s="61"/>
      <c r="J467" s="62"/>
    </row>
    <row r="468" spans="9:10">
      <c r="I468" s="61"/>
      <c r="J468" s="62"/>
    </row>
    <row r="469" spans="9:10">
      <c r="I469" s="61"/>
      <c r="J469" s="62"/>
    </row>
    <row r="470" spans="9:10">
      <c r="I470" s="61"/>
      <c r="J470" s="62"/>
    </row>
    <row r="471" spans="9:10">
      <c r="I471" s="61"/>
      <c r="J471" s="62"/>
    </row>
    <row r="472" spans="9:10">
      <c r="I472" s="61"/>
      <c r="J472" s="62"/>
    </row>
    <row r="473" spans="9:10">
      <c r="I473" s="61"/>
      <c r="J473" s="62"/>
    </row>
    <row r="474" spans="9:10">
      <c r="I474" s="61"/>
      <c r="J474" s="62"/>
    </row>
    <row r="475" spans="9:10">
      <c r="I475" s="61"/>
      <c r="J475" s="62"/>
    </row>
    <row r="476" spans="9:10">
      <c r="I476" s="61"/>
      <c r="J476" s="62"/>
    </row>
    <row r="477" spans="9:10">
      <c r="I477" s="61"/>
      <c r="J477" s="62"/>
    </row>
    <row r="478" spans="9:10">
      <c r="I478" s="61"/>
      <c r="J478" s="62"/>
    </row>
    <row r="479" spans="9:10">
      <c r="I479" s="61"/>
      <c r="J479" s="62"/>
    </row>
    <row r="480" spans="9:10">
      <c r="I480" s="61"/>
      <c r="J480" s="62"/>
    </row>
    <row r="481" spans="9:10">
      <c r="I481" s="61"/>
      <c r="J481" s="62"/>
    </row>
    <row r="482" spans="9:10">
      <c r="I482" s="61"/>
      <c r="J482" s="62"/>
    </row>
    <row r="483" spans="9:10">
      <c r="I483" s="61"/>
      <c r="J483" s="62"/>
    </row>
    <row r="484" spans="9:10">
      <c r="I484" s="61"/>
      <c r="J484" s="62"/>
    </row>
    <row r="485" spans="9:10">
      <c r="I485" s="61"/>
      <c r="J485" s="62"/>
    </row>
    <row r="486" spans="9:10">
      <c r="I486" s="61"/>
      <c r="J486" s="62"/>
    </row>
    <row r="487" spans="9:10">
      <c r="I487" s="61"/>
      <c r="J487" s="62"/>
    </row>
    <row r="488" spans="9:10">
      <c r="I488" s="61"/>
      <c r="J488" s="62"/>
    </row>
    <row r="489" spans="9:10">
      <c r="I489" s="61"/>
      <c r="J489" s="62"/>
    </row>
    <row r="490" spans="9:10">
      <c r="I490" s="61"/>
      <c r="J490" s="62"/>
    </row>
    <row r="491" spans="9:10">
      <c r="I491" s="61"/>
      <c r="J491" s="62"/>
    </row>
    <row r="492" spans="9:10">
      <c r="I492" s="61"/>
      <c r="J492" s="62"/>
    </row>
    <row r="493" spans="9:10">
      <c r="I493" s="61"/>
      <c r="J493" s="62"/>
    </row>
    <row r="494" spans="9:10">
      <c r="I494" s="61"/>
      <c r="J494" s="62"/>
    </row>
    <row r="495" spans="9:10">
      <c r="I495" s="61"/>
      <c r="J495" s="62"/>
    </row>
    <row r="496" spans="9:10">
      <c r="I496" s="61"/>
      <c r="J496" s="62"/>
    </row>
    <row r="497" spans="9:10">
      <c r="I497" s="61"/>
      <c r="J497" s="62"/>
    </row>
    <row r="498" spans="9:10">
      <c r="I498" s="61"/>
      <c r="J498" s="62"/>
    </row>
    <row r="499" spans="9:10">
      <c r="I499" s="61"/>
      <c r="J499" s="62"/>
    </row>
    <row r="500" spans="9:10">
      <c r="I500" s="61"/>
      <c r="J500" s="62"/>
    </row>
    <row r="501" spans="9:10">
      <c r="I501" s="61"/>
      <c r="J501" s="62"/>
    </row>
    <row r="502" spans="9:10">
      <c r="I502" s="61"/>
      <c r="J502" s="62"/>
    </row>
    <row r="503" spans="9:10">
      <c r="I503" s="61"/>
      <c r="J503" s="62"/>
    </row>
    <row r="504" spans="9:10">
      <c r="I504" s="61"/>
      <c r="J504" s="62"/>
    </row>
    <row r="505" spans="9:10">
      <c r="I505" s="61"/>
      <c r="J505" s="62"/>
    </row>
    <row r="506" spans="9:10">
      <c r="I506" s="61"/>
      <c r="J506" s="62"/>
    </row>
    <row r="507" spans="9:10">
      <c r="I507" s="61"/>
      <c r="J507" s="62"/>
    </row>
    <row r="508" spans="9:10">
      <c r="I508" s="61"/>
      <c r="J508" s="62"/>
    </row>
    <row r="509" spans="9:10">
      <c r="I509" s="61"/>
      <c r="J509" s="62"/>
    </row>
    <row r="510" spans="9:10">
      <c r="I510" s="61"/>
      <c r="J510" s="62"/>
    </row>
    <row r="511" spans="9:10">
      <c r="I511" s="61"/>
      <c r="J511" s="62"/>
    </row>
    <row r="512" spans="9:10">
      <c r="I512" s="61"/>
      <c r="J512" s="62"/>
    </row>
    <row r="513" spans="9:10">
      <c r="I513" s="61"/>
      <c r="J513" s="62"/>
    </row>
    <row r="514" spans="9:10">
      <c r="I514" s="61"/>
      <c r="J514" s="62"/>
    </row>
    <row r="515" spans="9:10">
      <c r="I515" s="61"/>
      <c r="J515" s="62"/>
    </row>
    <row r="516" spans="9:10">
      <c r="I516" s="61"/>
      <c r="J516" s="62"/>
    </row>
    <row r="517" spans="9:10">
      <c r="I517" s="61"/>
      <c r="J517" s="62"/>
    </row>
    <row r="518" spans="9:10">
      <c r="I518" s="61"/>
      <c r="J518" s="62"/>
    </row>
    <row r="519" spans="9:10">
      <c r="I519" s="61"/>
      <c r="J519" s="62"/>
    </row>
    <row r="520" spans="9:10">
      <c r="I520" s="61"/>
      <c r="J520" s="62"/>
    </row>
    <row r="521" spans="9:10">
      <c r="I521" s="61"/>
      <c r="J521" s="62"/>
    </row>
    <row r="522" spans="9:10">
      <c r="I522" s="61"/>
      <c r="J522" s="62"/>
    </row>
    <row r="523" spans="9:10">
      <c r="I523" s="61"/>
      <c r="J523" s="62"/>
    </row>
    <row r="524" spans="9:10">
      <c r="I524" s="61"/>
      <c r="J524" s="62"/>
    </row>
    <row r="525" spans="9:10">
      <c r="I525" s="61"/>
      <c r="J525" s="62"/>
    </row>
    <row r="526" spans="9:10">
      <c r="I526" s="61"/>
      <c r="J526" s="62"/>
    </row>
    <row r="527" spans="9:10">
      <c r="I527" s="61"/>
      <c r="J527" s="62"/>
    </row>
    <row r="528" spans="9:10">
      <c r="I528" s="61"/>
      <c r="J528" s="62"/>
    </row>
    <row r="529" spans="9:10">
      <c r="I529" s="61"/>
      <c r="J529" s="62"/>
    </row>
    <row r="530" spans="9:10">
      <c r="I530" s="61"/>
      <c r="J530" s="62"/>
    </row>
    <row r="531" spans="9:10">
      <c r="I531" s="61"/>
      <c r="J531" s="62"/>
    </row>
    <row r="532" spans="9:10">
      <c r="I532" s="61"/>
      <c r="J532" s="62"/>
    </row>
    <row r="533" spans="9:10">
      <c r="I533" s="61"/>
      <c r="J533" s="62"/>
    </row>
    <row r="534" spans="9:10">
      <c r="I534" s="61"/>
      <c r="J534" s="62"/>
    </row>
    <row r="535" spans="9:10">
      <c r="I535" s="61"/>
      <c r="J535" s="62"/>
    </row>
    <row r="536" spans="9:10">
      <c r="I536" s="61"/>
      <c r="J536" s="62"/>
    </row>
    <row r="537" spans="9:10">
      <c r="I537" s="61"/>
      <c r="J537" s="62"/>
    </row>
    <row r="538" spans="9:10">
      <c r="I538" s="61"/>
      <c r="J538" s="62"/>
    </row>
    <row r="539" spans="9:10">
      <c r="I539" s="61"/>
      <c r="J539" s="62"/>
    </row>
    <row r="540" spans="9:10">
      <c r="I540" s="61"/>
      <c r="J540" s="62"/>
    </row>
    <row r="541" spans="9:10">
      <c r="I541" s="61"/>
      <c r="J541" s="62"/>
    </row>
    <row r="542" spans="9:10">
      <c r="I542" s="61"/>
      <c r="J542" s="62"/>
    </row>
    <row r="543" spans="9:10">
      <c r="I543" s="61"/>
      <c r="J543" s="62"/>
    </row>
    <row r="544" spans="9:10">
      <c r="I544" s="61"/>
      <c r="J544" s="62"/>
    </row>
    <row r="545" spans="9:10">
      <c r="I545" s="61"/>
      <c r="J545" s="62"/>
    </row>
    <row r="546" spans="9:10">
      <c r="I546" s="61"/>
      <c r="J546" s="62"/>
    </row>
    <row r="547" spans="9:10">
      <c r="I547" s="61"/>
      <c r="J547" s="62"/>
    </row>
    <row r="548" spans="9:10">
      <c r="I548" s="61"/>
      <c r="J548" s="62"/>
    </row>
    <row r="549" spans="9:10">
      <c r="I549" s="61"/>
      <c r="J549" s="62"/>
    </row>
    <row r="550" spans="9:10">
      <c r="I550" s="61"/>
      <c r="J550" s="62"/>
    </row>
    <row r="551" spans="9:10">
      <c r="I551" s="61"/>
      <c r="J551" s="62"/>
    </row>
    <row r="552" spans="9:10">
      <c r="I552" s="61"/>
      <c r="J552" s="62"/>
    </row>
    <row r="553" spans="9:10">
      <c r="I553" s="61"/>
      <c r="J553" s="62"/>
    </row>
    <row r="554" spans="9:10">
      <c r="I554" s="61"/>
      <c r="J554" s="62"/>
    </row>
    <row r="555" spans="9:10">
      <c r="I555" s="61"/>
      <c r="J555" s="62"/>
    </row>
    <row r="556" spans="9:10">
      <c r="I556" s="61"/>
      <c r="J556" s="62"/>
    </row>
    <row r="557" spans="9:10">
      <c r="I557" s="61"/>
      <c r="J557" s="62"/>
    </row>
    <row r="558" spans="9:10">
      <c r="I558" s="61"/>
      <c r="J558" s="62"/>
    </row>
    <row r="559" spans="9:10">
      <c r="I559" s="61"/>
      <c r="J559" s="62"/>
    </row>
    <row r="560" spans="9:10">
      <c r="I560" s="61"/>
      <c r="J560" s="62"/>
    </row>
    <row r="561" spans="9:10">
      <c r="I561" s="61"/>
      <c r="J561" s="62"/>
    </row>
    <row r="562" spans="9:10">
      <c r="I562" s="61"/>
      <c r="J562" s="62"/>
    </row>
    <row r="563" spans="9:10">
      <c r="I563" s="61"/>
      <c r="J563" s="62"/>
    </row>
    <row r="564" spans="9:10">
      <c r="I564" s="61"/>
      <c r="J564" s="62"/>
    </row>
    <row r="565" spans="9:10">
      <c r="I565" s="61"/>
      <c r="J565" s="62"/>
    </row>
    <row r="566" spans="9:10">
      <c r="I566" s="61"/>
      <c r="J566" s="62"/>
    </row>
    <row r="567" spans="9:10">
      <c r="I567" s="61"/>
      <c r="J567" s="62"/>
    </row>
    <row r="568" spans="9:10">
      <c r="I568" s="61"/>
      <c r="J568" s="62"/>
    </row>
    <row r="569" spans="9:10">
      <c r="I569" s="61"/>
      <c r="J569" s="62"/>
    </row>
    <row r="570" spans="9:10">
      <c r="I570" s="61"/>
      <c r="J570" s="62"/>
    </row>
    <row r="571" spans="9:10">
      <c r="I571" s="61"/>
      <c r="J571" s="62"/>
    </row>
    <row r="572" spans="9:10">
      <c r="I572" s="61"/>
      <c r="J572" s="62"/>
    </row>
    <row r="573" spans="9:10">
      <c r="I573" s="61"/>
      <c r="J573" s="62"/>
    </row>
    <row r="574" spans="9:10">
      <c r="I574" s="61"/>
      <c r="J574" s="62"/>
    </row>
    <row r="575" spans="9:10">
      <c r="I575" s="61"/>
      <c r="J575" s="62"/>
    </row>
    <row r="576" spans="9:10">
      <c r="I576" s="61"/>
      <c r="J576" s="62"/>
    </row>
    <row r="577" spans="9:10">
      <c r="I577" s="61"/>
      <c r="J577" s="62"/>
    </row>
    <row r="578" spans="9:10">
      <c r="I578" s="61"/>
      <c r="J578" s="62"/>
    </row>
    <row r="579" spans="9:10">
      <c r="I579" s="61"/>
      <c r="J579" s="62"/>
    </row>
    <row r="580" spans="9:10">
      <c r="I580" s="61"/>
      <c r="J580" s="62"/>
    </row>
    <row r="581" spans="9:10">
      <c r="I581" s="61"/>
      <c r="J581" s="62"/>
    </row>
    <row r="582" spans="9:10">
      <c r="I582" s="61"/>
      <c r="J582" s="62"/>
    </row>
    <row r="583" spans="9:10">
      <c r="I583" s="61"/>
      <c r="J583" s="62"/>
    </row>
    <row r="584" spans="9:10">
      <c r="I584" s="61"/>
      <c r="J584" s="62"/>
    </row>
    <row r="585" spans="9:10">
      <c r="I585" s="61"/>
      <c r="J585" s="62"/>
    </row>
    <row r="586" spans="9:10">
      <c r="I586" s="61"/>
      <c r="J586" s="62"/>
    </row>
    <row r="587" spans="9:10">
      <c r="I587" s="61"/>
      <c r="J587" s="62"/>
    </row>
    <row r="588" spans="9:10">
      <c r="I588" s="61"/>
      <c r="J588" s="62"/>
    </row>
    <row r="589" spans="9:10">
      <c r="I589" s="61"/>
      <c r="J589" s="62"/>
    </row>
    <row r="590" spans="9:10">
      <c r="I590" s="61"/>
      <c r="J590" s="62"/>
    </row>
    <row r="591" spans="9:10">
      <c r="I591" s="61"/>
      <c r="J591" s="62"/>
    </row>
    <row r="592" spans="9:10">
      <c r="I592" s="61"/>
      <c r="J592" s="62"/>
    </row>
    <row r="593" spans="9:10">
      <c r="I593" s="61"/>
      <c r="J593" s="62"/>
    </row>
    <row r="594" spans="9:10">
      <c r="I594" s="61"/>
      <c r="J594" s="62"/>
    </row>
    <row r="595" spans="9:10">
      <c r="I595" s="61"/>
      <c r="J595" s="62"/>
    </row>
    <row r="596" spans="9:10">
      <c r="I596" s="61"/>
      <c r="J596" s="62"/>
    </row>
    <row r="597" spans="9:10">
      <c r="I597" s="61"/>
      <c r="J597" s="62"/>
    </row>
    <row r="598" spans="9:10">
      <c r="I598" s="61"/>
      <c r="J598" s="62"/>
    </row>
    <row r="599" spans="9:10">
      <c r="I599" s="61"/>
      <c r="J599" s="62"/>
    </row>
    <row r="600" spans="9:10">
      <c r="I600" s="61"/>
      <c r="J600" s="62"/>
    </row>
    <row r="601" spans="9:10">
      <c r="I601" s="61"/>
      <c r="J601" s="62"/>
    </row>
    <row r="602" spans="9:10">
      <c r="I602" s="61"/>
      <c r="J602" s="62"/>
    </row>
    <row r="603" spans="9:10">
      <c r="I603" s="61"/>
      <c r="J603" s="62"/>
    </row>
    <row r="604" spans="9:10">
      <c r="I604" s="61"/>
      <c r="J604" s="62"/>
    </row>
    <row r="605" spans="9:10">
      <c r="I605" s="61"/>
      <c r="J605" s="62"/>
    </row>
    <row r="606" spans="9:10">
      <c r="I606" s="61"/>
      <c r="J606" s="62"/>
    </row>
    <row r="607" spans="9:10">
      <c r="I607" s="61"/>
      <c r="J607" s="62"/>
    </row>
    <row r="608" spans="9:10">
      <c r="I608" s="61"/>
      <c r="J608" s="62"/>
    </row>
    <row r="609" spans="9:10">
      <c r="I609" s="61"/>
      <c r="J609" s="62"/>
    </row>
    <row r="610" spans="9:10">
      <c r="I610" s="61"/>
      <c r="J610" s="62"/>
    </row>
    <row r="611" spans="9:10">
      <c r="I611" s="61"/>
      <c r="J611" s="62"/>
    </row>
    <row r="612" spans="9:10">
      <c r="I612" s="61"/>
      <c r="J612" s="62"/>
    </row>
    <row r="613" spans="9:10">
      <c r="I613" s="61"/>
      <c r="J613" s="62"/>
    </row>
    <row r="614" spans="9:10">
      <c r="I614" s="61"/>
      <c r="J614" s="62"/>
    </row>
    <row r="615" spans="9:10">
      <c r="I615" s="61"/>
      <c r="J615" s="62"/>
    </row>
    <row r="616" spans="9:10">
      <c r="I616" s="61"/>
      <c r="J616" s="62"/>
    </row>
    <row r="617" spans="9:10">
      <c r="I617" s="61"/>
      <c r="J617" s="62"/>
    </row>
    <row r="618" spans="9:10">
      <c r="I618" s="61"/>
      <c r="J618" s="62"/>
    </row>
    <row r="619" spans="9:10">
      <c r="I619" s="61"/>
      <c r="J619" s="62"/>
    </row>
    <row r="620" spans="9:10">
      <c r="I620" s="61"/>
      <c r="J620" s="62"/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0"/>
  <dimension ref="A1:AG36"/>
  <sheetViews>
    <sheetView showRowColHeaders="0" zoomScale="63" zoomScaleNormal="63" workbookViewId="0">
      <selection activeCell="P38" sqref="P38"/>
    </sheetView>
  </sheetViews>
  <sheetFormatPr baseColWidth="10" defaultRowHeight="15"/>
  <cols>
    <col min="7" max="7" width="5.7109375" customWidth="1"/>
    <col min="26" max="26" width="5.7109375" customWidth="1"/>
  </cols>
  <sheetData>
    <row r="1" spans="1:33" ht="19.5" thickBot="1">
      <c r="A1" s="46" t="str">
        <f>'CHAMBRES FILLES 2e ETAGE'!A1</f>
        <v>CHAMBRES FILLES 2e ETAGE</v>
      </c>
      <c r="B1" s="107"/>
      <c r="C1" s="107"/>
      <c r="D1" s="107"/>
      <c r="E1" s="107"/>
      <c r="F1" s="47"/>
      <c r="G1" s="48"/>
      <c r="H1" s="108" t="s">
        <v>60</v>
      </c>
      <c r="I1" s="109">
        <f>Accueil!C18</f>
        <v>2017</v>
      </c>
      <c r="J1" s="110" t="str">
        <f>Accueil!D18</f>
        <v xml:space="preserve"> / 2018</v>
      </c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11"/>
    </row>
    <row r="2" spans="1:33">
      <c r="A2" s="112" t="str">
        <f>'CHAMBRES FILLES 2e ETAGE'!D9</f>
        <v>DERSY</v>
      </c>
      <c r="B2" s="113" t="str">
        <f>'CHAMBRES FILLES 2e ETAGE'!E9</f>
        <v>Alexandra</v>
      </c>
      <c r="C2" s="114" t="str">
        <f>'CHAMBRES FILLES 2e ETAGE'!F9</f>
        <v>2e CGEA</v>
      </c>
      <c r="D2" s="112" t="str">
        <f>'CHAMBRES FILLES 2e ETAGE'!D15</f>
        <v>BELOU</v>
      </c>
      <c r="E2" s="113" t="str">
        <f>'CHAMBRES FILLES 2e ETAGE'!E15</f>
        <v>Marie</v>
      </c>
      <c r="F2" s="115" t="str">
        <f>'CHAMBRES FILLES 2e ETAGE'!F15</f>
        <v>1e TCVA</v>
      </c>
      <c r="G2" s="116"/>
      <c r="H2" s="112" t="str">
        <f>'CHAMBRES FILLES 2e ETAGE'!D21</f>
        <v>ALAUX</v>
      </c>
      <c r="I2" s="113" t="str">
        <f>'CHAMBRES FILLES 2e ETAGE'!E21</f>
        <v>Alicia</v>
      </c>
      <c r="J2" s="113" t="str">
        <f>'CHAMBRES FILLES 2e ETAGE'!F21</f>
        <v>2e CF</v>
      </c>
      <c r="K2" s="112" t="str">
        <f>'CHAMBRES FILLES 2e ETAGE'!D27</f>
        <v>LETOURNEUR</v>
      </c>
      <c r="L2" s="113" t="str">
        <f>'CHAMBRES FILLES 2e ETAGE'!E27</f>
        <v>Eva</v>
      </c>
      <c r="M2" s="113" t="str">
        <f>'CHAMBRES FILLES 2e ETAGE'!F27</f>
        <v>2e CF</v>
      </c>
      <c r="N2" s="112" t="str">
        <f>'CHAMBRES FILLES 2e ETAGE'!D39</f>
        <v>BEDOS</v>
      </c>
      <c r="O2" s="113" t="str">
        <f>'CHAMBRES FILLES 2e ETAGE'!E39</f>
        <v>Rachel</v>
      </c>
      <c r="P2" s="113" t="str">
        <f>'CHAMBRES FILLES 2e ETAGE'!F39</f>
        <v>2e CGEA</v>
      </c>
      <c r="Q2" s="112" t="str">
        <f>'CHAMBRES FILLES 2e ETAGE'!D51</f>
        <v>BARREAU</v>
      </c>
      <c r="R2" s="113" t="str">
        <f>'CHAMBRES FILLES 2e ETAGE'!E51</f>
        <v>Pauline</v>
      </c>
      <c r="S2" s="113" t="str">
        <f>'CHAMBRES FILLES 2e ETAGE'!F51</f>
        <v>1e STAV</v>
      </c>
      <c r="T2" s="112" t="str">
        <f>'CHAMBRES FILLES 2e ETAGE'!D93</f>
        <v>AGUERA</v>
      </c>
      <c r="U2" s="113" t="str">
        <f>'CHAMBRES FILLES 2e ETAGE'!E93</f>
        <v>Melany</v>
      </c>
      <c r="V2" s="113" t="str">
        <f>'CHAMBRES FILLES 2e ETAGE'!F93</f>
        <v>Term CF</v>
      </c>
      <c r="W2" s="112" t="str">
        <f>'CHAMBRES FILLES 2e ETAGE'!D63</f>
        <v>BERARD</v>
      </c>
      <c r="X2" s="113" t="str">
        <f>'CHAMBRES FILLES 2e ETAGE'!E63</f>
        <v>Mélanie</v>
      </c>
      <c r="Y2" s="115" t="str">
        <f>'CHAMBRES FILLES 2e ETAGE'!F63</f>
        <v>Term CGEA</v>
      </c>
      <c r="Z2" s="116"/>
      <c r="AA2" s="112" t="str">
        <f>'CHAMBRES FILLES 2e ETAGE'!D69</f>
        <v>AVET</v>
      </c>
      <c r="AB2" s="113" t="str">
        <f>'CHAMBRES FILLES 2e ETAGE'!E69</f>
        <v>Eleane</v>
      </c>
      <c r="AC2" s="113" t="str">
        <f>'CHAMBRES FILLES 2e ETAGE'!F69</f>
        <v>Term TCVA</v>
      </c>
      <c r="AD2" s="112" t="str">
        <f>'CHAMBRES FILLES 2e ETAGE'!D87</f>
        <v>POULET</v>
      </c>
      <c r="AE2" s="113" t="str">
        <f>'CHAMBRES FILLES 2e ETAGE'!E87</f>
        <v>Aurélie</v>
      </c>
      <c r="AF2" s="115" t="str">
        <f>'CHAMBRES FILLES 2e ETAGE'!F87</f>
        <v>Term STAV</v>
      </c>
      <c r="AG2" s="111"/>
    </row>
    <row r="3" spans="1:33">
      <c r="A3" s="117" t="str">
        <f>'CHAMBRES FILLES 2e ETAGE'!D10</f>
        <v>LAURISSON</v>
      </c>
      <c r="B3" s="116" t="str">
        <f>'CHAMBRES FILLES 2e ETAGE'!E10</f>
        <v>Cassandre</v>
      </c>
      <c r="C3" s="118" t="str">
        <f>'CHAMBRES FILLES 2e ETAGE'!F10</f>
        <v>2e GT</v>
      </c>
      <c r="D3" s="117" t="str">
        <f>'CHAMBRES FILLES 2e ETAGE'!D16</f>
        <v>GARIVET</v>
      </c>
      <c r="E3" s="116" t="str">
        <f>'CHAMBRES FILLES 2e ETAGE'!E16</f>
        <v>Manon</v>
      </c>
      <c r="F3" s="119" t="str">
        <f>'CHAMBRES FILLES 2e ETAGE'!F16</f>
        <v>1e CF</v>
      </c>
      <c r="G3" s="116"/>
      <c r="H3" s="117" t="str">
        <f>'CHAMBRES FILLES 2e ETAGE'!D22</f>
        <v>BELLOUBET</v>
      </c>
      <c r="I3" s="116" t="str">
        <f>'CHAMBRES FILLES 2e ETAGE'!E22</f>
        <v>Maëlys</v>
      </c>
      <c r="J3" s="116" t="str">
        <f>'CHAMBRES FILLES 2e ETAGE'!F22</f>
        <v>1e TCVA</v>
      </c>
      <c r="K3" s="117" t="str">
        <f>'CHAMBRES FILLES 2e ETAGE'!D28</f>
        <v>MOISSON</v>
      </c>
      <c r="L3" s="116" t="str">
        <f>'CHAMBRES FILLES 2e ETAGE'!E28</f>
        <v>Lucile</v>
      </c>
      <c r="M3" s="116" t="str">
        <f>'CHAMBRES FILLES 2e ETAGE'!F28</f>
        <v>2e CF</v>
      </c>
      <c r="N3" s="117" t="str">
        <f>'CHAMBRES FILLES 2e ETAGE'!D40</f>
        <v>CAVAIGNAC</v>
      </c>
      <c r="O3" s="116" t="str">
        <f>'CHAMBRES FILLES 2e ETAGE'!E40</f>
        <v>Marie</v>
      </c>
      <c r="P3" s="116" t="str">
        <f>'CHAMBRES FILLES 2e ETAGE'!F40</f>
        <v>1e STAV</v>
      </c>
      <c r="Q3" s="117" t="str">
        <f>'CHAMBRES FILLES 2e ETAGE'!D52</f>
        <v>DE SOUZA</v>
      </c>
      <c r="R3" s="116" t="str">
        <f>'CHAMBRES FILLES 2e ETAGE'!E52</f>
        <v>Jade</v>
      </c>
      <c r="S3" s="116" t="str">
        <f>'CHAMBRES FILLES 2e ETAGE'!F52</f>
        <v>1e CF</v>
      </c>
      <c r="T3" s="117" t="str">
        <f>'CHAMBRES FILLES 2e ETAGE'!D94</f>
        <v>BERNARD</v>
      </c>
      <c r="U3" s="116" t="str">
        <f>'CHAMBRES FILLES 2e ETAGE'!E94</f>
        <v>Anissa</v>
      </c>
      <c r="V3" s="116" t="str">
        <f>'CHAMBRES FILLES 2e ETAGE'!F94</f>
        <v>Term CF</v>
      </c>
      <c r="W3" s="117" t="str">
        <f>'CHAMBRES FILLES 2e ETAGE'!D64</f>
        <v>BONNET</v>
      </c>
      <c r="X3" s="116" t="str">
        <f>'CHAMBRES FILLES 2e ETAGE'!E64</f>
        <v>Mélanie</v>
      </c>
      <c r="Y3" s="119" t="str">
        <f>'CHAMBRES FILLES 2e ETAGE'!F64</f>
        <v>Term CGEA</v>
      </c>
      <c r="Z3" s="116"/>
      <c r="AA3" s="117" t="str">
        <f>'CHAMBRES FILLES 2e ETAGE'!D70</f>
        <v>CARRY</v>
      </c>
      <c r="AB3" s="116" t="str">
        <f>'CHAMBRES FILLES 2e ETAGE'!E70</f>
        <v>Clémence</v>
      </c>
      <c r="AC3" s="116" t="str">
        <f>'CHAMBRES FILLES 2e ETAGE'!F70</f>
        <v>Term CF</v>
      </c>
      <c r="AD3" s="117" t="str">
        <f>'CHAMBRES FILLES 2e ETAGE'!D88</f>
        <v>PRIVAT</v>
      </c>
      <c r="AE3" s="116" t="str">
        <f>'CHAMBRES FILLES 2e ETAGE'!E88</f>
        <v>Elois</v>
      </c>
      <c r="AF3" s="119" t="str">
        <f>'CHAMBRES FILLES 2e ETAGE'!F88</f>
        <v>1e CF</v>
      </c>
      <c r="AG3" s="111"/>
    </row>
    <row r="4" spans="1:33">
      <c r="A4" s="117" t="str">
        <f>'CHAMBRES FILLES 2e ETAGE'!D11</f>
        <v>MANCEAU</v>
      </c>
      <c r="B4" s="116" t="str">
        <f>'CHAMBRES FILLES 2e ETAGE'!E11</f>
        <v>Maeva</v>
      </c>
      <c r="C4" s="118" t="str">
        <f>'CHAMBRES FILLES 2e ETAGE'!F11</f>
        <v>2e CGEA</v>
      </c>
      <c r="D4" s="117" t="str">
        <f>'CHAMBRES FILLES 2e ETAGE'!D17</f>
        <v>PY</v>
      </c>
      <c r="E4" s="116" t="str">
        <f>'CHAMBRES FILLES 2e ETAGE'!E17</f>
        <v>Manon</v>
      </c>
      <c r="F4" s="119" t="str">
        <f>'CHAMBRES FILLES 2e ETAGE'!F17</f>
        <v>1e CF</v>
      </c>
      <c r="G4" s="116"/>
      <c r="H4" s="117" t="str">
        <f>'CHAMBRES FILLES 2e ETAGE'!D23</f>
        <v>LEMAZURIER</v>
      </c>
      <c r="I4" s="116" t="str">
        <f>'CHAMBRES FILLES 2e ETAGE'!E23</f>
        <v>Doriane</v>
      </c>
      <c r="J4" s="116" t="str">
        <f>'CHAMBRES FILLES 2e ETAGE'!F23</f>
        <v>1e CF</v>
      </c>
      <c r="K4" s="117" t="str">
        <f>'CHAMBRES FILLES 2e ETAGE'!D29</f>
        <v>PEREIRA</v>
      </c>
      <c r="L4" s="116" t="str">
        <f>'CHAMBRES FILLES 2e ETAGE'!E29</f>
        <v>Edith</v>
      </c>
      <c r="M4" s="116" t="str">
        <f>'CHAMBRES FILLES 2e ETAGE'!F29</f>
        <v>2e CF</v>
      </c>
      <c r="N4" s="117" t="str">
        <f>'CHAMBRES FILLES 2e ETAGE'!D41</f>
        <v>GOUT</v>
      </c>
      <c r="O4" s="116" t="str">
        <f>'CHAMBRES FILLES 2e ETAGE'!E41</f>
        <v>Lucile</v>
      </c>
      <c r="P4" s="116" t="str">
        <f>'CHAMBRES FILLES 2e ETAGE'!F41</f>
        <v>2e GT</v>
      </c>
      <c r="Q4" s="117" t="str">
        <f>'CHAMBRES FILLES 2e ETAGE'!D53</f>
        <v>PEYRILLES</v>
      </c>
      <c r="R4" s="116" t="str">
        <f>'CHAMBRES FILLES 2e ETAGE'!E53</f>
        <v>Maeliss</v>
      </c>
      <c r="S4" s="116" t="str">
        <f>'CHAMBRES FILLES 2e ETAGE'!F53</f>
        <v>1e STAV</v>
      </c>
      <c r="T4" s="117" t="str">
        <f>'CHAMBRES FILLES 2e ETAGE'!D95</f>
        <v>JOLLY</v>
      </c>
      <c r="U4" s="116" t="str">
        <f>'CHAMBRES FILLES 2e ETAGE'!E95</f>
        <v>Cindy</v>
      </c>
      <c r="V4" s="116" t="str">
        <f>'CHAMBRES FILLES 2e ETAGE'!F95</f>
        <v>1e TCVA</v>
      </c>
      <c r="W4" s="117" t="str">
        <f>'CHAMBRES FILLES 2e ETAGE'!D65</f>
        <v>LEGRAND</v>
      </c>
      <c r="X4" s="116" t="str">
        <f>'CHAMBRES FILLES 2e ETAGE'!E65</f>
        <v>Eva</v>
      </c>
      <c r="Y4" s="119" t="str">
        <f>'CHAMBRES FILLES 2e ETAGE'!F65</f>
        <v>1e CGEA</v>
      </c>
      <c r="Z4" s="120"/>
      <c r="AA4" s="117" t="str">
        <f>'CHAMBRES FILLES 2e ETAGE'!D71</f>
        <v>LACOSTE</v>
      </c>
      <c r="AB4" s="116" t="str">
        <f>'CHAMBRES FILLES 2e ETAGE'!E71</f>
        <v>Marion</v>
      </c>
      <c r="AC4" s="116" t="str">
        <f>'CHAMBRES FILLES 2e ETAGE'!F71</f>
        <v>Term STAV</v>
      </c>
      <c r="AD4" s="117" t="str">
        <f>'CHAMBRES FILLES 2e ETAGE'!D89</f>
        <v>THOMAS</v>
      </c>
      <c r="AE4" s="116" t="str">
        <f>'CHAMBRES FILLES 2e ETAGE'!E89</f>
        <v>Laurie</v>
      </c>
      <c r="AF4" s="119" t="str">
        <f>'CHAMBRES FILLES 2e ETAGE'!F89</f>
        <v>Term STAV</v>
      </c>
      <c r="AG4" s="111"/>
    </row>
    <row r="5" spans="1:33">
      <c r="A5" s="117" t="str">
        <f>'CHAMBRES FILLES 2e ETAGE'!D12</f>
        <v>MASDIEU</v>
      </c>
      <c r="B5" s="116" t="str">
        <f>'CHAMBRES FILLES 2e ETAGE'!E12</f>
        <v>Elise</v>
      </c>
      <c r="C5" s="118" t="str">
        <f>'CHAMBRES FILLES 2e ETAGE'!F12</f>
        <v>2e GT</v>
      </c>
      <c r="D5" s="117" t="str">
        <f>'CHAMBRES FILLES 2e ETAGE'!D18</f>
        <v>TETUAN</v>
      </c>
      <c r="E5" s="116" t="str">
        <f>'CHAMBRES FILLES 2e ETAGE'!E18</f>
        <v>Mélaine</v>
      </c>
      <c r="F5" s="119" t="str">
        <f>'CHAMBRES FILLES 2e ETAGE'!F18</f>
        <v>1e CF</v>
      </c>
      <c r="G5" s="116"/>
      <c r="H5" s="117" t="str">
        <f>'CHAMBRES FILLES 2e ETAGE'!D24</f>
        <v>MOLINIE</v>
      </c>
      <c r="I5" s="116" t="str">
        <f>'CHAMBRES FILLES 2e ETAGE'!E24</f>
        <v>Morgane</v>
      </c>
      <c r="J5" s="116" t="str">
        <f>'CHAMBRES FILLES 2e ETAGE'!F24</f>
        <v>3e EA</v>
      </c>
      <c r="K5" s="117" t="str">
        <f>'CHAMBRES FILLES 2e ETAGE'!D30</f>
        <v>VALET</v>
      </c>
      <c r="L5" s="116" t="str">
        <f>'CHAMBRES FILLES 2e ETAGE'!E30</f>
        <v>Tiffany</v>
      </c>
      <c r="M5" s="116" t="str">
        <f>'CHAMBRES FILLES 2e ETAGE'!F30</f>
        <v>2e CF</v>
      </c>
      <c r="N5" s="117" t="str">
        <f>'CHAMBRES FILLES 2e ETAGE'!D42</f>
        <v>JOIE</v>
      </c>
      <c r="O5" s="116" t="str">
        <f>'CHAMBRES FILLES 2e ETAGE'!E42</f>
        <v>Estelle</v>
      </c>
      <c r="P5" s="116" t="str">
        <f>'CHAMBRES FILLES 2e ETAGE'!F42</f>
        <v>1e STAV</v>
      </c>
      <c r="Q5" s="117" t="str">
        <f>'CHAMBRES FILLES 2e ETAGE'!D54</f>
        <v>PUECH</v>
      </c>
      <c r="R5" s="116" t="str">
        <f>'CHAMBRES FILLES 2e ETAGE'!E54</f>
        <v>Laetitia</v>
      </c>
      <c r="S5" s="116" t="str">
        <f>'CHAMBRES FILLES 2e ETAGE'!F54</f>
        <v>1e STAV</v>
      </c>
      <c r="T5" s="117" t="str">
        <f>'CHAMBRES FILLES 2e ETAGE'!D96</f>
        <v>SACRE</v>
      </c>
      <c r="U5" s="116" t="str">
        <f>'CHAMBRES FILLES 2e ETAGE'!E96</f>
        <v>Shana</v>
      </c>
      <c r="V5" s="116" t="str">
        <f>'CHAMBRES FILLES 2e ETAGE'!F96</f>
        <v>Term CF</v>
      </c>
      <c r="W5" s="117" t="str">
        <f>'CHAMBRES FILLES 2e ETAGE'!D66</f>
        <v>ROUMIGUIERE</v>
      </c>
      <c r="X5" s="116" t="str">
        <f>'CHAMBRES FILLES 2e ETAGE'!E66</f>
        <v>Aulicia</v>
      </c>
      <c r="Y5" s="119" t="str">
        <f>'CHAMBRES FILLES 2e ETAGE'!F66</f>
        <v>1e CGEA</v>
      </c>
      <c r="Z5" s="116"/>
      <c r="AA5" s="117" t="str">
        <f>'CHAMBRES FILLES 2e ETAGE'!D72</f>
        <v>RAMADIER</v>
      </c>
      <c r="AB5" s="116" t="str">
        <f>'CHAMBRES FILLES 2e ETAGE'!E72</f>
        <v>Manon</v>
      </c>
      <c r="AC5" s="116" t="str">
        <f>'CHAMBRES FILLES 2e ETAGE'!F72</f>
        <v>1e STAV</v>
      </c>
      <c r="AD5" s="117" t="str">
        <f>'CHAMBRES FILLES 2e ETAGE'!D90</f>
        <v>VALES</v>
      </c>
      <c r="AE5" s="116" t="str">
        <f>'CHAMBRES FILLES 2e ETAGE'!E90</f>
        <v>Justine</v>
      </c>
      <c r="AF5" s="119" t="str">
        <f>'CHAMBRES FILLES 2e ETAGE'!F90</f>
        <v>Term STAV</v>
      </c>
      <c r="AG5" s="111"/>
    </row>
    <row r="6" spans="1:33" ht="15.75" thickBot="1">
      <c r="A6" s="121" t="str">
        <f>'CHAMBRES FILLES 2e ETAGE'!D13</f>
        <v/>
      </c>
      <c r="B6" s="122" t="str">
        <f>'CHAMBRES FILLES 2e ETAGE'!E13</f>
        <v/>
      </c>
      <c r="C6" s="122" t="str">
        <f>'CHAMBRES FILLES 2e ETAGE'!F13</f>
        <v/>
      </c>
      <c r="D6" s="121" t="str">
        <f>'CHAMBRES FILLES 2e ETAGE'!D19</f>
        <v/>
      </c>
      <c r="E6" s="122" t="str">
        <f>'CHAMBRES FILLES 2e ETAGE'!E19</f>
        <v/>
      </c>
      <c r="F6" s="123" t="str">
        <f>'CHAMBRES FILLES 2e ETAGE'!F19</f>
        <v/>
      </c>
      <c r="G6" s="116"/>
      <c r="H6" s="121" t="str">
        <f>'CHAMBRES FILLES 2e ETAGE'!D25</f>
        <v/>
      </c>
      <c r="I6" s="122" t="str">
        <f>'CHAMBRES FILLES 2e ETAGE'!E25</f>
        <v/>
      </c>
      <c r="J6" s="122" t="str">
        <f>'CHAMBRES FILLES 2e ETAGE'!F25</f>
        <v/>
      </c>
      <c r="K6" s="121" t="str">
        <f>'CHAMBRES FILLES 2e ETAGE'!D31</f>
        <v/>
      </c>
      <c r="L6" s="122" t="str">
        <f>'CHAMBRES FILLES 2e ETAGE'!E31</f>
        <v/>
      </c>
      <c r="M6" s="122" t="str">
        <f>'CHAMBRES FILLES 2e ETAGE'!F31</f>
        <v/>
      </c>
      <c r="N6" s="121" t="str">
        <f>'CHAMBRES FILLES 2e ETAGE'!D43</f>
        <v/>
      </c>
      <c r="O6" s="122" t="str">
        <f>'CHAMBRES FILLES 2e ETAGE'!E43</f>
        <v/>
      </c>
      <c r="P6" s="122" t="str">
        <f>'CHAMBRES FILLES 2e ETAGE'!F43</f>
        <v/>
      </c>
      <c r="Q6" s="121" t="str">
        <f>'CHAMBRES FILLES 2e ETAGE'!D55</f>
        <v>THAMIE</v>
      </c>
      <c r="R6" s="122" t="str">
        <f>'CHAMBRES FILLES 2e ETAGE'!E55</f>
        <v>Flavie</v>
      </c>
      <c r="S6" s="122" t="str">
        <f>'CHAMBRES FILLES 2e ETAGE'!F55</f>
        <v>1e STAV</v>
      </c>
      <c r="T6" s="121" t="str">
        <f>'CHAMBRES FILLES 2e ETAGE'!D97</f>
        <v/>
      </c>
      <c r="U6" s="122" t="str">
        <f>'CHAMBRES FILLES 2e ETAGE'!E97</f>
        <v/>
      </c>
      <c r="V6" s="122" t="str">
        <f>'CHAMBRES FILLES 2e ETAGE'!F97</f>
        <v/>
      </c>
      <c r="W6" s="121" t="str">
        <f>'CHAMBRES FILLES 2e ETAGE'!D67</f>
        <v/>
      </c>
      <c r="X6" s="122" t="str">
        <f>'CHAMBRES FILLES 2e ETAGE'!E67</f>
        <v/>
      </c>
      <c r="Y6" s="123" t="str">
        <f>'CHAMBRES FILLES 2e ETAGE'!F67</f>
        <v/>
      </c>
      <c r="Z6" s="116"/>
      <c r="AA6" s="121" t="str">
        <f>'CHAMBRES FILLES 2e ETAGE'!D73</f>
        <v/>
      </c>
      <c r="AB6" s="122" t="str">
        <f>'CHAMBRES FILLES 2e ETAGE'!E73</f>
        <v/>
      </c>
      <c r="AC6" s="122" t="str">
        <f>'CHAMBRES FILLES 2e ETAGE'!F73</f>
        <v/>
      </c>
      <c r="AD6" s="121" t="str">
        <f>'CHAMBRES FILLES 2e ETAGE'!D91</f>
        <v/>
      </c>
      <c r="AE6" s="122" t="str">
        <f>'CHAMBRES FILLES 2e ETAGE'!E91</f>
        <v/>
      </c>
      <c r="AF6" s="123" t="str">
        <f>'CHAMBRES FILLES 2e ETAGE'!F91</f>
        <v/>
      </c>
      <c r="AG6" s="111"/>
    </row>
    <row r="7" spans="1:33" ht="18.75" thickBot="1">
      <c r="A7" s="124">
        <f>'CHAMBRES FILLES 2e ETAGE'!A11</f>
        <v>159</v>
      </c>
      <c r="B7" s="125" t="s">
        <v>61</v>
      </c>
      <c r="C7" s="126"/>
      <c r="D7" s="124">
        <f>'CHAMBRES FILLES 2e ETAGE'!A17</f>
        <v>160</v>
      </c>
      <c r="E7" s="125" t="s">
        <v>61</v>
      </c>
      <c r="F7" s="126"/>
      <c r="G7" s="127"/>
      <c r="H7" s="128">
        <f>'CHAMBRES FILLES 2e ETAGE'!A23</f>
        <v>167</v>
      </c>
      <c r="I7" s="125" t="s">
        <v>61</v>
      </c>
      <c r="J7" s="129"/>
      <c r="K7" s="128">
        <f>'CHAMBRES FILLES 2e ETAGE'!A29</f>
        <v>168</v>
      </c>
      <c r="L7" s="125" t="s">
        <v>61</v>
      </c>
      <c r="M7" s="129"/>
      <c r="N7" s="128">
        <f>'CHAMBRES FILLES 2e ETAGE'!A41</f>
        <v>169</v>
      </c>
      <c r="O7" s="125" t="s">
        <v>61</v>
      </c>
      <c r="P7" s="129"/>
      <c r="Q7" s="128">
        <f>'CHAMBRES FILLES 2e ETAGE'!A53</f>
        <v>170</v>
      </c>
      <c r="R7" s="125" t="s">
        <v>61</v>
      </c>
      <c r="S7" s="129"/>
      <c r="T7" s="128">
        <f>'CHAMBRES FILLES 2e ETAGE'!A95</f>
        <v>171</v>
      </c>
      <c r="U7" s="125" t="s">
        <v>61</v>
      </c>
      <c r="V7" s="129"/>
      <c r="W7" s="128">
        <f>'CHAMBRES FILLES 2e ETAGE'!A65</f>
        <v>172</v>
      </c>
      <c r="X7" s="125" t="s">
        <v>61</v>
      </c>
      <c r="Y7" s="129"/>
      <c r="Z7" s="130"/>
      <c r="AA7" s="128">
        <f>'CHAMBRES FILLES 2e ETAGE'!A71</f>
        <v>179</v>
      </c>
      <c r="AB7" s="125" t="s">
        <v>61</v>
      </c>
      <c r="AC7" s="129"/>
      <c r="AD7" s="128">
        <f>'CHAMBRES FILLES 2e ETAGE'!A89</f>
        <v>180</v>
      </c>
      <c r="AE7" s="125" t="s">
        <v>61</v>
      </c>
      <c r="AF7" s="129"/>
      <c r="AG7" s="111"/>
    </row>
    <row r="8" spans="1:33" ht="18.75" thickBot="1">
      <c r="A8" s="107"/>
      <c r="B8" s="107"/>
      <c r="C8" s="107"/>
      <c r="D8" s="107"/>
      <c r="E8" s="107"/>
      <c r="F8" s="107"/>
      <c r="G8" s="116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31"/>
      <c r="AE8" s="107"/>
      <c r="AF8" s="107"/>
      <c r="AG8" s="111"/>
    </row>
    <row r="9" spans="1:33" ht="18.75" thickBot="1">
      <c r="A9" s="124">
        <f>'CHAMBRES FILLES 2e ETAGE'!A5</f>
        <v>158</v>
      </c>
      <c r="B9" s="132" t="s">
        <v>61</v>
      </c>
      <c r="C9" s="126"/>
      <c r="D9" s="307" t="s">
        <v>62</v>
      </c>
      <c r="E9" s="308"/>
      <c r="F9" s="309"/>
      <c r="G9" s="127"/>
      <c r="H9" s="307" t="s">
        <v>63</v>
      </c>
      <c r="I9" s="308"/>
      <c r="J9" s="309"/>
      <c r="K9" s="133">
        <f>'CHAMBRES FILLES 2e ETAGE'!A35</f>
        <v>166</v>
      </c>
      <c r="L9" s="132" t="s">
        <v>61</v>
      </c>
      <c r="M9" s="126"/>
      <c r="N9" s="307" t="s">
        <v>64</v>
      </c>
      <c r="O9" s="308"/>
      <c r="P9" s="309"/>
      <c r="Q9" s="124">
        <f>'CHAMBRES FILLES 2e ETAGE'!A47</f>
        <v>164</v>
      </c>
      <c r="R9" s="132" t="s">
        <v>61</v>
      </c>
      <c r="S9" s="126"/>
      <c r="T9" s="134">
        <f>'CHAMBRES FILLES 2e ETAGE'!A59</f>
        <v>163</v>
      </c>
      <c r="U9" s="135" t="s">
        <v>61</v>
      </c>
      <c r="V9" s="136"/>
      <c r="W9" s="307" t="s">
        <v>64</v>
      </c>
      <c r="X9" s="308"/>
      <c r="Y9" s="309"/>
      <c r="Z9" s="130"/>
      <c r="AA9" s="134">
        <f>'CHAMBRES FILLES 2e ETAGE'!A77</f>
        <v>178</v>
      </c>
      <c r="AB9" s="135" t="s">
        <v>61</v>
      </c>
      <c r="AC9" s="136"/>
      <c r="AD9" s="134">
        <f>'CHAMBRES FILLES 2e ETAGE'!A83</f>
        <v>177</v>
      </c>
      <c r="AE9" s="135" t="s">
        <v>61</v>
      </c>
      <c r="AF9" s="136"/>
      <c r="AG9" s="111"/>
    </row>
    <row r="10" spans="1:33">
      <c r="A10" s="112" t="str">
        <f>'CHAMBRES FILLES 2e ETAGE'!D3</f>
        <v>BILLOT</v>
      </c>
      <c r="B10" s="113" t="str">
        <f>'CHAMBRES FILLES 2e ETAGE'!E3</f>
        <v>Lucie</v>
      </c>
      <c r="C10" s="115" t="str">
        <f>'CHAMBRES FILLES 2e ETAGE'!F3</f>
        <v>2e CF</v>
      </c>
      <c r="D10" s="113"/>
      <c r="E10" s="113"/>
      <c r="F10" s="115"/>
      <c r="G10" s="116"/>
      <c r="H10" s="137"/>
      <c r="I10" s="113"/>
      <c r="J10" s="113"/>
      <c r="K10" s="112" t="str">
        <f>'CHAMBRES FILLES 2e ETAGE'!D33</f>
        <v>CAPELLE</v>
      </c>
      <c r="L10" s="113" t="str">
        <f>'CHAMBRES FILLES 2e ETAGE'!E33</f>
        <v>Amandine</v>
      </c>
      <c r="M10" s="115" t="str">
        <f>'CHAMBRES FILLES 2e ETAGE'!F33</f>
        <v>1e CF</v>
      </c>
      <c r="N10" s="113"/>
      <c r="O10" s="113"/>
      <c r="P10" s="113"/>
      <c r="Q10" s="112" t="str">
        <f>'CHAMBRES FILLES 2e ETAGE'!D45</f>
        <v>COUSTEAU</v>
      </c>
      <c r="R10" s="113" t="str">
        <f>'CHAMBRES FILLES 2e ETAGE'!E45</f>
        <v>Maeva</v>
      </c>
      <c r="S10" s="113" t="str">
        <f>'CHAMBRES FILLES 2e ETAGE'!F45</f>
        <v>2e TCVA</v>
      </c>
      <c r="T10" s="112" t="str">
        <f>'CHAMBRES FILLES 2e ETAGE'!D57</f>
        <v>DUPUIS</v>
      </c>
      <c r="U10" s="113" t="str">
        <f>'CHAMBRES FILLES 2e ETAGE'!E57</f>
        <v>Coralie</v>
      </c>
      <c r="V10" s="115" t="str">
        <f>'CHAMBRES FILLES 2e ETAGE'!F57</f>
        <v>Term TCVA</v>
      </c>
      <c r="W10" s="113"/>
      <c r="X10" s="113"/>
      <c r="Y10" s="115"/>
      <c r="Z10" s="138"/>
      <c r="AA10" s="112" t="str">
        <f>'CHAMBRES FILLES 2e ETAGE'!D75</f>
        <v>BONNEFON</v>
      </c>
      <c r="AB10" s="113" t="str">
        <f>'CHAMBRES FILLES 2e ETAGE'!E75</f>
        <v>Auriane</v>
      </c>
      <c r="AC10" s="113" t="str">
        <f>'CHAMBRES FILLES 2e ETAGE'!F75</f>
        <v>Term STAV</v>
      </c>
      <c r="AD10" s="112" t="str">
        <f>'CHAMBRES FILLES 2e ETAGE'!D81</f>
        <v>BOUTINON</v>
      </c>
      <c r="AE10" s="113" t="str">
        <f>'CHAMBRES FILLES 2e ETAGE'!E81</f>
        <v>Elhea</v>
      </c>
      <c r="AF10" s="115" t="str">
        <f>'CHAMBRES FILLES 2e ETAGE'!F81</f>
        <v>Term STAV</v>
      </c>
      <c r="AG10" s="111"/>
    </row>
    <row r="11" spans="1:33">
      <c r="A11" s="117" t="str">
        <f>'CHAMBRES FILLES 2e ETAGE'!D4</f>
        <v>DALMASSO</v>
      </c>
      <c r="B11" s="116" t="str">
        <f>'CHAMBRES FILLES 2e ETAGE'!E4</f>
        <v>Chloé</v>
      </c>
      <c r="C11" s="119" t="str">
        <f>'CHAMBRES FILLES 2e ETAGE'!F4</f>
        <v>2e CF</v>
      </c>
      <c r="D11" s="116"/>
      <c r="E11" s="116"/>
      <c r="F11" s="119"/>
      <c r="G11" s="116"/>
      <c r="H11" s="138"/>
      <c r="I11" s="116"/>
      <c r="J11" s="116"/>
      <c r="K11" s="117" t="str">
        <f>'CHAMBRES FILLES 2e ETAGE'!D34</f>
        <v>GONTIER</v>
      </c>
      <c r="L11" s="116" t="str">
        <f>'CHAMBRES FILLES 2e ETAGE'!E34</f>
        <v>Saphir</v>
      </c>
      <c r="M11" s="119" t="str">
        <f>'CHAMBRES FILLES 2e ETAGE'!F34</f>
        <v>1e CF</v>
      </c>
      <c r="N11" s="116"/>
      <c r="O11" s="116"/>
      <c r="P11" s="116"/>
      <c r="Q11" s="117" t="str">
        <f>'CHAMBRES FILLES 2e ETAGE'!D46</f>
        <v>FABRE</v>
      </c>
      <c r="R11" s="116" t="str">
        <f>'CHAMBRES FILLES 2e ETAGE'!E46</f>
        <v>Audrey</v>
      </c>
      <c r="S11" s="116" t="str">
        <f>'CHAMBRES FILLES 2e ETAGE'!F46</f>
        <v>2e TCVA</v>
      </c>
      <c r="T11" s="117" t="str">
        <f>'CHAMBRES FILLES 2e ETAGE'!D58</f>
        <v>FAVRE</v>
      </c>
      <c r="U11" s="116" t="str">
        <f>'CHAMBRES FILLES 2e ETAGE'!E58</f>
        <v>Gwendoline</v>
      </c>
      <c r="V11" s="119" t="str">
        <f>'CHAMBRES FILLES 2e ETAGE'!F58</f>
        <v>Term CF</v>
      </c>
      <c r="W11" s="116"/>
      <c r="X11" s="116"/>
      <c r="Y11" s="119"/>
      <c r="Z11" s="138"/>
      <c r="AA11" s="117" t="str">
        <f>'CHAMBRES FILLES 2e ETAGE'!D76</f>
        <v>LEON-DUFOUR</v>
      </c>
      <c r="AB11" s="116" t="str">
        <f>'CHAMBRES FILLES 2e ETAGE'!E76</f>
        <v>Clarisse</v>
      </c>
      <c r="AC11" s="116" t="str">
        <f>'CHAMBRES FILLES 2e ETAGE'!F76</f>
        <v>1e TCVA</v>
      </c>
      <c r="AD11" s="117" t="str">
        <f>'CHAMBRES FILLES 2e ETAGE'!D82</f>
        <v>DAOUT</v>
      </c>
      <c r="AE11" s="116" t="str">
        <f>'CHAMBRES FILLES 2e ETAGE'!E82</f>
        <v>Camille</v>
      </c>
      <c r="AF11" s="119" t="str">
        <f>'CHAMBRES FILLES 2e ETAGE'!F82</f>
        <v>Term CF</v>
      </c>
      <c r="AG11" s="111"/>
    </row>
    <row r="12" spans="1:33">
      <c r="A12" s="117" t="str">
        <f>'CHAMBRES FILLES 2e ETAGE'!D5</f>
        <v>FAU</v>
      </c>
      <c r="B12" s="116" t="str">
        <f>'CHAMBRES FILLES 2e ETAGE'!E5</f>
        <v>Emmy</v>
      </c>
      <c r="C12" s="119" t="str">
        <f>'CHAMBRES FILLES 2e ETAGE'!F5</f>
        <v>2e CF</v>
      </c>
      <c r="D12" s="116"/>
      <c r="E12" s="116"/>
      <c r="F12" s="119"/>
      <c r="G12" s="116"/>
      <c r="H12" s="138"/>
      <c r="I12" s="116"/>
      <c r="J12" s="116"/>
      <c r="K12" s="117" t="str">
        <f>'CHAMBRES FILLES 2e ETAGE'!D35</f>
        <v>PAGES</v>
      </c>
      <c r="L12" s="116" t="str">
        <f>'CHAMBRES FILLES 2e ETAGE'!E35</f>
        <v>Audrey</v>
      </c>
      <c r="M12" s="119" t="str">
        <f>'CHAMBRES FILLES 2e ETAGE'!F35</f>
        <v>2e GT</v>
      </c>
      <c r="N12" s="116"/>
      <c r="O12" s="116"/>
      <c r="P12" s="116"/>
      <c r="Q12" s="117" t="str">
        <f>'CHAMBRES FILLES 2e ETAGE'!D47</f>
        <v>GACHOD</v>
      </c>
      <c r="R12" s="116" t="str">
        <f>'CHAMBRES FILLES 2e ETAGE'!E47</f>
        <v>Juliette</v>
      </c>
      <c r="S12" s="116" t="str">
        <f>'CHAMBRES FILLES 2e ETAGE'!F47</f>
        <v>2e GT</v>
      </c>
      <c r="T12" s="117" t="str">
        <f>'CHAMBRES FILLES 2e ETAGE'!D59</f>
        <v>REVEL</v>
      </c>
      <c r="U12" s="116" t="str">
        <f>'CHAMBRES FILLES 2e ETAGE'!E59</f>
        <v>Manueva</v>
      </c>
      <c r="V12" s="119" t="str">
        <f>'CHAMBRES FILLES 2e ETAGE'!F59</f>
        <v>Term CF</v>
      </c>
      <c r="W12" s="116"/>
      <c r="X12" s="116"/>
      <c r="Y12" s="119"/>
      <c r="Z12" s="138"/>
      <c r="AA12" s="117" t="str">
        <f>'CHAMBRES FILLES 2e ETAGE'!D77</f>
        <v>MALET</v>
      </c>
      <c r="AB12" s="116" t="str">
        <f>'CHAMBRES FILLES 2e ETAGE'!E77</f>
        <v>Alexandra</v>
      </c>
      <c r="AC12" s="116" t="str">
        <f>'CHAMBRES FILLES 2e ETAGE'!F77</f>
        <v>2e TCVA</v>
      </c>
      <c r="AD12" s="117" t="str">
        <f>'CHAMBRES FILLES 2e ETAGE'!D83</f>
        <v>LAURENT</v>
      </c>
      <c r="AE12" s="116" t="str">
        <f>'CHAMBRES FILLES 2e ETAGE'!E83</f>
        <v>Margot</v>
      </c>
      <c r="AF12" s="119" t="str">
        <f>'CHAMBRES FILLES 2e ETAGE'!F83</f>
        <v>Term STAV</v>
      </c>
      <c r="AG12" s="111"/>
    </row>
    <row r="13" spans="1:33">
      <c r="A13" s="117" t="str">
        <f>'CHAMBRES FILLES 2e ETAGE'!D6</f>
        <v>HAMARD</v>
      </c>
      <c r="B13" s="116" t="str">
        <f>'CHAMBRES FILLES 2e ETAGE'!E6</f>
        <v>Sharly</v>
      </c>
      <c r="C13" s="119" t="str">
        <f>'CHAMBRES FILLES 2e ETAGE'!F6</f>
        <v>2e TCVA</v>
      </c>
      <c r="D13" s="116"/>
      <c r="E13" s="116"/>
      <c r="F13" s="119"/>
      <c r="G13" s="116"/>
      <c r="H13" s="138"/>
      <c r="I13" s="116"/>
      <c r="J13" s="116"/>
      <c r="K13" s="117" t="str">
        <f>'CHAMBRES FILLES 2e ETAGE'!D36</f>
        <v>ROBERT</v>
      </c>
      <c r="L13" s="116" t="str">
        <f>'CHAMBRES FILLES 2e ETAGE'!E36</f>
        <v>Estelle</v>
      </c>
      <c r="M13" s="119" t="str">
        <f>'CHAMBRES FILLES 2e ETAGE'!F36</f>
        <v>1e TCVA</v>
      </c>
      <c r="N13" s="116"/>
      <c r="O13" s="116"/>
      <c r="P13" s="116"/>
      <c r="Q13" s="117" t="str">
        <f>'CHAMBRES FILLES 2e ETAGE'!D48</f>
        <v>HEMONO</v>
      </c>
      <c r="R13" s="116" t="str">
        <f>'CHAMBRES FILLES 2e ETAGE'!E48</f>
        <v>Juliette</v>
      </c>
      <c r="S13" s="116" t="str">
        <f>'CHAMBRES FILLES 2e ETAGE'!F48</f>
        <v>3e EA</v>
      </c>
      <c r="T13" s="117" t="str">
        <f>'CHAMBRES FILLES 2e ETAGE'!D60</f>
        <v>RIBOT</v>
      </c>
      <c r="U13" s="116" t="str">
        <f>'CHAMBRES FILLES 2e ETAGE'!E60</f>
        <v>Gwenaelle</v>
      </c>
      <c r="V13" s="119" t="str">
        <f>'CHAMBRES FILLES 2e ETAGE'!F60</f>
        <v>Term TCVA</v>
      </c>
      <c r="W13" s="116"/>
      <c r="X13" s="116"/>
      <c r="Y13" s="119"/>
      <c r="Z13" s="138"/>
      <c r="AA13" s="117" t="str">
        <f>'CHAMBRES FILLES 2e ETAGE'!D78</f>
        <v/>
      </c>
      <c r="AB13" s="116" t="str">
        <f>'CHAMBRES FILLES 2e ETAGE'!E78</f>
        <v/>
      </c>
      <c r="AC13" s="116" t="str">
        <f>'CHAMBRES FILLES 2e ETAGE'!F78</f>
        <v/>
      </c>
      <c r="AD13" s="117" t="str">
        <f>'CHAMBRES FILLES 2e ETAGE'!D84</f>
        <v>SELEBRAN</v>
      </c>
      <c r="AE13" s="116" t="str">
        <f>'CHAMBRES FILLES 2e ETAGE'!E84</f>
        <v>Naïs</v>
      </c>
      <c r="AF13" s="119" t="str">
        <f>'CHAMBRES FILLES 2e ETAGE'!F84</f>
        <v>Term STAV</v>
      </c>
      <c r="AG13" s="111"/>
    </row>
    <row r="14" spans="1:33" ht="15.75" thickBot="1">
      <c r="A14" s="121" t="str">
        <f>'CHAMBRES FILLES 2e ETAGE'!D7</f>
        <v>PELIZZARI</v>
      </c>
      <c r="B14" s="122" t="str">
        <f>'CHAMBRES FILLES 2e ETAGE'!E7</f>
        <v>Camille</v>
      </c>
      <c r="C14" s="123" t="str">
        <f>'CHAMBRES FILLES 2e ETAGE'!F7</f>
        <v>2e TCVA</v>
      </c>
      <c r="D14" s="122"/>
      <c r="E14" s="122"/>
      <c r="F14" s="123"/>
      <c r="G14" s="116"/>
      <c r="H14" s="139"/>
      <c r="I14" s="122"/>
      <c r="J14" s="122"/>
      <c r="K14" s="121" t="str">
        <f>'CHAMBRES FILLES 2e ETAGE'!D37</f>
        <v>THIRIET</v>
      </c>
      <c r="L14" s="122" t="str">
        <f>'CHAMBRES FILLES 2e ETAGE'!E37</f>
        <v>Justine</v>
      </c>
      <c r="M14" s="123" t="str">
        <f>'CHAMBRES FILLES 2e ETAGE'!F37</f>
        <v>1e CF</v>
      </c>
      <c r="N14" s="122"/>
      <c r="O14" s="122"/>
      <c r="P14" s="122"/>
      <c r="Q14" s="121" t="str">
        <f>'CHAMBRES FILLES 2e ETAGE'!D49</f>
        <v/>
      </c>
      <c r="R14" s="122" t="str">
        <f>'CHAMBRES FILLES 2e ETAGE'!E49</f>
        <v/>
      </c>
      <c r="S14" s="122" t="str">
        <f>'CHAMBRES FILLES 2e ETAGE'!F49</f>
        <v/>
      </c>
      <c r="T14" s="121" t="str">
        <f>'CHAMBRES FILLES 2e ETAGE'!D61</f>
        <v/>
      </c>
      <c r="U14" s="122" t="str">
        <f>'CHAMBRES FILLES 2e ETAGE'!E61</f>
        <v/>
      </c>
      <c r="V14" s="123" t="str">
        <f>'CHAMBRES FILLES 2e ETAGE'!F61</f>
        <v/>
      </c>
      <c r="W14" s="122"/>
      <c r="X14" s="122"/>
      <c r="Y14" s="123"/>
      <c r="Z14" s="138"/>
      <c r="AA14" s="121" t="str">
        <f>'CHAMBRES FILLES 2e ETAGE'!D79</f>
        <v/>
      </c>
      <c r="AB14" s="122" t="str">
        <f>'CHAMBRES FILLES 2e ETAGE'!E79</f>
        <v/>
      </c>
      <c r="AC14" s="122" t="str">
        <f>'CHAMBRES FILLES 2e ETAGE'!F79</f>
        <v/>
      </c>
      <c r="AD14" s="121" t="str">
        <f>'CHAMBRES FILLES 2e ETAGE'!D85</f>
        <v/>
      </c>
      <c r="AE14" s="122" t="str">
        <f>'CHAMBRES FILLES 2e ETAGE'!E85</f>
        <v/>
      </c>
      <c r="AF14" s="123" t="str">
        <f>'CHAMBRES FILLES 2e ETAGE'!F85</f>
        <v/>
      </c>
      <c r="AG14" s="111"/>
    </row>
    <row r="15" spans="1:33" ht="18.75" thickBot="1">
      <c r="A15" s="140" t="str">
        <f>'CHAMBRES FILLES 1e ETAGE'!A1</f>
        <v>CHAMBRES FILLES 1e ETAGE</v>
      </c>
      <c r="B15" s="111"/>
      <c r="C15" s="111"/>
      <c r="D15" s="111"/>
      <c r="E15" s="111"/>
      <c r="F15" s="111"/>
      <c r="G15" s="14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</row>
    <row r="16" spans="1:33">
      <c r="A16" s="112" t="str">
        <f>'CHAMBRES FILLES 1e ETAGE'!D9</f>
        <v>CANTALOUBE</v>
      </c>
      <c r="B16" s="114" t="str">
        <f>'CHAMBRES FILLES 1e ETAGE'!E9</f>
        <v>Maeva</v>
      </c>
      <c r="C16" s="114" t="str">
        <f>'CHAMBRES FILLES 1e ETAGE'!F9</f>
        <v>2e GT</v>
      </c>
      <c r="D16" s="112" t="str">
        <f>'CHAMBRES FILLES 1e ETAGE'!D15</f>
        <v>BESSE</v>
      </c>
      <c r="E16" s="114" t="str">
        <f>'CHAMBRES FILLES 1e ETAGE'!E15</f>
        <v>Nadège</v>
      </c>
      <c r="F16" s="142" t="str">
        <f>'CHAMBRES FILLES 1e ETAGE'!F15</f>
        <v>1e CGEA</v>
      </c>
      <c r="G16" s="116"/>
      <c r="H16" s="112" t="str">
        <f>'CHAMBRES FILLES 1e ETAGE'!D21</f>
        <v>BOULAROT</v>
      </c>
      <c r="I16" s="114" t="str">
        <f>'CHAMBRES FILLES 1e ETAGE'!E21</f>
        <v>Inès</v>
      </c>
      <c r="J16" s="143" t="str">
        <f>'CHAMBRES FILLES 1e ETAGE'!F21</f>
        <v>2e CF</v>
      </c>
      <c r="K16" s="112" t="str">
        <f>'CHAMBRES FILLES 1e ETAGE'!D33</f>
        <v>CARROZZA</v>
      </c>
      <c r="L16" s="114" t="str">
        <f>'CHAMBRES FILLES 1e ETAGE'!E33</f>
        <v>Chloé</v>
      </c>
      <c r="M16" s="114" t="str">
        <f>'CHAMBRES FILLES 1e ETAGE'!F33</f>
        <v>1e CGEA</v>
      </c>
      <c r="N16" s="112" t="str">
        <f>'CHAMBRES FILLES 1e ETAGE'!D39</f>
        <v>BEAUFILS</v>
      </c>
      <c r="O16" s="114" t="str">
        <f>'CHAMBRES FILLES 1e ETAGE'!E39</f>
        <v>Mathilde</v>
      </c>
      <c r="P16" s="114" t="str">
        <f>'CHAMBRES FILLES 1e ETAGE'!F39</f>
        <v>2e TCVA</v>
      </c>
      <c r="Q16" s="112" t="str">
        <f>'CHAMBRES FILLES 1e ETAGE'!D45</f>
        <v>ALBAGNAC</v>
      </c>
      <c r="R16" s="114" t="str">
        <f>'CHAMBRES FILLES 1e ETAGE'!E45</f>
        <v>Maylis</v>
      </c>
      <c r="S16" s="142" t="str">
        <f>'CHAMBRES FILLES 1e ETAGE'!F45</f>
        <v>Term TCVA</v>
      </c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</row>
    <row r="17" spans="1:33">
      <c r="A17" s="117" t="str">
        <f>'CHAMBRES FILLES 1e ETAGE'!D10</f>
        <v>CARDON</v>
      </c>
      <c r="B17" s="118" t="str">
        <f>'CHAMBRES FILLES 1e ETAGE'!E10</f>
        <v>Alicia</v>
      </c>
      <c r="C17" s="118" t="str">
        <f>'CHAMBRES FILLES 1e ETAGE'!F10</f>
        <v>2e GT</v>
      </c>
      <c r="D17" s="117" t="str">
        <f>'CHAMBRES FILLES 1e ETAGE'!D16</f>
        <v>DELMAS</v>
      </c>
      <c r="E17" s="118" t="str">
        <f>'CHAMBRES FILLES 1e ETAGE'!E16</f>
        <v>Océane</v>
      </c>
      <c r="F17" s="144" t="str">
        <f>'CHAMBRES FILLES 1e ETAGE'!F16</f>
        <v>Term STAV</v>
      </c>
      <c r="G17" s="116"/>
      <c r="H17" s="117" t="str">
        <f>'CHAMBRES FILLES 1e ETAGE'!D22</f>
        <v>DESPIERRE</v>
      </c>
      <c r="I17" s="118" t="str">
        <f>'CHAMBRES FILLES 1e ETAGE'!E22</f>
        <v>Lorinda</v>
      </c>
      <c r="J17" s="145" t="str">
        <f>'CHAMBRES FILLES 1e ETAGE'!F22</f>
        <v>2e CF</v>
      </c>
      <c r="K17" s="117" t="str">
        <f>'CHAMBRES FILLES 1e ETAGE'!D34</f>
        <v>DECROS</v>
      </c>
      <c r="L17" s="118" t="str">
        <f>'CHAMBRES FILLES 1e ETAGE'!E34</f>
        <v>Julianne</v>
      </c>
      <c r="M17" s="118" t="str">
        <f>'CHAMBRES FILLES 1e ETAGE'!F34</f>
        <v>1e CGEA</v>
      </c>
      <c r="N17" s="117" t="str">
        <f>'CHAMBRES FILLES 1e ETAGE'!D40</f>
        <v>BOMPA</v>
      </c>
      <c r="O17" s="118" t="str">
        <f>'CHAMBRES FILLES 1e ETAGE'!E40</f>
        <v>Armande</v>
      </c>
      <c r="P17" s="118" t="str">
        <f>'CHAMBRES FILLES 1e ETAGE'!F40</f>
        <v>3e EA</v>
      </c>
      <c r="Q17" s="117" t="str">
        <f>'CHAMBRES FILLES 1e ETAGE'!D46</f>
        <v>CARNEADO</v>
      </c>
      <c r="R17" s="118" t="str">
        <f>'CHAMBRES FILLES 1e ETAGE'!E46</f>
        <v>Léa</v>
      </c>
      <c r="S17" s="144" t="str">
        <f>'CHAMBRES FILLES 1e ETAGE'!F46</f>
        <v>Term CF</v>
      </c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</row>
    <row r="18" spans="1:33">
      <c r="A18" s="117" t="str">
        <f>'CHAMBRES FILLES 1e ETAGE'!D11</f>
        <v>VIGUIE</v>
      </c>
      <c r="B18" s="118" t="str">
        <f>'CHAMBRES FILLES 1e ETAGE'!E11</f>
        <v>Clara</v>
      </c>
      <c r="C18" s="118" t="str">
        <f>'CHAMBRES FILLES 1e ETAGE'!F11</f>
        <v>2e GT</v>
      </c>
      <c r="D18" s="117" t="str">
        <f>'CHAMBRES FILLES 1e ETAGE'!D17</f>
        <v>PICILI</v>
      </c>
      <c r="E18" s="118" t="str">
        <f>'CHAMBRES FILLES 1e ETAGE'!E17</f>
        <v>Marie</v>
      </c>
      <c r="F18" s="144" t="str">
        <f>'CHAMBRES FILLES 1e ETAGE'!F17</f>
        <v>1e CGEA</v>
      </c>
      <c r="G18" s="116"/>
      <c r="H18" s="117" t="str">
        <f>'CHAMBRES FILLES 1e ETAGE'!D23</f>
        <v>MONTEIRO</v>
      </c>
      <c r="I18" s="118" t="str">
        <f>'CHAMBRES FILLES 1e ETAGE'!E23</f>
        <v>Eulalie</v>
      </c>
      <c r="J18" s="145" t="str">
        <f>'CHAMBRES FILLES 1e ETAGE'!F23</f>
        <v>2e TCVA</v>
      </c>
      <c r="K18" s="117" t="str">
        <f>'CHAMBRES FILLES 1e ETAGE'!D35</f>
        <v>ESCAICH</v>
      </c>
      <c r="L18" s="118" t="str">
        <f>'CHAMBRES FILLES 1e ETAGE'!E35</f>
        <v>Manon</v>
      </c>
      <c r="M18" s="118" t="str">
        <f>'CHAMBRES FILLES 1e ETAGE'!F35</f>
        <v>1e CGEA</v>
      </c>
      <c r="N18" s="117" t="str">
        <f>'CHAMBRES FILLES 1e ETAGE'!D41</f>
        <v>CAUSSIGNAC</v>
      </c>
      <c r="O18" s="118" t="str">
        <f>'CHAMBRES FILLES 1e ETAGE'!E41</f>
        <v>Lise</v>
      </c>
      <c r="P18" s="118" t="str">
        <f>'CHAMBRES FILLES 1e ETAGE'!F41</f>
        <v>2e TCVA</v>
      </c>
      <c r="Q18" s="117" t="str">
        <f>'CHAMBRES FILLES 1e ETAGE'!D47</f>
        <v>SAINDOU</v>
      </c>
      <c r="R18" s="118" t="str">
        <f>'CHAMBRES FILLES 1e ETAGE'!E47</f>
        <v>Halima</v>
      </c>
      <c r="S18" s="144" t="str">
        <f>'CHAMBRES FILLES 1e ETAGE'!F47</f>
        <v>Term TCVA</v>
      </c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</row>
    <row r="19" spans="1:33">
      <c r="A19" s="117" t="str">
        <f>'CHAMBRES FILLES 1e ETAGE'!D12</f>
        <v>VIGUIER</v>
      </c>
      <c r="B19" s="118" t="str">
        <f>'CHAMBRES FILLES 1e ETAGE'!E12</f>
        <v>Morgane</v>
      </c>
      <c r="C19" s="118" t="str">
        <f>'CHAMBRES FILLES 1e ETAGE'!F12</f>
        <v>2e GT</v>
      </c>
      <c r="D19" s="117" t="str">
        <f>'CHAMBRES FILLES 1e ETAGE'!D18</f>
        <v>RODES</v>
      </c>
      <c r="E19" s="118" t="str">
        <f>'CHAMBRES FILLES 1e ETAGE'!E18</f>
        <v>Lea</v>
      </c>
      <c r="F19" s="144" t="str">
        <f>'CHAMBRES FILLES 1e ETAGE'!F18</f>
        <v>1e CGEA</v>
      </c>
      <c r="G19" s="116"/>
      <c r="H19" s="117" t="str">
        <f>'CHAMBRES FILLES 1e ETAGE'!D24</f>
        <v>POURCEL</v>
      </c>
      <c r="I19" s="118" t="str">
        <f>'CHAMBRES FILLES 1e ETAGE'!E24</f>
        <v>Elise</v>
      </c>
      <c r="J19" s="145" t="str">
        <f>'CHAMBRES FILLES 1e ETAGE'!F24</f>
        <v>2e TCVA</v>
      </c>
      <c r="K19" s="117" t="str">
        <f>'CHAMBRES FILLES 1e ETAGE'!D36</f>
        <v>ROUGIE</v>
      </c>
      <c r="L19" s="118" t="str">
        <f>'CHAMBRES FILLES 1e ETAGE'!E36</f>
        <v>Maëva</v>
      </c>
      <c r="M19" s="118" t="str">
        <f>'CHAMBRES FILLES 1e ETAGE'!F36</f>
        <v>1e CGEA</v>
      </c>
      <c r="N19" s="117" t="str">
        <f>'CHAMBRES FILLES 1e ETAGE'!D42</f>
        <v>VENRIES</v>
      </c>
      <c r="O19" s="118" t="str">
        <f>'CHAMBRES FILLES 1e ETAGE'!E42</f>
        <v>Mélissa</v>
      </c>
      <c r="P19" s="118" t="str">
        <f>'CHAMBRES FILLES 1e ETAGE'!F42</f>
        <v>3e EA</v>
      </c>
      <c r="Q19" s="117" t="str">
        <f>'CHAMBRES FILLES 1e ETAGE'!D48</f>
        <v>THOREZ</v>
      </c>
      <c r="R19" s="118" t="str">
        <f>'CHAMBRES FILLES 1e ETAGE'!E48</f>
        <v>Clarisse</v>
      </c>
      <c r="S19" s="144" t="str">
        <f>'CHAMBRES FILLES 1e ETAGE'!F48</f>
        <v>Term TCVA</v>
      </c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</row>
    <row r="20" spans="1:33" ht="15.75" thickBot="1">
      <c r="A20" s="121" t="str">
        <f>'CHAMBRES FILLES 1e ETAGE'!D13</f>
        <v/>
      </c>
      <c r="B20" s="146" t="str">
        <f>'CHAMBRES FILLES 1e ETAGE'!E13</f>
        <v/>
      </c>
      <c r="C20" s="146" t="str">
        <f>'CHAMBRES FILLES 1e ETAGE'!F13</f>
        <v/>
      </c>
      <c r="D20" s="121" t="str">
        <f>'CHAMBRES FILLES 1e ETAGE'!D19</f>
        <v/>
      </c>
      <c r="E20" s="146" t="str">
        <f>'CHAMBRES FILLES 1e ETAGE'!E19</f>
        <v/>
      </c>
      <c r="F20" s="147" t="str">
        <f>'CHAMBRES FILLES 1e ETAGE'!F19</f>
        <v/>
      </c>
      <c r="G20" s="116"/>
      <c r="H20" s="121" t="str">
        <f>'CHAMBRES FILLES 1e ETAGE'!D25</f>
        <v/>
      </c>
      <c r="I20" s="146" t="str">
        <f>'CHAMBRES FILLES 1e ETAGE'!E25</f>
        <v/>
      </c>
      <c r="J20" s="148" t="str">
        <f>'CHAMBRES FILLES 1e ETAGE'!F25</f>
        <v/>
      </c>
      <c r="K20" s="121" t="str">
        <f>'CHAMBRES FILLES 1e ETAGE'!D37</f>
        <v/>
      </c>
      <c r="L20" s="146" t="str">
        <f>'CHAMBRES FILLES 1e ETAGE'!E37</f>
        <v/>
      </c>
      <c r="M20" s="146" t="str">
        <f>'CHAMBRES FILLES 1e ETAGE'!F37</f>
        <v/>
      </c>
      <c r="N20" s="121" t="str">
        <f>'CHAMBRES FILLES 1e ETAGE'!D43</f>
        <v>VIGNIER</v>
      </c>
      <c r="O20" s="146" t="str">
        <f>'CHAMBRES FILLES 1e ETAGE'!E43</f>
        <v>Camille</v>
      </c>
      <c r="P20" s="146" t="str">
        <f>'CHAMBRES FILLES 1e ETAGE'!F43</f>
        <v>2e TCVA</v>
      </c>
      <c r="Q20" s="121" t="str">
        <f>'CHAMBRES FILLES 1e ETAGE'!D49</f>
        <v/>
      </c>
      <c r="R20" s="146" t="str">
        <f>'CHAMBRES FILLES 1e ETAGE'!E49</f>
        <v/>
      </c>
      <c r="S20" s="147" t="str">
        <f>'CHAMBRES FILLES 1e ETAGE'!F49</f>
        <v/>
      </c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</row>
    <row r="21" spans="1:33" ht="18.75" thickBot="1">
      <c r="A21" s="128">
        <f>'CHAMBRES FILLES 1e ETAGE'!A11</f>
        <v>133</v>
      </c>
      <c r="B21" s="125" t="s">
        <v>61</v>
      </c>
      <c r="C21" s="129"/>
      <c r="D21" s="128">
        <f>'CHAMBRES FILLES 1e ETAGE'!A17</f>
        <v>134</v>
      </c>
      <c r="E21" s="125" t="s">
        <v>61</v>
      </c>
      <c r="F21" s="129"/>
      <c r="G21" s="127"/>
      <c r="H21" s="128">
        <f>'CHAMBRES FILLES 1e ETAGE'!A23</f>
        <v>141</v>
      </c>
      <c r="I21" s="125" t="s">
        <v>61</v>
      </c>
      <c r="J21" s="129"/>
      <c r="K21" s="128">
        <f>'CHAMBRES FILLES 1e ETAGE'!A35</f>
        <v>142</v>
      </c>
      <c r="L21" s="125" t="s">
        <v>61</v>
      </c>
      <c r="M21" s="129"/>
      <c r="N21" s="128">
        <f>'CHAMBRES FILLES 1e ETAGE'!A41</f>
        <v>143</v>
      </c>
      <c r="O21" s="125" t="s">
        <v>61</v>
      </c>
      <c r="P21" s="129"/>
      <c r="Q21" s="128">
        <f>'CHAMBRES FILLES 1e ETAGE'!A47</f>
        <v>144</v>
      </c>
      <c r="R21" s="125" t="s">
        <v>61</v>
      </c>
      <c r="S21" s="129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</row>
    <row r="22" spans="1:33" ht="15.75" thickBot="1">
      <c r="A22" s="107"/>
      <c r="B22" s="107"/>
      <c r="C22" s="107"/>
      <c r="D22" s="107"/>
      <c r="E22" s="107"/>
      <c r="F22" s="107"/>
      <c r="G22" s="116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</row>
    <row r="23" spans="1:33" ht="18.75" thickBot="1">
      <c r="A23" s="134">
        <f>'CHAMBRES FILLES 1e ETAGE'!A5</f>
        <v>132</v>
      </c>
      <c r="B23" s="135" t="s">
        <v>61</v>
      </c>
      <c r="C23" s="136"/>
      <c r="D23" s="307" t="s">
        <v>62</v>
      </c>
      <c r="E23" s="308"/>
      <c r="F23" s="309"/>
      <c r="G23" s="127"/>
      <c r="H23" s="307" t="s">
        <v>63</v>
      </c>
      <c r="I23" s="308"/>
      <c r="J23" s="309"/>
      <c r="K23" s="149">
        <f>'CHAMBRES FILLES 1e ETAGE'!A29</f>
        <v>149</v>
      </c>
      <c r="L23" s="135" t="s">
        <v>61</v>
      </c>
      <c r="M23" s="136"/>
      <c r="N23" s="307" t="s">
        <v>64</v>
      </c>
      <c r="O23" s="308"/>
      <c r="P23" s="309"/>
      <c r="Q23" s="134">
        <f>'CHAMBRES FILLES 1e ETAGE'!A53</f>
        <v>148</v>
      </c>
      <c r="R23" s="135" t="s">
        <v>61</v>
      </c>
      <c r="S23" s="136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</row>
    <row r="24" spans="1:33">
      <c r="A24" s="112" t="str">
        <f>'CHAMBRES FILLES 1e ETAGE'!D3</f>
        <v>CAYRE</v>
      </c>
      <c r="B24" s="114" t="str">
        <f>'CHAMBRES FILLES 1e ETAGE'!E3</f>
        <v>Charlotte</v>
      </c>
      <c r="C24" s="142" t="str">
        <f>'CHAMBRES FILLES 1e ETAGE'!F3</f>
        <v>1e STAV</v>
      </c>
      <c r="D24" s="113"/>
      <c r="E24" s="113"/>
      <c r="F24" s="115"/>
      <c r="G24" s="116"/>
      <c r="H24" s="137"/>
      <c r="I24" s="113"/>
      <c r="J24" s="113"/>
      <c r="K24" s="112" t="str">
        <f>'CHAMBRES FILLES 1e ETAGE'!D27</f>
        <v>HECQUET</v>
      </c>
      <c r="L24" s="114" t="str">
        <f>'CHAMBRES FILLES 1e ETAGE'!E27</f>
        <v>Anaïs</v>
      </c>
      <c r="M24" s="142" t="str">
        <f>'CHAMBRES FILLES 1e ETAGE'!F27</f>
        <v>1e TCVA</v>
      </c>
      <c r="N24" s="113"/>
      <c r="O24" s="113"/>
      <c r="P24" s="113"/>
      <c r="Q24" s="112" t="str">
        <f>'CHAMBRES FILLES 1e ETAGE'!D51</f>
        <v>FOURNIERE</v>
      </c>
      <c r="R24" s="114" t="str">
        <f>'CHAMBRES FILLES 1e ETAGE'!E51</f>
        <v>Maeva</v>
      </c>
      <c r="S24" s="142" t="str">
        <f>'CHAMBRES FILLES 1e ETAGE'!F51</f>
        <v>Term CGEA</v>
      </c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</row>
    <row r="25" spans="1:33">
      <c r="A25" s="117" t="str">
        <f>'CHAMBRES FILLES 1e ETAGE'!D4</f>
        <v>COSTE</v>
      </c>
      <c r="B25" s="118" t="str">
        <f>'CHAMBRES FILLES 1e ETAGE'!E4</f>
        <v>Laurine</v>
      </c>
      <c r="C25" s="144" t="str">
        <f>'CHAMBRES FILLES 1e ETAGE'!F4</f>
        <v>1e STAV</v>
      </c>
      <c r="D25" s="116"/>
      <c r="E25" s="116"/>
      <c r="F25" s="119"/>
      <c r="G25" s="116"/>
      <c r="H25" s="138"/>
      <c r="I25" s="116"/>
      <c r="J25" s="116"/>
      <c r="K25" s="117" t="str">
        <f>'CHAMBRES FILLES 1e ETAGE'!D28</f>
        <v>JOUCLAS</v>
      </c>
      <c r="L25" s="118" t="str">
        <f>'CHAMBRES FILLES 1e ETAGE'!E28</f>
        <v>Jade</v>
      </c>
      <c r="M25" s="144" t="str">
        <f>'CHAMBRES FILLES 1e ETAGE'!F28</f>
        <v>1e TCVA</v>
      </c>
      <c r="N25" s="116"/>
      <c r="O25" s="116"/>
      <c r="P25" s="116"/>
      <c r="Q25" s="117" t="str">
        <f>'CHAMBRES FILLES 1e ETAGE'!D52</f>
        <v>PAJOT</v>
      </c>
      <c r="R25" s="118" t="str">
        <f>'CHAMBRES FILLES 1e ETAGE'!E52</f>
        <v>Ophelie</v>
      </c>
      <c r="S25" s="144" t="str">
        <f>'CHAMBRES FILLES 1e ETAGE'!F52</f>
        <v>1e STAV</v>
      </c>
      <c r="T25" s="111"/>
      <c r="U25" s="111"/>
      <c r="V25" s="111"/>
      <c r="W25" s="111"/>
      <c r="X25" s="111"/>
      <c r="Y25" s="111"/>
      <c r="Z25" s="111"/>
      <c r="AA25" s="111"/>
      <c r="AB25" s="111"/>
      <c r="AC25" s="111"/>
      <c r="AD25" s="111"/>
      <c r="AE25" s="111"/>
      <c r="AF25" s="111"/>
      <c r="AG25" s="111"/>
    </row>
    <row r="26" spans="1:33">
      <c r="A26" s="117" t="str">
        <f>'CHAMBRES FILLES 1e ETAGE'!D5</f>
        <v>GARES</v>
      </c>
      <c r="B26" s="118" t="str">
        <f>'CHAMBRES FILLES 1e ETAGE'!E5</f>
        <v>Lola</v>
      </c>
      <c r="C26" s="144" t="str">
        <f>'CHAMBRES FILLES 1e ETAGE'!F5</f>
        <v>2e CF</v>
      </c>
      <c r="D26" s="116"/>
      <c r="E26" s="116"/>
      <c r="F26" s="119"/>
      <c r="G26" s="116"/>
      <c r="H26" s="138"/>
      <c r="I26" s="116"/>
      <c r="J26" s="116"/>
      <c r="K26" s="117" t="str">
        <f>'CHAMBRES FILLES 1e ETAGE'!D29</f>
        <v>MARCADE</v>
      </c>
      <c r="L26" s="118" t="str">
        <f>'CHAMBRES FILLES 1e ETAGE'!E29</f>
        <v>Solène</v>
      </c>
      <c r="M26" s="144" t="str">
        <f>'CHAMBRES FILLES 1e ETAGE'!F29</f>
        <v>1e TCVA</v>
      </c>
      <c r="N26" s="116"/>
      <c r="O26" s="116"/>
      <c r="P26" s="116"/>
      <c r="Q26" s="117" t="str">
        <f>'CHAMBRES FILLES 1e ETAGE'!D53</f>
        <v>SEGALA</v>
      </c>
      <c r="R26" s="118" t="str">
        <f>'CHAMBRES FILLES 1e ETAGE'!E53</f>
        <v>Coralie</v>
      </c>
      <c r="S26" s="144" t="str">
        <f>'CHAMBRES FILLES 1e ETAGE'!F53</f>
        <v>Term STAV</v>
      </c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</row>
    <row r="27" spans="1:33">
      <c r="A27" s="117" t="str">
        <f>'CHAMBRES FILLES 1e ETAGE'!D6</f>
        <v>LACIPIERE</v>
      </c>
      <c r="B27" s="118" t="str">
        <f>'CHAMBRES FILLES 1e ETAGE'!E6</f>
        <v>Lucia</v>
      </c>
      <c r="C27" s="144" t="str">
        <f>'CHAMBRES FILLES 1e ETAGE'!F6</f>
        <v>2e CF</v>
      </c>
      <c r="D27" s="116"/>
      <c r="E27" s="116"/>
      <c r="F27" s="119"/>
      <c r="G27" s="116"/>
      <c r="H27" s="138"/>
      <c r="I27" s="116"/>
      <c r="J27" s="116"/>
      <c r="K27" s="117" t="str">
        <f>'CHAMBRES FILLES 1e ETAGE'!D30</f>
        <v>VERDELET</v>
      </c>
      <c r="L27" s="118" t="str">
        <f>'CHAMBRES FILLES 1e ETAGE'!E30</f>
        <v>Laura</v>
      </c>
      <c r="M27" s="144" t="str">
        <f>'CHAMBRES FILLES 1e ETAGE'!F30</f>
        <v>1e TCVA</v>
      </c>
      <c r="N27" s="116"/>
      <c r="O27" s="116"/>
      <c r="P27" s="116"/>
      <c r="Q27" s="117" t="str">
        <f>'CHAMBRES FILLES 1e ETAGE'!D54</f>
        <v/>
      </c>
      <c r="R27" s="118" t="str">
        <f>'CHAMBRES FILLES 1e ETAGE'!E54</f>
        <v/>
      </c>
      <c r="S27" s="144" t="str">
        <f>'CHAMBRES FILLES 1e ETAGE'!F54</f>
        <v/>
      </c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  <c r="AG27" s="111"/>
    </row>
    <row r="28" spans="1:33" ht="15.75" thickBot="1">
      <c r="A28" s="121" t="str">
        <f>'CHAMBRES FILLES 1e ETAGE'!D7</f>
        <v/>
      </c>
      <c r="B28" s="146" t="str">
        <f>'CHAMBRES FILLES 1e ETAGE'!E7</f>
        <v/>
      </c>
      <c r="C28" s="147" t="str">
        <f>'CHAMBRES FILLES 1e ETAGE'!F7</f>
        <v/>
      </c>
      <c r="D28" s="122"/>
      <c r="E28" s="122"/>
      <c r="F28" s="123"/>
      <c r="G28" s="116"/>
      <c r="H28" s="139"/>
      <c r="I28" s="122"/>
      <c r="J28" s="122"/>
      <c r="K28" s="121" t="str">
        <f>'CHAMBRES FILLES 1e ETAGE'!D31</f>
        <v/>
      </c>
      <c r="L28" s="146" t="str">
        <f>'CHAMBRES FILLES 1e ETAGE'!E31</f>
        <v/>
      </c>
      <c r="M28" s="147" t="str">
        <f>'CHAMBRES FILLES 1e ETAGE'!F31</f>
        <v/>
      </c>
      <c r="N28" s="122"/>
      <c r="O28" s="122"/>
      <c r="P28" s="122"/>
      <c r="Q28" s="121" t="str">
        <f>'CHAMBRES FILLES 1e ETAGE'!D55</f>
        <v/>
      </c>
      <c r="R28" s="146" t="str">
        <f>'CHAMBRES FILLES 1e ETAGE'!E55</f>
        <v/>
      </c>
      <c r="S28" s="147" t="str">
        <f>'CHAMBRES FILLES 1e ETAGE'!F55</f>
        <v/>
      </c>
      <c r="T28" s="111"/>
      <c r="U28" s="111"/>
      <c r="V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  <c r="AG28" s="111"/>
    </row>
    <row r="29" spans="1:33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</row>
    <row r="30" spans="1:33">
      <c r="A30" s="11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</row>
    <row r="36" spans="15:15">
      <c r="O36" s="95"/>
    </row>
  </sheetData>
  <mergeCells count="7">
    <mergeCell ref="D9:F9"/>
    <mergeCell ref="H9:J9"/>
    <mergeCell ref="N9:P9"/>
    <mergeCell ref="W9:Y9"/>
    <mergeCell ref="D23:F23"/>
    <mergeCell ref="H23:J23"/>
    <mergeCell ref="N23:P23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1"/>
  <dimension ref="A1:AG30"/>
  <sheetViews>
    <sheetView workbookViewId="0">
      <selection activeCell="F17" sqref="F17"/>
    </sheetView>
  </sheetViews>
  <sheetFormatPr baseColWidth="10" defaultRowHeight="15"/>
  <cols>
    <col min="7" max="7" width="5.7109375" customWidth="1"/>
    <col min="26" max="26" width="5.7109375" customWidth="1"/>
  </cols>
  <sheetData>
    <row r="1" spans="1:33" ht="19.5" thickBot="1">
      <c r="A1" s="46" t="str">
        <f>'CHAMBRES FILLES 2e ETAGE'!A1</f>
        <v>CHAMBRES FILLES 2e ETAGE</v>
      </c>
      <c r="B1" s="107"/>
      <c r="C1" s="107"/>
      <c r="D1" s="107"/>
      <c r="E1" s="107"/>
      <c r="F1" s="47"/>
      <c r="G1" s="48"/>
      <c r="H1" s="108" t="s">
        <v>60</v>
      </c>
      <c r="I1" s="109">
        <f>Accueil!C18</f>
        <v>2017</v>
      </c>
      <c r="J1" s="110" t="str">
        <f>Accueil!D18</f>
        <v xml:space="preserve"> / 2018</v>
      </c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11"/>
    </row>
    <row r="2" spans="1:33">
      <c r="A2" s="112" t="str">
        <f>'CHAMBRES FILLES 2e ETAGE'!D9</f>
        <v>DERSY</v>
      </c>
      <c r="B2" s="113" t="str">
        <f>'CHAMBRES FILLES 2e ETAGE'!E9</f>
        <v>Alexandra</v>
      </c>
      <c r="C2" s="114" t="str">
        <f>'CHAMBRES FILLES 2e ETAGE'!F9</f>
        <v>2e CGEA</v>
      </c>
      <c r="D2" s="112" t="str">
        <f>'CHAMBRES FILLES 2e ETAGE'!D15</f>
        <v>BELOU</v>
      </c>
      <c r="E2" s="113" t="str">
        <f>'CHAMBRES FILLES 2e ETAGE'!E15</f>
        <v>Marie</v>
      </c>
      <c r="F2" s="115" t="str">
        <f>'CHAMBRES FILLES 2e ETAGE'!F15</f>
        <v>1e TCVA</v>
      </c>
      <c r="G2" s="116"/>
      <c r="H2" s="112" t="str">
        <f>'CHAMBRES FILLES 2e ETAGE'!D21</f>
        <v>ALAUX</v>
      </c>
      <c r="I2" s="113" t="str">
        <f>'CHAMBRES FILLES 2e ETAGE'!E21</f>
        <v>Alicia</v>
      </c>
      <c r="J2" s="113" t="str">
        <f>'CHAMBRES FILLES 2e ETAGE'!F21</f>
        <v>2e CF</v>
      </c>
      <c r="K2" s="112" t="str">
        <f>'CHAMBRES FILLES 2e ETAGE'!D27</f>
        <v>LETOURNEUR</v>
      </c>
      <c r="L2" s="113" t="str">
        <f>'CHAMBRES FILLES 2e ETAGE'!E27</f>
        <v>Eva</v>
      </c>
      <c r="M2" s="113" t="str">
        <f>'CHAMBRES FILLES 2e ETAGE'!F27</f>
        <v>2e CF</v>
      </c>
      <c r="N2" s="112" t="str">
        <f>'CHAMBRES FILLES 2e ETAGE'!D39</f>
        <v>BEDOS</v>
      </c>
      <c r="O2" s="113" t="str">
        <f>'CHAMBRES FILLES 2e ETAGE'!E39</f>
        <v>Rachel</v>
      </c>
      <c r="P2" s="113" t="str">
        <f>'CHAMBRES FILLES 2e ETAGE'!F39</f>
        <v>2e CGEA</v>
      </c>
      <c r="Q2" s="112" t="str">
        <f>'CHAMBRES FILLES 2e ETAGE'!D51</f>
        <v>BARREAU</v>
      </c>
      <c r="R2" s="113" t="str">
        <f>'CHAMBRES FILLES 2e ETAGE'!E51</f>
        <v>Pauline</v>
      </c>
      <c r="S2" s="113" t="str">
        <f>'CHAMBRES FILLES 2e ETAGE'!F51</f>
        <v>1e STAV</v>
      </c>
      <c r="T2" s="112" t="str">
        <f>'CHAMBRES FILLES 2e ETAGE'!D93</f>
        <v>AGUERA</v>
      </c>
      <c r="U2" s="113" t="str">
        <f>'CHAMBRES FILLES 2e ETAGE'!E93</f>
        <v>Melany</v>
      </c>
      <c r="V2" s="113" t="str">
        <f>'CHAMBRES FILLES 2e ETAGE'!F93</f>
        <v>Term CF</v>
      </c>
      <c r="W2" s="112" t="str">
        <f>'CHAMBRES FILLES 2e ETAGE'!D63</f>
        <v>BERARD</v>
      </c>
      <c r="X2" s="113" t="str">
        <f>'CHAMBRES FILLES 2e ETAGE'!E63</f>
        <v>Mélanie</v>
      </c>
      <c r="Y2" s="115" t="str">
        <f>'CHAMBRES FILLES 2e ETAGE'!F63</f>
        <v>Term CGEA</v>
      </c>
      <c r="Z2" s="116"/>
      <c r="AA2" s="112" t="str">
        <f>'CHAMBRES FILLES 2e ETAGE'!D69</f>
        <v>AVET</v>
      </c>
      <c r="AB2" s="113" t="str">
        <f>'CHAMBRES FILLES 2e ETAGE'!E69</f>
        <v>Eleane</v>
      </c>
      <c r="AC2" s="113" t="str">
        <f>'CHAMBRES FILLES 2e ETAGE'!F69</f>
        <v>Term TCVA</v>
      </c>
      <c r="AD2" s="112" t="str">
        <f>'CHAMBRES FILLES 2e ETAGE'!D87</f>
        <v>POULET</v>
      </c>
      <c r="AE2" s="113" t="str">
        <f>'CHAMBRES FILLES 2e ETAGE'!E87</f>
        <v>Aurélie</v>
      </c>
      <c r="AF2" s="115" t="str">
        <f>'CHAMBRES FILLES 2e ETAGE'!F87</f>
        <v>Term STAV</v>
      </c>
      <c r="AG2" s="111"/>
    </row>
    <row r="3" spans="1:33">
      <c r="A3" s="117" t="str">
        <f>'CHAMBRES FILLES 2e ETAGE'!D10</f>
        <v>LAURISSON</v>
      </c>
      <c r="B3" s="116" t="str">
        <f>'CHAMBRES FILLES 2e ETAGE'!E10</f>
        <v>Cassandre</v>
      </c>
      <c r="C3" s="118" t="str">
        <f>'CHAMBRES FILLES 2e ETAGE'!F10</f>
        <v>2e GT</v>
      </c>
      <c r="D3" s="117" t="str">
        <f>'CHAMBRES FILLES 2e ETAGE'!D16</f>
        <v>GARIVET</v>
      </c>
      <c r="E3" s="116" t="str">
        <f>'CHAMBRES FILLES 2e ETAGE'!E16</f>
        <v>Manon</v>
      </c>
      <c r="F3" s="119" t="str">
        <f>'CHAMBRES FILLES 2e ETAGE'!F16</f>
        <v>1e CF</v>
      </c>
      <c r="G3" s="116"/>
      <c r="H3" s="117" t="str">
        <f>'CHAMBRES FILLES 2e ETAGE'!D22</f>
        <v>BELLOUBET</v>
      </c>
      <c r="I3" s="116" t="str">
        <f>'CHAMBRES FILLES 2e ETAGE'!E22</f>
        <v>Maëlys</v>
      </c>
      <c r="J3" s="116" t="str">
        <f>'CHAMBRES FILLES 2e ETAGE'!F22</f>
        <v>1e TCVA</v>
      </c>
      <c r="K3" s="117" t="str">
        <f>'CHAMBRES FILLES 2e ETAGE'!D28</f>
        <v>MOISSON</v>
      </c>
      <c r="L3" s="116" t="str">
        <f>'CHAMBRES FILLES 2e ETAGE'!E28</f>
        <v>Lucile</v>
      </c>
      <c r="M3" s="116" t="str">
        <f>'CHAMBRES FILLES 2e ETAGE'!F28</f>
        <v>2e CF</v>
      </c>
      <c r="N3" s="117" t="str">
        <f>'CHAMBRES FILLES 2e ETAGE'!D40</f>
        <v>CAVAIGNAC</v>
      </c>
      <c r="O3" s="116" t="str">
        <f>'CHAMBRES FILLES 2e ETAGE'!E40</f>
        <v>Marie</v>
      </c>
      <c r="P3" s="116" t="str">
        <f>'CHAMBRES FILLES 2e ETAGE'!F40</f>
        <v>1e STAV</v>
      </c>
      <c r="Q3" s="117" t="str">
        <f>'CHAMBRES FILLES 2e ETAGE'!D52</f>
        <v>DE SOUZA</v>
      </c>
      <c r="R3" s="116" t="str">
        <f>'CHAMBRES FILLES 2e ETAGE'!E52</f>
        <v>Jade</v>
      </c>
      <c r="S3" s="116" t="str">
        <f>'CHAMBRES FILLES 2e ETAGE'!F52</f>
        <v>1e CF</v>
      </c>
      <c r="T3" s="117" t="str">
        <f>'CHAMBRES FILLES 2e ETAGE'!D94</f>
        <v>BERNARD</v>
      </c>
      <c r="U3" s="116" t="str">
        <f>'CHAMBRES FILLES 2e ETAGE'!E94</f>
        <v>Anissa</v>
      </c>
      <c r="V3" s="116" t="str">
        <f>'CHAMBRES FILLES 2e ETAGE'!F94</f>
        <v>Term CF</v>
      </c>
      <c r="W3" s="117" t="str">
        <f>'CHAMBRES FILLES 2e ETAGE'!D64</f>
        <v>BONNET</v>
      </c>
      <c r="X3" s="116" t="str">
        <f>'CHAMBRES FILLES 2e ETAGE'!E64</f>
        <v>Mélanie</v>
      </c>
      <c r="Y3" s="119" t="str">
        <f>'CHAMBRES FILLES 2e ETAGE'!F64</f>
        <v>Term CGEA</v>
      </c>
      <c r="Z3" s="116"/>
      <c r="AA3" s="117" t="str">
        <f>'CHAMBRES FILLES 2e ETAGE'!D70</f>
        <v>CARRY</v>
      </c>
      <c r="AB3" s="116" t="str">
        <f>'CHAMBRES FILLES 2e ETAGE'!E70</f>
        <v>Clémence</v>
      </c>
      <c r="AC3" s="116" t="str">
        <f>'CHAMBRES FILLES 2e ETAGE'!F70</f>
        <v>Term CF</v>
      </c>
      <c r="AD3" s="117" t="str">
        <f>'CHAMBRES FILLES 2e ETAGE'!D88</f>
        <v>PRIVAT</v>
      </c>
      <c r="AE3" s="116" t="str">
        <f>'CHAMBRES FILLES 2e ETAGE'!E88</f>
        <v>Elois</v>
      </c>
      <c r="AF3" s="119" t="str">
        <f>'CHAMBRES FILLES 2e ETAGE'!F88</f>
        <v>1e CF</v>
      </c>
      <c r="AG3" s="111"/>
    </row>
    <row r="4" spans="1:33">
      <c r="A4" s="117" t="str">
        <f>'CHAMBRES FILLES 2e ETAGE'!D11</f>
        <v>MANCEAU</v>
      </c>
      <c r="B4" s="116" t="str">
        <f>'CHAMBRES FILLES 2e ETAGE'!E11</f>
        <v>Maeva</v>
      </c>
      <c r="C4" s="118" t="str">
        <f>'CHAMBRES FILLES 2e ETAGE'!F11</f>
        <v>2e CGEA</v>
      </c>
      <c r="D4" s="117" t="str">
        <f>'CHAMBRES FILLES 2e ETAGE'!D17</f>
        <v>PY</v>
      </c>
      <c r="E4" s="116" t="str">
        <f>'CHAMBRES FILLES 2e ETAGE'!E17</f>
        <v>Manon</v>
      </c>
      <c r="F4" s="119" t="str">
        <f>'CHAMBRES FILLES 2e ETAGE'!F17</f>
        <v>1e CF</v>
      </c>
      <c r="G4" s="116"/>
      <c r="H4" s="117" t="str">
        <f>'CHAMBRES FILLES 2e ETAGE'!D23</f>
        <v>LEMAZURIER</v>
      </c>
      <c r="I4" s="116" t="str">
        <f>'CHAMBRES FILLES 2e ETAGE'!E23</f>
        <v>Doriane</v>
      </c>
      <c r="J4" s="116" t="str">
        <f>'CHAMBRES FILLES 2e ETAGE'!F23</f>
        <v>1e CF</v>
      </c>
      <c r="K4" s="117" t="str">
        <f>'CHAMBRES FILLES 2e ETAGE'!D29</f>
        <v>PEREIRA</v>
      </c>
      <c r="L4" s="116" t="str">
        <f>'CHAMBRES FILLES 2e ETAGE'!E29</f>
        <v>Edith</v>
      </c>
      <c r="M4" s="116" t="str">
        <f>'CHAMBRES FILLES 2e ETAGE'!F29</f>
        <v>2e CF</v>
      </c>
      <c r="N4" s="117" t="str">
        <f>'CHAMBRES FILLES 2e ETAGE'!D41</f>
        <v>GOUT</v>
      </c>
      <c r="O4" s="116" t="str">
        <f>'CHAMBRES FILLES 2e ETAGE'!E41</f>
        <v>Lucile</v>
      </c>
      <c r="P4" s="116" t="str">
        <f>'CHAMBRES FILLES 2e ETAGE'!F41</f>
        <v>2e GT</v>
      </c>
      <c r="Q4" s="117" t="str">
        <f>'CHAMBRES FILLES 2e ETAGE'!D53</f>
        <v>PEYRILLES</v>
      </c>
      <c r="R4" s="116" t="str">
        <f>'CHAMBRES FILLES 2e ETAGE'!E53</f>
        <v>Maeliss</v>
      </c>
      <c r="S4" s="116" t="str">
        <f>'CHAMBRES FILLES 2e ETAGE'!F53</f>
        <v>1e STAV</v>
      </c>
      <c r="T4" s="117" t="str">
        <f>'CHAMBRES FILLES 2e ETAGE'!D95</f>
        <v>JOLLY</v>
      </c>
      <c r="U4" s="116" t="str">
        <f>'CHAMBRES FILLES 2e ETAGE'!E95</f>
        <v>Cindy</v>
      </c>
      <c r="V4" s="116" t="str">
        <f>'CHAMBRES FILLES 2e ETAGE'!F95</f>
        <v>1e TCVA</v>
      </c>
      <c r="W4" s="117" t="str">
        <f>'CHAMBRES FILLES 2e ETAGE'!D65</f>
        <v>LEGRAND</v>
      </c>
      <c r="X4" s="116" t="str">
        <f>'CHAMBRES FILLES 2e ETAGE'!E65</f>
        <v>Eva</v>
      </c>
      <c r="Y4" s="119" t="str">
        <f>'CHAMBRES FILLES 2e ETAGE'!F65</f>
        <v>1e CGEA</v>
      </c>
      <c r="Z4" s="120"/>
      <c r="AA4" s="117" t="str">
        <f>'CHAMBRES FILLES 2e ETAGE'!D71</f>
        <v>LACOSTE</v>
      </c>
      <c r="AB4" s="116" t="str">
        <f>'CHAMBRES FILLES 2e ETAGE'!E71</f>
        <v>Marion</v>
      </c>
      <c r="AC4" s="116" t="str">
        <f>'CHAMBRES FILLES 2e ETAGE'!F71</f>
        <v>Term STAV</v>
      </c>
      <c r="AD4" s="117" t="str">
        <f>'CHAMBRES FILLES 2e ETAGE'!D89</f>
        <v>THOMAS</v>
      </c>
      <c r="AE4" s="116" t="str">
        <f>'CHAMBRES FILLES 2e ETAGE'!E89</f>
        <v>Laurie</v>
      </c>
      <c r="AF4" s="119" t="str">
        <f>'CHAMBRES FILLES 2e ETAGE'!F89</f>
        <v>Term STAV</v>
      </c>
      <c r="AG4" s="111"/>
    </row>
    <row r="5" spans="1:33">
      <c r="A5" s="117" t="str">
        <f>'CHAMBRES FILLES 2e ETAGE'!D12</f>
        <v>MASDIEU</v>
      </c>
      <c r="B5" s="116" t="str">
        <f>'CHAMBRES FILLES 2e ETAGE'!E12</f>
        <v>Elise</v>
      </c>
      <c r="C5" s="118" t="str">
        <f>'CHAMBRES FILLES 2e ETAGE'!F12</f>
        <v>2e GT</v>
      </c>
      <c r="D5" s="117" t="str">
        <f>'CHAMBRES FILLES 2e ETAGE'!D18</f>
        <v>TETUAN</v>
      </c>
      <c r="E5" s="116" t="str">
        <f>'CHAMBRES FILLES 2e ETAGE'!E18</f>
        <v>Mélaine</v>
      </c>
      <c r="F5" s="119" t="str">
        <f>'CHAMBRES FILLES 2e ETAGE'!F18</f>
        <v>1e CF</v>
      </c>
      <c r="G5" s="116"/>
      <c r="H5" s="117" t="str">
        <f>'CHAMBRES FILLES 2e ETAGE'!D24</f>
        <v>MOLINIE</v>
      </c>
      <c r="I5" s="116" t="str">
        <f>'CHAMBRES FILLES 2e ETAGE'!E24</f>
        <v>Morgane</v>
      </c>
      <c r="J5" s="116" t="str">
        <f>'CHAMBRES FILLES 2e ETAGE'!F24</f>
        <v>3e EA</v>
      </c>
      <c r="K5" s="117" t="str">
        <f>'CHAMBRES FILLES 2e ETAGE'!D30</f>
        <v>VALET</v>
      </c>
      <c r="L5" s="116" t="str">
        <f>'CHAMBRES FILLES 2e ETAGE'!E30</f>
        <v>Tiffany</v>
      </c>
      <c r="M5" s="116" t="str">
        <f>'CHAMBRES FILLES 2e ETAGE'!F30</f>
        <v>2e CF</v>
      </c>
      <c r="N5" s="117" t="str">
        <f>'CHAMBRES FILLES 2e ETAGE'!D42</f>
        <v>JOIE</v>
      </c>
      <c r="O5" s="116" t="str">
        <f>'CHAMBRES FILLES 2e ETAGE'!E42</f>
        <v>Estelle</v>
      </c>
      <c r="P5" s="116" t="str">
        <f>'CHAMBRES FILLES 2e ETAGE'!F42</f>
        <v>1e STAV</v>
      </c>
      <c r="Q5" s="117" t="str">
        <f>'CHAMBRES FILLES 2e ETAGE'!D54</f>
        <v>PUECH</v>
      </c>
      <c r="R5" s="116" t="str">
        <f>'CHAMBRES FILLES 2e ETAGE'!E54</f>
        <v>Laetitia</v>
      </c>
      <c r="S5" s="116" t="str">
        <f>'CHAMBRES FILLES 2e ETAGE'!F54</f>
        <v>1e STAV</v>
      </c>
      <c r="T5" s="117" t="str">
        <f>'CHAMBRES FILLES 2e ETAGE'!D96</f>
        <v>SACRE</v>
      </c>
      <c r="U5" s="116" t="str">
        <f>'CHAMBRES FILLES 2e ETAGE'!E96</f>
        <v>Shana</v>
      </c>
      <c r="V5" s="116" t="str">
        <f>'CHAMBRES FILLES 2e ETAGE'!F96</f>
        <v>Term CF</v>
      </c>
      <c r="W5" s="117" t="str">
        <f>'CHAMBRES FILLES 2e ETAGE'!D66</f>
        <v>ROUMIGUIERE</v>
      </c>
      <c r="X5" s="116" t="str">
        <f>'CHAMBRES FILLES 2e ETAGE'!E66</f>
        <v>Aulicia</v>
      </c>
      <c r="Y5" s="119" t="str">
        <f>'CHAMBRES FILLES 2e ETAGE'!F66</f>
        <v>1e CGEA</v>
      </c>
      <c r="Z5" s="116"/>
      <c r="AA5" s="117" t="str">
        <f>'CHAMBRES FILLES 2e ETAGE'!D72</f>
        <v>RAMADIER</v>
      </c>
      <c r="AB5" s="116" t="str">
        <f>'CHAMBRES FILLES 2e ETAGE'!E72</f>
        <v>Manon</v>
      </c>
      <c r="AC5" s="116" t="str">
        <f>'CHAMBRES FILLES 2e ETAGE'!F72</f>
        <v>1e STAV</v>
      </c>
      <c r="AD5" s="117" t="str">
        <f>'CHAMBRES FILLES 2e ETAGE'!D90</f>
        <v>VALES</v>
      </c>
      <c r="AE5" s="116" t="str">
        <f>'CHAMBRES FILLES 2e ETAGE'!E90</f>
        <v>Justine</v>
      </c>
      <c r="AF5" s="119" t="str">
        <f>'CHAMBRES FILLES 2e ETAGE'!F90</f>
        <v>Term STAV</v>
      </c>
      <c r="AG5" s="111"/>
    </row>
    <row r="6" spans="1:33" ht="15.75" thickBot="1">
      <c r="A6" s="121" t="str">
        <f>'CHAMBRES FILLES 2e ETAGE'!D13</f>
        <v/>
      </c>
      <c r="B6" s="122" t="str">
        <f>'CHAMBRES FILLES 2e ETAGE'!E13</f>
        <v/>
      </c>
      <c r="C6" s="122" t="str">
        <f>'CHAMBRES FILLES 2e ETAGE'!F13</f>
        <v/>
      </c>
      <c r="D6" s="121" t="str">
        <f>'CHAMBRES FILLES 2e ETAGE'!D19</f>
        <v/>
      </c>
      <c r="E6" s="122" t="str">
        <f>'CHAMBRES FILLES 2e ETAGE'!E19</f>
        <v/>
      </c>
      <c r="F6" s="123" t="str">
        <f>'CHAMBRES FILLES 2e ETAGE'!F19</f>
        <v/>
      </c>
      <c r="G6" s="116"/>
      <c r="H6" s="121" t="str">
        <f>'CHAMBRES FILLES 2e ETAGE'!D25</f>
        <v/>
      </c>
      <c r="I6" s="122" t="str">
        <f>'CHAMBRES FILLES 2e ETAGE'!E25</f>
        <v/>
      </c>
      <c r="J6" s="122" t="str">
        <f>'CHAMBRES FILLES 2e ETAGE'!F25</f>
        <v/>
      </c>
      <c r="K6" s="121" t="str">
        <f>'CHAMBRES FILLES 2e ETAGE'!D31</f>
        <v/>
      </c>
      <c r="L6" s="122" t="str">
        <f>'CHAMBRES FILLES 2e ETAGE'!E31</f>
        <v/>
      </c>
      <c r="M6" s="122" t="str">
        <f>'CHAMBRES FILLES 2e ETAGE'!F31</f>
        <v/>
      </c>
      <c r="N6" s="121" t="str">
        <f>'CHAMBRES FILLES 2e ETAGE'!D43</f>
        <v/>
      </c>
      <c r="O6" s="122" t="str">
        <f>'CHAMBRES FILLES 2e ETAGE'!E43</f>
        <v/>
      </c>
      <c r="P6" s="122" t="str">
        <f>'CHAMBRES FILLES 2e ETAGE'!F43</f>
        <v/>
      </c>
      <c r="Q6" s="121" t="str">
        <f>'CHAMBRES FILLES 2e ETAGE'!D55</f>
        <v>THAMIE</v>
      </c>
      <c r="R6" s="122" t="str">
        <f>'CHAMBRES FILLES 2e ETAGE'!E55</f>
        <v>Flavie</v>
      </c>
      <c r="S6" s="122" t="str">
        <f>'CHAMBRES FILLES 2e ETAGE'!F55</f>
        <v>1e STAV</v>
      </c>
      <c r="T6" s="121" t="str">
        <f>'CHAMBRES FILLES 2e ETAGE'!D97</f>
        <v/>
      </c>
      <c r="U6" s="122" t="str">
        <f>'CHAMBRES FILLES 2e ETAGE'!E97</f>
        <v/>
      </c>
      <c r="V6" s="122" t="str">
        <f>'CHAMBRES FILLES 2e ETAGE'!F97</f>
        <v/>
      </c>
      <c r="W6" s="121" t="str">
        <f>'CHAMBRES FILLES 2e ETAGE'!D67</f>
        <v/>
      </c>
      <c r="X6" s="122" t="str">
        <f>'CHAMBRES FILLES 2e ETAGE'!E67</f>
        <v/>
      </c>
      <c r="Y6" s="123" t="str">
        <f>'CHAMBRES FILLES 2e ETAGE'!F67</f>
        <v/>
      </c>
      <c r="Z6" s="116"/>
      <c r="AA6" s="121" t="str">
        <f>'CHAMBRES FILLES 2e ETAGE'!D73</f>
        <v/>
      </c>
      <c r="AB6" s="122" t="str">
        <f>'CHAMBRES FILLES 2e ETAGE'!E73</f>
        <v/>
      </c>
      <c r="AC6" s="122" t="str">
        <f>'CHAMBRES FILLES 2e ETAGE'!F73</f>
        <v/>
      </c>
      <c r="AD6" s="121" t="str">
        <f>'CHAMBRES FILLES 2e ETAGE'!D91</f>
        <v/>
      </c>
      <c r="AE6" s="122" t="str">
        <f>'CHAMBRES FILLES 2e ETAGE'!E91</f>
        <v/>
      </c>
      <c r="AF6" s="123" t="str">
        <f>'CHAMBRES FILLES 2e ETAGE'!F91</f>
        <v/>
      </c>
      <c r="AG6" s="111"/>
    </row>
    <row r="7" spans="1:33" ht="18.75" thickBot="1">
      <c r="A7" s="124">
        <f>'CHAMBRES FILLES 2e ETAGE'!A11</f>
        <v>159</v>
      </c>
      <c r="B7" s="125" t="s">
        <v>61</v>
      </c>
      <c r="C7" s="126"/>
      <c r="D7" s="124">
        <f>'CHAMBRES FILLES 2e ETAGE'!A17</f>
        <v>160</v>
      </c>
      <c r="E7" s="125" t="s">
        <v>61</v>
      </c>
      <c r="F7" s="126"/>
      <c r="G7" s="127"/>
      <c r="H7" s="128">
        <f>'CHAMBRES FILLES 2e ETAGE'!A23</f>
        <v>167</v>
      </c>
      <c r="I7" s="125" t="s">
        <v>61</v>
      </c>
      <c r="J7" s="129"/>
      <c r="K7" s="128">
        <f>'CHAMBRES FILLES 2e ETAGE'!A29</f>
        <v>168</v>
      </c>
      <c r="L7" s="125" t="s">
        <v>61</v>
      </c>
      <c r="M7" s="129"/>
      <c r="N7" s="128">
        <f>'CHAMBRES FILLES 2e ETAGE'!A41</f>
        <v>169</v>
      </c>
      <c r="O7" s="125" t="s">
        <v>61</v>
      </c>
      <c r="P7" s="129"/>
      <c r="Q7" s="128">
        <f>'CHAMBRES FILLES 2e ETAGE'!A53</f>
        <v>170</v>
      </c>
      <c r="R7" s="125" t="s">
        <v>61</v>
      </c>
      <c r="S7" s="129"/>
      <c r="T7" s="128">
        <f>'CHAMBRES FILLES 2e ETAGE'!A95</f>
        <v>171</v>
      </c>
      <c r="U7" s="125" t="s">
        <v>61</v>
      </c>
      <c r="V7" s="129"/>
      <c r="W7" s="128">
        <f>'CHAMBRES FILLES 2e ETAGE'!A65</f>
        <v>172</v>
      </c>
      <c r="X7" s="125" t="s">
        <v>61</v>
      </c>
      <c r="Y7" s="129"/>
      <c r="Z7" s="130"/>
      <c r="AA7" s="128">
        <f>'CHAMBRES FILLES 2e ETAGE'!A71</f>
        <v>179</v>
      </c>
      <c r="AB7" s="125" t="s">
        <v>61</v>
      </c>
      <c r="AC7" s="129"/>
      <c r="AD7" s="128">
        <f>'CHAMBRES FILLES 2e ETAGE'!A89</f>
        <v>180</v>
      </c>
      <c r="AE7" s="125" t="s">
        <v>61</v>
      </c>
      <c r="AF7" s="129"/>
      <c r="AG7" s="111"/>
    </row>
    <row r="8" spans="1:33" ht="18.75" thickBot="1">
      <c r="A8" s="107"/>
      <c r="B8" s="107"/>
      <c r="C8" s="107"/>
      <c r="D8" s="107"/>
      <c r="E8" s="107"/>
      <c r="F8" s="107"/>
      <c r="G8" s="116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31"/>
      <c r="AE8" s="107"/>
      <c r="AF8" s="107"/>
      <c r="AG8" s="111"/>
    </row>
    <row r="9" spans="1:33" ht="18.75" thickBot="1">
      <c r="A9" s="124">
        <f>'CHAMBRES FILLES 2e ETAGE'!A5</f>
        <v>158</v>
      </c>
      <c r="B9" s="132" t="s">
        <v>61</v>
      </c>
      <c r="C9" s="126"/>
      <c r="D9" s="307" t="s">
        <v>62</v>
      </c>
      <c r="E9" s="308"/>
      <c r="F9" s="309"/>
      <c r="G9" s="127"/>
      <c r="H9" s="307" t="s">
        <v>63</v>
      </c>
      <c r="I9" s="308"/>
      <c r="J9" s="309"/>
      <c r="K9" s="124">
        <f>'CHAMBRES FILLES 2e ETAGE'!A35</f>
        <v>166</v>
      </c>
      <c r="L9" s="132" t="s">
        <v>61</v>
      </c>
      <c r="M9" s="126"/>
      <c r="N9" s="307" t="s">
        <v>64</v>
      </c>
      <c r="O9" s="308"/>
      <c r="P9" s="309"/>
      <c r="Q9" s="124">
        <f>'CHAMBRES FILLES 2e ETAGE'!A47</f>
        <v>164</v>
      </c>
      <c r="R9" s="132" t="s">
        <v>61</v>
      </c>
      <c r="S9" s="126"/>
      <c r="T9" s="134">
        <f>'CHAMBRES FILLES 2e ETAGE'!A59</f>
        <v>163</v>
      </c>
      <c r="U9" s="135" t="s">
        <v>61</v>
      </c>
      <c r="V9" s="136"/>
      <c r="W9" s="307" t="s">
        <v>64</v>
      </c>
      <c r="X9" s="308"/>
      <c r="Y9" s="309"/>
      <c r="Z9" s="130"/>
      <c r="AA9" s="134">
        <f>'CHAMBRES FILLES 2e ETAGE'!A77</f>
        <v>178</v>
      </c>
      <c r="AB9" s="135" t="s">
        <v>61</v>
      </c>
      <c r="AC9" s="136"/>
      <c r="AD9" s="134">
        <f>'CHAMBRES FILLES 2e ETAGE'!A83</f>
        <v>177</v>
      </c>
      <c r="AE9" s="135" t="s">
        <v>61</v>
      </c>
      <c r="AF9" s="136"/>
      <c r="AG9" s="111"/>
    </row>
    <row r="10" spans="1:33">
      <c r="A10" s="112" t="str">
        <f>'CHAMBRES FILLES 2e ETAGE'!D3</f>
        <v>BILLOT</v>
      </c>
      <c r="B10" s="113" t="str">
        <f>'CHAMBRES FILLES 2e ETAGE'!E3</f>
        <v>Lucie</v>
      </c>
      <c r="C10" s="115" t="str">
        <f>'CHAMBRES FILLES 2e ETAGE'!F3</f>
        <v>2e CF</v>
      </c>
      <c r="D10" s="113"/>
      <c r="E10" s="113"/>
      <c r="F10" s="115"/>
      <c r="G10" s="116"/>
      <c r="H10" s="137"/>
      <c r="I10" s="113"/>
      <c r="J10" s="113"/>
      <c r="K10" s="112" t="str">
        <f>'CHAMBRES FILLES 2e ETAGE'!D33</f>
        <v>CAPELLE</v>
      </c>
      <c r="L10" s="113" t="str">
        <f>'CHAMBRES FILLES 2e ETAGE'!E33</f>
        <v>Amandine</v>
      </c>
      <c r="M10" s="115" t="str">
        <f>'CHAMBRES FILLES 2e ETAGE'!F33</f>
        <v>1e CF</v>
      </c>
      <c r="N10" s="113"/>
      <c r="O10" s="113"/>
      <c r="P10" s="113"/>
      <c r="Q10" s="112" t="str">
        <f>'CHAMBRES FILLES 2e ETAGE'!D45</f>
        <v>COUSTEAU</v>
      </c>
      <c r="R10" s="113" t="str">
        <f>'CHAMBRES FILLES 2e ETAGE'!E45</f>
        <v>Maeva</v>
      </c>
      <c r="S10" s="113" t="str">
        <f>'CHAMBRES FILLES 2e ETAGE'!F45</f>
        <v>2e TCVA</v>
      </c>
      <c r="T10" s="112" t="str">
        <f>'CHAMBRES FILLES 2e ETAGE'!D57</f>
        <v>DUPUIS</v>
      </c>
      <c r="U10" s="113" t="str">
        <f>'CHAMBRES FILLES 2e ETAGE'!E57</f>
        <v>Coralie</v>
      </c>
      <c r="V10" s="115" t="str">
        <f>'CHAMBRES FILLES 2e ETAGE'!F57</f>
        <v>Term TCVA</v>
      </c>
      <c r="W10" s="113"/>
      <c r="X10" s="113"/>
      <c r="Y10" s="115"/>
      <c r="Z10" s="138"/>
      <c r="AA10" s="112" t="str">
        <f>'CHAMBRES FILLES 2e ETAGE'!D75</f>
        <v>BONNEFON</v>
      </c>
      <c r="AB10" s="113" t="str">
        <f>'CHAMBRES FILLES 2e ETAGE'!E75</f>
        <v>Auriane</v>
      </c>
      <c r="AC10" s="113" t="str">
        <f>'CHAMBRES FILLES 2e ETAGE'!F75</f>
        <v>Term STAV</v>
      </c>
      <c r="AD10" s="112" t="str">
        <f>'CHAMBRES FILLES 2e ETAGE'!D81</f>
        <v>BOUTINON</v>
      </c>
      <c r="AE10" s="113" t="str">
        <f>'CHAMBRES FILLES 2e ETAGE'!E81</f>
        <v>Elhea</v>
      </c>
      <c r="AF10" s="115" t="str">
        <f>'CHAMBRES FILLES 2e ETAGE'!F81</f>
        <v>Term STAV</v>
      </c>
      <c r="AG10" s="111"/>
    </row>
    <row r="11" spans="1:33">
      <c r="A11" s="117" t="str">
        <f>'CHAMBRES FILLES 2e ETAGE'!D4</f>
        <v>DALMASSO</v>
      </c>
      <c r="B11" s="116" t="str">
        <f>'CHAMBRES FILLES 2e ETAGE'!E4</f>
        <v>Chloé</v>
      </c>
      <c r="C11" s="119" t="str">
        <f>'CHAMBRES FILLES 2e ETAGE'!F4</f>
        <v>2e CF</v>
      </c>
      <c r="D11" s="116"/>
      <c r="E11" s="116"/>
      <c r="F11" s="119"/>
      <c r="G11" s="116"/>
      <c r="H11" s="138"/>
      <c r="I11" s="116"/>
      <c r="J11" s="116"/>
      <c r="K11" s="117" t="str">
        <f>'CHAMBRES FILLES 2e ETAGE'!D34</f>
        <v>GONTIER</v>
      </c>
      <c r="L11" s="116" t="str">
        <f>'CHAMBRES FILLES 2e ETAGE'!E34</f>
        <v>Saphir</v>
      </c>
      <c r="M11" s="119" t="str">
        <f>'CHAMBRES FILLES 2e ETAGE'!F34</f>
        <v>1e CF</v>
      </c>
      <c r="N11" s="116"/>
      <c r="O11" s="116"/>
      <c r="P11" s="116"/>
      <c r="Q11" s="117" t="str">
        <f>'CHAMBRES FILLES 2e ETAGE'!D46</f>
        <v>FABRE</v>
      </c>
      <c r="R11" s="116" t="str">
        <f>'CHAMBRES FILLES 2e ETAGE'!E46</f>
        <v>Audrey</v>
      </c>
      <c r="S11" s="116" t="str">
        <f>'CHAMBRES FILLES 2e ETAGE'!F46</f>
        <v>2e TCVA</v>
      </c>
      <c r="T11" s="117" t="str">
        <f>'CHAMBRES FILLES 2e ETAGE'!D58</f>
        <v>FAVRE</v>
      </c>
      <c r="U11" s="116" t="str">
        <f>'CHAMBRES FILLES 2e ETAGE'!E58</f>
        <v>Gwendoline</v>
      </c>
      <c r="V11" s="119" t="str">
        <f>'CHAMBRES FILLES 2e ETAGE'!F58</f>
        <v>Term CF</v>
      </c>
      <c r="W11" s="116"/>
      <c r="X11" s="116"/>
      <c r="Y11" s="119"/>
      <c r="Z11" s="138"/>
      <c r="AA11" s="117" t="str">
        <f>'CHAMBRES FILLES 2e ETAGE'!D76</f>
        <v>LEON-DUFOUR</v>
      </c>
      <c r="AB11" s="116" t="str">
        <f>'CHAMBRES FILLES 2e ETAGE'!E76</f>
        <v>Clarisse</v>
      </c>
      <c r="AC11" s="116" t="str">
        <f>'CHAMBRES FILLES 2e ETAGE'!F76</f>
        <v>1e TCVA</v>
      </c>
      <c r="AD11" s="117" t="str">
        <f>'CHAMBRES FILLES 2e ETAGE'!D82</f>
        <v>DAOUT</v>
      </c>
      <c r="AE11" s="116" t="str">
        <f>'CHAMBRES FILLES 2e ETAGE'!E82</f>
        <v>Camille</v>
      </c>
      <c r="AF11" s="119" t="str">
        <f>'CHAMBRES FILLES 2e ETAGE'!F82</f>
        <v>Term CF</v>
      </c>
      <c r="AG11" s="111"/>
    </row>
    <row r="12" spans="1:33">
      <c r="A12" s="117" t="str">
        <f>'CHAMBRES FILLES 2e ETAGE'!D5</f>
        <v>FAU</v>
      </c>
      <c r="B12" s="116" t="str">
        <f>'CHAMBRES FILLES 2e ETAGE'!E5</f>
        <v>Emmy</v>
      </c>
      <c r="C12" s="119" t="str">
        <f>'CHAMBRES FILLES 2e ETAGE'!F5</f>
        <v>2e CF</v>
      </c>
      <c r="D12" s="116"/>
      <c r="E12" s="116"/>
      <c r="F12" s="119"/>
      <c r="G12" s="116"/>
      <c r="H12" s="138"/>
      <c r="I12" s="116"/>
      <c r="J12" s="116"/>
      <c r="K12" s="117" t="str">
        <f>'CHAMBRES FILLES 2e ETAGE'!D35</f>
        <v>PAGES</v>
      </c>
      <c r="L12" s="116" t="str">
        <f>'CHAMBRES FILLES 2e ETAGE'!E35</f>
        <v>Audrey</v>
      </c>
      <c r="M12" s="119" t="str">
        <f>'CHAMBRES FILLES 2e ETAGE'!F35</f>
        <v>2e GT</v>
      </c>
      <c r="N12" s="116"/>
      <c r="O12" s="116"/>
      <c r="P12" s="116"/>
      <c r="Q12" s="117" t="str">
        <f>'CHAMBRES FILLES 2e ETAGE'!D47</f>
        <v>GACHOD</v>
      </c>
      <c r="R12" s="116" t="str">
        <f>'CHAMBRES FILLES 2e ETAGE'!E47</f>
        <v>Juliette</v>
      </c>
      <c r="S12" s="116" t="str">
        <f>'CHAMBRES FILLES 2e ETAGE'!F47</f>
        <v>2e GT</v>
      </c>
      <c r="T12" s="117" t="str">
        <f>'CHAMBRES FILLES 2e ETAGE'!D59</f>
        <v>REVEL</v>
      </c>
      <c r="U12" s="116" t="str">
        <f>'CHAMBRES FILLES 2e ETAGE'!E59</f>
        <v>Manueva</v>
      </c>
      <c r="V12" s="119" t="str">
        <f>'CHAMBRES FILLES 2e ETAGE'!F59</f>
        <v>Term CF</v>
      </c>
      <c r="W12" s="116"/>
      <c r="X12" s="116"/>
      <c r="Y12" s="119"/>
      <c r="Z12" s="138"/>
      <c r="AA12" s="117" t="str">
        <f>'CHAMBRES FILLES 2e ETAGE'!D77</f>
        <v>MALET</v>
      </c>
      <c r="AB12" s="116" t="str">
        <f>'CHAMBRES FILLES 2e ETAGE'!E77</f>
        <v>Alexandra</v>
      </c>
      <c r="AC12" s="116" t="str">
        <f>'CHAMBRES FILLES 2e ETAGE'!F77</f>
        <v>2e TCVA</v>
      </c>
      <c r="AD12" s="117" t="str">
        <f>'CHAMBRES FILLES 2e ETAGE'!D83</f>
        <v>LAURENT</v>
      </c>
      <c r="AE12" s="116" t="str">
        <f>'CHAMBRES FILLES 2e ETAGE'!E83</f>
        <v>Margot</v>
      </c>
      <c r="AF12" s="119" t="str">
        <f>'CHAMBRES FILLES 2e ETAGE'!F83</f>
        <v>Term STAV</v>
      </c>
      <c r="AG12" s="111"/>
    </row>
    <row r="13" spans="1:33">
      <c r="A13" s="117" t="str">
        <f>'CHAMBRES FILLES 2e ETAGE'!D6</f>
        <v>HAMARD</v>
      </c>
      <c r="B13" s="116" t="str">
        <f>'CHAMBRES FILLES 2e ETAGE'!E6</f>
        <v>Sharly</v>
      </c>
      <c r="C13" s="119" t="str">
        <f>'CHAMBRES FILLES 2e ETAGE'!F6</f>
        <v>2e TCVA</v>
      </c>
      <c r="D13" s="116"/>
      <c r="E13" s="116"/>
      <c r="F13" s="119"/>
      <c r="G13" s="116"/>
      <c r="H13" s="138"/>
      <c r="I13" s="116"/>
      <c r="J13" s="116"/>
      <c r="K13" s="117" t="str">
        <f>'CHAMBRES FILLES 2e ETAGE'!D36</f>
        <v>ROBERT</v>
      </c>
      <c r="L13" s="116" t="str">
        <f>'CHAMBRES FILLES 2e ETAGE'!E36</f>
        <v>Estelle</v>
      </c>
      <c r="M13" s="119" t="str">
        <f>'CHAMBRES FILLES 2e ETAGE'!F36</f>
        <v>1e TCVA</v>
      </c>
      <c r="N13" s="116"/>
      <c r="O13" s="116"/>
      <c r="P13" s="116"/>
      <c r="Q13" s="117" t="str">
        <f>'CHAMBRES FILLES 2e ETAGE'!D48</f>
        <v>HEMONO</v>
      </c>
      <c r="R13" s="116" t="str">
        <f>'CHAMBRES FILLES 2e ETAGE'!E48</f>
        <v>Juliette</v>
      </c>
      <c r="S13" s="116" t="str">
        <f>'CHAMBRES FILLES 2e ETAGE'!F48</f>
        <v>3e EA</v>
      </c>
      <c r="T13" s="117" t="str">
        <f>'CHAMBRES FILLES 2e ETAGE'!D60</f>
        <v>RIBOT</v>
      </c>
      <c r="U13" s="116" t="str">
        <f>'CHAMBRES FILLES 2e ETAGE'!E60</f>
        <v>Gwenaelle</v>
      </c>
      <c r="V13" s="119" t="str">
        <f>'CHAMBRES FILLES 2e ETAGE'!F60</f>
        <v>Term TCVA</v>
      </c>
      <c r="W13" s="116"/>
      <c r="X13" s="116"/>
      <c r="Y13" s="119"/>
      <c r="Z13" s="138"/>
      <c r="AA13" s="117" t="str">
        <f>'CHAMBRES FILLES 2e ETAGE'!D78</f>
        <v/>
      </c>
      <c r="AB13" s="116" t="str">
        <f>'CHAMBRES FILLES 2e ETAGE'!E78</f>
        <v/>
      </c>
      <c r="AC13" s="116" t="str">
        <f>'CHAMBRES FILLES 2e ETAGE'!F78</f>
        <v/>
      </c>
      <c r="AD13" s="117" t="str">
        <f>'CHAMBRES FILLES 2e ETAGE'!D84</f>
        <v>SELEBRAN</v>
      </c>
      <c r="AE13" s="116" t="str">
        <f>'CHAMBRES FILLES 2e ETAGE'!E84</f>
        <v>Naïs</v>
      </c>
      <c r="AF13" s="119" t="str">
        <f>'CHAMBRES FILLES 2e ETAGE'!F84</f>
        <v>Term STAV</v>
      </c>
      <c r="AG13" s="111"/>
    </row>
    <row r="14" spans="1:33" ht="15.75" thickBot="1">
      <c r="A14" s="121" t="str">
        <f>'CHAMBRES FILLES 2e ETAGE'!D7</f>
        <v>PELIZZARI</v>
      </c>
      <c r="B14" s="122" t="str">
        <f>'CHAMBRES FILLES 2e ETAGE'!E7</f>
        <v>Camille</v>
      </c>
      <c r="C14" s="123" t="str">
        <f>'CHAMBRES FILLES 2e ETAGE'!F7</f>
        <v>2e TCVA</v>
      </c>
      <c r="D14" s="122"/>
      <c r="E14" s="122"/>
      <c r="F14" s="123"/>
      <c r="G14" s="116"/>
      <c r="H14" s="139"/>
      <c r="I14" s="122"/>
      <c r="J14" s="122"/>
      <c r="K14" s="121" t="str">
        <f>'CHAMBRES FILLES 2e ETAGE'!D37</f>
        <v>THIRIET</v>
      </c>
      <c r="L14" s="122" t="str">
        <f>'CHAMBRES FILLES 2e ETAGE'!E37</f>
        <v>Justine</v>
      </c>
      <c r="M14" s="123" t="str">
        <f>'CHAMBRES FILLES 2e ETAGE'!F37</f>
        <v>1e CF</v>
      </c>
      <c r="N14" s="122"/>
      <c r="O14" s="122"/>
      <c r="P14" s="122"/>
      <c r="Q14" s="121" t="str">
        <f>'CHAMBRES FILLES 2e ETAGE'!D49</f>
        <v/>
      </c>
      <c r="R14" s="122" t="str">
        <f>'CHAMBRES FILLES 2e ETAGE'!E49</f>
        <v/>
      </c>
      <c r="S14" s="122" t="str">
        <f>'CHAMBRES FILLES 2e ETAGE'!F49</f>
        <v/>
      </c>
      <c r="T14" s="121" t="str">
        <f>'CHAMBRES FILLES 2e ETAGE'!D61</f>
        <v/>
      </c>
      <c r="U14" s="122" t="str">
        <f>'CHAMBRES FILLES 2e ETAGE'!E61</f>
        <v/>
      </c>
      <c r="V14" s="123" t="str">
        <f>'CHAMBRES FILLES 2e ETAGE'!F61</f>
        <v/>
      </c>
      <c r="W14" s="122"/>
      <c r="X14" s="122"/>
      <c r="Y14" s="123"/>
      <c r="Z14" s="138"/>
      <c r="AA14" s="121" t="str">
        <f>'CHAMBRES FILLES 2e ETAGE'!D79</f>
        <v/>
      </c>
      <c r="AB14" s="122" t="str">
        <f>'CHAMBRES FILLES 2e ETAGE'!E79</f>
        <v/>
      </c>
      <c r="AC14" s="122" t="str">
        <f>'CHAMBRES FILLES 2e ETAGE'!F79</f>
        <v/>
      </c>
      <c r="AD14" s="121" t="str">
        <f>'CHAMBRES FILLES 2e ETAGE'!D85</f>
        <v/>
      </c>
      <c r="AE14" s="122" t="str">
        <f>'CHAMBRES FILLES 2e ETAGE'!E85</f>
        <v/>
      </c>
      <c r="AF14" s="123" t="str">
        <f>'CHAMBRES FILLES 2e ETAGE'!F85</f>
        <v/>
      </c>
      <c r="AG14" s="111"/>
    </row>
    <row r="15" spans="1:33" ht="18.75" thickBot="1">
      <c r="A15" s="140" t="str">
        <f>'CHAMBRES FILLES 1e ETAGE'!A1</f>
        <v>CHAMBRES FILLES 1e ETAGE</v>
      </c>
      <c r="B15" s="111"/>
      <c r="C15" s="111"/>
      <c r="D15" s="111"/>
      <c r="E15" s="111"/>
      <c r="F15" s="111"/>
      <c r="G15" s="14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</row>
    <row r="16" spans="1:33">
      <c r="G16" s="116"/>
      <c r="N16" s="145"/>
      <c r="O16" s="118"/>
      <c r="P16" s="118"/>
      <c r="Q16" s="145"/>
      <c r="R16" s="118"/>
      <c r="S16" s="118"/>
      <c r="T16" s="112" t="str">
        <f>'CHAMBRES FILLES 1e ETAGE'!D33</f>
        <v>CARROZZA</v>
      </c>
      <c r="U16" s="114" t="str">
        <f>'CHAMBRES FILLES 1e ETAGE'!E33</f>
        <v>Chloé</v>
      </c>
      <c r="V16" s="142" t="str">
        <f>'CHAMBRES FILLES 1e ETAGE'!F33</f>
        <v>1e CGEA</v>
      </c>
      <c r="W16" s="112" t="str">
        <f>'CHAMBRES FILLES 1e ETAGE'!D21</f>
        <v>BOULAROT</v>
      </c>
      <c r="X16" s="114" t="str">
        <f>'CHAMBRES FILLES 1e ETAGE'!E21</f>
        <v>Inès</v>
      </c>
      <c r="Y16" s="150" t="str">
        <f>'CHAMBRES FILLES 1e ETAGE'!F21</f>
        <v>2e CF</v>
      </c>
      <c r="Z16" s="111"/>
      <c r="AA16" s="112" t="str">
        <f>'CHAMBRES FILLES 1e ETAGE'!D9</f>
        <v>CANTALOUBE</v>
      </c>
      <c r="AB16" s="114" t="str">
        <f>'CHAMBRES FILLES 1e ETAGE'!E9</f>
        <v>Maeva</v>
      </c>
      <c r="AC16" s="114" t="str">
        <f>'CHAMBRES FILLES 1e ETAGE'!F9</f>
        <v>2e GT</v>
      </c>
      <c r="AD16" s="112" t="str">
        <f>'CHAMBRES FILLES 1e ETAGE'!D15</f>
        <v>BESSE</v>
      </c>
      <c r="AE16" s="114" t="str">
        <f>'CHAMBRES FILLES 1e ETAGE'!E15</f>
        <v>Nadège</v>
      </c>
      <c r="AF16" s="142" t="str">
        <f>'CHAMBRES FILLES 1e ETAGE'!F15</f>
        <v>1e CGEA</v>
      </c>
      <c r="AG16" s="111"/>
    </row>
    <row r="17" spans="1:33">
      <c r="G17" s="116"/>
      <c r="N17" s="145"/>
      <c r="O17" s="118"/>
      <c r="P17" s="118"/>
      <c r="Q17" s="145"/>
      <c r="R17" s="118"/>
      <c r="S17" s="118"/>
      <c r="T17" s="117" t="str">
        <f>'CHAMBRES FILLES 1e ETAGE'!D34</f>
        <v>DECROS</v>
      </c>
      <c r="U17" s="118" t="str">
        <f>'CHAMBRES FILLES 1e ETAGE'!E34</f>
        <v>Julianne</v>
      </c>
      <c r="V17" s="144" t="str">
        <f>'CHAMBRES FILLES 1e ETAGE'!F34</f>
        <v>1e CGEA</v>
      </c>
      <c r="W17" s="117" t="str">
        <f>'CHAMBRES FILLES 1e ETAGE'!D22</f>
        <v>DESPIERRE</v>
      </c>
      <c r="X17" s="118" t="str">
        <f>'CHAMBRES FILLES 1e ETAGE'!E22</f>
        <v>Lorinda</v>
      </c>
      <c r="Y17" s="151" t="str">
        <f>'CHAMBRES FILLES 1e ETAGE'!F22</f>
        <v>2e CF</v>
      </c>
      <c r="Z17" s="111"/>
      <c r="AA17" s="117" t="str">
        <f>'CHAMBRES FILLES 1e ETAGE'!D10</f>
        <v>CARDON</v>
      </c>
      <c r="AB17" s="118" t="str">
        <f>'CHAMBRES FILLES 1e ETAGE'!E10</f>
        <v>Alicia</v>
      </c>
      <c r="AC17" s="118" t="str">
        <f>'CHAMBRES FILLES 1e ETAGE'!F10</f>
        <v>2e GT</v>
      </c>
      <c r="AD17" s="117" t="str">
        <f>'CHAMBRES FILLES 1e ETAGE'!D16</f>
        <v>DELMAS</v>
      </c>
      <c r="AE17" s="118" t="str">
        <f>'CHAMBRES FILLES 1e ETAGE'!E16</f>
        <v>Océane</v>
      </c>
      <c r="AF17" s="144" t="str">
        <f>'CHAMBRES FILLES 1e ETAGE'!F16</f>
        <v>Term STAV</v>
      </c>
      <c r="AG17" s="111"/>
    </row>
    <row r="18" spans="1:33">
      <c r="G18" s="116"/>
      <c r="N18" s="145"/>
      <c r="O18" s="118"/>
      <c r="P18" s="118"/>
      <c r="Q18" s="145"/>
      <c r="R18" s="118"/>
      <c r="S18" s="118"/>
      <c r="T18" s="117" t="str">
        <f>'CHAMBRES FILLES 1e ETAGE'!D35</f>
        <v>ESCAICH</v>
      </c>
      <c r="U18" s="118" t="str">
        <f>'CHAMBRES FILLES 1e ETAGE'!E35</f>
        <v>Manon</v>
      </c>
      <c r="V18" s="144" t="str">
        <f>'CHAMBRES FILLES 1e ETAGE'!F35</f>
        <v>1e CGEA</v>
      </c>
      <c r="W18" s="117" t="str">
        <f>'CHAMBRES FILLES 1e ETAGE'!D23</f>
        <v>MONTEIRO</v>
      </c>
      <c r="X18" s="118" t="str">
        <f>'CHAMBRES FILLES 1e ETAGE'!E23</f>
        <v>Eulalie</v>
      </c>
      <c r="Y18" s="151" t="str">
        <f>'CHAMBRES FILLES 1e ETAGE'!F23</f>
        <v>2e TCVA</v>
      </c>
      <c r="Z18" s="111"/>
      <c r="AA18" s="117" t="str">
        <f>'CHAMBRES FILLES 1e ETAGE'!D11</f>
        <v>VIGUIE</v>
      </c>
      <c r="AB18" s="118" t="str">
        <f>'CHAMBRES FILLES 1e ETAGE'!E11</f>
        <v>Clara</v>
      </c>
      <c r="AC18" s="118" t="str">
        <f>'CHAMBRES FILLES 1e ETAGE'!F11</f>
        <v>2e GT</v>
      </c>
      <c r="AD18" s="117" t="str">
        <f>'CHAMBRES FILLES 1e ETAGE'!D17</f>
        <v>PICILI</v>
      </c>
      <c r="AE18" s="118" t="str">
        <f>'CHAMBRES FILLES 1e ETAGE'!E17</f>
        <v>Marie</v>
      </c>
      <c r="AF18" s="144" t="str">
        <f>'CHAMBRES FILLES 1e ETAGE'!F17</f>
        <v>1e CGEA</v>
      </c>
      <c r="AG18" s="111"/>
    </row>
    <row r="19" spans="1:33">
      <c r="G19" s="116"/>
      <c r="N19" s="145"/>
      <c r="O19" s="118"/>
      <c r="P19" s="118"/>
      <c r="Q19" s="145"/>
      <c r="R19" s="118"/>
      <c r="S19" s="118"/>
      <c r="T19" s="117" t="str">
        <f>'CHAMBRES FILLES 1e ETAGE'!D36</f>
        <v>ROUGIE</v>
      </c>
      <c r="U19" s="118" t="str">
        <f>'CHAMBRES FILLES 1e ETAGE'!E36</f>
        <v>Maëva</v>
      </c>
      <c r="V19" s="144" t="str">
        <f>'CHAMBRES FILLES 1e ETAGE'!F36</f>
        <v>1e CGEA</v>
      </c>
      <c r="W19" s="117" t="str">
        <f>'CHAMBRES FILLES 1e ETAGE'!D24</f>
        <v>POURCEL</v>
      </c>
      <c r="X19" s="118" t="str">
        <f>'CHAMBRES FILLES 1e ETAGE'!E24</f>
        <v>Elise</v>
      </c>
      <c r="Y19" s="151" t="str">
        <f>'CHAMBRES FILLES 1e ETAGE'!F24</f>
        <v>2e TCVA</v>
      </c>
      <c r="Z19" s="111"/>
      <c r="AA19" s="117" t="str">
        <f>'CHAMBRES FILLES 1e ETAGE'!D12</f>
        <v>VIGUIER</v>
      </c>
      <c r="AB19" s="118" t="str">
        <f>'CHAMBRES FILLES 1e ETAGE'!E12</f>
        <v>Morgane</v>
      </c>
      <c r="AC19" s="118" t="str">
        <f>'CHAMBRES FILLES 1e ETAGE'!F12</f>
        <v>2e GT</v>
      </c>
      <c r="AD19" s="117" t="str">
        <f>'CHAMBRES FILLES 1e ETAGE'!D18</f>
        <v>RODES</v>
      </c>
      <c r="AE19" s="118" t="str">
        <f>'CHAMBRES FILLES 1e ETAGE'!E18</f>
        <v>Lea</v>
      </c>
      <c r="AF19" s="144" t="str">
        <f>'CHAMBRES FILLES 1e ETAGE'!F18</f>
        <v>1e CGEA</v>
      </c>
      <c r="AG19" s="111"/>
    </row>
    <row r="20" spans="1:33" ht="15.75" thickBot="1">
      <c r="G20" s="116"/>
      <c r="N20" s="145"/>
      <c r="O20" s="118"/>
      <c r="P20" s="118"/>
      <c r="Q20" s="145"/>
      <c r="R20" s="118"/>
      <c r="S20" s="118"/>
      <c r="T20" s="121" t="str">
        <f>'CHAMBRES FILLES 1e ETAGE'!D37</f>
        <v/>
      </c>
      <c r="U20" s="146" t="str">
        <f>'CHAMBRES FILLES 1e ETAGE'!E37</f>
        <v/>
      </c>
      <c r="V20" s="147" t="str">
        <f>'CHAMBRES FILLES 1e ETAGE'!F37</f>
        <v/>
      </c>
      <c r="W20" s="121" t="str">
        <f>'CHAMBRES FILLES 1e ETAGE'!D25</f>
        <v/>
      </c>
      <c r="X20" s="146" t="str">
        <f>'CHAMBRES FILLES 1e ETAGE'!E25</f>
        <v/>
      </c>
      <c r="Y20" s="152" t="str">
        <f>'CHAMBRES FILLES 1e ETAGE'!F25</f>
        <v/>
      </c>
      <c r="Z20" s="111"/>
      <c r="AA20" s="121" t="str">
        <f>'CHAMBRES FILLES 1e ETAGE'!D13</f>
        <v/>
      </c>
      <c r="AB20" s="146" t="str">
        <f>'CHAMBRES FILLES 1e ETAGE'!E13</f>
        <v/>
      </c>
      <c r="AC20" s="146" t="str">
        <f>'CHAMBRES FILLES 1e ETAGE'!F13</f>
        <v/>
      </c>
      <c r="AD20" s="121" t="str">
        <f>'CHAMBRES FILLES 1e ETAGE'!D19</f>
        <v/>
      </c>
      <c r="AE20" s="146" t="str">
        <f>'CHAMBRES FILLES 1e ETAGE'!E19</f>
        <v/>
      </c>
      <c r="AF20" s="147" t="str">
        <f>'CHAMBRES FILLES 1e ETAGE'!F19</f>
        <v/>
      </c>
      <c r="AG20" s="111"/>
    </row>
    <row r="21" spans="1:33" ht="18.75" thickBot="1">
      <c r="G21" s="127"/>
      <c r="N21" s="127"/>
      <c r="O21" s="153"/>
      <c r="P21" s="154"/>
      <c r="Q21" s="127"/>
      <c r="R21" s="153"/>
      <c r="S21" s="154"/>
      <c r="T21" s="124">
        <f>'CHAMBRES GARCONS 1e ETAGE'!A5</f>
        <v>145</v>
      </c>
      <c r="U21" s="132" t="s">
        <v>61</v>
      </c>
      <c r="V21" s="126"/>
      <c r="W21" s="128">
        <f>'CHAMBRES GARCONS 1e ETAGE'!A17</f>
        <v>146</v>
      </c>
      <c r="X21" s="125" t="s">
        <v>61</v>
      </c>
      <c r="Y21" s="129"/>
      <c r="Z21" s="111"/>
      <c r="AA21" s="128">
        <f>'CHAMBRES GARCONS 1e ETAGE'!A23</f>
        <v>153</v>
      </c>
      <c r="AB21" s="125" t="s">
        <v>61</v>
      </c>
      <c r="AC21" s="129"/>
      <c r="AD21" s="128">
        <f>'CHAMBRES GARCONS 1e ETAGE'!A35</f>
        <v>154</v>
      </c>
      <c r="AE21" s="125" t="s">
        <v>61</v>
      </c>
      <c r="AF21" s="129"/>
      <c r="AG21" s="111"/>
    </row>
    <row r="22" spans="1:33" ht="15.75" thickBot="1">
      <c r="G22" s="116"/>
      <c r="N22" s="116"/>
      <c r="O22" s="116"/>
      <c r="P22" s="116"/>
      <c r="Q22" s="116"/>
      <c r="R22" s="116"/>
      <c r="S22" s="116"/>
      <c r="T22" s="107"/>
      <c r="U22" s="107"/>
      <c r="V22" s="107"/>
      <c r="W22" s="107"/>
      <c r="X22" s="107"/>
      <c r="Y22" s="107"/>
      <c r="Z22" s="111"/>
      <c r="AA22" s="107"/>
      <c r="AB22" s="107"/>
      <c r="AC22" s="107"/>
      <c r="AD22" s="107"/>
      <c r="AE22" s="107"/>
      <c r="AF22" s="107"/>
      <c r="AG22" s="111"/>
    </row>
    <row r="23" spans="1:33" ht="18.75" thickBot="1">
      <c r="G23" s="127"/>
      <c r="N23" s="310"/>
      <c r="O23" s="310"/>
      <c r="P23" s="310"/>
      <c r="Q23" s="127"/>
      <c r="R23" s="153"/>
      <c r="S23" s="154"/>
      <c r="T23" s="124">
        <f>'CHAMBRES GARCONS 1e ETAGE'!A11</f>
        <v>147</v>
      </c>
      <c r="U23" s="132" t="s">
        <v>61</v>
      </c>
      <c r="V23" s="126"/>
      <c r="W23" s="307" t="s">
        <v>63</v>
      </c>
      <c r="X23" s="308"/>
      <c r="Y23" s="309"/>
      <c r="Z23" s="111"/>
      <c r="AA23" s="134">
        <f>'CHAMBRES GARCONS 1e ETAGE'!A29</f>
        <v>152</v>
      </c>
      <c r="AB23" s="135" t="s">
        <v>61</v>
      </c>
      <c r="AC23" s="136"/>
      <c r="AD23" s="307" t="s">
        <v>62</v>
      </c>
      <c r="AE23" s="308"/>
      <c r="AF23" s="309"/>
      <c r="AG23" s="111"/>
    </row>
    <row r="24" spans="1:33">
      <c r="G24" s="116"/>
      <c r="N24" s="116"/>
      <c r="O24" s="116"/>
      <c r="P24" s="116"/>
      <c r="Q24" s="145"/>
      <c r="R24" s="118"/>
      <c r="S24" s="118"/>
      <c r="T24" s="112" t="str">
        <f>'CHAMBRES FILLES 1e ETAGE'!D27</f>
        <v>HECQUET</v>
      </c>
      <c r="U24" s="114" t="str">
        <f>'CHAMBRES FILLES 1e ETAGE'!E27</f>
        <v>Anaïs</v>
      </c>
      <c r="V24" s="142" t="str">
        <f>'CHAMBRES FILLES 1e ETAGE'!F27</f>
        <v>1e TCVA</v>
      </c>
      <c r="W24" s="137"/>
      <c r="X24" s="113"/>
      <c r="Y24" s="115"/>
      <c r="Z24" s="111"/>
      <c r="AA24" s="112" t="str">
        <f>'CHAMBRES FILLES 1e ETAGE'!D3</f>
        <v>CAYRE</v>
      </c>
      <c r="AB24" s="114" t="str">
        <f>'CHAMBRES FILLES 1e ETAGE'!E3</f>
        <v>Charlotte</v>
      </c>
      <c r="AC24" s="142" t="str">
        <f>'CHAMBRES FILLES 1e ETAGE'!F3</f>
        <v>1e STAV</v>
      </c>
      <c r="AD24" s="113"/>
      <c r="AE24" s="113"/>
      <c r="AF24" s="115"/>
      <c r="AG24" s="111"/>
    </row>
    <row r="25" spans="1:33">
      <c r="G25" s="116"/>
      <c r="N25" s="116"/>
      <c r="O25" s="116"/>
      <c r="P25" s="116"/>
      <c r="Q25" s="145"/>
      <c r="R25" s="118"/>
      <c r="S25" s="118"/>
      <c r="T25" s="117" t="str">
        <f>'CHAMBRES FILLES 1e ETAGE'!D28</f>
        <v>JOUCLAS</v>
      </c>
      <c r="U25" s="118" t="str">
        <f>'CHAMBRES FILLES 1e ETAGE'!E28</f>
        <v>Jade</v>
      </c>
      <c r="V25" s="144" t="str">
        <f>'CHAMBRES FILLES 1e ETAGE'!F28</f>
        <v>1e TCVA</v>
      </c>
      <c r="W25" s="138"/>
      <c r="X25" s="116"/>
      <c r="Y25" s="119"/>
      <c r="Z25" s="111"/>
      <c r="AA25" s="117" t="str">
        <f>'CHAMBRES FILLES 1e ETAGE'!D4</f>
        <v>COSTE</v>
      </c>
      <c r="AB25" s="118" t="str">
        <f>'CHAMBRES FILLES 1e ETAGE'!E4</f>
        <v>Laurine</v>
      </c>
      <c r="AC25" s="144" t="str">
        <f>'CHAMBRES FILLES 1e ETAGE'!F4</f>
        <v>1e STAV</v>
      </c>
      <c r="AD25" s="116"/>
      <c r="AE25" s="116"/>
      <c r="AF25" s="119"/>
      <c r="AG25" s="111"/>
    </row>
    <row r="26" spans="1:33">
      <c r="G26" s="116"/>
      <c r="N26" s="116"/>
      <c r="O26" s="116"/>
      <c r="P26" s="116"/>
      <c r="Q26" s="145"/>
      <c r="R26" s="118"/>
      <c r="S26" s="118"/>
      <c r="T26" s="117" t="str">
        <f>'CHAMBRES FILLES 1e ETAGE'!D29</f>
        <v>MARCADE</v>
      </c>
      <c r="U26" s="118" t="str">
        <f>'CHAMBRES FILLES 1e ETAGE'!E29</f>
        <v>Solène</v>
      </c>
      <c r="V26" s="144" t="str">
        <f>'CHAMBRES FILLES 1e ETAGE'!F29</f>
        <v>1e TCVA</v>
      </c>
      <c r="W26" s="138"/>
      <c r="X26" s="116"/>
      <c r="Y26" s="119"/>
      <c r="Z26" s="111"/>
      <c r="AA26" s="117" t="str">
        <f>'CHAMBRES FILLES 1e ETAGE'!D5</f>
        <v>GARES</v>
      </c>
      <c r="AB26" s="118" t="str">
        <f>'CHAMBRES FILLES 1e ETAGE'!E5</f>
        <v>Lola</v>
      </c>
      <c r="AC26" s="144" t="str">
        <f>'CHAMBRES FILLES 1e ETAGE'!F5</f>
        <v>2e CF</v>
      </c>
      <c r="AD26" s="116"/>
      <c r="AE26" s="116"/>
      <c r="AF26" s="119"/>
      <c r="AG26" s="111"/>
    </row>
    <row r="27" spans="1:33">
      <c r="G27" s="116"/>
      <c r="N27" s="116"/>
      <c r="O27" s="116"/>
      <c r="P27" s="116"/>
      <c r="Q27" s="145"/>
      <c r="R27" s="118"/>
      <c r="S27" s="118"/>
      <c r="T27" s="117" t="str">
        <f>'CHAMBRES FILLES 1e ETAGE'!D30</f>
        <v>VERDELET</v>
      </c>
      <c r="U27" s="118" t="str">
        <f>'CHAMBRES FILLES 1e ETAGE'!E30</f>
        <v>Laura</v>
      </c>
      <c r="V27" s="144" t="str">
        <f>'CHAMBRES FILLES 1e ETAGE'!F30</f>
        <v>1e TCVA</v>
      </c>
      <c r="W27" s="138"/>
      <c r="X27" s="116"/>
      <c r="Y27" s="119"/>
      <c r="Z27" s="111"/>
      <c r="AA27" s="117" t="str">
        <f>'CHAMBRES FILLES 1e ETAGE'!D6</f>
        <v>LACIPIERE</v>
      </c>
      <c r="AB27" s="118" t="str">
        <f>'CHAMBRES FILLES 1e ETAGE'!E6</f>
        <v>Lucia</v>
      </c>
      <c r="AC27" s="144" t="str">
        <f>'CHAMBRES FILLES 1e ETAGE'!F6</f>
        <v>2e CF</v>
      </c>
      <c r="AD27" s="116"/>
      <c r="AE27" s="116"/>
      <c r="AF27" s="119"/>
      <c r="AG27" s="111"/>
    </row>
    <row r="28" spans="1:33" ht="15.75" thickBot="1">
      <c r="G28" s="116"/>
      <c r="N28" s="116"/>
      <c r="O28" s="116"/>
      <c r="P28" s="116"/>
      <c r="Q28" s="145"/>
      <c r="R28" s="118"/>
      <c r="S28" s="118"/>
      <c r="T28" s="121" t="str">
        <f>'CHAMBRES FILLES 1e ETAGE'!D31</f>
        <v/>
      </c>
      <c r="U28" s="146" t="str">
        <f>'CHAMBRES FILLES 1e ETAGE'!E31</f>
        <v/>
      </c>
      <c r="V28" s="147" t="str">
        <f>'CHAMBRES FILLES 1e ETAGE'!F31</f>
        <v/>
      </c>
      <c r="W28" s="139"/>
      <c r="X28" s="122"/>
      <c r="Y28" s="123"/>
      <c r="Z28" s="111"/>
      <c r="AA28" s="121" t="str">
        <f>'CHAMBRES FILLES 1e ETAGE'!D7</f>
        <v/>
      </c>
      <c r="AB28" s="146" t="str">
        <f>'CHAMBRES FILLES 1e ETAGE'!E7</f>
        <v/>
      </c>
      <c r="AC28" s="147" t="str">
        <f>'CHAMBRES FILLES 1e ETAGE'!F7</f>
        <v/>
      </c>
      <c r="AD28" s="122"/>
      <c r="AE28" s="122"/>
      <c r="AF28" s="123"/>
      <c r="AG28" s="111"/>
    </row>
    <row r="29" spans="1:33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</row>
    <row r="30" spans="1:33">
      <c r="A30" s="11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1"/>
      <c r="AD30" s="111"/>
      <c r="AE30" s="111"/>
      <c r="AF30" s="111"/>
      <c r="AG30" s="111"/>
    </row>
  </sheetData>
  <mergeCells count="7">
    <mergeCell ref="AD23:AF23"/>
    <mergeCell ref="D9:F9"/>
    <mergeCell ref="H9:J9"/>
    <mergeCell ref="N9:P9"/>
    <mergeCell ref="W9:Y9"/>
    <mergeCell ref="N23:P23"/>
    <mergeCell ref="W23:Y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Accueil</vt:lpstr>
      <vt:lpstr>Feuil1</vt:lpstr>
      <vt:lpstr>Liste élève par classes</vt:lpstr>
      <vt:lpstr>Liste_des_Enfants</vt:lpstr>
      <vt:lpstr>Pointage Mercredi</vt:lpstr>
      <vt:lpstr>Etudes Semaine</vt:lpstr>
      <vt:lpstr>Etudes</vt:lpstr>
      <vt:lpstr>Autorisation Sortie Mercredi</vt:lpstr>
      <vt:lpstr>Coin Fumeur</vt:lpstr>
      <vt:lpstr>LISTES</vt:lpstr>
      <vt:lpstr>CHAMBRES FILLES 2e ETAGE</vt:lpstr>
      <vt:lpstr>CHAMBRES FILLES 1e ETAGE</vt:lpstr>
      <vt:lpstr>CHAMBRES GARCONS 1e ETAGE</vt:lpstr>
      <vt:lpstr>CHAMBRES GARCONS RDC</vt:lpstr>
      <vt:lpstr>Plan Etages fille</vt:lpstr>
      <vt:lpstr>Plan Etages garçon</vt:lpstr>
      <vt:lpstr>'CHAMBRES FILLES 1e ETAGE'!Classe</vt:lpstr>
      <vt:lpstr>Classe</vt:lpstr>
      <vt:lpstr>TableauEtudes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Erwans 12</dc:creator>
  <cp:lastModifiedBy>Erwans 12</cp:lastModifiedBy>
  <cp:lastPrinted>2017-11-06T13:33:04Z</cp:lastPrinted>
  <dcterms:created xsi:type="dcterms:W3CDTF">2017-10-31T08:06:57Z</dcterms:created>
  <dcterms:modified xsi:type="dcterms:W3CDTF">2017-11-11T13:23:26Z</dcterms:modified>
</cp:coreProperties>
</file>