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Stéphanie\Desktop\"/>
    </mc:Choice>
  </mc:AlternateContent>
  <workbookProtection workbookAlgorithmName="SHA-512" workbookHashValue="18uyX2TsPfa9HLWPHdQs+cmb1cGMS7u0z+lZ/GfWFKE/ZCqkX+oKSHTvw91eBh+BqhSwXcVvZu3dl9ar3YoB8w==" workbookSaltValue="Pm2AqPl4GgEFBLDTqK9B/w==" workbookSpinCount="100000" lockStructure="1"/>
  <bookViews>
    <workbookView xWindow="0" yWindow="0" windowWidth="21600" windowHeight="9735"/>
  </bookViews>
  <sheets>
    <sheet name="Almanax" sheetId="1" r:id="rId1"/>
  </sheets>
  <definedNames>
    <definedName name="_xlnm._FilterDatabase" localSheetId="0" hidden="1">Almanax!$B$2:$K$391</definedName>
    <definedName name="_xlnm.Criteria" localSheetId="0">Almanax!$D$3:$K$34</definedName>
    <definedName name="_xlnm.Print_Area" localSheetId="0">Almanax!$A$2:$K$468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1" l="1"/>
  <c r="K4" i="1"/>
  <c r="B5" i="1"/>
  <c r="K5" i="1"/>
  <c r="B6" i="1"/>
  <c r="K6" i="1"/>
  <c r="B7" i="1"/>
  <c r="K7" i="1"/>
  <c r="B8" i="1"/>
  <c r="K8" i="1"/>
  <c r="B9" i="1"/>
  <c r="K9" i="1"/>
  <c r="B10" i="1"/>
  <c r="K10" i="1"/>
  <c r="B11" i="1"/>
  <c r="K11" i="1"/>
  <c r="B12" i="1"/>
  <c r="K12" i="1"/>
  <c r="B13" i="1"/>
  <c r="K13" i="1"/>
  <c r="B14" i="1"/>
  <c r="K14" i="1"/>
  <c r="B15" i="1"/>
  <c r="K15" i="1"/>
  <c r="B16" i="1"/>
  <c r="K16" i="1"/>
  <c r="B17" i="1"/>
  <c r="K17" i="1"/>
  <c r="B18" i="1"/>
  <c r="K18" i="1"/>
  <c r="B19" i="1"/>
  <c r="K19" i="1"/>
  <c r="B20" i="1"/>
  <c r="K20" i="1"/>
  <c r="B21" i="1"/>
  <c r="K21" i="1"/>
  <c r="B22" i="1"/>
  <c r="K22" i="1"/>
  <c r="B23" i="1"/>
  <c r="K23" i="1"/>
  <c r="B24" i="1"/>
  <c r="K24" i="1"/>
  <c r="B25" i="1"/>
  <c r="K25" i="1"/>
  <c r="B26" i="1"/>
  <c r="K26" i="1"/>
  <c r="B27" i="1"/>
  <c r="K27" i="1"/>
  <c r="B28" i="1"/>
  <c r="K28" i="1"/>
  <c r="B29" i="1"/>
  <c r="K29" i="1"/>
  <c r="B30" i="1"/>
  <c r="K30" i="1"/>
  <c r="B31" i="1"/>
  <c r="K31" i="1"/>
  <c r="B32" i="1"/>
  <c r="K32" i="1"/>
  <c r="B33" i="1"/>
  <c r="K33" i="1"/>
  <c r="B34" i="1"/>
  <c r="K34" i="1"/>
  <c r="K391" i="1"/>
  <c r="B391" i="1"/>
  <c r="K390" i="1"/>
  <c r="B390" i="1"/>
  <c r="K389" i="1"/>
  <c r="B389" i="1"/>
  <c r="K388" i="1"/>
  <c r="B388" i="1"/>
  <c r="K387" i="1"/>
  <c r="B387" i="1"/>
  <c r="K386" i="1"/>
  <c r="B386" i="1"/>
  <c r="K385" i="1"/>
  <c r="B385" i="1"/>
  <c r="K384" i="1"/>
  <c r="B384" i="1"/>
  <c r="K383" i="1"/>
  <c r="B383" i="1"/>
  <c r="K382" i="1"/>
  <c r="B382" i="1"/>
  <c r="K381" i="1"/>
  <c r="B381" i="1"/>
  <c r="K380" i="1"/>
  <c r="B380" i="1"/>
  <c r="K379" i="1"/>
  <c r="B379" i="1"/>
  <c r="K378" i="1"/>
  <c r="B378" i="1"/>
  <c r="K377" i="1"/>
  <c r="B377" i="1"/>
  <c r="K376" i="1"/>
  <c r="B376" i="1"/>
  <c r="K375" i="1"/>
  <c r="B375" i="1"/>
  <c r="K374" i="1"/>
  <c r="B374" i="1"/>
  <c r="K373" i="1"/>
  <c r="B373" i="1"/>
  <c r="K372" i="1"/>
  <c r="B372" i="1"/>
  <c r="K371" i="1"/>
  <c r="B371" i="1"/>
  <c r="K370" i="1"/>
  <c r="B370" i="1"/>
  <c r="K369" i="1"/>
  <c r="B369" i="1"/>
  <c r="K368" i="1"/>
  <c r="B368" i="1"/>
  <c r="K367" i="1"/>
  <c r="B367" i="1"/>
  <c r="K366" i="1"/>
  <c r="B366" i="1"/>
  <c r="K365" i="1"/>
  <c r="B365" i="1"/>
  <c r="K364" i="1"/>
  <c r="B364" i="1"/>
  <c r="K363" i="1"/>
  <c r="B363" i="1"/>
  <c r="K362" i="1"/>
  <c r="B362" i="1"/>
  <c r="K361" i="1"/>
  <c r="B361" i="1"/>
  <c r="K358" i="1"/>
  <c r="B358" i="1"/>
  <c r="K357" i="1"/>
  <c r="B357" i="1"/>
  <c r="K356" i="1"/>
  <c r="B356" i="1"/>
  <c r="K355" i="1"/>
  <c r="B355" i="1"/>
  <c r="K354" i="1"/>
  <c r="B354" i="1"/>
  <c r="K353" i="1"/>
  <c r="B353" i="1"/>
  <c r="K352" i="1"/>
  <c r="B352" i="1"/>
  <c r="K351" i="1"/>
  <c r="B351" i="1"/>
  <c r="K350" i="1"/>
  <c r="B350" i="1"/>
  <c r="K349" i="1"/>
  <c r="B349" i="1"/>
  <c r="K348" i="1"/>
  <c r="B348" i="1"/>
  <c r="K347" i="1"/>
  <c r="B347" i="1"/>
  <c r="K346" i="1"/>
  <c r="B346" i="1"/>
  <c r="K345" i="1"/>
  <c r="B345" i="1"/>
  <c r="K344" i="1"/>
  <c r="B344" i="1"/>
  <c r="K343" i="1"/>
  <c r="B343" i="1"/>
  <c r="K342" i="1"/>
  <c r="B342" i="1"/>
  <c r="K341" i="1"/>
  <c r="B341" i="1"/>
  <c r="K340" i="1"/>
  <c r="B340" i="1"/>
  <c r="K339" i="1"/>
  <c r="B339" i="1"/>
  <c r="K338" i="1"/>
  <c r="B338" i="1"/>
  <c r="K337" i="1"/>
  <c r="B337" i="1"/>
  <c r="K336" i="1"/>
  <c r="B336" i="1"/>
  <c r="K335" i="1"/>
  <c r="B335" i="1"/>
  <c r="K334" i="1"/>
  <c r="B334" i="1"/>
  <c r="K333" i="1"/>
  <c r="B333" i="1"/>
  <c r="K332" i="1"/>
  <c r="B332" i="1"/>
  <c r="K331" i="1"/>
  <c r="B331" i="1"/>
  <c r="K330" i="1"/>
  <c r="B330" i="1"/>
  <c r="K329" i="1"/>
  <c r="B329" i="1"/>
  <c r="K326" i="1"/>
  <c r="B326" i="1"/>
  <c r="K325" i="1"/>
  <c r="B325" i="1"/>
  <c r="K324" i="1"/>
  <c r="B324" i="1"/>
  <c r="K323" i="1"/>
  <c r="B323" i="1"/>
  <c r="K322" i="1"/>
  <c r="B322" i="1"/>
  <c r="K321" i="1"/>
  <c r="B321" i="1"/>
  <c r="K320" i="1"/>
  <c r="B320" i="1"/>
  <c r="K319" i="1"/>
  <c r="B319" i="1"/>
  <c r="K318" i="1"/>
  <c r="B318" i="1"/>
  <c r="K317" i="1"/>
  <c r="B317" i="1"/>
  <c r="K316" i="1"/>
  <c r="B316" i="1"/>
  <c r="K315" i="1"/>
  <c r="B315" i="1"/>
  <c r="K314" i="1"/>
  <c r="B314" i="1"/>
  <c r="K313" i="1"/>
  <c r="B313" i="1"/>
  <c r="K312" i="1"/>
  <c r="B312" i="1"/>
  <c r="K311" i="1"/>
  <c r="B311" i="1"/>
  <c r="K310" i="1"/>
  <c r="B310" i="1"/>
  <c r="K309" i="1"/>
  <c r="B309" i="1"/>
  <c r="K308" i="1"/>
  <c r="B308" i="1"/>
  <c r="K307" i="1"/>
  <c r="B307" i="1"/>
  <c r="K306" i="1"/>
  <c r="B306" i="1"/>
  <c r="K305" i="1"/>
  <c r="B305" i="1"/>
  <c r="K304" i="1"/>
  <c r="B304" i="1"/>
  <c r="K303" i="1"/>
  <c r="B303" i="1"/>
  <c r="K302" i="1"/>
  <c r="B302" i="1"/>
  <c r="K301" i="1"/>
  <c r="B301" i="1"/>
  <c r="K300" i="1"/>
  <c r="B300" i="1"/>
  <c r="K299" i="1"/>
  <c r="B299" i="1"/>
  <c r="K298" i="1"/>
  <c r="B298" i="1"/>
  <c r="K297" i="1"/>
  <c r="B297" i="1"/>
  <c r="K296" i="1"/>
  <c r="B296" i="1"/>
  <c r="K293" i="1"/>
  <c r="B293" i="1"/>
  <c r="K292" i="1"/>
  <c r="B292" i="1"/>
  <c r="K291" i="1"/>
  <c r="B291" i="1"/>
  <c r="K290" i="1"/>
  <c r="B290" i="1"/>
  <c r="K289" i="1"/>
  <c r="B289" i="1"/>
  <c r="K288" i="1"/>
  <c r="B288" i="1"/>
  <c r="K287" i="1"/>
  <c r="B287" i="1"/>
  <c r="K286" i="1"/>
  <c r="B286" i="1"/>
  <c r="K285" i="1"/>
  <c r="B285" i="1"/>
  <c r="K284" i="1"/>
  <c r="B284" i="1"/>
  <c r="K283" i="1"/>
  <c r="B283" i="1"/>
  <c r="K282" i="1"/>
  <c r="B282" i="1"/>
  <c r="K281" i="1"/>
  <c r="B281" i="1"/>
  <c r="K280" i="1"/>
  <c r="B280" i="1"/>
  <c r="K279" i="1"/>
  <c r="B279" i="1"/>
  <c r="K278" i="1"/>
  <c r="B278" i="1"/>
  <c r="K277" i="1"/>
  <c r="B277" i="1"/>
  <c r="K276" i="1"/>
  <c r="B276" i="1"/>
  <c r="K275" i="1"/>
  <c r="B275" i="1"/>
  <c r="K274" i="1"/>
  <c r="B274" i="1"/>
  <c r="K273" i="1"/>
  <c r="B273" i="1"/>
  <c r="K272" i="1"/>
  <c r="B272" i="1"/>
  <c r="K271" i="1"/>
  <c r="B271" i="1"/>
  <c r="K270" i="1"/>
  <c r="B270" i="1"/>
  <c r="K269" i="1"/>
  <c r="B269" i="1"/>
  <c r="K268" i="1"/>
  <c r="B268" i="1"/>
  <c r="K267" i="1"/>
  <c r="B267" i="1"/>
  <c r="K266" i="1"/>
  <c r="B266" i="1"/>
  <c r="K265" i="1"/>
  <c r="B265" i="1"/>
  <c r="K264" i="1"/>
  <c r="B264" i="1"/>
  <c r="K261" i="1"/>
  <c r="B261" i="1"/>
  <c r="K260" i="1"/>
  <c r="B260" i="1"/>
  <c r="K259" i="1"/>
  <c r="B259" i="1"/>
  <c r="K258" i="1"/>
  <c r="B258" i="1"/>
  <c r="K257" i="1"/>
  <c r="B257" i="1"/>
  <c r="K256" i="1"/>
  <c r="B256" i="1"/>
  <c r="K255" i="1"/>
  <c r="B255" i="1"/>
  <c r="K254" i="1"/>
  <c r="B254" i="1"/>
  <c r="K253" i="1"/>
  <c r="B253" i="1"/>
  <c r="K252" i="1"/>
  <c r="B252" i="1"/>
  <c r="K251" i="1"/>
  <c r="B251" i="1"/>
  <c r="K250" i="1"/>
  <c r="B250" i="1"/>
  <c r="K249" i="1"/>
  <c r="B249" i="1"/>
  <c r="K248" i="1"/>
  <c r="B248" i="1"/>
  <c r="K247" i="1"/>
  <c r="B247" i="1"/>
  <c r="K246" i="1"/>
  <c r="B246" i="1"/>
  <c r="K245" i="1"/>
  <c r="B245" i="1"/>
  <c r="K244" i="1"/>
  <c r="B244" i="1"/>
  <c r="K243" i="1"/>
  <c r="B243" i="1"/>
  <c r="K242" i="1"/>
  <c r="B242" i="1"/>
  <c r="K241" i="1"/>
  <c r="B241" i="1"/>
  <c r="K240" i="1"/>
  <c r="B240" i="1"/>
  <c r="K239" i="1"/>
  <c r="B239" i="1"/>
  <c r="K238" i="1"/>
  <c r="B238" i="1"/>
  <c r="K237" i="1"/>
  <c r="B237" i="1"/>
  <c r="K236" i="1"/>
  <c r="B236" i="1"/>
  <c r="K235" i="1"/>
  <c r="B235" i="1"/>
  <c r="K234" i="1"/>
  <c r="B234" i="1"/>
  <c r="K233" i="1"/>
  <c r="B233" i="1"/>
  <c r="K232" i="1"/>
  <c r="B232" i="1"/>
  <c r="K231" i="1"/>
  <c r="B231" i="1"/>
  <c r="K228" i="1"/>
  <c r="B228" i="1"/>
  <c r="K227" i="1"/>
  <c r="B227" i="1"/>
  <c r="K226" i="1"/>
  <c r="B226" i="1"/>
  <c r="K225" i="1"/>
  <c r="B225" i="1"/>
  <c r="K224" i="1"/>
  <c r="B224" i="1"/>
  <c r="K223" i="1"/>
  <c r="B223" i="1"/>
  <c r="K222" i="1"/>
  <c r="B222" i="1"/>
  <c r="K221" i="1"/>
  <c r="B221" i="1"/>
  <c r="K220" i="1"/>
  <c r="B220" i="1"/>
  <c r="K219" i="1"/>
  <c r="B219" i="1"/>
  <c r="K218" i="1"/>
  <c r="B218" i="1"/>
  <c r="K217" i="1"/>
  <c r="B217" i="1"/>
  <c r="K216" i="1"/>
  <c r="B216" i="1"/>
  <c r="K215" i="1"/>
  <c r="B215" i="1"/>
  <c r="K214" i="1"/>
  <c r="B214" i="1"/>
  <c r="K213" i="1"/>
  <c r="B213" i="1"/>
  <c r="K212" i="1"/>
  <c r="B212" i="1"/>
  <c r="K211" i="1"/>
  <c r="B211" i="1"/>
  <c r="K210" i="1"/>
  <c r="B210" i="1"/>
  <c r="K209" i="1"/>
  <c r="B209" i="1"/>
  <c r="K208" i="1"/>
  <c r="B208" i="1"/>
  <c r="K207" i="1"/>
  <c r="B207" i="1"/>
  <c r="K206" i="1"/>
  <c r="B206" i="1"/>
  <c r="K205" i="1"/>
  <c r="B205" i="1"/>
  <c r="K204" i="1"/>
  <c r="B204" i="1"/>
  <c r="K203" i="1"/>
  <c r="B203" i="1"/>
  <c r="K202" i="1"/>
  <c r="B202" i="1"/>
  <c r="K201" i="1"/>
  <c r="B201" i="1"/>
  <c r="K200" i="1"/>
  <c r="B200" i="1"/>
  <c r="K199" i="1"/>
  <c r="B199" i="1"/>
  <c r="K198" i="1"/>
  <c r="B198" i="1"/>
  <c r="K195" i="1"/>
  <c r="B195" i="1"/>
  <c r="K194" i="1"/>
  <c r="B194" i="1"/>
  <c r="K193" i="1"/>
  <c r="B193" i="1"/>
  <c r="K192" i="1"/>
  <c r="B192" i="1"/>
  <c r="K191" i="1"/>
  <c r="B191" i="1"/>
  <c r="K190" i="1"/>
  <c r="B190" i="1"/>
  <c r="K189" i="1"/>
  <c r="B189" i="1"/>
  <c r="K188" i="1"/>
  <c r="B188" i="1"/>
  <c r="K187" i="1"/>
  <c r="B187" i="1"/>
  <c r="K186" i="1"/>
  <c r="B186" i="1"/>
  <c r="K185" i="1"/>
  <c r="B185" i="1"/>
  <c r="K184" i="1"/>
  <c r="B184" i="1"/>
  <c r="K183" i="1"/>
  <c r="B183" i="1"/>
  <c r="K182" i="1"/>
  <c r="B182" i="1"/>
  <c r="K181" i="1"/>
  <c r="B181" i="1"/>
  <c r="K180" i="1"/>
  <c r="B180" i="1"/>
  <c r="K179" i="1"/>
  <c r="B179" i="1"/>
  <c r="K178" i="1"/>
  <c r="B178" i="1"/>
  <c r="K177" i="1"/>
  <c r="B177" i="1"/>
  <c r="K176" i="1"/>
  <c r="B176" i="1"/>
  <c r="K175" i="1"/>
  <c r="B175" i="1"/>
  <c r="K174" i="1"/>
  <c r="B174" i="1"/>
  <c r="K173" i="1"/>
  <c r="B173" i="1"/>
  <c r="K172" i="1"/>
  <c r="B172" i="1"/>
  <c r="K171" i="1"/>
  <c r="B171" i="1"/>
  <c r="K170" i="1"/>
  <c r="B170" i="1"/>
  <c r="K169" i="1"/>
  <c r="B169" i="1"/>
  <c r="K168" i="1"/>
  <c r="B168" i="1"/>
  <c r="K167" i="1"/>
  <c r="B167" i="1"/>
  <c r="K166" i="1"/>
  <c r="B166" i="1"/>
  <c r="K163" i="1"/>
  <c r="B163" i="1"/>
  <c r="K162" i="1"/>
  <c r="B162" i="1"/>
  <c r="K161" i="1"/>
  <c r="B161" i="1"/>
  <c r="K160" i="1"/>
  <c r="B160" i="1"/>
  <c r="K159" i="1"/>
  <c r="B159" i="1"/>
  <c r="K158" i="1"/>
  <c r="B158" i="1"/>
  <c r="K157" i="1"/>
  <c r="B157" i="1"/>
  <c r="K156" i="1"/>
  <c r="B156" i="1"/>
  <c r="K155" i="1"/>
  <c r="B155" i="1"/>
  <c r="K154" i="1"/>
  <c r="B154" i="1"/>
  <c r="K153" i="1"/>
  <c r="B153" i="1"/>
  <c r="K152" i="1"/>
  <c r="B152" i="1"/>
  <c r="K151" i="1"/>
  <c r="B151" i="1"/>
  <c r="K150" i="1"/>
  <c r="B150" i="1"/>
  <c r="K149" i="1"/>
  <c r="B149" i="1"/>
  <c r="K148" i="1"/>
  <c r="B148" i="1"/>
  <c r="K147" i="1"/>
  <c r="B147" i="1"/>
  <c r="K146" i="1"/>
  <c r="B146" i="1"/>
  <c r="K145" i="1"/>
  <c r="B145" i="1"/>
  <c r="K144" i="1"/>
  <c r="B144" i="1"/>
  <c r="K143" i="1"/>
  <c r="B143" i="1"/>
  <c r="K142" i="1"/>
  <c r="B142" i="1"/>
  <c r="K141" i="1"/>
  <c r="B141" i="1"/>
  <c r="K140" i="1"/>
  <c r="B140" i="1"/>
  <c r="K139" i="1"/>
  <c r="B139" i="1"/>
  <c r="K138" i="1"/>
  <c r="B138" i="1"/>
  <c r="K137" i="1"/>
  <c r="B137" i="1"/>
  <c r="K136" i="1"/>
  <c r="B136" i="1"/>
  <c r="K135" i="1"/>
  <c r="B135" i="1"/>
  <c r="K134" i="1"/>
  <c r="B134" i="1"/>
  <c r="K133" i="1"/>
  <c r="B133" i="1"/>
  <c r="K130" i="1"/>
  <c r="B130" i="1"/>
  <c r="K129" i="1"/>
  <c r="B129" i="1"/>
  <c r="K128" i="1"/>
  <c r="B128" i="1"/>
  <c r="K127" i="1"/>
  <c r="B127" i="1"/>
  <c r="K126" i="1"/>
  <c r="B126" i="1"/>
  <c r="K125" i="1"/>
  <c r="B125" i="1"/>
  <c r="K124" i="1"/>
  <c r="B124" i="1"/>
  <c r="K123" i="1"/>
  <c r="B123" i="1"/>
  <c r="K122" i="1"/>
  <c r="B122" i="1"/>
  <c r="K121" i="1"/>
  <c r="B121" i="1"/>
  <c r="K120" i="1"/>
  <c r="B120" i="1"/>
  <c r="K119" i="1"/>
  <c r="B119" i="1"/>
  <c r="K118" i="1"/>
  <c r="B118" i="1"/>
  <c r="K117" i="1"/>
  <c r="B117" i="1"/>
  <c r="K116" i="1"/>
  <c r="B116" i="1"/>
  <c r="K115" i="1"/>
  <c r="B115" i="1"/>
  <c r="K114" i="1"/>
  <c r="B114" i="1"/>
  <c r="K113" i="1"/>
  <c r="B113" i="1"/>
  <c r="K112" i="1"/>
  <c r="B112" i="1"/>
  <c r="K111" i="1"/>
  <c r="B111" i="1"/>
  <c r="K110" i="1"/>
  <c r="B110" i="1"/>
  <c r="K109" i="1"/>
  <c r="B109" i="1"/>
  <c r="K108" i="1"/>
  <c r="B108" i="1"/>
  <c r="K107" i="1"/>
  <c r="B107" i="1"/>
  <c r="K106" i="1"/>
  <c r="B106" i="1"/>
  <c r="K105" i="1"/>
  <c r="B105" i="1"/>
  <c r="K104" i="1"/>
  <c r="B104" i="1"/>
  <c r="K103" i="1"/>
  <c r="B103" i="1"/>
  <c r="K102" i="1"/>
  <c r="B102" i="1"/>
  <c r="K101" i="1"/>
  <c r="B101" i="1"/>
  <c r="K98" i="1"/>
  <c r="B98" i="1"/>
  <c r="K97" i="1"/>
  <c r="B97" i="1"/>
  <c r="K96" i="1"/>
  <c r="B96" i="1"/>
  <c r="K95" i="1"/>
  <c r="B95" i="1"/>
  <c r="K94" i="1"/>
  <c r="B94" i="1"/>
  <c r="K93" i="1"/>
  <c r="B93" i="1"/>
  <c r="K92" i="1"/>
  <c r="B92" i="1"/>
  <c r="K91" i="1"/>
  <c r="B91" i="1"/>
  <c r="K90" i="1"/>
  <c r="B90" i="1"/>
  <c r="K89" i="1"/>
  <c r="B89" i="1"/>
  <c r="K88" i="1"/>
  <c r="B88" i="1"/>
  <c r="K87" i="1"/>
  <c r="B87" i="1"/>
  <c r="K86" i="1"/>
  <c r="B86" i="1"/>
  <c r="K85" i="1"/>
  <c r="B85" i="1"/>
  <c r="K84" i="1"/>
  <c r="B84" i="1"/>
  <c r="K83" i="1"/>
  <c r="B83" i="1"/>
  <c r="K82" i="1"/>
  <c r="B82" i="1"/>
  <c r="K81" i="1"/>
  <c r="B81" i="1"/>
  <c r="K80" i="1"/>
  <c r="B80" i="1"/>
  <c r="K79" i="1"/>
  <c r="B79" i="1"/>
  <c r="K78" i="1"/>
  <c r="B78" i="1"/>
  <c r="K77" i="1"/>
  <c r="B77" i="1"/>
  <c r="K76" i="1"/>
  <c r="B76" i="1"/>
  <c r="K75" i="1"/>
  <c r="B75" i="1"/>
  <c r="K74" i="1"/>
  <c r="B74" i="1"/>
  <c r="K73" i="1"/>
  <c r="B73" i="1"/>
  <c r="K72" i="1"/>
  <c r="B72" i="1"/>
  <c r="K71" i="1"/>
  <c r="B71" i="1"/>
  <c r="K70" i="1"/>
  <c r="B70" i="1"/>
  <c r="K69" i="1"/>
  <c r="B69" i="1"/>
  <c r="K68" i="1"/>
  <c r="B68" i="1"/>
  <c r="K65" i="1"/>
  <c r="B65" i="1"/>
  <c r="K64" i="1"/>
  <c r="B64" i="1"/>
  <c r="K63" i="1"/>
  <c r="B63" i="1"/>
  <c r="K62" i="1"/>
  <c r="B62" i="1"/>
  <c r="K61" i="1"/>
  <c r="B61" i="1"/>
  <c r="K60" i="1"/>
  <c r="B60" i="1"/>
  <c r="K59" i="1"/>
  <c r="B59" i="1"/>
  <c r="K58" i="1"/>
  <c r="B58" i="1"/>
  <c r="K57" i="1"/>
  <c r="B57" i="1"/>
  <c r="K56" i="1"/>
  <c r="B56" i="1"/>
  <c r="K55" i="1"/>
  <c r="B55" i="1"/>
  <c r="K54" i="1"/>
  <c r="B54" i="1"/>
  <c r="K53" i="1"/>
  <c r="B53" i="1"/>
  <c r="K52" i="1"/>
  <c r="B52" i="1"/>
  <c r="K51" i="1"/>
  <c r="B51" i="1"/>
  <c r="K50" i="1"/>
  <c r="B50" i="1"/>
  <c r="K49" i="1"/>
  <c r="B49" i="1"/>
  <c r="K48" i="1"/>
  <c r="B48" i="1"/>
  <c r="K47" i="1"/>
  <c r="B47" i="1"/>
  <c r="K46" i="1"/>
  <c r="B46" i="1"/>
  <c r="K45" i="1"/>
  <c r="B45" i="1"/>
  <c r="K44" i="1"/>
  <c r="B44" i="1"/>
  <c r="K43" i="1"/>
  <c r="B43" i="1"/>
  <c r="K42" i="1"/>
  <c r="B42" i="1"/>
  <c r="K41" i="1"/>
  <c r="B41" i="1"/>
  <c r="K40" i="1"/>
  <c r="B40" i="1"/>
  <c r="K39" i="1"/>
  <c r="B39" i="1"/>
  <c r="K38" i="1"/>
  <c r="B38" i="1"/>
  <c r="K37" i="1"/>
  <c r="B37" i="1"/>
</calcChain>
</file>

<file path=xl/sharedStrings.xml><?xml version="1.0" encoding="utf-8"?>
<sst xmlns="http://schemas.openxmlformats.org/spreadsheetml/2006/main" count="1266" uniqueCount="737">
  <si>
    <t>JANVIER</t>
  </si>
  <si>
    <t>JOUR</t>
  </si>
  <si>
    <t>BONUS</t>
  </si>
  <si>
    <t>Offrande</t>
  </si>
  <si>
    <t>Obtention</t>
  </si>
  <si>
    <t>Prix/u</t>
  </si>
  <si>
    <t>Banque</t>
  </si>
  <si>
    <t>PRIX TOTAL</t>
  </si>
  <si>
    <t>La vitesse d'apparition des Archimonstres est augmentée de 200 %. La vitesse d'apparition des ressources de tous types est augmentée de 100 %.</t>
  </si>
  <si>
    <t>4 Oeuf de Dragoeuf Doré</t>
  </si>
  <si>
    <t>Drop</t>
  </si>
  <si>
    <t>Les Paysans économisent 10 % de leurs ingrédients lorsqu'ils fabriquent des objets.</t>
  </si>
  <si>
    <t>20 Avoine</t>
  </si>
  <si>
    <t>Récolte</t>
  </si>
  <si>
    <t>Bonus XP</t>
  </si>
  <si>
    <t>Les gains d'expérience sont augmentés de 75 % sur les créatures de type Monstres de l'Arche d'Otomaï.</t>
  </si>
  <si>
    <t>2 Foulard du Sparo</t>
  </si>
  <si>
    <t>Bonus Drop</t>
  </si>
  <si>
    <t>Les chances d'obtenir du butin sont augmentées de 75 % sur les créatures de type Monstres des Crocs de Verre.</t>
  </si>
  <si>
    <t>2 Queue de Wolvero</t>
  </si>
  <si>
    <t>Bonus XP et Drop</t>
  </si>
  <si>
    <t>Les quantités de Bois d'If et de Bois de Bambou récupérées par les Bûcherons sont augmentées de 150 %.</t>
  </si>
  <si>
    <t>12 Bois d'If</t>
  </si>
  <si>
    <t>Bonus Métier</t>
  </si>
  <si>
    <t>Une quête répétable spéciale est disponible aujourd'hui près de l'atelier des boulangers du village d'Amakna. Réalisable à partir du niveau 10, elle est indépendante de la quête d'offrande.</t>
  </si>
  <si>
    <t>2 Poils de Wabbit</t>
  </si>
  <si>
    <t>Quêtes</t>
  </si>
  <si>
    <t>Les bonus apportés par les challenges réussis sont augmentés de 150 % sur les créatures de type Animaux de la forêt.</t>
  </si>
  <si>
    <t>7 Groin de Sanglier</t>
  </si>
  <si>
    <t>Elevage</t>
  </si>
  <si>
    <t>Les gains d'expérience sont augmentés de 125 % dans le donjon Ensablé.</t>
  </si>
  <si>
    <t>2 Serviette de Plage</t>
  </si>
  <si>
    <t>La qualité des objets fabriqués dans la ville de Bonta est augmentée</t>
  </si>
  <si>
    <t>2 Epée Sacrée</t>
  </si>
  <si>
    <t>Craft</t>
  </si>
  <si>
    <t>Toutes les variétés de Dragodindes Emeraude donnent naissance à un bébé supplémentaire.</t>
  </si>
  <si>
    <t>2 Aile de Dragodinde Dorée</t>
  </si>
  <si>
    <t>Les chances d'obtenir du butin sont augmentées de 100 % dans la zone d'Entraînement des Dopeuls.</t>
  </si>
  <si>
    <t>2 Miroir de Dopeul</t>
  </si>
  <si>
    <t>Les quantités d'Argent récupérées par les Mineurs sont augmentées de 150 %.</t>
  </si>
  <si>
    <t>12 Argent</t>
  </si>
  <si>
    <t>La vitesse d'apparition des étoiles sur les groupes de monstres est augmentée dans la zone du Lac Gelé : une étoile apparaît toutes les 15 minutes.</t>
  </si>
  <si>
    <t>2 Plume du Timansot</t>
  </si>
  <si>
    <t>Les gains d'expérience sont augmentés de 100 % dans la zone de la Crevasse Perge.</t>
  </si>
  <si>
    <t>2 Malléole de Yomi Givrefoux</t>
  </si>
  <si>
    <t>Les bonus apportés par les challenges réussis sont augmentés de 200 % dans la zone de la Tourbière Nauséabonde.</t>
  </si>
  <si>
    <t>2 Bave de Ouassingue</t>
  </si>
  <si>
    <t>Les chances d'obtenir du butin sont augmentées de 75 % sur les créatures de type Fantômes.</t>
  </si>
  <si>
    <t>2 Relique Familiale</t>
  </si>
  <si>
    <t>Un challenge supplémentaire est généré contre les créatures de type Araknes.</t>
  </si>
  <si>
    <t>7 Patte d'Arakne</t>
  </si>
  <si>
    <t>Les quantités de Gros poissons de rivière récupérées par les Pêcheurs sont augmentées de 150 %.</t>
  </si>
  <si>
    <t>2 Bar Rikain</t>
  </si>
  <si>
    <t>Les gains d'expérience sont augmentés de 75 % sur les créatures de type Pandissidans.</t>
  </si>
  <si>
    <t>3 Poils de Pandore</t>
  </si>
  <si>
    <t>Les chances d'obtenir du butin sont augmentées de 125 % dans le donjon des Rats de Bonta.</t>
  </si>
  <si>
    <t>2 Puces Sauteuses</t>
  </si>
  <si>
    <t>Les artisans économisent 15 % de leurs ingrédients lorsqu'ils fabriquent des objets dans la zone du Bord de la forêt Maléfique.</t>
  </si>
  <si>
    <t>1 Bouteille de Gloutoburg</t>
  </si>
  <si>
    <t>La vitesse d'apparition des étoiles sur les groupes de monstres est augmentée dans la zone de la Jungle Obscure : une étoile apparaît toutes les 10 minutes.</t>
  </si>
  <si>
    <t>2 Bractée de Chiendent</t>
  </si>
  <si>
    <t xml:space="preserve">Les quantités de Chair d'insecte récupérées par les Chasseurs sont augmentées de 125%. </t>
  </si>
  <si>
    <t>5 Chair d'Insecte</t>
  </si>
  <si>
    <t>Le butin généré par les Percepteurs est augmenté de 300 % dans le donjon du Chêne Mou.</t>
  </si>
  <si>
    <t>2 Bourgeon d'Abraknyde Sombre Irascible</t>
  </si>
  <si>
    <t>Les gains d'expérience sont augmentés de 100 % dans la zone du Cimetière Primitif.</t>
  </si>
  <si>
    <t>2 Tibia de Koalak Fossoyeur</t>
  </si>
  <si>
    <t>Les Forgerons économisent 10 % de leurs ingrédients lorsqu'ils fabriquent des objets.</t>
  </si>
  <si>
    <t>3 Marteau de Boisaille</t>
  </si>
  <si>
    <t>Les quantités de Frostiz récupérées par les Paysans sont augmentées de 150 %.</t>
  </si>
  <si>
    <t>10 Frostiz</t>
  </si>
  <si>
    <t>Les bonus apportés par les challenges réussis sont augmentés de 200 % dans le donjon des Rats du Château d'Amakna.</t>
  </si>
  <si>
    <t>2 Queue de Rat Pine</t>
  </si>
  <si>
    <t>Les chances d'obtenir du butin sont augmentées de 100 % dans la zone du Coin des Bouftous.</t>
  </si>
  <si>
    <t>11 Laine de Bouftou</t>
  </si>
  <si>
    <t>Un challenge supplémentaire est généré contre les monstres présents dans la zone de la Jungle Obscure.</t>
  </si>
  <si>
    <t>2 Sépale de Nerbe</t>
  </si>
  <si>
    <t>Les quantités de Feuilles de Menthe Sauvage récupérées par les Alchimistes sont augmentées de 125 %.</t>
  </si>
  <si>
    <t>15 Feuille de Menthe Sauvage</t>
  </si>
  <si>
    <t>FEVRIER</t>
  </si>
  <si>
    <t>La régénération des Points de Vie est augmentée de 300 % (hors combat), et les soins par consommables sont augmentés de 100 %.</t>
  </si>
  <si>
    <t>4 Potion de Mini Soin Supérieure</t>
  </si>
  <si>
    <t>Les gains d'expérience et les chances d'obtenir du butin sont augmentés de 75 % sur toutes les créatures de la famille des Bouftous, y compris les Boufmouths et les Boufcouls.</t>
  </si>
  <si>
    <t>6 Soupe de Plantes</t>
  </si>
  <si>
    <t>Pour chaque objet fabriqué, les Pêcheurs ont 25 % de chances de créer un second objet.</t>
  </si>
  <si>
    <t xml:space="preserve">6 Goujon en tranche </t>
  </si>
  <si>
    <t>Les gains d'expérience sont augmentés de 100 % dans la zone des Crocs de Verre.</t>
  </si>
  <si>
    <t>2 Molaire de Blérice</t>
  </si>
  <si>
    <t>Les chances d'obtenir du butin sont augmentées de 125 % dans le donjon de la Caverne des Bulbes.</t>
  </si>
  <si>
    <t>4 Peau de Cooleuvre</t>
  </si>
  <si>
    <t>Les artisans économisent 15 % de leurs ingrédients lorsqu'ils fabriquent des objets dans la zone de la Plaine des Scarafeuilles.</t>
  </si>
  <si>
    <t>8 Anneau de Sagesse</t>
  </si>
  <si>
    <t>La vitesse d'apparition des étoiles sur les groupes de monstres est augmentée dans la zone de l'île de Grobe : une étoile apparaît toutes les 5 minutes.</t>
  </si>
  <si>
    <t>2 Os de Fantôme Pandule</t>
  </si>
  <si>
    <t>Les quantités de Bois de Frêne récupérées par les Bûcherons sont augmentées de 125 %.</t>
  </si>
  <si>
    <t>30 Bois de Frêne</t>
  </si>
  <si>
    <t>Des Pochettes-Surprises ont été ajoutées aux butins des monstres. Lorsqu'elles sont utilisées, elles permettent d'obtenir des Beignets de Karnaval ou bien de se retrouver déguisé en Tofu Tout-Fou.</t>
  </si>
  <si>
    <t>8 Beignet de Greuvette</t>
  </si>
  <si>
    <t>Toutes les variétés de Dragodindes Rousses donnent naissance à un bébé supplémentaire.</t>
  </si>
  <si>
    <t>5 Pic de Dragodinde Rousse Sauvage</t>
  </si>
  <si>
    <t>Les chances d'obtenir du butin sont augmentées de 100 % dans la zone du Lac Gelé.</t>
  </si>
  <si>
    <t>2 Duvet de Mamansot</t>
  </si>
  <si>
    <t>Les bonus apportés par les challenges réussis sont augmentés de 150 % sur les créatures de type Mulous.</t>
  </si>
  <si>
    <t>7 Canine du Mulou</t>
  </si>
  <si>
    <t>Les quantités de Cuivre récupérées par les Mineurs sont augmentées de 150 %.</t>
  </si>
  <si>
    <t>20 Cuivre</t>
  </si>
  <si>
    <t>Tous les personnages atteints par la Malédiction du Ballotin voient leurs gains d'expérience augmentés de 100 %.</t>
  </si>
  <si>
    <t>5 Shigekax Passion</t>
  </si>
  <si>
    <t>Les gains d'expérience sont augmentés de 125 % dans le donjon du Chêne Mou.</t>
  </si>
  <si>
    <t>2 Feuille de Branche Soignante</t>
  </si>
  <si>
    <t>Les Chasseurs économisent 10 % de leurs ingrédients lorsqu'ils fabriquent des objets.</t>
  </si>
  <si>
    <t xml:space="preserve">3 Chair d'Insecte </t>
  </si>
  <si>
    <t>Les chances d'obtenir du butin sont augmentées de 75 % sur les créatures de type Champignons.</t>
  </si>
  <si>
    <t>11 Champignon</t>
  </si>
  <si>
    <t>Les bonus apportés par les challenges réussis sont augmentés de 200 % dans le donjon des Abraknydes.</t>
  </si>
  <si>
    <t>5 Bourgeon d'Abraknyde</t>
  </si>
  <si>
    <t>Les quantités de Poissons récupérées par les Pêcheurs de tous niveaux sont augmentées de 100 %.</t>
  </si>
  <si>
    <t>5 Poisson-Chaton</t>
  </si>
  <si>
    <t>Un challenge supplémentaire est généré contre les monstres présents dans la zone du Tronc de l'Arbre Hakam.</t>
  </si>
  <si>
    <t>2 Croupion du Bitouf aérien</t>
  </si>
  <si>
    <t>Les gains d'expérience sont augmentés de 100 % dans la zone de Gisgoul, le village dévasté.</t>
  </si>
  <si>
    <t>8 Bière de Bwork</t>
  </si>
  <si>
    <t>Les chances d'obtenir du butin sont augmentées de 100 % dans la zone du Sanctuaire des Dragoeufs.</t>
  </si>
  <si>
    <t>2 Peau de Dragueuse</t>
  </si>
  <si>
    <t>La vitesse d'apparition des ressources est augmentée de 150 % dans la zone des Champs de Cania.</t>
  </si>
  <si>
    <t>La vitesse d'apparition des étoiles sur les groupes de monstres est augmentée dans la zone des Souterrains profonds d'Astrub : une étoile apparaît toutes les 5 minutes.</t>
  </si>
  <si>
    <t>4 Bec du Tofu</t>
  </si>
  <si>
    <t>Les bonus apportés par les challenges réussis sont augmentés de 200 % dans la zone de l'île de Grobe.</t>
  </si>
  <si>
    <t>2 Os de Fantôme Léopardo</t>
  </si>
  <si>
    <t>Les gains d'expérience sont augmentés de 75 % sur les créatures de type Minos.</t>
  </si>
  <si>
    <t>3 Peau de Minoskito</t>
  </si>
  <si>
    <t>Les quantités de Viande de Wabbit récupérées par les Chasseurs sont augmentées de 125%.</t>
  </si>
  <si>
    <t>3 Entrecôte de Wabbit</t>
  </si>
  <si>
    <t>Les chances d'obtenir du butin sont augmentées de 75 % sur les créatures de type Plantes de Moon et Tortues de Moon.</t>
  </si>
  <si>
    <t>8 Noix de Kokoko</t>
  </si>
  <si>
    <t>2 Nageoire de Compétition</t>
  </si>
  <si>
    <t>MARS</t>
  </si>
  <si>
    <t>Les artisans économisent 15 % de leurs ingrédients lorsqu'ils fabriquent des objets dans la zone de Brâkmar.</t>
  </si>
  <si>
    <t>1 Bâton Spirituel</t>
  </si>
  <si>
    <t>Les gains d'expérience sont augmentés de 100 % dans la zone de la Vallée de la Morh'Kitu.</t>
  </si>
  <si>
    <t>2 Crâne d'Aventurier</t>
  </si>
  <si>
    <t>Les quantités de Bois de Charme et de Bois de Bambou Sombre récupérées par les Bûcherons sont augmentées de 150 %.</t>
  </si>
  <si>
    <t>3 Bois de Charme</t>
  </si>
  <si>
    <t>La vitesse d'apparition des étoiles sur les groupes de monstres est augmentée dans la zone de la forêt Pétrifiée : une étoile apparaît toutes les 10 minutes.</t>
  </si>
  <si>
    <t>2 Volve de Fistulor</t>
  </si>
  <si>
    <t>Un challenge supplémentaire est généré contre les créatures de type Pirates de Moon.</t>
  </si>
  <si>
    <t>2 Bandeau de Nakunbra</t>
  </si>
  <si>
    <t>Les chances d'obtenir du butin sont augmentées de 100 % dans la zone de la Bourgade.</t>
  </si>
  <si>
    <t>2 Etoffe de Rat Bougri</t>
  </si>
  <si>
    <t>Les gains d'expérience sont augmentés de 125 % dans le donjon du Repaire des Pandikazes.</t>
  </si>
  <si>
    <t>2 Griffe de Pandikaze Vertige</t>
  </si>
  <si>
    <t>Les bonus apportés par les challenges réussis sont augmentés de 150 % sur les créatures de type Wabbits.</t>
  </si>
  <si>
    <t>7 Patte de Wabbit</t>
  </si>
  <si>
    <t>Les quantités de Houblon récupérées par les Paysans sont augmentées de 125 %.</t>
  </si>
  <si>
    <t>20 Houblon</t>
  </si>
  <si>
    <t>Toutes les variétés de Dragodindes Indigo donnent naissance à un bébé supplémentaire.</t>
  </si>
  <si>
    <t>2 Lait de Dragodinde</t>
  </si>
  <si>
    <t>Un challenge supplémentaire est généré contre les monstres présents dans la zone de la Tourbière sans fond</t>
  </si>
  <si>
    <t>2 Dent de Bourbassingue</t>
  </si>
  <si>
    <t>Les Pêcheurs économisent 10 % de leurs ingrédients lorsqu'ils fabriquent des objets.</t>
  </si>
  <si>
    <t>4 Poisson Pané</t>
  </si>
  <si>
    <t>Les gains d'expérience sont augmentés de 100 % sur tous les gardiens de donjon.</t>
  </si>
  <si>
    <t>2 Bâton Kouyu</t>
  </si>
  <si>
    <t>Les quantités de Trèfles à 5 Feuilles récupérées par les Alchimistes sont augmentées de 125 %.</t>
  </si>
  <si>
    <t>15 Trèfle à 5 feuilles</t>
  </si>
  <si>
    <t>Les chances d'obtenir du butin sont augmentées de 150 % sur les Sangliers des Plaines.</t>
  </si>
  <si>
    <t>2 Groin de Sanglier des Plaines</t>
  </si>
  <si>
    <t>Les gains d'expérience sont augmentés de 100 % dans la zone du Village des Zoths.</t>
  </si>
  <si>
    <t>2 Jouet de Gamine Zoth</t>
  </si>
  <si>
    <t>Ayiri Chkofi attend les aventuriers qui veulent boire un petit coup près de la taverne du village d'Amakna. Sa bénédiction transforme temporairement en Bulbinouze (effet qui disparaît quand un combat est lancé) et en Pilier de Comptoir (bonus de 5 % + 10 sur toutes les résistances durant 15 combats).</t>
  </si>
  <si>
    <t>1 Pierre d'Émeraude</t>
  </si>
  <si>
    <t>Les gains d'expérience sont augmentés de 50 % pour les métiers de fabrication d'armes et d'équipements (Forgeron, Sculpteur, Bijoutier, Cordonnier, Tailleur et Façonneur).</t>
  </si>
  <si>
    <t>1 Marteau Pickeur</t>
  </si>
  <si>
    <t>Les quantités de Manganèse récupérées par les Mineurs sont augmentées de 150 %.</t>
  </si>
  <si>
    <t>15 Manganèse</t>
  </si>
  <si>
    <t>Les chances d'obtenir du butin sont augmentées de 125 % dans le donjon de la mine abandonnée de Sakaï.</t>
  </si>
  <si>
    <t>2 Pierre du Courtilieur</t>
  </si>
  <si>
    <t>Les gains d'expérience sont augmentés de 150 % sur les Bouftous.</t>
  </si>
  <si>
    <t>6 Bave de Bouftou</t>
  </si>
  <si>
    <t>Un challenge supplémentaire est généré contre les Craqueleurs des Plaines.</t>
  </si>
  <si>
    <t>3 Fragment de Pierre Pointue</t>
  </si>
  <si>
    <t>La vitesse d'apparition des bois de tous types est augmentée de 100 %.</t>
  </si>
  <si>
    <t>20 Bois de Châtaignier</t>
  </si>
  <si>
    <t>Les artisans économisent 15 % de leurs ingrédients lorsqu'ils fabriquent des objets dans la zone des Champs de Cania.</t>
  </si>
  <si>
    <t>20 Orge</t>
  </si>
  <si>
    <t>Les chances d'obtenir du butin sont augmentées de 100 % dans la zone des Cavernes Givrefoux.</t>
  </si>
  <si>
    <t>2 Laine de Maho Givrefoux</t>
  </si>
  <si>
    <t>Les bonus apportés par les challenges réussis sont augmentés de 200 % dans la zone de la Ruche des Gloursons.</t>
  </si>
  <si>
    <t>2 Oreille d'Apériglours</t>
  </si>
  <si>
    <t>Une quête répétable spéciale est disponible aujourd'hui près du sanctuaire des Zobals. Réalisable à partir du niveau 20, elle est indépendante de la quête d'offrande.</t>
  </si>
  <si>
    <t>4 Œuf de Dragoeuf</t>
  </si>
  <si>
    <t>Un challenge supplémentaire est généré contre les créatures de type Monstres des Champs de Glace.</t>
  </si>
  <si>
    <t>2 Corne de Boufmouth de guerre</t>
  </si>
  <si>
    <t>La vitesse d'apparition des étoiles sur les groupes de monstres est augmentée dans la zone du Berceau d'Alma : une étoile apparaît toutes les 10 minutes.</t>
  </si>
  <si>
    <t>2 Etoffe de Vigie Pirate</t>
  </si>
  <si>
    <t>Les chances d'obtenir du butin sont augmentées de 75 % sur les créatures de type Kitsous.</t>
  </si>
  <si>
    <t>5 Peau de Kitsou Nae</t>
  </si>
  <si>
    <t>Les bonus apportés par les challenges réussis sont augmentés de 200 % dans le donjon des Larves.</t>
  </si>
  <si>
    <t>2 Dent de Larve Émeraude</t>
  </si>
  <si>
    <t>AVRIL</t>
  </si>
  <si>
    <t>Les gains d'expérience et les chances d'obtenir du butin sont augmentés de 75 % sur tous les monstres considérés comme des créatures marines (monstres des plages, crabes, corailleurs, crustorails, tortues de Moon, gélikan, Kralamoure Géant).</t>
  </si>
  <si>
    <t>2 Fluide Glacial</t>
  </si>
  <si>
    <t>Les quantités de Petits poissons de rivière et de mer récupérées par les Pêcheurs sont augmentées de 125 %.</t>
  </si>
  <si>
    <t>4 Crabe Sourimi</t>
  </si>
  <si>
    <t>Les gains d'expérience sont augmentés de 100 % dans la zone de l'île de Grobe.</t>
  </si>
  <si>
    <t>2 Os de Fantôme Yokai Firefoux</t>
  </si>
  <si>
    <t>Les Façonneurs économisent 10 % de leurs ingrédients lorsqu'ils fabriquent des objets.</t>
  </si>
  <si>
    <t>2 Bouclier du Bouftou</t>
  </si>
  <si>
    <t>Les gains d'expérience sont augmentés de 125 % dans le donjon des Craqueleurs.</t>
  </si>
  <si>
    <t>1 Dent en Or du Craqueleur</t>
  </si>
  <si>
    <t>Les chances d'obtenir du butin sont augmentées de 100 % dans la zone du Bois de Litneg.</t>
  </si>
  <si>
    <t>7 Poils du Mulou</t>
  </si>
  <si>
    <t>Les quantités d'Orge récupérées par les Paysans sont augmentées de 125 %.</t>
  </si>
  <si>
    <t>Les gains d'expérience sont augmentés de 75 % sur les créatures de type Tortues de Moon et Plantes de Moon.</t>
  </si>
  <si>
    <t>3 Carapace Verte Vide</t>
  </si>
  <si>
    <t>Les bonus apportés par les challenges réussis sont augmentés de 200 % dans le donjon du Centre du Labyrinthe du Minotoror.</t>
  </si>
  <si>
    <t>2 Carapace de Scaratos</t>
  </si>
  <si>
    <t>Toutes les variétés de Dragodindes Pourpres donnent naissance à un bébé supplémentaire.</t>
  </si>
  <si>
    <t>1 Mangeoire en Frêne</t>
  </si>
  <si>
    <t>La vitesse d'apparition des étoiles sur les groupes de monstres est augmentée dans la zone du Lac de Cania : une étoile apparaît toutes les 5 minutes.</t>
  </si>
  <si>
    <t>9 Bout de Blop Coco</t>
  </si>
  <si>
    <t>Les chances d'obtenir du butin sont augmentées de 75 % sur les créatures de type Fantômes de Pandala.</t>
  </si>
  <si>
    <t>2 Os de Fantôme Pandikaze</t>
  </si>
  <si>
    <t>Les quantités de Bois d'Ebène et de Bois de Kaliptus récupérées par les Bûcherons sont augmentées de 150 %.</t>
  </si>
  <si>
    <t>8 Bois de Kaliptus</t>
  </si>
  <si>
    <t>Les bonus apportés par les challenges réussis sont augmentés de 150 % sur les créatures de type Monstres du Village des Zoths.</t>
  </si>
  <si>
    <t>2 Calumet Zoth</t>
  </si>
  <si>
    <t>Pour chaque objet fabriqué, les Bricoleurs ont 25 % de chances de créer un second objet.</t>
  </si>
  <si>
    <t>1 Baffeur en Frêne</t>
  </si>
  <si>
    <t>Les artisans économisent 15 % de leurs ingrédients lorsqu'ils fabriquent des objets dans la zone d'Astrub, ainsi que dans les champs et la forêt d'Astrub.</t>
  </si>
  <si>
    <t>2 Kralamoure Grillé</t>
  </si>
  <si>
    <t>Les chances d'obtenir du butin sont augmentées de 100 % dans la zone de la péninsule des Gelées.</t>
  </si>
  <si>
    <t>2 Gelée à la Fraise</t>
  </si>
  <si>
    <t>Un challenge supplémentaire est généré contre les créatures de type Monstres du Mont Torrideau.</t>
  </si>
  <si>
    <t>2 Queue de Meliglours</t>
  </si>
  <si>
    <t>Les quantités d'Or récupérées par les Mineurs sont augmentées de 150 %.</t>
  </si>
  <si>
    <t>10 Or</t>
  </si>
  <si>
    <t>Les gains d'expérience sont augmentés de 100 % dans la zone de la Bordure de Feudala.</t>
  </si>
  <si>
    <t>3 Poils de Maho Firefoux</t>
  </si>
  <si>
    <t>Les chances d'obtenir du butin sont augmentées de 125 % dans le donjon du Centre du Labyrinthe du Minotoror.</t>
  </si>
  <si>
    <t>2 Corne de Gamino</t>
  </si>
  <si>
    <t>La vitesse d'apparition des ressources est augmentée de 150 % dans les zones de la Rivière Kawaii et du Port de Madrestam.</t>
  </si>
  <si>
    <t>2 Carpe d'Iem</t>
  </si>
  <si>
    <t>Les gains d'expérience sont augmentés de 75 % sur les créatures de type Monstres des Tourbières.</t>
  </si>
  <si>
    <t>Les bonus apportés par les challenges réussis sont augmentés de 200 % dans la zone de la montagne des Craqueleurs.</t>
  </si>
  <si>
    <t>2 Pierre du Craqueleur</t>
  </si>
  <si>
    <t xml:space="preserve">Les quantités de Museaux et de Mouvants récupérées par les Chasseurs sont augmentées de 125%. </t>
  </si>
  <si>
    <t>3 Museau du Mulou</t>
  </si>
  <si>
    <t>Les gains de kamas sont augmentés de 100 % pour toutes les quêtes.</t>
  </si>
  <si>
    <t>2 Bourse Suspecte</t>
  </si>
  <si>
    <t>La vitesse d'apparition des étoiles sur les groupes de monstres est augmentée dans la zone de la Route de Brâkmar : une étoile apparaît toutes les 15 minutes.</t>
  </si>
  <si>
    <t>3 Oreille de Kanigrou</t>
  </si>
  <si>
    <t>Les Mineurs économisent 10 % de leurs ingrédients lorsqu'ils fabriquent des objets.</t>
  </si>
  <si>
    <t>1 Cristal</t>
  </si>
  <si>
    <t>Les chances d'obtenir du butin sont augmentées de 75 % sur les créatures de type Pious.</t>
  </si>
  <si>
    <t>4 Plume de Piou Rouge</t>
  </si>
  <si>
    <t>Les quantités de Plantes récupérées par les Alchimistes de tous niveaux sont augmentées de 100 %.</t>
  </si>
  <si>
    <t>20 Sauge</t>
  </si>
  <si>
    <t>MAI</t>
  </si>
  <si>
    <t>Pour chaque Fée d'Artifice fabriquée, les personnages ont 25 % de chances de créer une seconde Fée et 10 % de chances d'économiser des ingrédients. Ils peuvent aussi récupérer 2 fois plus de Capsules Explosives en combattant des Bworks Mages.</t>
  </si>
  <si>
    <t>2 Capsule Explosive</t>
  </si>
  <si>
    <t>Les gains d'expérience sont augmentés de 125 % dans le donjon Fungus.</t>
  </si>
  <si>
    <t>1 Langue du Champodonte</t>
  </si>
  <si>
    <t>Les chances d'obtenir du butin sont augmentées de 75 % sur les créatures de type Monstres de l'Arbre Hakam.</t>
  </si>
  <si>
    <t>2 Souche de l'Abrakleur clair</t>
  </si>
  <si>
    <t>Les bonus apportés par les challenges réussis sont augmentés de 250 % sur les Onis.</t>
  </si>
  <si>
    <t>1 Sang d'Oni</t>
  </si>
  <si>
    <t>Les protecteurs de ressources ont 5 fois plus de chances d'apparaître pendant les activités de récolte.</t>
  </si>
  <si>
    <t>1 Sac du Petit Récolteur</t>
  </si>
  <si>
    <t>Les quantités de Bombu, d'Oliviolet et d'Érable récupérées par les Bûcherons sont augmentées de 125 %.</t>
  </si>
  <si>
    <t>15 Bois d'Erable</t>
  </si>
  <si>
    <t>Les artisans ont 15 % de chances d'économiser des ingrédients lorsqu'ils fabriquent des objets dans la zone de la Bourgade, ainsi que dans les Champs de Glace.</t>
  </si>
  <si>
    <t>5 Boulettes d'Insecte</t>
  </si>
  <si>
    <t>Une quête répétable spéciale est disponible aujourd'hui près du château d'Amakna. Réalisable à partir du niveau 10, elle est indépendante de la quête d'offrande.</t>
  </si>
  <si>
    <t>10 Pomme de Terre</t>
  </si>
  <si>
    <t>Les chances d'obtenir du butin sont augmentées de 100 % dans la zone du Canyon Sauvage.</t>
  </si>
  <si>
    <t>2 Pierre Médicinale</t>
  </si>
  <si>
    <t>Toutes les variétés de Dragodindes Turquoise donnent naissance à un bébé supplémentaire.</t>
  </si>
  <si>
    <t>3 Pelle de Boisaille</t>
  </si>
  <si>
    <t>Les gains d'expérience sont augmentés de 100 % dans la zone de la Plaine des Scarafeuilles.</t>
  </si>
  <si>
    <t>1 Carapace de Scarafeuille Vert</t>
  </si>
  <si>
    <t>Les quantités de Malt récupérées par les Paysans sont augmentées de 125 %.</t>
  </si>
  <si>
    <t>20 Malt</t>
  </si>
  <si>
    <t>Les bonus apportés par les challenges réussis sont augmentés de 200 % dans le donjon du Repaire de Skeunk.</t>
  </si>
  <si>
    <t>1 Dédicace de Skeunk pour Émeraude</t>
  </si>
  <si>
    <t>La qualité des objets fabriqués dans la ville d'Astrub est augmentée.</t>
  </si>
  <si>
    <t>2 Dagues de Fouraille</t>
  </si>
  <si>
    <t>Des Boufballes Surprises ont été ajoutées aux butins des monstres. Lorsqu'elles sont utilisées, elles permettent d'obtenir des Bouf'gommes de différents parfums.</t>
  </si>
  <si>
    <t>Une quête répétable spéciale est disponible aujourd'hui à l'est de l'atelier des bûcherons de la forêt d'Amakna. Réalisable à partir du niveau 20, elle est indépendante de la quête d'offrande.</t>
  </si>
  <si>
    <t>1 Cawotte</t>
  </si>
  <si>
    <t>Les chances d'obtenir du butin sont augmentées de 150 % sur les Roissingues.</t>
  </si>
  <si>
    <t>2 Étoffe du Roissingue</t>
  </si>
  <si>
    <t>La vitesse d'apparition des étoiles sur les groupes de monstres est augmentée dans la zone de la forêt de Pandala : une étoile apparaît toutes les 5 minutes.</t>
  </si>
  <si>
    <t>3 Fleur de Bulbiflore</t>
  </si>
  <si>
    <t>Les quantités d'Étain et de Silicate récupérées par les Mineurs sont augmentées de 150 %.</t>
  </si>
  <si>
    <t>12 Etain</t>
  </si>
  <si>
    <t>Les gains d'expérience sont augmentés de 75 % sur les créatures de type Dopeuls de temple.</t>
  </si>
  <si>
    <t>2 Papier Charbon</t>
  </si>
  <si>
    <t>Les Tailleurs ont 10 % de chances d'économiser des ingrédients lorsqu'ils fabriquent des objets.</t>
  </si>
  <si>
    <t>1 Capouze des Champs</t>
  </si>
  <si>
    <t>Un challenge supplémentaire est généré contre les monstres présents dans la zone des Cavernes des Givrefoux.</t>
  </si>
  <si>
    <t>2 Laine de Yokaï Givrefoux</t>
  </si>
  <si>
    <t>Les quantités de Poissons de rivière géants récupérées par les Pêcheurs sont augmentées de 150 %.</t>
  </si>
  <si>
    <t>2 Perche</t>
  </si>
  <si>
    <t>Les chances d'obtenir du butin sont augmentées de 125 % dans le donjon des Champs.</t>
  </si>
  <si>
    <t>3 Graine de Tournesol Sauvage</t>
  </si>
  <si>
    <t>Les gains d'expérience sont augmentés de 100 % dans la zone du Feuillage de l'Arbre Hakam.</t>
  </si>
  <si>
    <t>2 Bave du Kaskargo</t>
  </si>
  <si>
    <t>Les bonus apportés par les challenges réussis sont augmentés de 200 % dans la zone de l'Élevage de Bouftous du Château d'Amakna.</t>
  </si>
  <si>
    <t>6 Corne de Bouftou</t>
  </si>
  <si>
    <t>Pour chaque objet fabriqué, les Paysans ont 25 % de chances de créer un second objet.</t>
  </si>
  <si>
    <t>10 Pain Consistant</t>
  </si>
  <si>
    <t>Les quantités de viande récupérées par les Chasseurs sur les créatures de Frigost qui vivent dans la Bourgade sont augmentées de 125 %.</t>
  </si>
  <si>
    <t>2 Viande de Chachachovage</t>
  </si>
  <si>
    <t>La vitesse d'apparition des étoiles sur les groupes de monstres est augmentée dans la zone de la forêt de Kaliptus : une étoile apparaît toutes les 5 minutes.</t>
  </si>
  <si>
    <t>2 Poils de Koalak Forestier</t>
  </si>
  <si>
    <t>Les gains d'expérience sont augmentés de 75 % sur les créatures de type Dragoeufs.</t>
  </si>
  <si>
    <t>7 Coquille de Dragoeuf Doré</t>
  </si>
  <si>
    <t>Les chances d'obtenir du butin sont augmentées de 100 % dans la zone de la forêt Pétrifiée.</t>
  </si>
  <si>
    <t>2 Lamelle de Dramanite</t>
  </si>
  <si>
    <t>JUIN</t>
  </si>
  <si>
    <t>Un challenge supplémentaire est généré contre les créatures de type Monstres des plages.</t>
  </si>
  <si>
    <t>5 Pince du Crabe</t>
  </si>
  <si>
    <t>Les artisans ont 15 % de chances d'économiser des ingrédients lorsqu'ils fabriquent des objets dans la zone du port de Madrestam</t>
  </si>
  <si>
    <t>3 Sardine Brillante</t>
  </si>
  <si>
    <t>Les bonus apportés par les challenges réussis sont augmentés de 200 % dans le donjon des Forgerons.</t>
  </si>
  <si>
    <t>2 Graine de la Discorde</t>
  </si>
  <si>
    <t>Le butin généré par les Percepteurs est augmenté de 200 % dans toutes les zones.</t>
  </si>
  <si>
    <t>2 Sceau Royal Contrefait</t>
  </si>
  <si>
    <t>Les quantités de minerai récupérées par les Mineurs de tous niveaux sont augmentées de 100 %.</t>
  </si>
  <si>
    <t>Les chances d'obtenir du butin sont augmentées de 75 % sur le Comte Harebourg et ses 4 lieutenants, ainsi que sur leurs créatures.</t>
  </si>
  <si>
    <t>2 Oeil de Harrogant</t>
  </si>
  <si>
    <t>Les gains d'expérience sont augmentés de 75 % sur les créatures de type Givrefoux.</t>
  </si>
  <si>
    <t>2 Incisive de Kami Givrefoux</t>
  </si>
  <si>
    <t>Les bonus apportés par les challenges réussis sont augmentés de 200 % dans la zone de la forêt de Pandala</t>
  </si>
  <si>
    <t>2 Pousses de Bulbambou</t>
  </si>
  <si>
    <t>Les quantités d'Orchidée Freyesque récupérées par les Alchimistes sont augmentées de 150 %.</t>
  </si>
  <si>
    <t>10 Orchidée Freyesque</t>
  </si>
  <si>
    <t>Toutes les variétés de Dragodindes Amande donnent naissance à un bébé supplémentaire.</t>
  </si>
  <si>
    <t>5 Pic de Dragodinde</t>
  </si>
  <si>
    <t>Les chances d'obtenir du butin sont augmentées de 100 % dans la zone de la plage de Moon.</t>
  </si>
  <si>
    <t>2 Kokopaille</t>
  </si>
  <si>
    <t>La qualité des objets fabriqués dans la ville de la Bourgade est augmentée</t>
  </si>
  <si>
    <t>2 Baguette de Glace</t>
  </si>
  <si>
    <t>Les gains d'expérience sont augmentés de 100 % dans la zone de la Caverne des Fungus.</t>
  </si>
  <si>
    <t>1 Bave de Champ à Gnons</t>
  </si>
  <si>
    <t>Les Bricoleurs ont 10 % de chances d'économiser des ingrédients lorsqu'ils fabriquent des objets.</t>
  </si>
  <si>
    <t>1 Clef des Champs</t>
  </si>
  <si>
    <t>Les quantités de Merisier récupérées par les Bûcherons sont augmentées de 125 %.</t>
  </si>
  <si>
    <t>12 Bois de Merisier</t>
  </si>
  <si>
    <t>Un challenge supplémentaire est généré contre les monstres présents dans la zone du Village des Dragoeufs.</t>
  </si>
  <si>
    <t>7 Coquille de Dragoeuf Saphir</t>
  </si>
  <si>
    <t>Les chances d'obtenir du butin sont augmentées de 150 % sur les Bulbigs. Le Bulbig Brozeur n'est pas concerné par ce bonus.</t>
  </si>
  <si>
    <t>2 Racine de Bulbig</t>
  </si>
  <si>
    <t>Les gains d'expérience sont augmentés de 125 % dans le donjon des Dragoeufs.</t>
  </si>
  <si>
    <t>2 Peau de Dragoeuf Volant</t>
  </si>
  <si>
    <t>Les bonus apportés par les challenges réussis sont augmentés de 250 % sur les Kitsous Nufeus.</t>
  </si>
  <si>
    <t>5 Peau de Kitsou Nufeu</t>
  </si>
  <si>
    <t>Les quantités de Blé récupérées par les Paysans sont augmentées de 125 %.</t>
  </si>
  <si>
    <t>40 Blé</t>
  </si>
  <si>
    <t>Le coût d'utilisation des Zaaps, les frais bancaires et les taxes des Hôtels de vente bénéficient d'une réduction de 50 %.</t>
  </si>
  <si>
    <t>2 Conque Marine</t>
  </si>
  <si>
    <t>La vitesse d'apparition des étoiles sur les groupes de monstres est augmentée dans la zone de la Plage de Corail : une étoile apparaît toutes les 15 minutes</t>
  </si>
  <si>
    <t>2 Pince de Crustorail</t>
  </si>
  <si>
    <t>Les chances d'obtenir du butin sont augmentées de 100 % dans la zone du Feuillage de l'Arbre Hakam.</t>
  </si>
  <si>
    <t>Les gains d'expérience sont augmentés de 75 % sur les créatures de type Plantes des Champs.</t>
  </si>
  <si>
    <t>4 Langue du Pissenlit Diabolique</t>
  </si>
  <si>
    <t>La vitesse d'apparition des ressources est augmentée de 150 % dans la zone des Landes de Sidimote.</t>
  </si>
  <si>
    <t>40 Fer</t>
  </si>
  <si>
    <t>Les artisans ont 15 % de chances d'économiser des ingrédients lorsqu'ils fabriquent des objets dans la zone du village de Pandala.</t>
  </si>
  <si>
    <t>1 Bouclier du Bûcheron</t>
  </si>
  <si>
    <t>Les chances d'obtenir du butin sont augmentées de 125 % dans le donjon de l'Antre du Kralamoure Géant.</t>
  </si>
  <si>
    <t>2 Vieille Ventouse de Kralamoure</t>
  </si>
  <si>
    <t>La vitesse d'apparition des étoiles sur les groupes de monstres est augmentée dans la zone de la forêt des Abraknydes : une étoile apparaît toutes les 10 minutes.</t>
  </si>
  <si>
    <t>7 Racine d'Abraknyde</t>
  </si>
  <si>
    <t xml:space="preserve">Les quantités de Cuisses de Bouftou récupérées par les Chasseurs sont augmentées de 125%. </t>
  </si>
  <si>
    <t>4 Cuisse de Bouftou</t>
  </si>
  <si>
    <t>Les gains d'expérience sont augmentés de 100 % dans la zone de l'île du Minotoror.</t>
  </si>
  <si>
    <t>3 Peau de Mandrine</t>
  </si>
  <si>
    <t>JUILLET</t>
  </si>
  <si>
    <t>Les chances d'obtenir du butin sont augmentées de 150 % sur les Chefs Crocodailles.</t>
  </si>
  <si>
    <t>4 Écaille de Chef Crocodaille</t>
  </si>
  <si>
    <t>Un challenge supplémentaire est généré contre les monstres présents dans la zone de la forêt d'Amakna.</t>
  </si>
  <si>
    <t>6 Défense du Sanglier</t>
  </si>
  <si>
    <t>Les Alchimistes ont 10 % de chances d'économiser des ingrédients lorsqu'ils fabriquent des objets.</t>
  </si>
  <si>
    <t>7 Potion de Mini Soin</t>
  </si>
  <si>
    <t>La qualité des objets fabriqués dans le village et la forêt d'Amakna est augmentée.</t>
  </si>
  <si>
    <t>2 Dés de Joue de Rat</t>
  </si>
  <si>
    <t>Les bonus apportés par les challenges réussis sont augmentés de 200 % dans le donjon des Kitsounes.</t>
  </si>
  <si>
    <t>1 Poils de Kitsou Nakwa</t>
  </si>
  <si>
    <t>Les quantités de Poissons de rivière de taille moyenne récupérées par les Pêcheurs sont augmentées de 150 %.</t>
  </si>
  <si>
    <t>8 Truite</t>
  </si>
  <si>
    <t>Les chances d'obtenir du butin sont augmentées de 100 % dans la zone des Larmes d'Ouronigride.</t>
  </si>
  <si>
    <t>2 Résidu de Solfataré</t>
  </si>
  <si>
    <t>Les gains d'expérience sont augmentés de 200 % sur les Boufcouls et les Bouftous des Cavernes.</t>
  </si>
  <si>
    <t>8 Laine du Boufcoul</t>
  </si>
  <si>
    <t>Les gains d'expérience sont augmentés de 50 % pour les métiers de récolte.</t>
  </si>
  <si>
    <t>20 Bois de Frêne</t>
  </si>
  <si>
    <t>Toutes les variétés de Dragodindes Prune donnent naissance à un bébé supplémentaire.</t>
  </si>
  <si>
    <t>1 Arc Ecologique</t>
  </si>
  <si>
    <t>Les quantités de Bauxite récupérées par les Mineurs sont augmentées de 150 %.</t>
  </si>
  <si>
    <t>10 Bauxite</t>
  </si>
  <si>
    <t>Les bonus apportés par les challenges réussis sont augmentés de 200 % dans la zone des Champs de Glace.</t>
  </si>
  <si>
    <t>2 Laine de Boufmouth</t>
  </si>
  <si>
    <t>Les gains d'expérience sont augmentés de 100 % dans la zone des Larmes d'Ouronigride.</t>
  </si>
  <si>
    <t>2 Pierre d'Atomystique</t>
  </si>
  <si>
    <t>Les gains d'expérience sont augmentés de 100 % lors des combats du Kolizéum.</t>
  </si>
  <si>
    <t>2 Chaînes Brisées</t>
  </si>
  <si>
    <t xml:space="preserve">Les quantités de Dragoviande récupérées par les Chasseurs sont augmentées de 125%. </t>
  </si>
  <si>
    <t>3 DragoViande</t>
  </si>
  <si>
    <t>Les chances d'obtenir du butin sont augmentées de 75 % sur les créatures de type Monstres de Vulkania.</t>
  </si>
  <si>
    <t>2 Boue Vénérable</t>
  </si>
  <si>
    <t>La vitesse d'apparition des étoiles sur les groupes de monstres est augmentée dans la zone des Prairies d'Astrub : une étoile apparaît toutes les 10 minutes.</t>
  </si>
  <si>
    <t>4 Fleur de Pissenlit Diabolique</t>
  </si>
  <si>
    <t>Les artisans ont 15 % de chances d'économiser des ingrédients lorsqu'ils fabriquent des objets dans la zone du Coin des Bouftous.</t>
  </si>
  <si>
    <t>5 Substrat de buisson</t>
  </si>
  <si>
    <t>Les gains d'expérience sont augmentés de 125 % dans le donjon de la Grotte Hesque.</t>
  </si>
  <si>
    <t>2 Coccyx du Corailleur</t>
  </si>
  <si>
    <t>La vitesse d'apparition des céréales récoltées par les Paysans est augmentée de 100 %.</t>
  </si>
  <si>
    <t>1 Huile de Tournesol Sauvage</t>
  </si>
  <si>
    <t>Les chances d'obtenir du butin sont augmentées de 100 % dans la zone du Village des Zoths.</t>
  </si>
  <si>
    <t>2 Pierre Précieuse Zoth</t>
  </si>
  <si>
    <t>Un challenge supplémentaire est généré contre les créatures de type Monstres de la Bourgade.</t>
  </si>
  <si>
    <t>2 Plume de Gélikan</t>
  </si>
  <si>
    <t>Les bonus apportés par les familiers et les montiliers sont augmentés de 100 %.</t>
  </si>
  <si>
    <t>10 Greu-Vette</t>
  </si>
  <si>
    <t>Les quantités de Tremble, de Bambou Sacré et d'Orme récupérées par les Bûcherons sont augmentées de 200 %.</t>
  </si>
  <si>
    <t>1 Bois d'Orme</t>
  </si>
  <si>
    <t>Les bonus apportés par les challenges réussis sont augmentés de 150 % sur les créatures de type Cochons.</t>
  </si>
  <si>
    <t>1 Peau de Don Duss Ang</t>
  </si>
  <si>
    <t>Les gains d'expérience sont augmentés de 100 % dans la zone de la forêt des Pins Perdus.</t>
  </si>
  <si>
    <t>2 Queue d'Ecumouth</t>
  </si>
  <si>
    <t>Les Chasseurs ont 10 % de chances d'économiser des ingrédients lorsqu'ils fabriquent des objets.</t>
  </si>
  <si>
    <t>8 Larve croque-sel</t>
  </si>
  <si>
    <t>La vitesse d'apparition des étoiles sur les groupes de monstres est augmentée dans les zones de la forêt Enneigée et de la plaine de Sakaï : une étoile apparaît toutes les 5 minutes.</t>
  </si>
  <si>
    <t>2 Péroné du Marôdeur</t>
  </si>
  <si>
    <t>Les chances d'obtenir du butin sont augmentées de 125 % dans le donjon du Repaire de Daïgoro.</t>
  </si>
  <si>
    <t>5 Peau de Kitsou Nere</t>
  </si>
  <si>
    <t>Les gains d'expérience et les chances d'obtenir du butin sont augmentés de 125 % dans le donjon de la Maison Fantôme.</t>
  </si>
  <si>
    <t>4 Sang du Vampire</t>
  </si>
  <si>
    <t>Les gains d'expérience sont augmentés de 75 % sur les créatures de type Monstres de Vulkania.</t>
  </si>
  <si>
    <t>2 Poudre Novice</t>
  </si>
  <si>
    <t>AOUT</t>
  </si>
  <si>
    <t>Les quantités d'Edelweiss et de Graines de Pandouille récupérées par les Alchimistes sont augmentées de 175 %.</t>
  </si>
  <si>
    <t>10 Edelweiss</t>
  </si>
  <si>
    <t>Les chances d'obtenir du butin sont augmentées de 75 % sur les créatures de type Tofus.</t>
  </si>
  <si>
    <t>5 Oeuf de Tofu</t>
  </si>
  <si>
    <t>Une quête répétable spéciale est disponible aujourd'hui au sud des portes de Bonta. Réalisable à partir du niveau 10, elle est indépendante de la quête d'offrande.</t>
  </si>
  <si>
    <t>3 Potion de cité : Bonta</t>
  </si>
  <si>
    <t>Un challenge supplémentaire est généré contre les créatures de type Monstres de Vulkania.</t>
  </si>
  <si>
    <t>2 Cendres Matures</t>
  </si>
  <si>
    <t>Les quantités de Poissons de Frigost récupérées par les Pêcheurs sont augmentées de 150 %.</t>
  </si>
  <si>
    <t>3 Poisskaille</t>
  </si>
  <si>
    <t>Les gains d'expérience sont augmentés de 100 % dans la zone des Calanques d'Astrub.</t>
  </si>
  <si>
    <t>2 Crème à bronzer</t>
  </si>
  <si>
    <t>Les bonus apportés par les challenges réussis sont augmentés de 200 % dans le donjon de l'Antre du Blop Multicolore Royal.</t>
  </si>
  <si>
    <t>2 Racine de Tronkoblop</t>
  </si>
  <si>
    <t>Les artisans ont 15 % de chances d'économiser des ingrédients lorsqu'ils fabriquent des objets dans la zone de Bonta.</t>
  </si>
  <si>
    <t>4 Bottes du Chat Buté</t>
  </si>
  <si>
    <t>Les quantités de céréales récupérées par les Paysans de tous niveaux sont augmentées de 100 %.</t>
  </si>
  <si>
    <t>Toutes les variétés de Dragodindes capables de se reproduire donnent naissance à un bébé supplémentaire.</t>
  </si>
  <si>
    <t>2 Pic de Dragodinde Dorée</t>
  </si>
  <si>
    <t>Les chances d'obtenir du butin sont augmentées de 100 % dans la zone de l'île de Grobe.</t>
  </si>
  <si>
    <t>2 Os de Fantôme Soryo Firefoux</t>
  </si>
  <si>
    <t>Les gains d'expérience sont augmentés de 75 % sur les créatures de type Kannibouls de l'île de Moon.</t>
  </si>
  <si>
    <t>2 Pointe de Javelot de Jav</t>
  </si>
  <si>
    <t>Les bonus apportés par les challenges réussis sont augmentés de 150 % sur les créatures de type Monstres de Vulkania.</t>
  </si>
  <si>
    <t>2 Flaque Juvénile</t>
  </si>
  <si>
    <t>La vitesse d'apparition des ressources est augmentée de 150 % dans la zone de la forêt d'Amakna.</t>
  </si>
  <si>
    <t>La vitesse d'apparition des étoiles sur les groupes de monstres est augmentée pour toutes les zones : une étoile apparaît toutes les 30 minutes</t>
  </si>
  <si>
    <t>2 Paupière d'Étoile</t>
  </si>
  <si>
    <t>Les gains d'expérience sont augmentés de 100 % dans la zone du Pichon Frétillant.</t>
  </si>
  <si>
    <t>2 Brassard de Braconnier.</t>
  </si>
  <si>
    <t>Les quantités de Bronze récupérées par les Mineurs sont augmentées de 150 %.</t>
  </si>
  <si>
    <t>20 Bronze</t>
  </si>
  <si>
    <t>Les chances d'obtenir du butin sont augmentées de 75 % sur les créatures de type Minos.</t>
  </si>
  <si>
    <t>Les Paysans ont 10 % de chances d'économiser des ingrédients lorsqu'ils fabriquent des objets.</t>
  </si>
  <si>
    <t>Les bonus apportés par les challenges réussis sont augmentés de 200 % dans la zone de la plaine des Porkass.</t>
  </si>
  <si>
    <t>3 Cuir du Cochon de Lait</t>
  </si>
  <si>
    <t>La vitesse d'apparition des étoiles sur les groupes de monstres est augmentée dans les zones des forêts de Vulkania : une étoile apparaît toutes les 10 minutes.</t>
  </si>
  <si>
    <t>2 Fumée Juvénile</t>
  </si>
  <si>
    <t>Les quantités de Viande de Porc récupérées par les Chasseurs sont augmentées de 125%.</t>
  </si>
  <si>
    <t>4 Échine de Porc</t>
  </si>
  <si>
    <t>Les chances d'obtenir du butin sont augmentées de 100 % dans la zone du Mont Torrideau.</t>
  </si>
  <si>
    <t>2 Poils de Boulglours</t>
  </si>
  <si>
    <t>Les gains d'expérience sont augmentés de 125 % dans le donjon du Bworker.</t>
  </si>
  <si>
    <t>2 Furoncle de la Mama Bwork</t>
  </si>
  <si>
    <t>Un challenge supplémentaire est généré contre les monstres présents dans la zone du champ des Ingalsses.</t>
  </si>
  <si>
    <t>3 Pétale de Tournesol Sauvage</t>
  </si>
  <si>
    <t>Le butin généré par les Percepteurs est augmenté de 300 % dans le donjon des Dragoeufs.</t>
  </si>
  <si>
    <t>Les gains d'expérience sont augmentés de 75 % sur les créatures de type Monstres du Berceau d'Alma.</t>
  </si>
  <si>
    <t>2 Ecaille de Harpirate</t>
  </si>
  <si>
    <t>Les quantités de Noyer récupérées par les Bûcherons sont augmentées de 150 %.</t>
  </si>
  <si>
    <t>20 Bois de Noyer</t>
  </si>
  <si>
    <t>Les chances d'obtenir du butin sont augmentées de 125 % dans le donjon des Blops.</t>
  </si>
  <si>
    <t>2 Fleur de Blopignon</t>
  </si>
  <si>
    <t>La vitesse d'apparition des étoiles sur les groupes de monstres est augmentée dans la zone du Labyrinthe du Dragon Cochon : une étoile apparaît toutes les 5 minutes.</t>
  </si>
  <si>
    <t>1 Peau de Don Dorgan</t>
  </si>
  <si>
    <t>Les artisans ont 15 % de chances d'économiser des ingrédients lorsqu'ils fabriquent des objets dans la zone de la forêt d'Amakna</t>
  </si>
  <si>
    <t>3 Michette</t>
  </si>
  <si>
    <t>SEPTEMBRE</t>
  </si>
  <si>
    <t>Les gains d'expérience sont augmentés de 100 % dans la zone des Lacs Enchantés.</t>
  </si>
  <si>
    <t>2 Os de Pékeualak</t>
  </si>
  <si>
    <t>Les gains d'expérience sont augmentés de 50 % pour tous les métiers.</t>
  </si>
  <si>
    <t>4 Potion de Vieillesse</t>
  </si>
  <si>
    <t>Les quantités d'Ortie récupérées par les Alchimistes sont augmentées de 125 %.</t>
  </si>
  <si>
    <t>40 Ortie</t>
  </si>
  <si>
    <t>Les bonus apportés par les challenges réussis sont augmentés de 150 % sur les monstres des Crocs de verre.</t>
  </si>
  <si>
    <t>2 Griffe de Blérauve</t>
  </si>
  <si>
    <t>Les chances d'obtenir du butin sont augmentées de 100 % dans la zone de Pandala Neutre.</t>
  </si>
  <si>
    <t>4 Feuille de Bambouto</t>
  </si>
  <si>
    <t>Les gains d'expérience sont augmentés de 125 % dans la Bibliothèque du Maître Corbac.</t>
  </si>
  <si>
    <t>1 Poil de Renarbo</t>
  </si>
  <si>
    <t>Un challenge supplémentaire est généré contre les monstres des Larmes d'Ouronigride.</t>
  </si>
  <si>
    <t>2 Pierre de Mofette</t>
  </si>
  <si>
    <t>Les quantités de Poissons de mer de taille moyenne récupérées par les Pêcheurs sont augmentées de 150 %.</t>
  </si>
  <si>
    <t>Les chances d'obtenir du butin sont augmentées de 150 % sur les Bergers Porkass.</t>
  </si>
  <si>
    <t>2 Trident Cassé</t>
  </si>
  <si>
    <t>Toutes les variétés de Dragodindes Ebène donnent naissance à un bébé supplémentaire.</t>
  </si>
  <si>
    <t>1 Aile de Dragodinde</t>
  </si>
  <si>
    <t>La vitesse d'apparition des étoiles sur les groupes de monstres est augmentée dans la zone du Sanctuaire des Dragoeufs : une étoile apparaît toutes les 10 minutes.</t>
  </si>
  <si>
    <t>2 Peau de Dragoeuf Guerrier</t>
  </si>
  <si>
    <t>Les récompenses en points d'expérience des quêtes d'alignement et des quêtes des Ordres des cités sont augmentées de 100 %. De plus, une quête répétable spéciale est disponible aujourd'hui à l'intérieur des milices de Bonta ou de Brâkmar. Réalisable à partir du niveau 10 par les personnages alignés, elle est indépendante de la quête d'offrande.</t>
  </si>
  <si>
    <t>2 Flamme Spectrale</t>
  </si>
  <si>
    <t>Les quantités de Lin récupérées par les Paysans sont augmentées de 125 %.</t>
  </si>
  <si>
    <t>20 Lin</t>
  </si>
  <si>
    <t>Les gains d'expérience sont augmentés de 75 % sur les monstres de la forêt Pétrifiée</t>
  </si>
  <si>
    <t>2 Écorce d'Abrazif</t>
  </si>
  <si>
    <t>Les Bijoutiers économisent 10 % de leurs ingrédients lorsqu'ils fabriquent des objets.</t>
  </si>
  <si>
    <t>3 Collier de l'Arc en Ciel</t>
  </si>
  <si>
    <t>Les chances d'obtenir du butin sont augmentées de 100 % dans la zone des Champs de Glace.</t>
  </si>
  <si>
    <t>2 Oreille de Bouftonmouth</t>
  </si>
  <si>
    <t>Les gains d'expérience sont augmentés de 100 % dans la zone de la Clairière de Brouce Boulgoure.</t>
  </si>
  <si>
    <t>7 Épine du Champ Champ</t>
  </si>
  <si>
    <t>+200% sur les challenges du Donjon Squelettes.</t>
  </si>
  <si>
    <t>4 Os de Chafer</t>
  </si>
  <si>
    <t>Les gains d’expérience et les chances d’obtenir du butin sont augmentés de 75% sur tous les monstres considérés comme des pirates.</t>
  </si>
  <si>
    <t>Les quantités de viande récupérées par les Chasseurs sur les Kanigrous, les Crocodailles et les Koalaks sont augmentées de 125 %.</t>
  </si>
  <si>
    <t>3 Viandes de Kanigrou</t>
  </si>
  <si>
    <t>La qualité des objets fabriqués dans la ville de Brâkmar est augmentée de 10%.</t>
  </si>
  <si>
    <t>2 Haches Vôr'Om</t>
  </si>
  <si>
    <t>Les bonus apportés par les challenges réussis sont augmentés de 200 % dans la zone de la Bordure de Feudala.</t>
  </si>
  <si>
    <t>3 Poils Léopardo</t>
  </si>
  <si>
    <t>Les chances d'obtenir du butin sont augmentées de 75 % sur les monstres des Plaines Herbeuses.</t>
  </si>
  <si>
    <t>2 Duvet Kilibriss</t>
  </si>
  <si>
    <t>Les artisans ont 15 % de chances d'économiser des ingrédients lorsqu'ils fabriquent des objets dans la zone de la Campagne.</t>
  </si>
  <si>
    <t>4 Hachette de Bûcheron</t>
  </si>
  <si>
    <t>Les gains d'expérience sont augmentés de 150 % sur les Crocodailles.</t>
  </si>
  <si>
    <t>4 Dents de Crocodaille</t>
  </si>
  <si>
    <t>Les quantités de Dolomite et d'Obsidienne récupérées par les Mineurs sont augmentées de 175 %.</t>
  </si>
  <si>
    <t>3 Obsidienne</t>
  </si>
  <si>
    <t>Les chances d'obtenir du butin sont augmentées de 125 % dans le donjon des Firefoux.</t>
  </si>
  <si>
    <t>4 Poils de Yokaï</t>
  </si>
  <si>
    <t>La vitesse d'apparition des étoiles sur les groupes de monstres est augmentée dans la zone du Labyrinthe du Minotoror : une étoile apparaît toutes les 5 minutes.</t>
  </si>
  <si>
    <t>3 Plumes de Serpiplume</t>
  </si>
  <si>
    <t>Un challenge supplémentaire est généré contre les monstres présents dans la zone de l'Arche d'Otomaï.</t>
  </si>
  <si>
    <t>2 Maillot de corps de Barboussa</t>
  </si>
  <si>
    <t>Le butin généré par les Percepteurs est augmenté de 300 % dans la Canopée du Kimbo.</t>
  </si>
  <si>
    <t>2 Croupions du Bitouf Aérien</t>
  </si>
  <si>
    <t>OCTOBRE</t>
  </si>
  <si>
    <t>Les gains d'expérience sont augmentés de 75 % sur les Fantômes de Pandala.</t>
  </si>
  <si>
    <t>2 Os de Fantôme Maho Firefoux</t>
  </si>
  <si>
    <t>Les quantités de Bois de Chêne récupérées par les Bûcherons sont augmentées de 150 %.</t>
  </si>
  <si>
    <t>20 Bois de Chêne</t>
  </si>
  <si>
    <t>Une quête répétable spéciale est disponible aujourd'hui près de la fontaine du village d'Amakna. Réalisable à partir du niveau 10, elle est indépendante de la quête d'offrande.</t>
  </si>
  <si>
    <t>3 Arc de Boisaille</t>
  </si>
  <si>
    <t>Les chances d'obtenir du butin sont augmentées de 100 % dans la zone de la Milifutaie.</t>
  </si>
  <si>
    <t>3 Pic du Prespic</t>
  </si>
  <si>
    <t>Les Poissonniers ont 10 % de chances d'économiser des ingrédients lorsqu'ils fabriquent des objets.</t>
  </si>
  <si>
    <t xml:space="preserve">3 Bâton de crabe </t>
  </si>
  <si>
    <t>Les bonus apportés par les challenges réussis sont augmentés de 200 % dans le Laboratoire du Tynril.</t>
  </si>
  <si>
    <t>2 Etamines de Floribonde</t>
  </si>
  <si>
    <t>Les gains d'expérience sont augmentés de 100 % dans la zone de la forêt des Abraknydes Sombres.</t>
  </si>
  <si>
    <t>1 Racine d'Abraknyde Sombre</t>
  </si>
  <si>
    <t>Les quantités de viande récupérées par les Chasseurs de tous niveaux sont augmentées de 100 %.</t>
  </si>
  <si>
    <t>4 Museau du Mulou</t>
  </si>
  <si>
    <t>Un challenge supplémentaire est généré contre les Firefoux.</t>
  </si>
  <si>
    <t>4 Poils de Soryo Firefoux</t>
  </si>
  <si>
    <t>Toutes les variétés de Dragodindes Dorées donnent naissance à un bébé supplémentaire.</t>
  </si>
  <si>
    <t>2 Carpe d'Iem vidée</t>
  </si>
  <si>
    <t>Les chances d'obtenir du butin sont augmentées de 75 % sur les monstres des Larmes d'Ouronigride.</t>
  </si>
  <si>
    <t>Les gains d'expérience sont augmentés de 100 % pour toutes les quêtes.</t>
  </si>
  <si>
    <t>3 Bois de Bambouto</t>
  </si>
  <si>
    <t>La vitesse d'apparition des étoiles sur les groupes de monstres est augmentée dans la zone de Pandala Neutre : une étoile apparaît toutes les 10 minutes.</t>
  </si>
  <si>
    <t>4 Patte d'Araknawa</t>
  </si>
  <si>
    <t>Les bonus apportés par les challenges réussis sont augmentés de 200 % dans la zone de la forêt Maléfique.</t>
  </si>
  <si>
    <t>7 Aile du Tofu Maléfique</t>
  </si>
  <si>
    <t>Les quantités de Sauge récupérées par les Alchimistes sont augmentées de 125 %.</t>
  </si>
  <si>
    <t>Les chances d'obtenir du butin sont augmentées de 125 % dans la Caverne du Koulosse.</t>
  </si>
  <si>
    <t>9 Corne du Boufcoul</t>
  </si>
  <si>
    <t>Les récolteurs ont 15 % de chances d'économiser des ingrédients lorsqu'ils fabriquent des objets dans la zone de la forêt des Pins Perdus.</t>
  </si>
  <si>
    <t xml:space="preserve">3 Chair de Larve </t>
  </si>
  <si>
    <t>Les gains d'expérience sont augmentés de 75 % sur les Zoths.</t>
  </si>
  <si>
    <t>2 Enfumoir Zoth</t>
  </si>
  <si>
    <t>La vitesse d'apparition des poissons de tous types est augmentée de 100 %.</t>
  </si>
  <si>
    <t>3 Brochet</t>
  </si>
  <si>
    <t>Les chances d'obtenir du butin sont augmentées de 100 % dans la zone de la presqu'île des Dragoeufs.</t>
  </si>
  <si>
    <t>7 Coquille de Dragoeuf Noir</t>
  </si>
  <si>
    <t>Les quantités d'objets fabriqués par les Chasseurs sont augmentées de 25 %.</t>
  </si>
  <si>
    <t>4 Jambon cuit</t>
  </si>
  <si>
    <t>Les gains d'expérience sont augmentés de 100 % dans la zone du Berceau.</t>
  </si>
  <si>
    <t>7 Plumes de Tofu</t>
  </si>
  <si>
    <t>La vitesse d'apparition des étoiles sur les groupes de monstres est augmentée dans la zone de la Lande de Sidimote : une étoile apparaît toutes les 15 minutes.</t>
  </si>
  <si>
    <t>4 Plume de Corbac</t>
  </si>
  <si>
    <t>Les quantités de Fer récupérées par les Mineurs sont augmentées de 150 %.</t>
  </si>
  <si>
    <t>Les chances d'obtenir du butin sont augmentées de 75 % sur les monstres de la forêt des Pins Perdus.</t>
  </si>
  <si>
    <t>2 Poil de Smilomouth</t>
  </si>
  <si>
    <t>Les gains d'expérience sont augmentés de 125 % dans le donjon Wabbit.</t>
  </si>
  <si>
    <t>5 Dent de Wabbit</t>
  </si>
  <si>
    <t>Les Sculpteurs ont 10 % de chances d'économiser des ingrédients lorsqu'ils fabriquent des objets.</t>
  </si>
  <si>
    <t>3 Baguette de Boisaille</t>
  </si>
  <si>
    <t>Les quantités de Chanvre récupérées par les Paysans sont augmentées de 125 %</t>
  </si>
  <si>
    <t>20 Chanvre</t>
  </si>
  <si>
    <t>Les bonus apportés par les challenges réussis sont augmentés de 150 % sur les monstres de la Crevasse Perge.</t>
  </si>
  <si>
    <t>2 Oreille de Soryo Givrefoux</t>
  </si>
  <si>
    <t>Un challenge supplémentaire est généré contre les monstres présents dans la zone de la forêt Enneigée.</t>
  </si>
  <si>
    <t>2 Peau d'Ouilleur</t>
  </si>
  <si>
    <t>Des Surprises de Trikortritt ont été ajoutées aux butins des monstres. Lorsqu'elles sont utilisées, elles permettent d'obtenir des Bonbons d'Halouine ou bien de se retrouver transformé en Petite Chauffe-Soutrille.</t>
  </si>
  <si>
    <t>4 Poils de Barbe du Bwork Mage</t>
  </si>
  <si>
    <t>NOVEMBRE</t>
  </si>
  <si>
    <t>Les gains d'expérience et les chances d'obtenir du butin sont augmentés de 50 % pour tous les aventuriers qui sont équipés d'un slip.</t>
  </si>
  <si>
    <t>2 Slip de Bwork Archer</t>
  </si>
  <si>
    <t>Les chances d'obtenir du butin sont augmentées de 125 % dans le laboratoire de Brumen Tinctorias.</t>
  </si>
  <si>
    <t>9 Moustache de Kolérat</t>
  </si>
  <si>
    <t>Les artisans et les récolteurs ont 15 % de chances d'économiser des ingrédients lorsqu'ils fabriquent des objets dans la zone du Village d'Amakna.</t>
  </si>
  <si>
    <t>1 Cape Sombre</t>
  </si>
  <si>
    <t>Les gains d'expérience sont augmentés de 75 % sur les Bandits et les Artisans Sombres.</t>
  </si>
  <si>
    <t>Les bonus apportés par les challenges réussis sont augmentés de 200 % dans la zone du port de Givre.</t>
  </si>
  <si>
    <t>2 Poil de Chachachovage</t>
  </si>
  <si>
    <t>Les quantités de Bois de Châtaignier récupérées par les Bûcherons sont augmentées de 125 %.</t>
  </si>
  <si>
    <t>Les gains d'expérience sont augmentés de 100 % dans la zone de la jungle Obscure.</t>
  </si>
  <si>
    <t>2 Calice de Fécorce</t>
  </si>
  <si>
    <t>Un challenge supplémentaire est généré contre les monstres présents dans la zone du Bord de la forêt Maléfique.</t>
  </si>
  <si>
    <t>2 Queue de Prespic</t>
  </si>
  <si>
    <t>Les chances d'obtenir du butin sont augmentées de 100 % dans la zone du Berceau d'Alma.</t>
  </si>
  <si>
    <t>2 Coquille de Fantimonier</t>
  </si>
  <si>
    <t>Toutes les variétés de Dragodindes Orchidée donnent naissance à un bébé supplémentaire.</t>
  </si>
  <si>
    <t>7 Goujon</t>
  </si>
  <si>
    <t>Miss Triste attend les aventuriers qui veulent se refaire une laideur près de la fontaine du village d'Amakna. Sa bénédiction transforme temporairement en Crocodaille (effet qui disparaît quand un combat est lancé) et en Souffre-Douleur (bonus de 50 Puissance et 10 dommages fixes durant 15 combats).</t>
  </si>
  <si>
    <t>4 Ecaille de Crocodaille</t>
  </si>
  <si>
    <t>Les quantités de Poissons de mer géants récupérées par les Pêcheurs sont augmentées de 150 %.</t>
  </si>
  <si>
    <t>3 Raie Bleue</t>
  </si>
  <si>
    <t>Les bonus apportés par les challenges réussis sont augmentés de 200 % dans le donjon des Rats de Brâkmar.</t>
  </si>
  <si>
    <t>2 Bave Empoisonnée</t>
  </si>
  <si>
    <t>Les chances d'obtenir du butin sont augmentées de 75 % sur les monstres Dragodindes.</t>
  </si>
  <si>
    <t>1 Aile de Dragodinde Rousse Sauvage</t>
  </si>
  <si>
    <t>Une quête répétable spéciale est disponible aujourd'hui près de la statue du dieu Sram à Astrub. Réalisable à partir du niveau 10, elle est indépendante de la quête d'offrande.</t>
  </si>
  <si>
    <t>2 Leurnettes</t>
  </si>
  <si>
    <t>Les gains d'expérience sont augmentés de 75 % sur les monstres des Égouts.</t>
  </si>
  <si>
    <t>2 Peau de Chamane d'Egoutant</t>
  </si>
  <si>
    <t>Les quantités de viande récupérées par les Chasseurs sur les créatures de Frigost qui vivent en dehors de la Bourgade sont augmentées de 150 %.</t>
  </si>
  <si>
    <t>1 Chair de Mansot</t>
  </si>
  <si>
    <t>Un challenge supplémentaire est généré contre les monstres des Égouts.</t>
  </si>
  <si>
    <t>2 Patte de la Gardienne des Égouts</t>
  </si>
  <si>
    <t>Les Bûcherons ont 10 % de chances d'économiser des ingrédients lorsqu'ils fabriquent des objets.</t>
  </si>
  <si>
    <t xml:space="preserve">3 Substrat de futaie </t>
  </si>
  <si>
    <t>La vitesse d'apparition des étoiles sur les groupes de monstres est augmentée dans la zone de la bordure de Brâkmar : une étoile apparaît toutes les 10 minutes.</t>
  </si>
  <si>
    <t>5 Patte de Corbac</t>
  </si>
  <si>
    <t>Les bonus apportés par les challenges réussis sont augmentés de 150 % sur les monstres de l'Arbre Hakam.</t>
  </si>
  <si>
    <t>2 Cloaque du Poolay</t>
  </si>
  <si>
    <t>Les bonus apportés par les montures Dragodindes sont augmentés de 100 %.</t>
  </si>
  <si>
    <t>7 Queue de Mulou</t>
  </si>
  <si>
    <t>Les gains d'expérience sont augmentés de 100 % dans la zone du Cimetière des Torturés.</t>
  </si>
  <si>
    <t>2 Mâchoire du Chafer Draugr</t>
  </si>
  <si>
    <t>Les quantités d'Avoine récupérées par les Paysans sont augmentées de 125 %.</t>
  </si>
  <si>
    <t>Les chances d'obtenir du butin sont augmentées de 75 % sur les monstres des Champs de Glace.</t>
  </si>
  <si>
    <t>2 Laine de Boufmouth légendaire</t>
  </si>
  <si>
    <t>4 Dragoviande</t>
  </si>
  <si>
    <t>Les gains d'expérience sont augmentés de 125 % dans la Canopée du Kimbo.</t>
  </si>
  <si>
    <t>2 Rembourrage de Meupette</t>
  </si>
  <si>
    <t>La vitesse d'apparition des étoiles sur les groupes de monstres est augmentée dans la zone des Larmes d'Ouronigride : une étoile apparaît toutes les 10 minutes.</t>
  </si>
  <si>
    <t>2 Coeur de Crapeur</t>
  </si>
  <si>
    <t>Les quantités de Kobalte récupérées par les mineurs sont augmentées de 150 %.</t>
  </si>
  <si>
    <t>20 Kobalte</t>
  </si>
  <si>
    <t>Les chances d'obtenir du butin sont augmentées de 100 % dans la zone de la forêt Enneigée.</t>
  </si>
  <si>
    <t>2 Oreille de Gobosteur</t>
  </si>
  <si>
    <t>DECEMBRE</t>
  </si>
  <si>
    <t>Les bonus apportés par les challenges réussis sont augmentés de 200 % dans le donjon des Bouftous.</t>
  </si>
  <si>
    <t>9 Cuir de Bouftou</t>
  </si>
  <si>
    <t>Les artisans et les récolteurs ont 15 % de chances d'économiser des ingrédients lorsqu'ils fabriquent des objets dans la zone de Sufokia.</t>
  </si>
  <si>
    <t>1 Clef du Donjon Ensablé</t>
  </si>
  <si>
    <t>Les gains d'expérience sont augmentés de 75 % sur les monstres du lac Gelé.</t>
  </si>
  <si>
    <t>2 Peau de Mansobèse</t>
  </si>
  <si>
    <t>Les quantités de Bois récupérées par les Bûcherons de tous niveaux sont augmentées de 100 %.</t>
  </si>
  <si>
    <t>Les bonus apportés par les challenges réussis sont augmentés de 200 % dans la zone des Souterrains des Dragoeufs.</t>
  </si>
  <si>
    <t>4 Oeuf de Dragoeuf Noir</t>
  </si>
  <si>
    <t>La quantité de jetons gagnée en Kolizéum est augmentée de 100 %.</t>
  </si>
  <si>
    <t>1 Pelle de Rapage</t>
  </si>
  <si>
    <t>Les chances d'obtenir du butin sont augmentées de 75 % sur les Koalaks.</t>
  </si>
  <si>
    <t>2 Etoffe de Dok Alako</t>
  </si>
  <si>
    <t>Les gains d'expérience sont augmentés de 100 % dans les zones de la plaine de Sakaï et de la forêt Enneigée.</t>
  </si>
  <si>
    <t>2 Oeil de Sapeur</t>
  </si>
  <si>
    <t>Les quantités de Perce-Neige récupérées par les Alchimistes sont augmentées de 175 %.</t>
  </si>
  <si>
    <t>5 Perce-Neige</t>
  </si>
  <si>
    <t>Toutes les variétés de Dragodindes Ivoire donnent naissance à un bébé supplémentaire.</t>
  </si>
  <si>
    <t>3 Dent de Dragodinde</t>
  </si>
  <si>
    <t>Les Cordonniers ont 10 % de chances d'économiser des ingrédients lorsqu'ils fabriquent des objets.</t>
  </si>
  <si>
    <t>1 Sandales Tofuesques</t>
  </si>
  <si>
    <t>Une quête répétable spéciale est disponible aujourd'hui près des portes de Brâkmar. Réalisable à partir du niveau 10, elle est indépendante de la quête d'offrande.</t>
  </si>
  <si>
    <t>3 Potion de cité : Brâkmar</t>
  </si>
  <si>
    <t>La vitesse d'apparition des minerais de tous types est augmentée de 100 %.</t>
  </si>
  <si>
    <t>Les gains d'expérience sont augmentés de 125 % dans le donjon des Canidés.</t>
  </si>
  <si>
    <t>8 Babines d'Ouginak</t>
  </si>
  <si>
    <t>Les chances d'obtenir du butin sont augmentées de 100 % dans la zone de la plaine des Porkass.</t>
  </si>
  <si>
    <t>4 Cuir de Porkass</t>
  </si>
  <si>
    <t>Un challenge supplémentaire est généré contre les monstres de Nowel.</t>
  </si>
  <si>
    <t>2 Emballage de Nowel Écarlate</t>
  </si>
  <si>
    <t>Achat</t>
  </si>
  <si>
    <t>Les quantités de Gros poissons de mer récupérées par les Pêcheurs sont augmentées de 150 %.</t>
  </si>
  <si>
    <t>3 Kralamoure</t>
  </si>
  <si>
    <t>Les bonus apportés par les challenges réussis sont augmentés de 200 % dans tous les donjons.</t>
  </si>
  <si>
    <t>3 Epée de Boisaille</t>
  </si>
  <si>
    <t>Les chances d'obtenir du butin sont augmentées de 75 % sur les monstres de Nowel.</t>
  </si>
  <si>
    <t>2 Flocon de Neige</t>
  </si>
  <si>
    <t>Les artisans et les récolteurs économisent 15 % de leurs ingrédients lorsqu'ils fabriquent des objets dans la zone du territoire des Porcos</t>
  </si>
  <si>
    <t>1 Aluminite</t>
  </si>
  <si>
    <t>Les gains d'expérience sont augmentés de 100 % dans la zone du Cimetière de Bonta.</t>
  </si>
  <si>
    <t>3 Dent Pointue</t>
  </si>
  <si>
    <t>La vitesse d'apparition des étoiles sur les groupes de monstres est augmentée dans les zones du Bateau Pirate et de l'île des Naufragés : une étoile apparaît toutes les 5 minutes.</t>
  </si>
  <si>
    <t>2 Nœud de Marin</t>
  </si>
  <si>
    <t xml:space="preserve">Les quantités du Filet de Kwak récupérées par les Chasseurs sont augmentées de 125%. </t>
  </si>
  <si>
    <t>4 Filet de Kwak</t>
  </si>
  <si>
    <t>Les bonus apportés par les challenges réussis sont augmentés de 150 % sur les monstres de Nowel.</t>
  </si>
  <si>
    <t>1 Traîneau en Pain d'Épices</t>
  </si>
  <si>
    <t>Des Cadeaux de Nowel ont été ajoutés aux butins des monstres. Lorsqu'ils sont utilisés, ils permettent d'obtenir des ressources ou d'autres objets aléatoires.</t>
  </si>
  <si>
    <t>4 Cadeau de Nowel</t>
  </si>
  <si>
    <t>Les chances d'obtenir du butin sont augmentées de 125 % dans le donjon de l'excavation du Mansot Royal.</t>
  </si>
  <si>
    <t>2 Poil de barbe du Shamansot</t>
  </si>
  <si>
    <t>Les gains d'expérience sont augmentés de 75 % sur les monstres de Nowel.</t>
  </si>
  <si>
    <t>1 Paquet Cadeau en Chocolat</t>
  </si>
  <si>
    <t>La vitesse d'apparition des étoiles sur les groupes de monstres est augmentée dans les zones du Havre, de la Terre et de la Taïga de Nowel : une étoile apparaît toutes les 15 minutes.</t>
  </si>
  <si>
    <t>Les quantités de Seigle et de Riz récupérées par les Paysans sont augmentées de 125 %.</t>
  </si>
  <si>
    <t>20 Seigle</t>
  </si>
  <si>
    <t>Les chances d'obtenir du butin sont augmentées de 100 % dans la zone de la jungle Obscure.</t>
  </si>
  <si>
    <t>2 Graine de l'Abrakleur sombre</t>
  </si>
  <si>
    <t>Les gains d'expérience sLes gains d'expérience sont augmentés de 50 % pour les métiers de fabrication de consommables (Paysan, Chasseur, Bricoleur, Pêcheur et Alchimiste).ont augmentés de 50 % pour les métiers de fabrication de consommables (Boulanger, Boucher, Bricoleur et Poissonnier).</t>
  </si>
  <si>
    <t>8 Beignet de Tofu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</si>
</sst>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
  </numFmts>
  <fonts count="5" x14ac:knownFonts="1">
    <font>
      <sz val="11"/>
      <color theme="1"/>
      <name val="Calibri"/>
      <family val="2"/>
      <scheme val="minor"/>
    </font>
    <font>
      <b/>
      <sz val="16"/>
      <color theme="0"/>
      <name val="Calibri"/>
      <family val="2"/>
      <scheme val="minor"/>
    </font>
    <font>
      <b/>
      <sz val="12"/>
      <color theme="1"/>
      <name val="Calibri"/>
      <family val="2"/>
      <scheme val="minor"/>
    </font>
    <font>
      <b/>
      <sz val="11"/>
      <color theme="1" tint="0.499984740745262"/>
      <name val="Calibri"/>
      <family val="2"/>
      <scheme val="minor"/>
    </font>
    <font>
      <b/>
      <sz val="16"/>
      <color theme="0" tint="-0.499984740745262"/>
      <name val="Calibri"/>
      <family val="2"/>
      <scheme val="minor"/>
    </font>
  </fonts>
  <fills count="13">
    <fill>
      <patternFill patternType="none"/>
    </fill>
    <fill>
      <patternFill patternType="gray125"/>
    </fill>
    <fill>
      <patternFill patternType="solid">
        <fgColor theme="2"/>
        <bgColor indexed="64"/>
      </patternFill>
    </fill>
    <fill>
      <patternFill patternType="solid">
        <fgColor theme="8" tint="-0.249977111117893"/>
        <bgColor indexed="64"/>
      </patternFill>
    </fill>
    <fill>
      <patternFill patternType="solid">
        <fgColor rgb="FFCDF666"/>
        <bgColor indexed="64"/>
      </patternFill>
    </fill>
    <fill>
      <patternFill patternType="solid">
        <fgColor rgb="FFE40837"/>
        <bgColor indexed="64"/>
      </patternFill>
    </fill>
    <fill>
      <patternFill patternType="solid">
        <fgColor rgb="FFE9B1DA"/>
        <bgColor indexed="64"/>
      </patternFill>
    </fill>
    <fill>
      <patternFill patternType="solid">
        <fgColor rgb="FFFFC00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3" tint="-0.499984740745262"/>
        <bgColor indexed="64"/>
      </patternFill>
    </fill>
  </fills>
  <borders count="2">
    <border>
      <left/>
      <right/>
      <top/>
      <bottom/>
      <diagonal/>
    </border>
    <border>
      <left/>
      <right/>
      <top style="thin">
        <color indexed="64"/>
      </top>
      <bottom style="thin">
        <color indexed="64"/>
      </bottom>
      <diagonal/>
    </border>
  </borders>
  <cellStyleXfs count="1">
    <xf numFmtId="0" fontId="0" fillId="0" borderId="0"/>
  </cellStyleXfs>
  <cellXfs count="68">
    <xf numFmtId="0" fontId="0" fillId="0" borderId="0" xfId="0"/>
    <xf numFmtId="0" fontId="0" fillId="0" borderId="0" xfId="0" applyBorder="1"/>
    <xf numFmtId="164" fontId="0" fillId="0" borderId="0" xfId="0" applyNumberFormat="1" applyAlignment="1">
      <alignment vertical="center"/>
    </xf>
    <xf numFmtId="0" fontId="0" fillId="0" borderId="0" xfId="0" applyAlignment="1">
      <alignment horizontal="left" vertical="center" wrapText="1"/>
    </xf>
    <xf numFmtId="0" fontId="0" fillId="0" borderId="0" xfId="0" applyAlignment="1">
      <alignment horizontal="left" vertical="center" indent="3"/>
    </xf>
    <xf numFmtId="0" fontId="0" fillId="0" borderId="0" xfId="0" applyAlignment="1">
      <alignment horizontal="left" vertical="center"/>
    </xf>
    <xf numFmtId="0" fontId="0" fillId="0" borderId="0" xfId="0" applyAlignment="1">
      <alignment horizontal="center" vertical="center"/>
    </xf>
    <xf numFmtId="3" fontId="0" fillId="0" borderId="0" xfId="0" applyNumberFormat="1" applyAlignment="1">
      <alignment horizontal="center" vertical="center"/>
    </xf>
    <xf numFmtId="0" fontId="2" fillId="0" borderId="0" xfId="0" applyFont="1" applyAlignment="1">
      <alignment horizontal="center"/>
    </xf>
    <xf numFmtId="164" fontId="3" fillId="2" borderId="0" xfId="0" applyNumberFormat="1" applyFont="1" applyFill="1" applyAlignment="1">
      <alignment horizontal="center" vertical="center"/>
    </xf>
    <xf numFmtId="0" fontId="3" fillId="2" borderId="0" xfId="0" applyFont="1" applyFill="1" applyAlignment="1">
      <alignment horizontal="center"/>
    </xf>
    <xf numFmtId="0" fontId="3" fillId="2" borderId="0" xfId="0" applyFont="1" applyFill="1" applyAlignment="1">
      <alignment horizontal="center" vertical="center" wrapText="1"/>
    </xf>
    <xf numFmtId="0" fontId="3" fillId="2" borderId="0" xfId="0" applyFont="1" applyFill="1" applyAlignment="1">
      <alignment horizontal="center" vertical="center"/>
    </xf>
    <xf numFmtId="3" fontId="3" fillId="2" borderId="0" xfId="0" applyNumberFormat="1" applyFont="1" applyFill="1" applyAlignment="1">
      <alignment horizontal="center" vertical="center"/>
    </xf>
    <xf numFmtId="164" fontId="0" fillId="3" borderId="0" xfId="0" applyNumberFormat="1" applyFill="1" applyAlignment="1">
      <alignment horizontal="center" vertical="center"/>
    </xf>
    <xf numFmtId="0" fontId="0" fillId="3" borderId="0" xfId="0" applyFill="1" applyAlignment="1">
      <alignment horizontal="center"/>
    </xf>
    <xf numFmtId="0" fontId="0" fillId="0" borderId="0" xfId="0" applyFill="1"/>
    <xf numFmtId="164" fontId="0" fillId="4" borderId="0" xfId="0" applyNumberFormat="1" applyFill="1" applyAlignment="1">
      <alignment horizontal="center" vertical="center"/>
    </xf>
    <xf numFmtId="0" fontId="0" fillId="4" borderId="0" xfId="0" applyFill="1" applyAlignment="1">
      <alignment horizontal="center"/>
    </xf>
    <xf numFmtId="0" fontId="0" fillId="0" borderId="0" xfId="0" applyAlignment="1">
      <alignment vertical="center"/>
    </xf>
    <xf numFmtId="164" fontId="0" fillId="5" borderId="0" xfId="0" applyNumberFormat="1" applyFill="1" applyAlignment="1">
      <alignment horizontal="center" vertical="center"/>
    </xf>
    <xf numFmtId="0" fontId="0" fillId="5" borderId="0" xfId="0" applyFill="1" applyAlignment="1">
      <alignment horizontal="center"/>
    </xf>
    <xf numFmtId="164" fontId="0" fillId="6" borderId="0" xfId="0" applyNumberFormat="1" applyFill="1" applyAlignment="1">
      <alignment horizontal="center" vertical="center"/>
    </xf>
    <xf numFmtId="0" fontId="0" fillId="6" borderId="0" xfId="0" applyFill="1" applyAlignment="1">
      <alignment horizontal="center"/>
    </xf>
    <xf numFmtId="164" fontId="0" fillId="7" borderId="0" xfId="0" applyNumberFormat="1" applyFill="1" applyAlignment="1">
      <alignment horizontal="center" vertical="center"/>
    </xf>
    <xf numFmtId="0" fontId="0" fillId="7" borderId="0" xfId="0" applyFill="1" applyAlignment="1">
      <alignment horizontal="center"/>
    </xf>
    <xf numFmtId="164" fontId="0" fillId="8" borderId="0" xfId="0" applyNumberFormat="1" applyFill="1" applyAlignment="1">
      <alignment horizontal="center" vertical="center"/>
    </xf>
    <xf numFmtId="0" fontId="0" fillId="8" borderId="0" xfId="0" applyFill="1" applyAlignment="1">
      <alignment horizontal="center"/>
    </xf>
    <xf numFmtId="0" fontId="3" fillId="2" borderId="0" xfId="0" applyFont="1" applyFill="1" applyAlignment="1">
      <alignment horizontal="left" vertical="center" indent="3"/>
    </xf>
    <xf numFmtId="164" fontId="0" fillId="0" borderId="0" xfId="0" applyNumberFormat="1" applyFill="1" applyAlignment="1">
      <alignment horizontal="center" vertical="center"/>
    </xf>
    <xf numFmtId="0" fontId="0" fillId="7" borderId="0" xfId="0" applyFill="1"/>
    <xf numFmtId="0" fontId="0" fillId="4" borderId="0" xfId="0" applyFill="1"/>
    <xf numFmtId="0" fontId="0" fillId="5" borderId="0" xfId="0" applyFill="1"/>
    <xf numFmtId="0" fontId="0" fillId="3" borderId="0" xfId="0" applyFill="1"/>
    <xf numFmtId="0" fontId="0" fillId="8" borderId="0" xfId="0" applyFill="1"/>
    <xf numFmtId="164" fontId="3" fillId="10" borderId="0" xfId="0" applyNumberFormat="1" applyFont="1" applyFill="1" applyAlignment="1">
      <alignment horizontal="center" vertical="center"/>
    </xf>
    <xf numFmtId="0" fontId="3" fillId="10" borderId="0" xfId="0" applyFont="1" applyFill="1" applyAlignment="1">
      <alignment horizontal="center"/>
    </xf>
    <xf numFmtId="0" fontId="3" fillId="10" borderId="0" xfId="0" applyFont="1" applyFill="1" applyAlignment="1">
      <alignment horizontal="center" vertical="center" wrapText="1"/>
    </xf>
    <xf numFmtId="0" fontId="3" fillId="10" borderId="0" xfId="0" applyFont="1" applyFill="1" applyAlignment="1">
      <alignment horizontal="left" vertical="center" indent="3"/>
    </xf>
    <xf numFmtId="0" fontId="3" fillId="10" borderId="0" xfId="0" applyFont="1" applyFill="1" applyAlignment="1">
      <alignment horizontal="center" vertical="center"/>
    </xf>
    <xf numFmtId="3" fontId="3" fillId="10" borderId="0" xfId="0" applyNumberFormat="1" applyFont="1" applyFill="1" applyAlignment="1">
      <alignment horizontal="center" vertical="center"/>
    </xf>
    <xf numFmtId="0" fontId="0" fillId="6" borderId="0" xfId="0" applyFill="1"/>
    <xf numFmtId="164" fontId="0" fillId="11" borderId="0" xfId="0" applyNumberFormat="1" applyFill="1" applyAlignment="1">
      <alignment horizontal="center" vertical="center"/>
    </xf>
    <xf numFmtId="0" fontId="0" fillId="11" borderId="0" xfId="0" applyFill="1"/>
    <xf numFmtId="164" fontId="3" fillId="9" borderId="0" xfId="0" applyNumberFormat="1" applyFont="1" applyFill="1" applyAlignment="1">
      <alignment horizontal="center" vertical="center"/>
    </xf>
    <xf numFmtId="0" fontId="3" fillId="9" borderId="0" xfId="0" applyFont="1" applyFill="1" applyAlignment="1">
      <alignment horizontal="center"/>
    </xf>
    <xf numFmtId="0" fontId="3" fillId="9" borderId="0" xfId="0" applyFont="1" applyFill="1" applyAlignment="1">
      <alignment horizontal="center" vertical="center" wrapText="1"/>
    </xf>
    <xf numFmtId="0" fontId="3" fillId="9" borderId="0" xfId="0" applyFont="1" applyFill="1" applyAlignment="1">
      <alignment horizontal="left" vertical="center" indent="3"/>
    </xf>
    <xf numFmtId="0" fontId="3" fillId="9" borderId="0" xfId="0" applyFont="1" applyFill="1" applyAlignment="1">
      <alignment horizontal="center" vertical="center"/>
    </xf>
    <xf numFmtId="3" fontId="3" fillId="9" borderId="0" xfId="0" applyNumberFormat="1" applyFont="1" applyFill="1" applyAlignment="1">
      <alignment horizontal="center" vertical="center"/>
    </xf>
    <xf numFmtId="0" fontId="0" fillId="0" borderId="1" xfId="0" applyFill="1" applyBorder="1" applyAlignment="1">
      <alignment vertical="center" wrapText="1"/>
    </xf>
    <xf numFmtId="0" fontId="0" fillId="0" borderId="1" xfId="0" applyFill="1" applyBorder="1" applyAlignment="1">
      <alignment horizontal="left" vertical="center" indent="2"/>
    </xf>
    <xf numFmtId="0" fontId="0" fillId="0" borderId="1" xfId="0" applyFill="1" applyBorder="1" applyAlignment="1">
      <alignment horizontal="center" vertical="center"/>
    </xf>
    <xf numFmtId="0" fontId="0" fillId="0" borderId="1" xfId="0" applyFill="1" applyBorder="1" applyAlignment="1">
      <alignment horizontal="left" vertical="center" wrapText="1" indent="2"/>
    </xf>
    <xf numFmtId="0" fontId="0" fillId="0" borderId="1" xfId="0" applyFill="1" applyBorder="1" applyAlignment="1">
      <alignment horizontal="left" vertical="center" wrapText="1"/>
    </xf>
    <xf numFmtId="0" fontId="0" fillId="0" borderId="1" xfId="0" applyFill="1" applyBorder="1" applyAlignment="1">
      <alignment horizontal="left" vertical="center" indent="3"/>
    </xf>
    <xf numFmtId="0" fontId="0" fillId="0" borderId="1" xfId="0" applyFill="1" applyBorder="1" applyAlignment="1">
      <alignment horizontal="left" vertical="center"/>
    </xf>
    <xf numFmtId="0" fontId="0" fillId="0" borderId="1" xfId="0" applyBorder="1" applyAlignment="1">
      <alignment horizontal="left" vertical="center" wrapText="1" indent="2"/>
    </xf>
    <xf numFmtId="0" fontId="0" fillId="0" borderId="1" xfId="0" applyBorder="1" applyAlignment="1">
      <alignment horizontal="left" vertical="center" wrapText="1"/>
    </xf>
    <xf numFmtId="0" fontId="0" fillId="0" borderId="1" xfId="0" applyBorder="1" applyAlignment="1">
      <alignment horizontal="left" vertical="center" indent="3"/>
    </xf>
    <xf numFmtId="0" fontId="0" fillId="0" borderId="1" xfId="0" applyBorder="1" applyAlignment="1">
      <alignment horizontal="left" vertical="center"/>
    </xf>
    <xf numFmtId="0" fontId="0" fillId="0" borderId="1" xfId="0" applyBorder="1" applyAlignment="1">
      <alignment horizontal="center" vertical="center"/>
    </xf>
    <xf numFmtId="0" fontId="0" fillId="0" borderId="1" xfId="0" applyBorder="1" applyAlignment="1">
      <alignment horizontal="left" vertical="center" indent="2"/>
    </xf>
    <xf numFmtId="3" fontId="0" fillId="0" borderId="1" xfId="0" applyNumberFormat="1" applyFill="1" applyBorder="1" applyAlignment="1" applyProtection="1">
      <alignment horizontal="center" vertical="center"/>
      <protection locked="0"/>
    </xf>
    <xf numFmtId="3" fontId="0" fillId="0" borderId="1" xfId="0" applyNumberFormat="1" applyBorder="1" applyAlignment="1" applyProtection="1">
      <alignment horizontal="center" vertical="center"/>
      <protection locked="0"/>
    </xf>
    <xf numFmtId="3" fontId="0" fillId="0" borderId="1" xfId="0" applyNumberFormat="1" applyFill="1" applyBorder="1" applyAlignment="1" applyProtection="1">
      <alignment horizontal="right" vertical="center"/>
      <protection locked="0"/>
    </xf>
    <xf numFmtId="0" fontId="4" fillId="9" borderId="0" xfId="0" applyFont="1" applyFill="1" applyAlignment="1">
      <alignment horizontal="center"/>
    </xf>
    <xf numFmtId="0" fontId="1" fillId="12" borderId="0" xfId="0" applyFont="1" applyFill="1" applyAlignment="1">
      <alignment horizontal="center"/>
    </xf>
  </cellXfs>
  <cellStyles count="1">
    <cellStyle name="Normal" xfId="0" builtinId="0"/>
  </cellStyles>
  <dxfs count="2">
    <dxf>
      <font>
        <b/>
        <i val="0"/>
        <color rgb="FFE40837"/>
      </font>
    </dxf>
    <dxf>
      <fill>
        <patternFill patternType="gray0625">
          <fgColor theme="2" tint="-9.9948118533890809E-2"/>
          <bgColor theme="0" tint="-4.9989318521683403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86591</xdr:colOff>
      <xdr:row>166</xdr:row>
      <xdr:rowOff>155867</xdr:rowOff>
    </xdr:from>
    <xdr:to>
      <xdr:col>12</xdr:col>
      <xdr:colOff>353291</xdr:colOff>
      <xdr:row>171</xdr:row>
      <xdr:rowOff>388701</xdr:rowOff>
    </xdr:to>
    <xdr:grpSp>
      <xdr:nvGrpSpPr>
        <xdr:cNvPr id="37" name="Groupe 36"/>
        <xdr:cNvGrpSpPr/>
      </xdr:nvGrpSpPr>
      <xdr:grpSpPr>
        <a:xfrm>
          <a:off x="12202391" y="2699042"/>
          <a:ext cx="266700" cy="2756959"/>
          <a:chOff x="11220450" y="1352550"/>
          <a:chExt cx="428625" cy="2756958"/>
        </a:xfrm>
      </xdr:grpSpPr>
      <xdr:sp macro="" textlink="">
        <xdr:nvSpPr>
          <xdr:cNvPr id="38" name="Rectangle 37"/>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9" name="Rectangle 38"/>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0" name="Rectangle 39"/>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1" name="Rectangle 40"/>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2" name="Rectangle 41"/>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3" name="Rectangle 42"/>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103909</xdr:colOff>
      <xdr:row>198</xdr:row>
      <xdr:rowOff>138545</xdr:rowOff>
    </xdr:from>
    <xdr:to>
      <xdr:col>12</xdr:col>
      <xdr:colOff>370609</xdr:colOff>
      <xdr:row>203</xdr:row>
      <xdr:rowOff>371380</xdr:rowOff>
    </xdr:to>
    <xdr:grpSp>
      <xdr:nvGrpSpPr>
        <xdr:cNvPr id="44" name="Groupe 43"/>
        <xdr:cNvGrpSpPr/>
      </xdr:nvGrpSpPr>
      <xdr:grpSpPr>
        <a:xfrm>
          <a:off x="12219709" y="2948420"/>
          <a:ext cx="266700" cy="2756960"/>
          <a:chOff x="11220450" y="1352550"/>
          <a:chExt cx="428625" cy="2756958"/>
        </a:xfrm>
      </xdr:grpSpPr>
      <xdr:sp macro="" textlink="">
        <xdr:nvSpPr>
          <xdr:cNvPr id="45" name="Rectangle 44"/>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6" name="Rectangle 45"/>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7" name="Rectangle 46"/>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8" name="Rectangle 47"/>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49" name="Rectangle 48"/>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50" name="Rectangle 49"/>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4</xdr:row>
      <xdr:rowOff>133350</xdr:rowOff>
    </xdr:from>
    <xdr:to>
      <xdr:col>12</xdr:col>
      <xdr:colOff>352425</xdr:colOff>
      <xdr:row>9</xdr:row>
      <xdr:rowOff>366185</xdr:rowOff>
    </xdr:to>
    <xdr:grpSp>
      <xdr:nvGrpSpPr>
        <xdr:cNvPr id="86" name="Groupe 85"/>
        <xdr:cNvGrpSpPr/>
      </xdr:nvGrpSpPr>
      <xdr:grpSpPr>
        <a:xfrm>
          <a:off x="12201525" y="1343025"/>
          <a:ext cx="266700" cy="2756960"/>
          <a:chOff x="11220450" y="1352550"/>
          <a:chExt cx="428625" cy="2756958"/>
        </a:xfrm>
      </xdr:grpSpPr>
      <xdr:sp macro="" textlink="">
        <xdr:nvSpPr>
          <xdr:cNvPr id="87" name="Rectangle 86"/>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8" name="Rectangle 87"/>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89" name="Rectangle 88"/>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0" name="Rectangle 89"/>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1" name="Rectangle 90"/>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2" name="Rectangle 91"/>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37</xdr:row>
      <xdr:rowOff>133350</xdr:rowOff>
    </xdr:from>
    <xdr:to>
      <xdr:col>12</xdr:col>
      <xdr:colOff>352425</xdr:colOff>
      <xdr:row>42</xdr:row>
      <xdr:rowOff>366185</xdr:rowOff>
    </xdr:to>
    <xdr:grpSp>
      <xdr:nvGrpSpPr>
        <xdr:cNvPr id="93" name="Groupe 92"/>
        <xdr:cNvGrpSpPr/>
      </xdr:nvGrpSpPr>
      <xdr:grpSpPr>
        <a:xfrm>
          <a:off x="12201525" y="1609725"/>
          <a:ext cx="266700" cy="2756960"/>
          <a:chOff x="11220450" y="1352550"/>
          <a:chExt cx="428625" cy="2756958"/>
        </a:xfrm>
      </xdr:grpSpPr>
      <xdr:sp macro="" textlink="">
        <xdr:nvSpPr>
          <xdr:cNvPr id="94" name="Rectangle 93"/>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5" name="Rectangle 94"/>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6" name="Rectangle 95"/>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7" name="Rectangle 96"/>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8" name="Rectangle 97"/>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9" name="Rectangle 98"/>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57150</xdr:colOff>
      <xdr:row>68</xdr:row>
      <xdr:rowOff>152400</xdr:rowOff>
    </xdr:from>
    <xdr:to>
      <xdr:col>12</xdr:col>
      <xdr:colOff>323850</xdr:colOff>
      <xdr:row>73</xdr:row>
      <xdr:rowOff>385235</xdr:rowOff>
    </xdr:to>
    <xdr:grpSp>
      <xdr:nvGrpSpPr>
        <xdr:cNvPr id="100" name="Groupe 99"/>
        <xdr:cNvGrpSpPr/>
      </xdr:nvGrpSpPr>
      <xdr:grpSpPr>
        <a:xfrm>
          <a:off x="12172950" y="1895475"/>
          <a:ext cx="266700" cy="2756960"/>
          <a:chOff x="11220450" y="1352550"/>
          <a:chExt cx="428625" cy="2756958"/>
        </a:xfrm>
      </xdr:grpSpPr>
      <xdr:sp macro="" textlink="">
        <xdr:nvSpPr>
          <xdr:cNvPr id="101" name="Rectangle 100"/>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2" name="Rectangle 101"/>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3" name="Rectangle 102"/>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4" name="Rectangle 103"/>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5" name="Rectangle 104"/>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6" name="Rectangle 105"/>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101</xdr:row>
      <xdr:rowOff>152400</xdr:rowOff>
    </xdr:from>
    <xdr:to>
      <xdr:col>12</xdr:col>
      <xdr:colOff>352425</xdr:colOff>
      <xdr:row>106</xdr:row>
      <xdr:rowOff>385235</xdr:rowOff>
    </xdr:to>
    <xdr:grpSp>
      <xdr:nvGrpSpPr>
        <xdr:cNvPr id="107" name="Groupe 106"/>
        <xdr:cNvGrpSpPr/>
      </xdr:nvGrpSpPr>
      <xdr:grpSpPr>
        <a:xfrm>
          <a:off x="12201525" y="2162175"/>
          <a:ext cx="266700" cy="2756960"/>
          <a:chOff x="11220450" y="1352550"/>
          <a:chExt cx="428625" cy="2756958"/>
        </a:xfrm>
      </xdr:grpSpPr>
      <xdr:sp macro="" textlink="">
        <xdr:nvSpPr>
          <xdr:cNvPr id="108" name="Rectangle 107"/>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9" name="Rectangle 108"/>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0" name="Rectangle 109"/>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1" name="Rectangle 110"/>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2" name="Rectangle 111"/>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3" name="Rectangle 112"/>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95250</xdr:colOff>
      <xdr:row>133</xdr:row>
      <xdr:rowOff>133350</xdr:rowOff>
    </xdr:from>
    <xdr:to>
      <xdr:col>12</xdr:col>
      <xdr:colOff>361950</xdr:colOff>
      <xdr:row>138</xdr:row>
      <xdr:rowOff>366185</xdr:rowOff>
    </xdr:to>
    <xdr:grpSp>
      <xdr:nvGrpSpPr>
        <xdr:cNvPr id="114" name="Groupe 113"/>
        <xdr:cNvGrpSpPr/>
      </xdr:nvGrpSpPr>
      <xdr:grpSpPr>
        <a:xfrm>
          <a:off x="12211050" y="2409825"/>
          <a:ext cx="266700" cy="2756960"/>
          <a:chOff x="11220450" y="1352550"/>
          <a:chExt cx="428625" cy="2756958"/>
        </a:xfrm>
      </xdr:grpSpPr>
      <xdr:sp macro="" textlink="">
        <xdr:nvSpPr>
          <xdr:cNvPr id="115" name="Rectangle 114"/>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6" name="Rectangle 115"/>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7" name="Rectangle 116"/>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8" name="Rectangle 117"/>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19" name="Rectangle 118"/>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0" name="Rectangle 119"/>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264</xdr:row>
      <xdr:rowOff>133350</xdr:rowOff>
    </xdr:from>
    <xdr:to>
      <xdr:col>12</xdr:col>
      <xdr:colOff>352425</xdr:colOff>
      <xdr:row>269</xdr:row>
      <xdr:rowOff>366185</xdr:rowOff>
    </xdr:to>
    <xdr:grpSp>
      <xdr:nvGrpSpPr>
        <xdr:cNvPr id="121" name="Groupe 120"/>
        <xdr:cNvGrpSpPr/>
      </xdr:nvGrpSpPr>
      <xdr:grpSpPr>
        <a:xfrm>
          <a:off x="12201525" y="19316700"/>
          <a:ext cx="266700" cy="2756960"/>
          <a:chOff x="11220450" y="1352550"/>
          <a:chExt cx="428625" cy="2756958"/>
        </a:xfrm>
      </xdr:grpSpPr>
      <xdr:sp macro="" textlink="">
        <xdr:nvSpPr>
          <xdr:cNvPr id="122" name="Rectangle 121"/>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3" name="Rectangle 122"/>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4" name="Rectangle 123"/>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5" name="Rectangle 124"/>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6" name="Rectangle 125"/>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7" name="Rectangle 126"/>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296</xdr:row>
      <xdr:rowOff>133350</xdr:rowOff>
    </xdr:from>
    <xdr:to>
      <xdr:col>12</xdr:col>
      <xdr:colOff>352425</xdr:colOff>
      <xdr:row>301</xdr:row>
      <xdr:rowOff>366185</xdr:rowOff>
    </xdr:to>
    <xdr:grpSp>
      <xdr:nvGrpSpPr>
        <xdr:cNvPr id="128" name="Groupe 127"/>
        <xdr:cNvGrpSpPr/>
      </xdr:nvGrpSpPr>
      <xdr:grpSpPr>
        <a:xfrm>
          <a:off x="12201525" y="3743325"/>
          <a:ext cx="266700" cy="2756960"/>
          <a:chOff x="11220450" y="1352550"/>
          <a:chExt cx="428625" cy="2756958"/>
        </a:xfrm>
      </xdr:grpSpPr>
      <xdr:sp macro="" textlink="">
        <xdr:nvSpPr>
          <xdr:cNvPr id="129" name="Rectangle 128"/>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0" name="Rectangle 129"/>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1" name="Rectangle 130"/>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2" name="Rectangle 131"/>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3" name="Rectangle 132"/>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4" name="Rectangle 133"/>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95250</xdr:colOff>
      <xdr:row>329</xdr:row>
      <xdr:rowOff>133350</xdr:rowOff>
    </xdr:from>
    <xdr:to>
      <xdr:col>12</xdr:col>
      <xdr:colOff>361950</xdr:colOff>
      <xdr:row>334</xdr:row>
      <xdr:rowOff>366185</xdr:rowOff>
    </xdr:to>
    <xdr:grpSp>
      <xdr:nvGrpSpPr>
        <xdr:cNvPr id="135" name="Groupe 134"/>
        <xdr:cNvGrpSpPr/>
      </xdr:nvGrpSpPr>
      <xdr:grpSpPr>
        <a:xfrm>
          <a:off x="12211050" y="19850100"/>
          <a:ext cx="266700" cy="2756960"/>
          <a:chOff x="11220450" y="1352550"/>
          <a:chExt cx="428625" cy="2756958"/>
        </a:xfrm>
      </xdr:grpSpPr>
      <xdr:sp macro="" textlink="">
        <xdr:nvSpPr>
          <xdr:cNvPr id="136" name="Rectangle 135"/>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7" name="Rectangle 136"/>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8" name="Rectangle 137"/>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39" name="Rectangle 138"/>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0" name="Rectangle 139"/>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1" name="Rectangle 140"/>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85725</xdr:colOff>
      <xdr:row>361</xdr:row>
      <xdr:rowOff>133350</xdr:rowOff>
    </xdr:from>
    <xdr:to>
      <xdr:col>12</xdr:col>
      <xdr:colOff>352425</xdr:colOff>
      <xdr:row>366</xdr:row>
      <xdr:rowOff>366185</xdr:rowOff>
    </xdr:to>
    <xdr:grpSp>
      <xdr:nvGrpSpPr>
        <xdr:cNvPr id="142" name="Groupe 141"/>
        <xdr:cNvGrpSpPr/>
      </xdr:nvGrpSpPr>
      <xdr:grpSpPr>
        <a:xfrm>
          <a:off x="12201525" y="4276725"/>
          <a:ext cx="266700" cy="2756960"/>
          <a:chOff x="11220450" y="1352550"/>
          <a:chExt cx="428625" cy="2756958"/>
        </a:xfrm>
      </xdr:grpSpPr>
      <xdr:sp macro="" textlink="">
        <xdr:nvSpPr>
          <xdr:cNvPr id="143" name="Rectangle 142"/>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4" name="Rectangle 143"/>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5" name="Rectangle 144"/>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6" name="Rectangle 145"/>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7" name="Rectangle 146"/>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48" name="Rectangle 147"/>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12</xdr:col>
      <xdr:colOff>57150</xdr:colOff>
      <xdr:row>231</xdr:row>
      <xdr:rowOff>161925</xdr:rowOff>
    </xdr:from>
    <xdr:to>
      <xdr:col>12</xdr:col>
      <xdr:colOff>323850</xdr:colOff>
      <xdr:row>236</xdr:row>
      <xdr:rowOff>394760</xdr:rowOff>
    </xdr:to>
    <xdr:grpSp>
      <xdr:nvGrpSpPr>
        <xdr:cNvPr id="149" name="Groupe 148"/>
        <xdr:cNvGrpSpPr/>
      </xdr:nvGrpSpPr>
      <xdr:grpSpPr>
        <a:xfrm>
          <a:off x="12172950" y="3238500"/>
          <a:ext cx="266700" cy="2756960"/>
          <a:chOff x="11220450" y="1352550"/>
          <a:chExt cx="428625" cy="2756958"/>
        </a:xfrm>
      </xdr:grpSpPr>
      <xdr:sp macro="" textlink="">
        <xdr:nvSpPr>
          <xdr:cNvPr id="150" name="Rectangle 149"/>
          <xdr:cNvSpPr>
            <a:spLocks noChangeArrowheads="1"/>
          </xdr:cNvSpPr>
        </xdr:nvSpPr>
        <xdr:spPr bwMode="auto">
          <a:xfrm>
            <a:off x="11229975" y="1352550"/>
            <a:ext cx="419100" cy="232833"/>
          </a:xfrm>
          <a:prstGeom prst="rect">
            <a:avLst/>
          </a:prstGeom>
          <a:solidFill>
            <a:srgbClr val="E4083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1" name="Rectangle 150"/>
          <xdr:cNvSpPr>
            <a:spLocks noChangeArrowheads="1"/>
          </xdr:cNvSpPr>
        </xdr:nvSpPr>
        <xdr:spPr bwMode="auto">
          <a:xfrm>
            <a:off x="11229975" y="1866900"/>
            <a:ext cx="419100" cy="232833"/>
          </a:xfrm>
          <a:prstGeom prst="rect">
            <a:avLst/>
          </a:prstGeom>
          <a:solidFill>
            <a:schemeClr val="accent5">
              <a:lumMod val="7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2" name="Rectangle 151"/>
          <xdr:cNvSpPr>
            <a:spLocks noChangeArrowheads="1"/>
          </xdr:cNvSpPr>
        </xdr:nvSpPr>
        <xdr:spPr bwMode="auto">
          <a:xfrm>
            <a:off x="11229975" y="2867025"/>
            <a:ext cx="419100" cy="232833"/>
          </a:xfrm>
          <a:prstGeom prst="rect">
            <a:avLst/>
          </a:prstGeom>
          <a:solidFill>
            <a:srgbClr val="CDF666"/>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3" name="Rectangle 152"/>
          <xdr:cNvSpPr>
            <a:spLocks noChangeArrowheads="1"/>
          </xdr:cNvSpPr>
        </xdr:nvSpPr>
        <xdr:spPr bwMode="auto">
          <a:xfrm>
            <a:off x="11220450" y="2371725"/>
            <a:ext cx="419100" cy="232833"/>
          </a:xfrm>
          <a:prstGeom prst="rect">
            <a:avLst/>
          </a:prstGeom>
          <a:solidFill>
            <a:srgbClr val="FFC000"/>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4" name="Rectangle 153"/>
          <xdr:cNvSpPr>
            <a:spLocks noChangeArrowheads="1"/>
          </xdr:cNvSpPr>
        </xdr:nvSpPr>
        <xdr:spPr bwMode="auto">
          <a:xfrm>
            <a:off x="11229975" y="3371850"/>
            <a:ext cx="419100" cy="232833"/>
          </a:xfrm>
          <a:prstGeom prst="rect">
            <a:avLst/>
          </a:prstGeom>
          <a:solidFill>
            <a:srgbClr val="E9B1DA"/>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5" name="Rectangle 154"/>
          <xdr:cNvSpPr>
            <a:spLocks noChangeArrowheads="1"/>
          </xdr:cNvSpPr>
        </xdr:nvSpPr>
        <xdr:spPr bwMode="auto">
          <a:xfrm>
            <a:off x="11229975" y="3876675"/>
            <a:ext cx="419100" cy="232833"/>
          </a:xfrm>
          <a:prstGeom prst="rect">
            <a:avLst/>
          </a:prstGeom>
          <a:solidFill>
            <a:schemeClr val="accent1">
              <a:lumMod val="20000"/>
              <a:lumOff val="80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outlinePr summaryBelow="0" summaryRight="0"/>
  </sheetPr>
  <dimension ref="A1:N391"/>
  <sheetViews>
    <sheetView showGridLines="0" tabSelected="1" topLeftCell="A2" zoomScaleNormal="100" workbookViewId="0">
      <selection activeCell="B203" sqref="B203"/>
    </sheetView>
  </sheetViews>
  <sheetFormatPr baseColWidth="10" defaultRowHeight="15" outlineLevelRow="1" x14ac:dyDescent="0.25"/>
  <cols>
    <col min="1" max="1" width="3.85546875" customWidth="1"/>
    <col min="2" max="2" width="6.7109375" style="2" customWidth="1"/>
    <col min="3" max="3" width="1.7109375" customWidth="1"/>
    <col min="4" max="4" width="80.7109375" style="3" customWidth="1"/>
    <col min="5" max="5" width="1.7109375" style="3" customWidth="1"/>
    <col min="6" max="6" width="40.7109375" style="4" customWidth="1"/>
    <col min="7" max="7" width="1.7109375" style="5" customWidth="1"/>
    <col min="8" max="8" width="10.7109375" style="6" customWidth="1"/>
    <col min="9" max="11" width="10.7109375" style="7" customWidth="1"/>
    <col min="12" max="12" width="1.7109375" customWidth="1"/>
    <col min="13" max="13" width="6.5703125" customWidth="1"/>
    <col min="14" max="14" width="22.85546875" customWidth="1"/>
    <col min="15" max="15" width="11.42578125" customWidth="1"/>
  </cols>
  <sheetData>
    <row r="1" spans="1:14" ht="19.5" customHeight="1" x14ac:dyDescent="0.25">
      <c r="A1" s="1"/>
    </row>
    <row r="2" spans="1:14" s="8" customFormat="1" ht="21" customHeight="1" collapsed="1" x14ac:dyDescent="0.35">
      <c r="A2" s="1"/>
      <c r="B2" s="67" t="s">
        <v>0</v>
      </c>
      <c r="C2" s="67"/>
      <c r="D2" s="67"/>
      <c r="E2" s="67"/>
      <c r="F2" s="67"/>
      <c r="G2" s="67"/>
      <c r="H2" s="67"/>
      <c r="I2" s="67"/>
      <c r="J2" s="67"/>
      <c r="K2" s="67"/>
    </row>
    <row r="3" spans="1:14" hidden="1" outlineLevel="1" x14ac:dyDescent="0.25">
      <c r="B3" s="9" t="s">
        <v>1</v>
      </c>
      <c r="C3" s="10"/>
      <c r="D3" s="11" t="s">
        <v>2</v>
      </c>
      <c r="E3" s="11"/>
      <c r="F3" s="12" t="s">
        <v>3</v>
      </c>
      <c r="G3" s="12"/>
      <c r="H3" s="12" t="s">
        <v>4</v>
      </c>
      <c r="I3" s="13" t="s">
        <v>5</v>
      </c>
      <c r="J3" s="13" t="s">
        <v>6</v>
      </c>
      <c r="K3" s="13" t="s">
        <v>7</v>
      </c>
    </row>
    <row r="4" spans="1:14" ht="39.950000000000003" hidden="1" customHeight="1" outlineLevel="1" x14ac:dyDescent="0.25">
      <c r="B4" s="14">
        <f ca="1">DATE(YEAR(TODAY()),1,1)</f>
        <v>42005</v>
      </c>
      <c r="C4" s="15"/>
      <c r="D4" s="53" t="s">
        <v>8</v>
      </c>
      <c r="E4" s="50"/>
      <c r="F4" s="51" t="s">
        <v>9</v>
      </c>
      <c r="G4" s="52"/>
      <c r="H4" s="52" t="s">
        <v>10</v>
      </c>
      <c r="I4" s="63"/>
      <c r="J4" s="63"/>
      <c r="K4" s="63">
        <f>SUM(I4*J4)</f>
        <v>0</v>
      </c>
      <c r="L4" s="16"/>
    </row>
    <row r="5" spans="1:14" ht="39.950000000000003" hidden="1" customHeight="1" outlineLevel="1" x14ac:dyDescent="0.25">
      <c r="B5" s="17">
        <f ca="1">DATE(YEAR(TODAY()),1,2)</f>
        <v>42006</v>
      </c>
      <c r="C5" s="18"/>
      <c r="D5" s="53" t="s">
        <v>11</v>
      </c>
      <c r="E5" s="50"/>
      <c r="F5" s="51" t="s">
        <v>12</v>
      </c>
      <c r="G5" s="52"/>
      <c r="H5" s="52" t="s">
        <v>13</v>
      </c>
      <c r="I5" s="63"/>
      <c r="J5" s="63"/>
      <c r="K5" s="63">
        <f t="shared" ref="K5:K34" si="0">SUM(I5*J5)</f>
        <v>0</v>
      </c>
      <c r="L5" s="16"/>
      <c r="N5" s="19" t="s">
        <v>14</v>
      </c>
    </row>
    <row r="6" spans="1:14" ht="39.950000000000003" hidden="1" customHeight="1" outlineLevel="1" x14ac:dyDescent="0.25">
      <c r="B6" s="20">
        <f ca="1">DATE(YEAR(TODAY()),1,3)</f>
        <v>42007</v>
      </c>
      <c r="C6" s="21"/>
      <c r="D6" s="53" t="s">
        <v>15</v>
      </c>
      <c r="E6" s="50"/>
      <c r="F6" s="51" t="s">
        <v>16</v>
      </c>
      <c r="G6" s="52"/>
      <c r="H6" s="52" t="s">
        <v>10</v>
      </c>
      <c r="I6" s="63"/>
      <c r="J6" s="63"/>
      <c r="K6" s="63">
        <f t="shared" si="0"/>
        <v>0</v>
      </c>
      <c r="L6" s="16"/>
      <c r="N6" s="19" t="s">
        <v>17</v>
      </c>
    </row>
    <row r="7" spans="1:14" ht="39.950000000000003" hidden="1" customHeight="1" outlineLevel="1" x14ac:dyDescent="0.25">
      <c r="B7" s="14">
        <f ca="1">DATE(YEAR(TODAY()),1,4)</f>
        <v>42008</v>
      </c>
      <c r="C7" s="15"/>
      <c r="D7" s="53" t="s">
        <v>18</v>
      </c>
      <c r="E7" s="50"/>
      <c r="F7" s="51" t="s">
        <v>19</v>
      </c>
      <c r="G7" s="52"/>
      <c r="H7" s="52" t="s">
        <v>10</v>
      </c>
      <c r="I7" s="63"/>
      <c r="J7" s="63"/>
      <c r="K7" s="63">
        <f t="shared" si="0"/>
        <v>0</v>
      </c>
      <c r="L7" s="16"/>
      <c r="N7" s="19" t="s">
        <v>20</v>
      </c>
    </row>
    <row r="8" spans="1:14" ht="39.950000000000003" hidden="1" customHeight="1" outlineLevel="1" x14ac:dyDescent="0.25">
      <c r="B8" s="17">
        <f ca="1">DATE(YEAR(TODAY()),1,5)</f>
        <v>42009</v>
      </c>
      <c r="C8" s="18"/>
      <c r="D8" s="53" t="s">
        <v>21</v>
      </c>
      <c r="E8" s="50"/>
      <c r="F8" s="51" t="s">
        <v>22</v>
      </c>
      <c r="G8" s="52"/>
      <c r="H8" s="52" t="s">
        <v>13</v>
      </c>
      <c r="I8" s="63"/>
      <c r="J8" s="63"/>
      <c r="K8" s="63">
        <f t="shared" si="0"/>
        <v>0</v>
      </c>
      <c r="L8" s="16"/>
      <c r="N8" s="19" t="s">
        <v>23</v>
      </c>
    </row>
    <row r="9" spans="1:14" ht="39.950000000000003" hidden="1" customHeight="1" outlineLevel="1" x14ac:dyDescent="0.25">
      <c r="B9" s="22">
        <f ca="1">DATE(YEAR(TODAY()),1,6)</f>
        <v>42010</v>
      </c>
      <c r="C9" s="23"/>
      <c r="D9" s="53" t="s">
        <v>24</v>
      </c>
      <c r="E9" s="50"/>
      <c r="F9" s="51" t="s">
        <v>25</v>
      </c>
      <c r="G9" s="52"/>
      <c r="H9" s="52" t="s">
        <v>10</v>
      </c>
      <c r="I9" s="63"/>
      <c r="J9" s="63"/>
      <c r="K9" s="63">
        <f t="shared" si="0"/>
        <v>0</v>
      </c>
      <c r="L9" s="16"/>
      <c r="N9" s="19" t="s">
        <v>26</v>
      </c>
    </row>
    <row r="10" spans="1:14" ht="39.950000000000003" hidden="1" customHeight="1" outlineLevel="1" x14ac:dyDescent="0.25">
      <c r="B10" s="24">
        <f ca="1">DATE(YEAR(TODAY()),1,7)</f>
        <v>42011</v>
      </c>
      <c r="C10" s="25"/>
      <c r="D10" s="53" t="s">
        <v>27</v>
      </c>
      <c r="E10" s="50"/>
      <c r="F10" s="51" t="s">
        <v>28</v>
      </c>
      <c r="G10" s="52"/>
      <c r="H10" s="52" t="s">
        <v>10</v>
      </c>
      <c r="I10" s="63"/>
      <c r="J10" s="63"/>
      <c r="K10" s="63">
        <f t="shared" si="0"/>
        <v>0</v>
      </c>
      <c r="L10" s="16"/>
      <c r="N10" s="19" t="s">
        <v>29</v>
      </c>
    </row>
    <row r="11" spans="1:14" ht="39.950000000000003" hidden="1" customHeight="1" outlineLevel="1" x14ac:dyDescent="0.25">
      <c r="B11" s="20">
        <f ca="1">DATE(YEAR(TODAY()),1,8)</f>
        <v>42012</v>
      </c>
      <c r="C11" s="21"/>
      <c r="D11" s="53" t="s">
        <v>30</v>
      </c>
      <c r="E11" s="50"/>
      <c r="F11" s="51" t="s">
        <v>31</v>
      </c>
      <c r="G11" s="52"/>
      <c r="H11" s="52" t="s">
        <v>10</v>
      </c>
      <c r="I11" s="63"/>
      <c r="J11" s="63"/>
      <c r="K11" s="63">
        <f t="shared" si="0"/>
        <v>0</v>
      </c>
      <c r="L11" s="16"/>
    </row>
    <row r="12" spans="1:14" ht="39.950000000000003" hidden="1" customHeight="1" outlineLevel="1" x14ac:dyDescent="0.25">
      <c r="B12" s="17">
        <f ca="1">DATE(YEAR(TODAY()),1,9)</f>
        <v>42013</v>
      </c>
      <c r="C12" s="18"/>
      <c r="D12" s="53" t="s">
        <v>32</v>
      </c>
      <c r="E12" s="50"/>
      <c r="F12" s="51" t="s">
        <v>33</v>
      </c>
      <c r="G12" s="52"/>
      <c r="H12" s="52" t="s">
        <v>34</v>
      </c>
      <c r="I12" s="63"/>
      <c r="J12" s="63"/>
      <c r="K12" s="63">
        <f t="shared" si="0"/>
        <v>0</v>
      </c>
      <c r="L12" s="16"/>
    </row>
    <row r="13" spans="1:14" ht="39.950000000000003" hidden="1" customHeight="1" outlineLevel="1" x14ac:dyDescent="0.25">
      <c r="B13" s="26">
        <f ca="1">DATE(YEAR(TODAY()),1,10)</f>
        <v>42014</v>
      </c>
      <c r="C13" s="27"/>
      <c r="D13" s="53" t="s">
        <v>35</v>
      </c>
      <c r="E13" s="50"/>
      <c r="F13" s="51" t="s">
        <v>36</v>
      </c>
      <c r="G13" s="52"/>
      <c r="H13" s="52" t="s">
        <v>10</v>
      </c>
      <c r="I13" s="63"/>
      <c r="J13" s="63"/>
      <c r="K13" s="63">
        <f t="shared" si="0"/>
        <v>0</v>
      </c>
      <c r="L13" s="16"/>
    </row>
    <row r="14" spans="1:14" ht="39.950000000000003" hidden="1" customHeight="1" outlineLevel="1" x14ac:dyDescent="0.25">
      <c r="B14" s="14">
        <f ca="1">DATE(YEAR(TODAY()),1,11)</f>
        <v>42015</v>
      </c>
      <c r="C14" s="15"/>
      <c r="D14" s="53" t="s">
        <v>37</v>
      </c>
      <c r="E14" s="50"/>
      <c r="F14" s="51" t="s">
        <v>38</v>
      </c>
      <c r="G14" s="52"/>
      <c r="H14" s="52" t="s">
        <v>10</v>
      </c>
      <c r="I14" s="63"/>
      <c r="J14" s="63"/>
      <c r="K14" s="63">
        <f t="shared" si="0"/>
        <v>0</v>
      </c>
      <c r="L14" s="16"/>
    </row>
    <row r="15" spans="1:14" ht="39.950000000000003" hidden="1" customHeight="1" outlineLevel="1" x14ac:dyDescent="0.25">
      <c r="B15" s="17">
        <f ca="1">DATE(YEAR(TODAY()),1,12)</f>
        <v>42016</v>
      </c>
      <c r="C15" s="18"/>
      <c r="D15" s="53" t="s">
        <v>39</v>
      </c>
      <c r="E15" s="50"/>
      <c r="F15" s="51" t="s">
        <v>40</v>
      </c>
      <c r="G15" s="52"/>
      <c r="H15" s="52" t="s">
        <v>13</v>
      </c>
      <c r="I15" s="63"/>
      <c r="J15" s="63"/>
      <c r="K15" s="63">
        <f t="shared" si="0"/>
        <v>0</v>
      </c>
      <c r="L15" s="16"/>
    </row>
    <row r="16" spans="1:14" ht="39.950000000000003" hidden="1" customHeight="1" outlineLevel="1" x14ac:dyDescent="0.25">
      <c r="B16" s="24">
        <f ca="1">DATE(YEAR(TODAY()),1,13)</f>
        <v>42017</v>
      </c>
      <c r="C16" s="25"/>
      <c r="D16" s="53" t="s">
        <v>41</v>
      </c>
      <c r="E16" s="50"/>
      <c r="F16" s="51" t="s">
        <v>42</v>
      </c>
      <c r="G16" s="52"/>
      <c r="H16" s="52" t="s">
        <v>10</v>
      </c>
      <c r="I16" s="63"/>
      <c r="J16" s="63"/>
      <c r="K16" s="63">
        <f t="shared" si="0"/>
        <v>0</v>
      </c>
      <c r="L16" s="16"/>
    </row>
    <row r="17" spans="2:12" ht="39.950000000000003" hidden="1" customHeight="1" outlineLevel="1" x14ac:dyDescent="0.25">
      <c r="B17" s="20">
        <f ca="1">DATE(YEAR(TODAY()),1,14)</f>
        <v>42018</v>
      </c>
      <c r="C17" s="21"/>
      <c r="D17" s="53" t="s">
        <v>43</v>
      </c>
      <c r="E17" s="50"/>
      <c r="F17" s="51" t="s">
        <v>44</v>
      </c>
      <c r="G17" s="52"/>
      <c r="H17" s="52" t="s">
        <v>10</v>
      </c>
      <c r="I17" s="63"/>
      <c r="J17" s="63"/>
      <c r="K17" s="63">
        <f t="shared" si="0"/>
        <v>0</v>
      </c>
      <c r="L17" s="16"/>
    </row>
    <row r="18" spans="2:12" ht="39.950000000000003" hidden="1" customHeight="1" outlineLevel="1" x14ac:dyDescent="0.25">
      <c r="B18" s="24">
        <f ca="1">DATE(YEAR(TODAY()),1,15)</f>
        <v>42019</v>
      </c>
      <c r="C18" s="25"/>
      <c r="D18" s="53" t="s">
        <v>45</v>
      </c>
      <c r="E18" s="50"/>
      <c r="F18" s="51" t="s">
        <v>46</v>
      </c>
      <c r="G18" s="52"/>
      <c r="H18" s="52" t="s">
        <v>10</v>
      </c>
      <c r="I18" s="63"/>
      <c r="J18" s="63"/>
      <c r="K18" s="63">
        <f t="shared" si="0"/>
        <v>0</v>
      </c>
      <c r="L18" s="16"/>
    </row>
    <row r="19" spans="2:12" ht="39.950000000000003" hidden="1" customHeight="1" outlineLevel="1" x14ac:dyDescent="0.25">
      <c r="B19" s="14">
        <f ca="1">DATE(YEAR(TODAY()),1,16)</f>
        <v>42020</v>
      </c>
      <c r="C19" s="15"/>
      <c r="D19" s="53" t="s">
        <v>47</v>
      </c>
      <c r="E19" s="50"/>
      <c r="F19" s="51" t="s">
        <v>48</v>
      </c>
      <c r="G19" s="52"/>
      <c r="H19" s="52" t="s">
        <v>10</v>
      </c>
      <c r="I19" s="63"/>
      <c r="J19" s="63"/>
      <c r="K19" s="63">
        <f t="shared" si="0"/>
        <v>0</v>
      </c>
      <c r="L19" s="16"/>
    </row>
    <row r="20" spans="2:12" ht="39.950000000000003" hidden="1" customHeight="1" outlineLevel="1" x14ac:dyDescent="0.25">
      <c r="B20" s="24">
        <f ca="1">DATE(YEAR(TODAY()),1,17)</f>
        <v>42021</v>
      </c>
      <c r="C20" s="25"/>
      <c r="D20" s="53" t="s">
        <v>49</v>
      </c>
      <c r="E20" s="50"/>
      <c r="F20" s="51" t="s">
        <v>50</v>
      </c>
      <c r="G20" s="52"/>
      <c r="H20" s="52" t="s">
        <v>10</v>
      </c>
      <c r="I20" s="63"/>
      <c r="J20" s="63"/>
      <c r="K20" s="63">
        <f t="shared" si="0"/>
        <v>0</v>
      </c>
      <c r="L20" s="16"/>
    </row>
    <row r="21" spans="2:12" ht="39.950000000000003" hidden="1" customHeight="1" outlineLevel="1" x14ac:dyDescent="0.25">
      <c r="B21" s="17">
        <f ca="1">DATE(YEAR(TODAY()),1,18)</f>
        <v>42022</v>
      </c>
      <c r="C21" s="18"/>
      <c r="D21" s="53" t="s">
        <v>51</v>
      </c>
      <c r="E21" s="50"/>
      <c r="F21" s="51" t="s">
        <v>52</v>
      </c>
      <c r="G21" s="52"/>
      <c r="H21" s="52" t="s">
        <v>13</v>
      </c>
      <c r="I21" s="63"/>
      <c r="J21" s="63"/>
      <c r="K21" s="63">
        <f t="shared" si="0"/>
        <v>0</v>
      </c>
      <c r="L21" s="16"/>
    </row>
    <row r="22" spans="2:12" ht="39.950000000000003" hidden="1" customHeight="1" outlineLevel="1" x14ac:dyDescent="0.25">
      <c r="B22" s="20">
        <f ca="1">DATE(YEAR(TODAY()),1,19)</f>
        <v>42023</v>
      </c>
      <c r="C22" s="21"/>
      <c r="D22" s="53" t="s">
        <v>53</v>
      </c>
      <c r="E22" s="50"/>
      <c r="F22" s="51" t="s">
        <v>54</v>
      </c>
      <c r="G22" s="52"/>
      <c r="H22" s="52" t="s">
        <v>10</v>
      </c>
      <c r="I22" s="63"/>
      <c r="J22" s="63"/>
      <c r="K22" s="63">
        <f t="shared" si="0"/>
        <v>0</v>
      </c>
      <c r="L22" s="16"/>
    </row>
    <row r="23" spans="2:12" ht="39.950000000000003" hidden="1" customHeight="1" outlineLevel="1" x14ac:dyDescent="0.25">
      <c r="B23" s="14">
        <f ca="1">DATE(YEAR(TODAY()),1,20)</f>
        <v>42024</v>
      </c>
      <c r="C23" s="15"/>
      <c r="D23" s="53" t="s">
        <v>55</v>
      </c>
      <c r="E23" s="50"/>
      <c r="F23" s="51" t="s">
        <v>56</v>
      </c>
      <c r="G23" s="52"/>
      <c r="H23" s="52" t="s">
        <v>10</v>
      </c>
      <c r="I23" s="63"/>
      <c r="J23" s="63"/>
      <c r="K23" s="63">
        <f t="shared" si="0"/>
        <v>0</v>
      </c>
      <c r="L23" s="16"/>
    </row>
    <row r="24" spans="2:12" ht="39.950000000000003" hidden="1" customHeight="1" outlineLevel="1" x14ac:dyDescent="0.25">
      <c r="B24" s="17">
        <f ca="1">DATE(YEAR(TODAY()),1,21)</f>
        <v>42025</v>
      </c>
      <c r="C24" s="18"/>
      <c r="D24" s="53" t="s">
        <v>57</v>
      </c>
      <c r="E24" s="50"/>
      <c r="F24" s="51" t="s">
        <v>58</v>
      </c>
      <c r="G24" s="52"/>
      <c r="H24" s="52" t="s">
        <v>34</v>
      </c>
      <c r="I24" s="63"/>
      <c r="J24" s="63"/>
      <c r="K24" s="63">
        <f t="shared" si="0"/>
        <v>0</v>
      </c>
      <c r="L24" s="16"/>
    </row>
    <row r="25" spans="2:12" ht="39.950000000000003" hidden="1" customHeight="1" outlineLevel="1" x14ac:dyDescent="0.25">
      <c r="B25" s="24">
        <f ca="1">DATE(YEAR(TODAY()),1,22)</f>
        <v>42026</v>
      </c>
      <c r="C25" s="25"/>
      <c r="D25" s="53" t="s">
        <v>59</v>
      </c>
      <c r="E25" s="50"/>
      <c r="F25" s="51" t="s">
        <v>60</v>
      </c>
      <c r="G25" s="52"/>
      <c r="H25" s="52" t="s">
        <v>10</v>
      </c>
      <c r="I25" s="63"/>
      <c r="J25" s="63"/>
      <c r="K25" s="63">
        <f t="shared" si="0"/>
        <v>0</v>
      </c>
      <c r="L25" s="16"/>
    </row>
    <row r="26" spans="2:12" ht="39.950000000000003" hidden="1" customHeight="1" outlineLevel="1" x14ac:dyDescent="0.25">
      <c r="B26" s="17">
        <f ca="1">DATE(YEAR(TODAY()),1,23)</f>
        <v>42027</v>
      </c>
      <c r="C26" s="18"/>
      <c r="D26" s="53" t="s">
        <v>61</v>
      </c>
      <c r="E26" s="50"/>
      <c r="F26" s="51" t="s">
        <v>62</v>
      </c>
      <c r="G26" s="52"/>
      <c r="H26" s="52" t="s">
        <v>13</v>
      </c>
      <c r="I26" s="63"/>
      <c r="J26" s="63"/>
      <c r="K26" s="63">
        <f t="shared" si="0"/>
        <v>0</v>
      </c>
      <c r="L26" s="16"/>
    </row>
    <row r="27" spans="2:12" ht="39.950000000000003" hidden="1" customHeight="1" outlineLevel="1" x14ac:dyDescent="0.25">
      <c r="B27" s="14">
        <f ca="1">DATE(YEAR(TODAY()),1,24)</f>
        <v>42028</v>
      </c>
      <c r="C27" s="15"/>
      <c r="D27" s="53" t="s">
        <v>63</v>
      </c>
      <c r="E27" s="50"/>
      <c r="F27" s="51" t="s">
        <v>64</v>
      </c>
      <c r="G27" s="52"/>
      <c r="H27" s="52" t="s">
        <v>10</v>
      </c>
      <c r="I27" s="63"/>
      <c r="J27" s="63"/>
      <c r="K27" s="63">
        <f t="shared" si="0"/>
        <v>0</v>
      </c>
      <c r="L27" s="16"/>
    </row>
    <row r="28" spans="2:12" ht="39.950000000000003" hidden="1" customHeight="1" outlineLevel="1" x14ac:dyDescent="0.25">
      <c r="B28" s="20">
        <f ca="1">DATE(YEAR(TODAY()),1,25)</f>
        <v>42029</v>
      </c>
      <c r="C28" s="21"/>
      <c r="D28" s="53" t="s">
        <v>65</v>
      </c>
      <c r="E28" s="50"/>
      <c r="F28" s="51" t="s">
        <v>66</v>
      </c>
      <c r="G28" s="52"/>
      <c r="H28" s="52" t="s">
        <v>10</v>
      </c>
      <c r="I28" s="63"/>
      <c r="J28" s="63"/>
      <c r="K28" s="63">
        <f t="shared" si="0"/>
        <v>0</v>
      </c>
      <c r="L28" s="16"/>
    </row>
    <row r="29" spans="2:12" ht="39.950000000000003" hidden="1" customHeight="1" outlineLevel="1" x14ac:dyDescent="0.25">
      <c r="B29" s="17">
        <f ca="1">DATE(YEAR(TODAY()),1,26)</f>
        <v>42030</v>
      </c>
      <c r="C29" s="18"/>
      <c r="D29" s="53" t="s">
        <v>67</v>
      </c>
      <c r="E29" s="50"/>
      <c r="F29" s="51" t="s">
        <v>68</v>
      </c>
      <c r="G29" s="52"/>
      <c r="H29" s="52" t="s">
        <v>34</v>
      </c>
      <c r="I29" s="63"/>
      <c r="J29" s="63"/>
      <c r="K29" s="63">
        <f t="shared" si="0"/>
        <v>0</v>
      </c>
      <c r="L29" s="16"/>
    </row>
    <row r="30" spans="2:12" ht="39.950000000000003" hidden="1" customHeight="1" outlineLevel="1" x14ac:dyDescent="0.25">
      <c r="B30" s="17">
        <f ca="1">DATE(YEAR(TODAY()),1,27)</f>
        <v>42031</v>
      </c>
      <c r="C30" s="18"/>
      <c r="D30" s="53" t="s">
        <v>69</v>
      </c>
      <c r="E30" s="50"/>
      <c r="F30" s="51" t="s">
        <v>70</v>
      </c>
      <c r="G30" s="52"/>
      <c r="H30" s="52" t="s">
        <v>13</v>
      </c>
      <c r="I30" s="63"/>
      <c r="J30" s="63"/>
      <c r="K30" s="63">
        <f t="shared" si="0"/>
        <v>0</v>
      </c>
      <c r="L30" s="16"/>
    </row>
    <row r="31" spans="2:12" ht="39.950000000000003" hidden="1" customHeight="1" outlineLevel="1" x14ac:dyDescent="0.25">
      <c r="B31" s="24">
        <f ca="1">DATE(YEAR(TODAY()),1,28)</f>
        <v>42032</v>
      </c>
      <c r="C31" s="25"/>
      <c r="D31" s="53" t="s">
        <v>71</v>
      </c>
      <c r="E31" s="50"/>
      <c r="F31" s="51" t="s">
        <v>72</v>
      </c>
      <c r="G31" s="52"/>
      <c r="H31" s="52" t="s">
        <v>10</v>
      </c>
      <c r="I31" s="63"/>
      <c r="J31" s="63"/>
      <c r="K31" s="63">
        <f t="shared" si="0"/>
        <v>0</v>
      </c>
      <c r="L31" s="16"/>
    </row>
    <row r="32" spans="2:12" ht="39.950000000000003" hidden="1" customHeight="1" outlineLevel="1" x14ac:dyDescent="0.25">
      <c r="B32" s="14">
        <f ca="1">DATE(YEAR(TODAY()),1,29)</f>
        <v>42033</v>
      </c>
      <c r="C32" s="15"/>
      <c r="D32" s="53" t="s">
        <v>73</v>
      </c>
      <c r="E32" s="50"/>
      <c r="F32" s="51" t="s">
        <v>74</v>
      </c>
      <c r="G32" s="52"/>
      <c r="H32" s="52" t="s">
        <v>10</v>
      </c>
      <c r="I32" s="63"/>
      <c r="J32" s="63"/>
      <c r="K32" s="63">
        <f t="shared" si="0"/>
        <v>0</v>
      </c>
      <c r="L32" s="16"/>
    </row>
    <row r="33" spans="2:14" ht="39.950000000000003" hidden="1" customHeight="1" outlineLevel="1" x14ac:dyDescent="0.25">
      <c r="B33" s="24">
        <f ca="1">DATE(YEAR(TODAY()),1,30)</f>
        <v>42034</v>
      </c>
      <c r="C33" s="25"/>
      <c r="D33" s="53" t="s">
        <v>75</v>
      </c>
      <c r="E33" s="50"/>
      <c r="F33" s="51" t="s">
        <v>76</v>
      </c>
      <c r="G33" s="52"/>
      <c r="H33" s="52" t="s">
        <v>10</v>
      </c>
      <c r="I33" s="63"/>
      <c r="J33" s="63"/>
      <c r="K33" s="63">
        <f t="shared" si="0"/>
        <v>0</v>
      </c>
      <c r="L33" s="16"/>
    </row>
    <row r="34" spans="2:14" ht="39.950000000000003" hidden="1" customHeight="1" outlineLevel="1" x14ac:dyDescent="0.25">
      <c r="B34" s="17">
        <f ca="1">DATE(YEAR(TODAY()),1,0)</f>
        <v>42004</v>
      </c>
      <c r="C34" s="18"/>
      <c r="D34" s="53" t="s">
        <v>77</v>
      </c>
      <c r="E34" s="50"/>
      <c r="F34" s="51" t="s">
        <v>78</v>
      </c>
      <c r="G34" s="52"/>
      <c r="H34" s="52" t="s">
        <v>13</v>
      </c>
      <c r="I34" s="63"/>
      <c r="J34" s="63"/>
      <c r="K34" s="63">
        <f t="shared" si="0"/>
        <v>0</v>
      </c>
      <c r="L34" s="16"/>
    </row>
    <row r="35" spans="2:14" ht="21" customHeight="1" collapsed="1" x14ac:dyDescent="0.35">
      <c r="B35" s="66" t="s">
        <v>79</v>
      </c>
      <c r="C35" s="66"/>
      <c r="D35" s="66"/>
      <c r="E35" s="66"/>
      <c r="F35" s="66"/>
      <c r="G35" s="66"/>
      <c r="H35" s="66"/>
      <c r="I35" s="66"/>
      <c r="J35" s="66"/>
      <c r="K35" s="66"/>
    </row>
    <row r="36" spans="2:14" ht="15" hidden="1" customHeight="1" outlineLevel="1" x14ac:dyDescent="0.25">
      <c r="B36" s="9" t="s">
        <v>1</v>
      </c>
      <c r="C36" s="10"/>
      <c r="D36" s="11" t="s">
        <v>2</v>
      </c>
      <c r="E36" s="11"/>
      <c r="F36" s="28" t="s">
        <v>3</v>
      </c>
      <c r="G36" s="12"/>
      <c r="H36" s="12" t="s">
        <v>4</v>
      </c>
      <c r="I36" s="13" t="s">
        <v>5</v>
      </c>
      <c r="J36" s="13" t="s">
        <v>6</v>
      </c>
      <c r="K36" s="13" t="s">
        <v>7</v>
      </c>
    </row>
    <row r="37" spans="2:14" ht="39.950000000000003" hidden="1" customHeight="1" outlineLevel="1" x14ac:dyDescent="0.25">
      <c r="B37" s="29">
        <f ca="1">DATE(YEAR(TODAY()),2,1)</f>
        <v>42036</v>
      </c>
      <c r="C37" s="16"/>
      <c r="D37" s="53" t="s">
        <v>80</v>
      </c>
      <c r="E37" s="54"/>
      <c r="F37" s="55" t="s">
        <v>81</v>
      </c>
      <c r="G37" s="56"/>
      <c r="H37" s="52" t="s">
        <v>34</v>
      </c>
      <c r="I37" s="63"/>
      <c r="J37" s="63"/>
      <c r="K37" s="63">
        <f>SUM(I37*J37)</f>
        <v>0</v>
      </c>
    </row>
    <row r="38" spans="2:14" ht="39.950000000000003" hidden="1" customHeight="1" outlineLevel="1" x14ac:dyDescent="0.25">
      <c r="B38" s="24">
        <f ca="1">DATE(YEAR(TODAY()),2,2)</f>
        <v>42037</v>
      </c>
      <c r="C38" s="30"/>
      <c r="D38" s="53" t="s">
        <v>82</v>
      </c>
      <c r="E38" s="54"/>
      <c r="F38" s="55" t="s">
        <v>83</v>
      </c>
      <c r="G38" s="56"/>
      <c r="H38" s="52" t="s">
        <v>34</v>
      </c>
      <c r="I38" s="63"/>
      <c r="J38" s="63"/>
      <c r="K38" s="63">
        <f t="shared" ref="K38:K63" si="1">SUM(I38*J38)</f>
        <v>0</v>
      </c>
      <c r="L38" s="16"/>
      <c r="N38" s="19" t="s">
        <v>14</v>
      </c>
    </row>
    <row r="39" spans="2:14" ht="39.950000000000003" hidden="1" customHeight="1" outlineLevel="1" x14ac:dyDescent="0.25">
      <c r="B39" s="17">
        <f ca="1">DATE(YEAR(TODAY()),2,3)</f>
        <v>42038</v>
      </c>
      <c r="C39" s="31"/>
      <c r="D39" s="53" t="s">
        <v>84</v>
      </c>
      <c r="E39" s="54"/>
      <c r="F39" s="55" t="s">
        <v>85</v>
      </c>
      <c r="G39" s="56"/>
      <c r="H39" s="52" t="s">
        <v>34</v>
      </c>
      <c r="I39" s="63"/>
      <c r="J39" s="63"/>
      <c r="K39" s="63">
        <f t="shared" si="1"/>
        <v>0</v>
      </c>
      <c r="L39" s="16"/>
      <c r="N39" s="19" t="s">
        <v>17</v>
      </c>
    </row>
    <row r="40" spans="2:14" ht="39.950000000000003" hidden="1" customHeight="1" outlineLevel="1" x14ac:dyDescent="0.25">
      <c r="B40" s="20">
        <f ca="1">DATE(YEAR(TODAY()),2,4)</f>
        <v>42039</v>
      </c>
      <c r="C40" s="32"/>
      <c r="D40" s="53" t="s">
        <v>86</v>
      </c>
      <c r="E40" s="54"/>
      <c r="F40" s="55" t="s">
        <v>87</v>
      </c>
      <c r="G40" s="56"/>
      <c r="H40" s="52" t="s">
        <v>10</v>
      </c>
      <c r="I40" s="63"/>
      <c r="J40" s="63"/>
      <c r="K40" s="63">
        <f t="shared" si="1"/>
        <v>0</v>
      </c>
      <c r="L40" s="16"/>
      <c r="N40" s="19" t="s">
        <v>20</v>
      </c>
    </row>
    <row r="41" spans="2:14" ht="39.950000000000003" hidden="1" customHeight="1" outlineLevel="1" x14ac:dyDescent="0.25">
      <c r="B41" s="14">
        <f ca="1">DATE(YEAR(TODAY()),2,5)</f>
        <v>42040</v>
      </c>
      <c r="C41" s="33"/>
      <c r="D41" s="53" t="s">
        <v>88</v>
      </c>
      <c r="E41" s="54"/>
      <c r="F41" s="55" t="s">
        <v>89</v>
      </c>
      <c r="G41" s="56"/>
      <c r="H41" s="52" t="s">
        <v>10</v>
      </c>
      <c r="I41" s="63"/>
      <c r="J41" s="63"/>
      <c r="K41" s="63">
        <f t="shared" si="1"/>
        <v>0</v>
      </c>
      <c r="L41" s="16"/>
      <c r="N41" s="19" t="s">
        <v>23</v>
      </c>
    </row>
    <row r="42" spans="2:14" ht="39.950000000000003" hidden="1" customHeight="1" outlineLevel="1" x14ac:dyDescent="0.25">
      <c r="B42" s="17">
        <f ca="1">DATE(YEAR(TODAY()),2,6)</f>
        <v>42041</v>
      </c>
      <c r="C42" s="31"/>
      <c r="D42" s="53" t="s">
        <v>90</v>
      </c>
      <c r="E42" s="54"/>
      <c r="F42" s="55" t="s">
        <v>91</v>
      </c>
      <c r="G42" s="56"/>
      <c r="H42" s="52" t="s">
        <v>34</v>
      </c>
      <c r="I42" s="63"/>
      <c r="J42" s="63"/>
      <c r="K42" s="63">
        <f t="shared" si="1"/>
        <v>0</v>
      </c>
      <c r="L42" s="16"/>
      <c r="N42" s="19" t="s">
        <v>26</v>
      </c>
    </row>
    <row r="43" spans="2:14" ht="39.950000000000003" hidden="1" customHeight="1" outlineLevel="1" x14ac:dyDescent="0.25">
      <c r="B43" s="24">
        <f ca="1">DATE(YEAR(TODAY()),2,7)</f>
        <v>42042</v>
      </c>
      <c r="C43" s="30"/>
      <c r="D43" s="53" t="s">
        <v>92</v>
      </c>
      <c r="E43" s="54"/>
      <c r="F43" s="55" t="s">
        <v>93</v>
      </c>
      <c r="G43" s="56"/>
      <c r="H43" s="52" t="s">
        <v>10</v>
      </c>
      <c r="I43" s="63"/>
      <c r="J43" s="63"/>
      <c r="K43" s="63">
        <f t="shared" si="1"/>
        <v>0</v>
      </c>
      <c r="L43" s="16"/>
      <c r="N43" s="19" t="s">
        <v>29</v>
      </c>
    </row>
    <row r="44" spans="2:14" ht="39.950000000000003" hidden="1" customHeight="1" outlineLevel="1" x14ac:dyDescent="0.25">
      <c r="B44" s="17">
        <f ca="1">DATE(YEAR(TODAY()),2,8)</f>
        <v>42043</v>
      </c>
      <c r="C44" s="31"/>
      <c r="D44" s="53" t="s">
        <v>94</v>
      </c>
      <c r="E44" s="54"/>
      <c r="F44" s="55" t="s">
        <v>95</v>
      </c>
      <c r="G44" s="56"/>
      <c r="H44" s="52" t="s">
        <v>13</v>
      </c>
      <c r="I44" s="63"/>
      <c r="J44" s="63"/>
      <c r="K44" s="63">
        <f t="shared" si="1"/>
        <v>0</v>
      </c>
      <c r="L44" s="16"/>
    </row>
    <row r="45" spans="2:14" ht="39.950000000000003" hidden="1" customHeight="1" outlineLevel="1" x14ac:dyDescent="0.25">
      <c r="B45" s="14">
        <f ca="1">DATE(YEAR(TODAY()),2,9)</f>
        <v>42044</v>
      </c>
      <c r="C45" s="33"/>
      <c r="D45" s="53" t="s">
        <v>96</v>
      </c>
      <c r="E45" s="54"/>
      <c r="F45" s="55" t="s">
        <v>97</v>
      </c>
      <c r="G45" s="56"/>
      <c r="H45" s="52" t="s">
        <v>34</v>
      </c>
      <c r="I45" s="63"/>
      <c r="J45" s="63"/>
      <c r="K45" s="63">
        <f t="shared" si="1"/>
        <v>0</v>
      </c>
      <c r="L45" s="16"/>
    </row>
    <row r="46" spans="2:14" ht="39.950000000000003" hidden="1" customHeight="1" outlineLevel="1" x14ac:dyDescent="0.25">
      <c r="B46" s="26">
        <f ca="1">DATE(YEAR(TODAY()),2,10)</f>
        <v>42045</v>
      </c>
      <c r="C46" s="34"/>
      <c r="D46" s="53" t="s">
        <v>98</v>
      </c>
      <c r="E46" s="54"/>
      <c r="F46" s="55" t="s">
        <v>99</v>
      </c>
      <c r="G46" s="56"/>
      <c r="H46" s="52" t="s">
        <v>10</v>
      </c>
      <c r="I46" s="63"/>
      <c r="J46" s="63"/>
      <c r="K46" s="63">
        <f t="shared" si="1"/>
        <v>0</v>
      </c>
      <c r="L46" s="16"/>
    </row>
    <row r="47" spans="2:14" ht="39.950000000000003" hidden="1" customHeight="1" outlineLevel="1" x14ac:dyDescent="0.25">
      <c r="B47" s="14">
        <f ca="1">DATE(YEAR(TODAY()),2,11)</f>
        <v>42046</v>
      </c>
      <c r="C47" s="33"/>
      <c r="D47" s="53" t="s">
        <v>100</v>
      </c>
      <c r="E47" s="54"/>
      <c r="F47" s="55" t="s">
        <v>101</v>
      </c>
      <c r="G47" s="56"/>
      <c r="H47" s="52" t="s">
        <v>10</v>
      </c>
      <c r="I47" s="63"/>
      <c r="J47" s="63"/>
      <c r="K47" s="63">
        <f t="shared" si="1"/>
        <v>0</v>
      </c>
      <c r="L47" s="16"/>
    </row>
    <row r="48" spans="2:14" ht="39.950000000000003" hidden="1" customHeight="1" outlineLevel="1" x14ac:dyDescent="0.25">
      <c r="B48" s="14">
        <f ca="1">DATE(YEAR(TODAY()),2,12)</f>
        <v>42047</v>
      </c>
      <c r="C48" s="33"/>
      <c r="D48" s="53" t="s">
        <v>102</v>
      </c>
      <c r="E48" s="54"/>
      <c r="F48" s="55" t="s">
        <v>103</v>
      </c>
      <c r="G48" s="56"/>
      <c r="H48" s="52" t="s">
        <v>34</v>
      </c>
      <c r="I48" s="63"/>
      <c r="J48" s="63"/>
      <c r="K48" s="63">
        <f t="shared" si="1"/>
        <v>0</v>
      </c>
      <c r="L48" s="16"/>
    </row>
    <row r="49" spans="2:12" ht="39.950000000000003" hidden="1" customHeight="1" outlineLevel="1" x14ac:dyDescent="0.25">
      <c r="B49" s="17">
        <f ca="1">DATE(YEAR(TODAY()),2,13)</f>
        <v>42048</v>
      </c>
      <c r="C49" s="31"/>
      <c r="D49" s="53" t="s">
        <v>104</v>
      </c>
      <c r="E49" s="54"/>
      <c r="F49" s="55" t="s">
        <v>105</v>
      </c>
      <c r="G49" s="56"/>
      <c r="H49" s="52" t="s">
        <v>13</v>
      </c>
      <c r="I49" s="63"/>
      <c r="J49" s="63"/>
      <c r="K49" s="63">
        <f t="shared" si="1"/>
        <v>0</v>
      </c>
      <c r="L49" s="16"/>
    </row>
    <row r="50" spans="2:12" ht="39.950000000000003" hidden="1" customHeight="1" outlineLevel="1" x14ac:dyDescent="0.25">
      <c r="B50" s="20">
        <f ca="1">DATE(YEAR(TODAY()),2,14)</f>
        <v>42049</v>
      </c>
      <c r="C50" s="32"/>
      <c r="D50" s="53" t="s">
        <v>106</v>
      </c>
      <c r="E50" s="54"/>
      <c r="F50" s="55" t="s">
        <v>107</v>
      </c>
      <c r="G50" s="56"/>
      <c r="H50" s="52" t="s">
        <v>10</v>
      </c>
      <c r="I50" s="63"/>
      <c r="J50" s="63"/>
      <c r="K50" s="63">
        <f t="shared" si="1"/>
        <v>0</v>
      </c>
      <c r="L50" s="16"/>
    </row>
    <row r="51" spans="2:12" ht="39.950000000000003" hidden="1" customHeight="1" outlineLevel="1" x14ac:dyDescent="0.25">
      <c r="B51" s="20">
        <f ca="1">DATE(YEAR(TODAY()),2,15)</f>
        <v>42050</v>
      </c>
      <c r="C51" s="32"/>
      <c r="D51" s="53" t="s">
        <v>108</v>
      </c>
      <c r="E51" s="54"/>
      <c r="F51" s="55" t="s">
        <v>109</v>
      </c>
      <c r="G51" s="56"/>
      <c r="H51" s="52" t="s">
        <v>10</v>
      </c>
      <c r="I51" s="63"/>
      <c r="J51" s="63"/>
      <c r="K51" s="63">
        <f t="shared" si="1"/>
        <v>0</v>
      </c>
      <c r="L51" s="16"/>
    </row>
    <row r="52" spans="2:12" ht="39.950000000000003" hidden="1" customHeight="1" outlineLevel="1" x14ac:dyDescent="0.25">
      <c r="B52" s="17">
        <f ca="1">DATE(YEAR(TODAY()),2,16)</f>
        <v>42051</v>
      </c>
      <c r="C52" s="31"/>
      <c r="D52" s="53" t="s">
        <v>110</v>
      </c>
      <c r="E52" s="54"/>
      <c r="F52" s="55" t="s">
        <v>111</v>
      </c>
      <c r="G52" s="56"/>
      <c r="H52" s="52" t="s">
        <v>34</v>
      </c>
      <c r="I52" s="63"/>
      <c r="J52" s="63"/>
      <c r="K52" s="63">
        <f t="shared" si="1"/>
        <v>0</v>
      </c>
      <c r="L52" s="16"/>
    </row>
    <row r="53" spans="2:12" ht="39.950000000000003" hidden="1" customHeight="1" outlineLevel="1" x14ac:dyDescent="0.25">
      <c r="B53" s="14">
        <f ca="1">DATE(YEAR(TODAY()),2,17)</f>
        <v>42052</v>
      </c>
      <c r="C53" s="33"/>
      <c r="D53" s="53" t="s">
        <v>112</v>
      </c>
      <c r="E53" s="54"/>
      <c r="F53" s="55" t="s">
        <v>113</v>
      </c>
      <c r="G53" s="56"/>
      <c r="H53" s="52" t="s">
        <v>10</v>
      </c>
      <c r="I53" s="63"/>
      <c r="J53" s="63"/>
      <c r="K53" s="63">
        <f t="shared" si="1"/>
        <v>0</v>
      </c>
      <c r="L53" s="16"/>
    </row>
    <row r="54" spans="2:12" ht="39.950000000000003" hidden="1" customHeight="1" outlineLevel="1" x14ac:dyDescent="0.25">
      <c r="B54" s="24">
        <f ca="1">DATE(YEAR(TODAY()),2,18)</f>
        <v>42053</v>
      </c>
      <c r="C54" s="30"/>
      <c r="D54" s="53" t="s">
        <v>114</v>
      </c>
      <c r="E54" s="54"/>
      <c r="F54" s="55" t="s">
        <v>115</v>
      </c>
      <c r="G54" s="56"/>
      <c r="H54" s="52" t="s">
        <v>10</v>
      </c>
      <c r="I54" s="63"/>
      <c r="J54" s="63"/>
      <c r="K54" s="63">
        <f t="shared" si="1"/>
        <v>0</v>
      </c>
      <c r="L54" s="16"/>
    </row>
    <row r="55" spans="2:12" ht="39.950000000000003" hidden="1" customHeight="1" outlineLevel="1" x14ac:dyDescent="0.25">
      <c r="B55" s="17">
        <f ca="1">DATE(YEAR(TODAY()),2,19)</f>
        <v>42054</v>
      </c>
      <c r="C55" s="31"/>
      <c r="D55" s="53" t="s">
        <v>116</v>
      </c>
      <c r="E55" s="54"/>
      <c r="F55" s="55" t="s">
        <v>117</v>
      </c>
      <c r="G55" s="56"/>
      <c r="H55" s="52" t="s">
        <v>13</v>
      </c>
      <c r="I55" s="63"/>
      <c r="J55" s="63"/>
      <c r="K55" s="63">
        <f t="shared" si="1"/>
        <v>0</v>
      </c>
      <c r="L55" s="16"/>
    </row>
    <row r="56" spans="2:12" ht="39.950000000000003" hidden="1" customHeight="1" outlineLevel="1" x14ac:dyDescent="0.25">
      <c r="B56" s="24">
        <f ca="1">DATE(YEAR(TODAY()),2,20)</f>
        <v>42055</v>
      </c>
      <c r="C56" s="30"/>
      <c r="D56" s="53" t="s">
        <v>118</v>
      </c>
      <c r="E56" s="54"/>
      <c r="F56" s="55" t="s">
        <v>119</v>
      </c>
      <c r="G56" s="56"/>
      <c r="H56" s="52" t="s">
        <v>10</v>
      </c>
      <c r="I56" s="63"/>
      <c r="J56" s="63"/>
      <c r="K56" s="63">
        <f t="shared" si="1"/>
        <v>0</v>
      </c>
      <c r="L56" s="16"/>
    </row>
    <row r="57" spans="2:12" ht="39.950000000000003" hidden="1" customHeight="1" outlineLevel="1" x14ac:dyDescent="0.25">
      <c r="B57" s="20">
        <f ca="1">DATE(YEAR(TODAY()),2,21)</f>
        <v>42056</v>
      </c>
      <c r="C57" s="32"/>
      <c r="D57" s="53" t="s">
        <v>120</v>
      </c>
      <c r="E57" s="54"/>
      <c r="F57" s="55" t="s">
        <v>121</v>
      </c>
      <c r="G57" s="56"/>
      <c r="H57" s="52" t="s">
        <v>10</v>
      </c>
      <c r="I57" s="63"/>
      <c r="J57" s="63"/>
      <c r="K57" s="63">
        <f t="shared" si="1"/>
        <v>0</v>
      </c>
      <c r="L57" s="16"/>
    </row>
    <row r="58" spans="2:12" ht="39.950000000000003" hidden="1" customHeight="1" outlineLevel="1" x14ac:dyDescent="0.25">
      <c r="B58" s="14">
        <f ca="1">DATE(YEAR(TODAY()),2,22)</f>
        <v>42057</v>
      </c>
      <c r="C58" s="33"/>
      <c r="D58" s="53" t="s">
        <v>122</v>
      </c>
      <c r="E58" s="54"/>
      <c r="F58" s="55" t="s">
        <v>123</v>
      </c>
      <c r="G58" s="56"/>
      <c r="H58" s="52" t="s">
        <v>10</v>
      </c>
      <c r="I58" s="63"/>
      <c r="J58" s="63"/>
      <c r="K58" s="63">
        <f t="shared" si="1"/>
        <v>0</v>
      </c>
      <c r="L58" s="16"/>
    </row>
    <row r="59" spans="2:12" ht="39.950000000000003" hidden="1" customHeight="1" outlineLevel="1" x14ac:dyDescent="0.25">
      <c r="B59" s="17">
        <f ca="1">DATE(YEAR(TODAY()),2,23)</f>
        <v>42058</v>
      </c>
      <c r="C59" s="31"/>
      <c r="D59" s="53" t="s">
        <v>124</v>
      </c>
      <c r="E59" s="54"/>
      <c r="F59" s="55" t="s">
        <v>12</v>
      </c>
      <c r="G59" s="56"/>
      <c r="H59" s="52" t="s">
        <v>13</v>
      </c>
      <c r="I59" s="63"/>
      <c r="J59" s="63"/>
      <c r="K59" s="63">
        <f t="shared" si="1"/>
        <v>0</v>
      </c>
      <c r="L59" s="16"/>
    </row>
    <row r="60" spans="2:12" ht="39.950000000000003" hidden="1" customHeight="1" outlineLevel="1" x14ac:dyDescent="0.25">
      <c r="B60" s="24">
        <f ca="1">DATE(YEAR(TODAY()),2,24)</f>
        <v>42059</v>
      </c>
      <c r="C60" s="30"/>
      <c r="D60" s="53" t="s">
        <v>125</v>
      </c>
      <c r="E60" s="54"/>
      <c r="F60" s="55" t="s">
        <v>126</v>
      </c>
      <c r="G60" s="56"/>
      <c r="H60" s="52" t="s">
        <v>10</v>
      </c>
      <c r="I60" s="63"/>
      <c r="J60" s="63"/>
      <c r="K60" s="63">
        <f t="shared" si="1"/>
        <v>0</v>
      </c>
      <c r="L60" s="16"/>
    </row>
    <row r="61" spans="2:12" ht="39.950000000000003" hidden="1" customHeight="1" outlineLevel="1" x14ac:dyDescent="0.25">
      <c r="B61" s="24">
        <f ca="1">DATE(YEAR(TODAY()),2,25)</f>
        <v>42060</v>
      </c>
      <c r="C61" s="30"/>
      <c r="D61" s="53" t="s">
        <v>127</v>
      </c>
      <c r="E61" s="54"/>
      <c r="F61" s="55" t="s">
        <v>128</v>
      </c>
      <c r="G61" s="56"/>
      <c r="H61" s="52" t="s">
        <v>10</v>
      </c>
      <c r="I61" s="63"/>
      <c r="J61" s="63"/>
      <c r="K61" s="63">
        <f t="shared" si="1"/>
        <v>0</v>
      </c>
      <c r="L61" s="16"/>
    </row>
    <row r="62" spans="2:12" ht="39.950000000000003" hidden="1" customHeight="1" outlineLevel="1" x14ac:dyDescent="0.25">
      <c r="B62" s="20">
        <f ca="1">DATE(YEAR(TODAY()),2,26)</f>
        <v>42061</v>
      </c>
      <c r="C62" s="32"/>
      <c r="D62" s="53" t="s">
        <v>129</v>
      </c>
      <c r="E62" s="54"/>
      <c r="F62" s="55" t="s">
        <v>130</v>
      </c>
      <c r="G62" s="56"/>
      <c r="H62" s="52" t="s">
        <v>10</v>
      </c>
      <c r="I62" s="63"/>
      <c r="J62" s="63"/>
      <c r="K62" s="63">
        <f t="shared" si="1"/>
        <v>0</v>
      </c>
      <c r="L62" s="16"/>
    </row>
    <row r="63" spans="2:12" ht="39.950000000000003" hidden="1" customHeight="1" outlineLevel="1" x14ac:dyDescent="0.25">
      <c r="B63" s="17">
        <f ca="1">DATE(YEAR(TODAY()),2,27)</f>
        <v>42062</v>
      </c>
      <c r="C63" s="31"/>
      <c r="D63" s="53" t="s">
        <v>131</v>
      </c>
      <c r="E63" s="54"/>
      <c r="F63" s="55" t="s">
        <v>132</v>
      </c>
      <c r="G63" s="56"/>
      <c r="H63" s="52" t="s">
        <v>34</v>
      </c>
      <c r="I63" s="63"/>
      <c r="J63" s="63"/>
      <c r="K63" s="63">
        <f t="shared" si="1"/>
        <v>0</v>
      </c>
      <c r="L63" s="16"/>
    </row>
    <row r="64" spans="2:12" ht="39.950000000000003" hidden="1" customHeight="1" outlineLevel="1" x14ac:dyDescent="0.25">
      <c r="B64" s="14">
        <f ca="1">DATE(YEAR(TODAY()),2,28)</f>
        <v>42063</v>
      </c>
      <c r="C64" s="33"/>
      <c r="D64" s="53" t="s">
        <v>133</v>
      </c>
      <c r="E64" s="54"/>
      <c r="F64" s="55" t="s">
        <v>134</v>
      </c>
      <c r="G64" s="56"/>
      <c r="H64" s="52" t="s">
        <v>10</v>
      </c>
      <c r="I64" s="63"/>
      <c r="J64" s="63"/>
      <c r="K64" s="63">
        <f>SUM(I64*J64)</f>
        <v>0</v>
      </c>
      <c r="L64" s="16"/>
    </row>
    <row r="65" spans="2:14" ht="39.950000000000003" hidden="1" customHeight="1" outlineLevel="1" x14ac:dyDescent="0.25">
      <c r="B65" s="14">
        <f ca="1">DATE(YEAR(TODAY()),2,29)</f>
        <v>42064</v>
      </c>
      <c r="C65" s="33"/>
      <c r="D65" s="57" t="s">
        <v>133</v>
      </c>
      <c r="E65" s="58"/>
      <c r="F65" s="59" t="s">
        <v>135</v>
      </c>
      <c r="G65" s="60"/>
      <c r="H65" s="61" t="s">
        <v>10</v>
      </c>
      <c r="I65" s="64"/>
      <c r="J65" s="64"/>
      <c r="K65" s="64">
        <f>SUM(I65*J65)</f>
        <v>0</v>
      </c>
    </row>
    <row r="66" spans="2:14" ht="21" customHeight="1" collapsed="1" x14ac:dyDescent="0.35">
      <c r="B66" s="67" t="s">
        <v>136</v>
      </c>
      <c r="C66" s="67"/>
      <c r="D66" s="67"/>
      <c r="E66" s="67"/>
      <c r="F66" s="67"/>
      <c r="G66" s="67"/>
      <c r="H66" s="67"/>
      <c r="I66" s="67"/>
      <c r="J66" s="67"/>
      <c r="K66" s="67"/>
    </row>
    <row r="67" spans="2:14" ht="15" hidden="1" customHeight="1" outlineLevel="1" x14ac:dyDescent="0.25">
      <c r="B67" s="35" t="s">
        <v>1</v>
      </c>
      <c r="C67" s="36"/>
      <c r="D67" s="37" t="s">
        <v>2</v>
      </c>
      <c r="E67" s="37"/>
      <c r="F67" s="38" t="s">
        <v>3</v>
      </c>
      <c r="G67" s="39"/>
      <c r="H67" s="39" t="s">
        <v>4</v>
      </c>
      <c r="I67" s="40" t="s">
        <v>5</v>
      </c>
      <c r="J67" s="40" t="s">
        <v>6</v>
      </c>
      <c r="K67" s="40" t="s">
        <v>7</v>
      </c>
    </row>
    <row r="68" spans="2:14" ht="39.950000000000003" hidden="1" customHeight="1" outlineLevel="1" x14ac:dyDescent="0.25">
      <c r="B68" s="17">
        <f ca="1">DATE(YEAR(TODAY()),3,1)</f>
        <v>42064</v>
      </c>
      <c r="C68" s="31"/>
      <c r="D68" s="53" t="s">
        <v>137</v>
      </c>
      <c r="E68" s="54"/>
      <c r="F68" s="51" t="s">
        <v>138</v>
      </c>
      <c r="G68" s="51"/>
      <c r="H68" s="52" t="s">
        <v>34</v>
      </c>
      <c r="I68" s="63"/>
      <c r="J68" s="63"/>
      <c r="K68" s="63">
        <f>SUM(I68*J68)</f>
        <v>0</v>
      </c>
    </row>
    <row r="69" spans="2:14" ht="39.950000000000003" hidden="1" customHeight="1" outlineLevel="1" x14ac:dyDescent="0.25">
      <c r="B69" s="20">
        <f ca="1">DATE(YEAR(TODAY()),3,2)</f>
        <v>42065</v>
      </c>
      <c r="C69" s="32"/>
      <c r="D69" s="53" t="s">
        <v>139</v>
      </c>
      <c r="E69" s="54"/>
      <c r="F69" s="51" t="s">
        <v>140</v>
      </c>
      <c r="G69" s="51"/>
      <c r="H69" s="52" t="s">
        <v>10</v>
      </c>
      <c r="I69" s="63"/>
      <c r="J69" s="63"/>
      <c r="K69" s="63">
        <f t="shared" ref="K69:K98" si="2">SUM(I69*J69)</f>
        <v>0</v>
      </c>
      <c r="N69" s="19" t="s">
        <v>14</v>
      </c>
    </row>
    <row r="70" spans="2:14" ht="39.950000000000003" hidden="1" customHeight="1" outlineLevel="1" x14ac:dyDescent="0.25">
      <c r="B70" s="17">
        <f ca="1">DATE(YEAR(TODAY()),3,3)</f>
        <v>42066</v>
      </c>
      <c r="C70" s="31"/>
      <c r="D70" s="53" t="s">
        <v>141</v>
      </c>
      <c r="E70" s="54"/>
      <c r="F70" s="51" t="s">
        <v>142</v>
      </c>
      <c r="G70" s="51"/>
      <c r="H70" s="52" t="s">
        <v>13</v>
      </c>
      <c r="I70" s="63"/>
      <c r="J70" s="63"/>
      <c r="K70" s="63">
        <f t="shared" si="2"/>
        <v>0</v>
      </c>
      <c r="N70" s="19" t="s">
        <v>17</v>
      </c>
    </row>
    <row r="71" spans="2:14" ht="39.950000000000003" hidden="1" customHeight="1" outlineLevel="1" x14ac:dyDescent="0.25">
      <c r="B71" s="24">
        <f ca="1">DATE(YEAR(TODAY()),3,4)</f>
        <v>42067</v>
      </c>
      <c r="C71" s="30"/>
      <c r="D71" s="53" t="s">
        <v>143</v>
      </c>
      <c r="E71" s="54"/>
      <c r="F71" s="51" t="s">
        <v>144</v>
      </c>
      <c r="G71" s="51"/>
      <c r="H71" s="52" t="s">
        <v>10</v>
      </c>
      <c r="I71" s="63"/>
      <c r="J71" s="63"/>
      <c r="K71" s="63">
        <f t="shared" si="2"/>
        <v>0</v>
      </c>
      <c r="N71" s="19" t="s">
        <v>20</v>
      </c>
    </row>
    <row r="72" spans="2:14" ht="39.950000000000003" hidden="1" customHeight="1" outlineLevel="1" x14ac:dyDescent="0.25">
      <c r="B72" s="24">
        <f ca="1">DATE(YEAR(TODAY()),3,5)</f>
        <v>42068</v>
      </c>
      <c r="C72" s="30"/>
      <c r="D72" s="53" t="s">
        <v>145</v>
      </c>
      <c r="E72" s="54"/>
      <c r="F72" s="51" t="s">
        <v>146</v>
      </c>
      <c r="G72" s="51"/>
      <c r="H72" s="52" t="s">
        <v>10</v>
      </c>
      <c r="I72" s="63"/>
      <c r="J72" s="63"/>
      <c r="K72" s="63">
        <f t="shared" si="2"/>
        <v>0</v>
      </c>
      <c r="N72" s="19" t="s">
        <v>23</v>
      </c>
    </row>
    <row r="73" spans="2:14" ht="39.950000000000003" hidden="1" customHeight="1" outlineLevel="1" x14ac:dyDescent="0.25">
      <c r="B73" s="14">
        <f ca="1">DATE(YEAR(TODAY()),3,6)</f>
        <v>42069</v>
      </c>
      <c r="C73" s="33"/>
      <c r="D73" s="53" t="s">
        <v>147</v>
      </c>
      <c r="E73" s="54"/>
      <c r="F73" s="51" t="s">
        <v>148</v>
      </c>
      <c r="G73" s="51"/>
      <c r="H73" s="52" t="s">
        <v>10</v>
      </c>
      <c r="I73" s="63"/>
      <c r="J73" s="63"/>
      <c r="K73" s="63">
        <f t="shared" si="2"/>
        <v>0</v>
      </c>
      <c r="N73" s="19" t="s">
        <v>26</v>
      </c>
    </row>
    <row r="74" spans="2:14" ht="39.950000000000003" hidden="1" customHeight="1" outlineLevel="1" x14ac:dyDescent="0.25">
      <c r="B74" s="20">
        <f ca="1">DATE(YEAR(TODAY()),3,7)</f>
        <v>42070</v>
      </c>
      <c r="C74" s="32"/>
      <c r="D74" s="53" t="s">
        <v>149</v>
      </c>
      <c r="E74" s="54"/>
      <c r="F74" s="51" t="s">
        <v>150</v>
      </c>
      <c r="G74" s="51"/>
      <c r="H74" s="52" t="s">
        <v>10</v>
      </c>
      <c r="I74" s="63"/>
      <c r="J74" s="63"/>
      <c r="K74" s="63">
        <f t="shared" si="2"/>
        <v>0</v>
      </c>
      <c r="N74" s="19" t="s">
        <v>29</v>
      </c>
    </row>
    <row r="75" spans="2:14" ht="39.950000000000003" hidden="1" customHeight="1" outlineLevel="1" x14ac:dyDescent="0.25">
      <c r="B75" s="24">
        <f ca="1">DATE(YEAR(TODAY()),3,8)</f>
        <v>42071</v>
      </c>
      <c r="C75" s="30"/>
      <c r="D75" s="53" t="s">
        <v>151</v>
      </c>
      <c r="E75" s="54"/>
      <c r="F75" s="51" t="s">
        <v>152</v>
      </c>
      <c r="G75" s="51"/>
      <c r="H75" s="52" t="s">
        <v>10</v>
      </c>
      <c r="I75" s="63"/>
      <c r="J75" s="63"/>
      <c r="K75" s="63">
        <f t="shared" si="2"/>
        <v>0</v>
      </c>
    </row>
    <row r="76" spans="2:14" ht="39.950000000000003" hidden="1" customHeight="1" outlineLevel="1" x14ac:dyDescent="0.25">
      <c r="B76" s="17">
        <f ca="1">DATE(YEAR(TODAY()),3,9)</f>
        <v>42072</v>
      </c>
      <c r="C76" s="31"/>
      <c r="D76" s="53" t="s">
        <v>153</v>
      </c>
      <c r="E76" s="54"/>
      <c r="F76" s="51" t="s">
        <v>154</v>
      </c>
      <c r="G76" s="51"/>
      <c r="H76" s="52" t="s">
        <v>13</v>
      </c>
      <c r="I76" s="63"/>
      <c r="J76" s="63"/>
      <c r="K76" s="63">
        <f t="shared" si="2"/>
        <v>0</v>
      </c>
    </row>
    <row r="77" spans="2:14" ht="39.950000000000003" hidden="1" customHeight="1" outlineLevel="1" x14ac:dyDescent="0.25">
      <c r="B77" s="22">
        <f ca="1">DATE(YEAR(TODAY()),3,10)</f>
        <v>42073</v>
      </c>
      <c r="C77" s="41"/>
      <c r="D77" s="53" t="s">
        <v>155</v>
      </c>
      <c r="E77" s="54"/>
      <c r="F77" s="51" t="s">
        <v>156</v>
      </c>
      <c r="G77" s="51"/>
      <c r="H77" s="52" t="s">
        <v>10</v>
      </c>
      <c r="I77" s="63"/>
      <c r="J77" s="63"/>
      <c r="K77" s="63">
        <f t="shared" si="2"/>
        <v>0</v>
      </c>
    </row>
    <row r="78" spans="2:14" ht="39.950000000000003" hidden="1" customHeight="1" outlineLevel="1" x14ac:dyDescent="0.25">
      <c r="B78" s="24">
        <f ca="1">DATE(YEAR(TODAY()),3,11)</f>
        <v>42074</v>
      </c>
      <c r="C78" s="30"/>
      <c r="D78" s="53" t="s">
        <v>157</v>
      </c>
      <c r="E78" s="54"/>
      <c r="F78" s="51" t="s">
        <v>158</v>
      </c>
      <c r="G78" s="51"/>
      <c r="H78" s="52" t="s">
        <v>10</v>
      </c>
      <c r="I78" s="63"/>
      <c r="J78" s="63"/>
      <c r="K78" s="63">
        <f t="shared" si="2"/>
        <v>0</v>
      </c>
    </row>
    <row r="79" spans="2:14" ht="39.950000000000003" hidden="1" customHeight="1" outlineLevel="1" x14ac:dyDescent="0.25">
      <c r="B79" s="17">
        <f ca="1">DATE(YEAR(TODAY()),3,12)</f>
        <v>42075</v>
      </c>
      <c r="C79" s="31"/>
      <c r="D79" s="53" t="s">
        <v>159</v>
      </c>
      <c r="E79" s="54"/>
      <c r="F79" s="51" t="s">
        <v>160</v>
      </c>
      <c r="G79" s="51"/>
      <c r="H79" s="52" t="s">
        <v>34</v>
      </c>
      <c r="I79" s="63"/>
      <c r="J79" s="63"/>
      <c r="K79" s="63">
        <f t="shared" si="2"/>
        <v>0</v>
      </c>
    </row>
    <row r="80" spans="2:14" ht="39.950000000000003" hidden="1" customHeight="1" outlineLevel="1" x14ac:dyDescent="0.25">
      <c r="B80" s="20">
        <f ca="1">DATE(YEAR(TODAY()),3,13)</f>
        <v>42076</v>
      </c>
      <c r="C80" s="32"/>
      <c r="D80" s="53" t="s">
        <v>161</v>
      </c>
      <c r="E80" s="54"/>
      <c r="F80" s="51" t="s">
        <v>162</v>
      </c>
      <c r="G80" s="51"/>
      <c r="H80" s="52" t="s">
        <v>34</v>
      </c>
      <c r="I80" s="63"/>
      <c r="J80" s="63"/>
      <c r="K80" s="63">
        <f t="shared" si="2"/>
        <v>0</v>
      </c>
    </row>
    <row r="81" spans="2:11" ht="39.950000000000003" hidden="1" customHeight="1" outlineLevel="1" x14ac:dyDescent="0.25">
      <c r="B81" s="17">
        <f ca="1">DATE(YEAR(TODAY()),3,14)</f>
        <v>42077</v>
      </c>
      <c r="C81" s="31"/>
      <c r="D81" s="53" t="s">
        <v>163</v>
      </c>
      <c r="E81" s="54"/>
      <c r="F81" s="51" t="s">
        <v>164</v>
      </c>
      <c r="G81" s="51"/>
      <c r="H81" s="52" t="s">
        <v>10</v>
      </c>
      <c r="I81" s="63"/>
      <c r="J81" s="63"/>
      <c r="K81" s="63">
        <f t="shared" si="2"/>
        <v>0</v>
      </c>
    </row>
    <row r="82" spans="2:11" ht="39.950000000000003" hidden="1" customHeight="1" outlineLevel="1" x14ac:dyDescent="0.25">
      <c r="B82" s="14">
        <f ca="1">DATE(YEAR(TODAY()),3,15)</f>
        <v>42078</v>
      </c>
      <c r="C82" s="33"/>
      <c r="D82" s="53" t="s">
        <v>165</v>
      </c>
      <c r="E82" s="54"/>
      <c r="F82" s="51" t="s">
        <v>166</v>
      </c>
      <c r="G82" s="51"/>
      <c r="H82" s="52" t="s">
        <v>10</v>
      </c>
      <c r="I82" s="63"/>
      <c r="J82" s="63"/>
      <c r="K82" s="63">
        <f t="shared" si="2"/>
        <v>0</v>
      </c>
    </row>
    <row r="83" spans="2:11" ht="39.950000000000003" hidden="1" customHeight="1" outlineLevel="1" x14ac:dyDescent="0.25">
      <c r="B83" s="20">
        <f ca="1">DATE(YEAR(TODAY()),3,16)</f>
        <v>42079</v>
      </c>
      <c r="C83" s="32"/>
      <c r="D83" s="53" t="s">
        <v>167</v>
      </c>
      <c r="E83" s="54"/>
      <c r="F83" s="51" t="s">
        <v>168</v>
      </c>
      <c r="G83" s="51"/>
      <c r="H83" s="52" t="s">
        <v>10</v>
      </c>
      <c r="I83" s="63"/>
      <c r="J83" s="63"/>
      <c r="K83" s="63">
        <f t="shared" si="2"/>
        <v>0</v>
      </c>
    </row>
    <row r="84" spans="2:11" ht="39.950000000000003" hidden="1" customHeight="1" outlineLevel="1" x14ac:dyDescent="0.25">
      <c r="B84" s="22">
        <f ca="1">DATE(YEAR(TODAY()),3,17)</f>
        <v>42080</v>
      </c>
      <c r="C84" s="41"/>
      <c r="D84" s="53" t="s">
        <v>169</v>
      </c>
      <c r="E84" s="54"/>
      <c r="F84" s="51" t="s">
        <v>170</v>
      </c>
      <c r="G84" s="51"/>
      <c r="H84" s="52" t="s">
        <v>10</v>
      </c>
      <c r="I84" s="63"/>
      <c r="J84" s="63"/>
      <c r="K84" s="63">
        <f t="shared" si="2"/>
        <v>0</v>
      </c>
    </row>
    <row r="85" spans="2:11" ht="39.950000000000003" hidden="1" customHeight="1" outlineLevel="1" x14ac:dyDescent="0.25">
      <c r="B85" s="17">
        <f ca="1">DATE(YEAR(TODAY()),3,18)</f>
        <v>42081</v>
      </c>
      <c r="C85" s="31"/>
      <c r="D85" s="53" t="s">
        <v>171</v>
      </c>
      <c r="E85" s="54"/>
      <c r="F85" s="51" t="s">
        <v>172</v>
      </c>
      <c r="G85" s="51"/>
      <c r="H85" s="52" t="s">
        <v>34</v>
      </c>
      <c r="I85" s="63"/>
      <c r="J85" s="63"/>
      <c r="K85" s="63">
        <f t="shared" si="2"/>
        <v>0</v>
      </c>
    </row>
    <row r="86" spans="2:11" ht="39.950000000000003" hidden="1" customHeight="1" outlineLevel="1" x14ac:dyDescent="0.25">
      <c r="B86" s="17">
        <f ca="1">DATE(YEAR(TODAY()),3,19)</f>
        <v>42082</v>
      </c>
      <c r="C86" s="31"/>
      <c r="D86" s="53" t="s">
        <v>173</v>
      </c>
      <c r="E86" s="54"/>
      <c r="F86" s="51" t="s">
        <v>174</v>
      </c>
      <c r="G86" s="51"/>
      <c r="H86" s="52" t="s">
        <v>13</v>
      </c>
      <c r="I86" s="63"/>
      <c r="J86" s="63"/>
      <c r="K86" s="63">
        <f t="shared" si="2"/>
        <v>0</v>
      </c>
    </row>
    <row r="87" spans="2:11" ht="39.950000000000003" hidden="1" customHeight="1" outlineLevel="1" x14ac:dyDescent="0.25">
      <c r="B87" s="14">
        <f ca="1">DATE(YEAR(TODAY()),3,20)</f>
        <v>42083</v>
      </c>
      <c r="C87" s="33"/>
      <c r="D87" s="53" t="s">
        <v>175</v>
      </c>
      <c r="E87" s="54"/>
      <c r="F87" s="51" t="s">
        <v>176</v>
      </c>
      <c r="G87" s="51"/>
      <c r="H87" s="52" t="s">
        <v>10</v>
      </c>
      <c r="I87" s="63"/>
      <c r="J87" s="63"/>
      <c r="K87" s="63">
        <f t="shared" si="2"/>
        <v>0</v>
      </c>
    </row>
    <row r="88" spans="2:11" ht="39.950000000000003" hidden="1" customHeight="1" outlineLevel="1" x14ac:dyDescent="0.25">
      <c r="B88" s="20">
        <f ca="1">DATE(YEAR(TODAY()),3,21)</f>
        <v>42084</v>
      </c>
      <c r="C88" s="32"/>
      <c r="D88" s="53" t="s">
        <v>177</v>
      </c>
      <c r="E88" s="54"/>
      <c r="F88" s="51" t="s">
        <v>178</v>
      </c>
      <c r="G88" s="51"/>
      <c r="H88" s="52" t="s">
        <v>10</v>
      </c>
      <c r="I88" s="63"/>
      <c r="J88" s="63"/>
      <c r="K88" s="63">
        <f t="shared" si="2"/>
        <v>0</v>
      </c>
    </row>
    <row r="89" spans="2:11" ht="39.950000000000003" hidden="1" customHeight="1" outlineLevel="1" x14ac:dyDescent="0.25">
      <c r="B89" s="24">
        <f ca="1">DATE(YEAR(TODAY()),3,22)</f>
        <v>42085</v>
      </c>
      <c r="C89" s="30"/>
      <c r="D89" s="53" t="s">
        <v>179</v>
      </c>
      <c r="E89" s="54"/>
      <c r="F89" s="51" t="s">
        <v>180</v>
      </c>
      <c r="G89" s="51"/>
      <c r="H89" s="52" t="s">
        <v>10</v>
      </c>
      <c r="I89" s="63"/>
      <c r="J89" s="63"/>
      <c r="K89" s="63">
        <f t="shared" si="2"/>
        <v>0</v>
      </c>
    </row>
    <row r="90" spans="2:11" ht="39.950000000000003" hidden="1" customHeight="1" outlineLevel="1" x14ac:dyDescent="0.25">
      <c r="B90" s="17">
        <f ca="1">DATE(YEAR(TODAY()),3,23)</f>
        <v>42086</v>
      </c>
      <c r="C90" s="31"/>
      <c r="D90" s="53" t="s">
        <v>181</v>
      </c>
      <c r="E90" s="54"/>
      <c r="F90" s="51" t="s">
        <v>182</v>
      </c>
      <c r="G90" s="51"/>
      <c r="H90" s="52" t="s">
        <v>13</v>
      </c>
      <c r="I90" s="63"/>
      <c r="J90" s="63"/>
      <c r="K90" s="63">
        <f t="shared" si="2"/>
        <v>0</v>
      </c>
    </row>
    <row r="91" spans="2:11" ht="39.950000000000003" hidden="1" customHeight="1" outlineLevel="1" x14ac:dyDescent="0.25">
      <c r="B91" s="17">
        <f ca="1">DATE(YEAR(TODAY()),3,24)</f>
        <v>42087</v>
      </c>
      <c r="C91" s="31"/>
      <c r="D91" s="53" t="s">
        <v>183</v>
      </c>
      <c r="E91" s="54"/>
      <c r="F91" s="51" t="s">
        <v>184</v>
      </c>
      <c r="G91" s="51"/>
      <c r="H91" s="52" t="s">
        <v>13</v>
      </c>
      <c r="I91" s="63"/>
      <c r="J91" s="63"/>
      <c r="K91" s="63">
        <f t="shared" si="2"/>
        <v>0</v>
      </c>
    </row>
    <row r="92" spans="2:11" ht="39.950000000000003" hidden="1" customHeight="1" outlineLevel="1" x14ac:dyDescent="0.25">
      <c r="B92" s="14">
        <f ca="1">DATE(YEAR(TODAY()),3,25)</f>
        <v>42088</v>
      </c>
      <c r="C92" s="33"/>
      <c r="D92" s="53" t="s">
        <v>185</v>
      </c>
      <c r="E92" s="54"/>
      <c r="F92" s="51" t="s">
        <v>186</v>
      </c>
      <c r="G92" s="51"/>
      <c r="H92" s="52" t="s">
        <v>10</v>
      </c>
      <c r="I92" s="63"/>
      <c r="J92" s="63"/>
      <c r="K92" s="63">
        <f t="shared" si="2"/>
        <v>0</v>
      </c>
    </row>
    <row r="93" spans="2:11" ht="39.950000000000003" hidden="1" customHeight="1" outlineLevel="1" x14ac:dyDescent="0.25">
      <c r="B93" s="24">
        <f ca="1">DATE(YEAR(TODAY()),3,26)</f>
        <v>42089</v>
      </c>
      <c r="C93" s="30"/>
      <c r="D93" s="53" t="s">
        <v>187</v>
      </c>
      <c r="E93" s="54"/>
      <c r="F93" s="51" t="s">
        <v>188</v>
      </c>
      <c r="G93" s="51"/>
      <c r="H93" s="52" t="s">
        <v>10</v>
      </c>
      <c r="I93" s="63"/>
      <c r="J93" s="63"/>
      <c r="K93" s="63">
        <f t="shared" si="2"/>
        <v>0</v>
      </c>
    </row>
    <row r="94" spans="2:11" ht="39.950000000000003" hidden="1" customHeight="1" outlineLevel="1" x14ac:dyDescent="0.25">
      <c r="B94" s="22">
        <f ca="1">DATE(YEAR(TODAY()),3,27)</f>
        <v>42090</v>
      </c>
      <c r="C94" s="41"/>
      <c r="D94" s="53" t="s">
        <v>189</v>
      </c>
      <c r="E94" s="54"/>
      <c r="F94" s="51" t="s">
        <v>190</v>
      </c>
      <c r="G94" s="51"/>
      <c r="H94" s="52" t="s">
        <v>13</v>
      </c>
      <c r="I94" s="63"/>
      <c r="J94" s="63"/>
      <c r="K94" s="63">
        <f t="shared" si="2"/>
        <v>0</v>
      </c>
    </row>
    <row r="95" spans="2:11" ht="39.950000000000003" hidden="1" customHeight="1" outlineLevel="1" x14ac:dyDescent="0.25">
      <c r="B95" s="24">
        <f ca="1">DATE(YEAR(TODAY()),3,28)</f>
        <v>42091</v>
      </c>
      <c r="C95" s="30"/>
      <c r="D95" s="53" t="s">
        <v>191</v>
      </c>
      <c r="E95" s="54"/>
      <c r="F95" s="51" t="s">
        <v>192</v>
      </c>
      <c r="G95" s="51"/>
      <c r="H95" s="52" t="s">
        <v>10</v>
      </c>
      <c r="I95" s="63"/>
      <c r="J95" s="63"/>
      <c r="K95" s="63">
        <f t="shared" si="2"/>
        <v>0</v>
      </c>
    </row>
    <row r="96" spans="2:11" ht="39.950000000000003" hidden="1" customHeight="1" outlineLevel="1" x14ac:dyDescent="0.25">
      <c r="B96" s="24">
        <f ca="1">DATE(YEAR(TODAY()),3,29)</f>
        <v>42092</v>
      </c>
      <c r="C96" s="30"/>
      <c r="D96" s="53" t="s">
        <v>193</v>
      </c>
      <c r="E96" s="54"/>
      <c r="F96" s="51" t="s">
        <v>194</v>
      </c>
      <c r="G96" s="51"/>
      <c r="H96" s="52" t="s">
        <v>10</v>
      </c>
      <c r="I96" s="63"/>
      <c r="J96" s="63"/>
      <c r="K96" s="63">
        <f t="shared" si="2"/>
        <v>0</v>
      </c>
    </row>
    <row r="97" spans="2:14" ht="39.950000000000003" hidden="1" customHeight="1" outlineLevel="1" x14ac:dyDescent="0.25">
      <c r="B97" s="14">
        <f ca="1">DATE(YEAR(TODAY()),3,30)</f>
        <v>42093</v>
      </c>
      <c r="C97" s="33"/>
      <c r="D97" s="53" t="s">
        <v>195</v>
      </c>
      <c r="E97" s="54"/>
      <c r="F97" s="51" t="s">
        <v>196</v>
      </c>
      <c r="G97" s="51"/>
      <c r="H97" s="52" t="s">
        <v>10</v>
      </c>
      <c r="I97" s="63"/>
      <c r="J97" s="63"/>
      <c r="K97" s="63">
        <f t="shared" si="2"/>
        <v>0</v>
      </c>
    </row>
    <row r="98" spans="2:14" ht="39.950000000000003" hidden="1" customHeight="1" outlineLevel="1" x14ac:dyDescent="0.25">
      <c r="B98" s="20">
        <f ca="1">DATE(YEAR(TODAY()),3,31)</f>
        <v>42094</v>
      </c>
      <c r="C98" s="32"/>
      <c r="D98" s="53" t="s">
        <v>197</v>
      </c>
      <c r="E98" s="54"/>
      <c r="F98" s="51" t="s">
        <v>198</v>
      </c>
      <c r="G98" s="51"/>
      <c r="H98" s="52" t="s">
        <v>10</v>
      </c>
      <c r="I98" s="63"/>
      <c r="J98" s="63"/>
      <c r="K98" s="63">
        <f t="shared" si="2"/>
        <v>0</v>
      </c>
    </row>
    <row r="99" spans="2:14" ht="21" customHeight="1" collapsed="1" x14ac:dyDescent="0.35">
      <c r="B99" s="66" t="s">
        <v>199</v>
      </c>
      <c r="C99" s="66"/>
      <c r="D99" s="66"/>
      <c r="E99" s="66"/>
      <c r="F99" s="66"/>
      <c r="G99" s="66"/>
      <c r="H99" s="66"/>
      <c r="I99" s="66"/>
      <c r="J99" s="66"/>
      <c r="K99" s="66"/>
    </row>
    <row r="100" spans="2:14" ht="15" hidden="1" customHeight="1" outlineLevel="1" x14ac:dyDescent="0.25">
      <c r="B100" s="35" t="s">
        <v>1</v>
      </c>
      <c r="C100" s="36"/>
      <c r="D100" s="37" t="s">
        <v>2</v>
      </c>
      <c r="E100" s="37"/>
      <c r="F100" s="38" t="s">
        <v>3</v>
      </c>
      <c r="G100" s="39"/>
      <c r="H100" s="39" t="s">
        <v>4</v>
      </c>
      <c r="I100" s="40" t="s">
        <v>5</v>
      </c>
      <c r="J100" s="40" t="s">
        <v>6</v>
      </c>
      <c r="K100" s="40" t="s">
        <v>7</v>
      </c>
    </row>
    <row r="101" spans="2:14" ht="39.950000000000003" hidden="1" customHeight="1" outlineLevel="1" x14ac:dyDescent="0.25">
      <c r="B101" s="24">
        <f ca="1">DATE(YEAR(TODAY()),4,1)</f>
        <v>42095</v>
      </c>
      <c r="C101" s="30"/>
      <c r="D101" s="53" t="s">
        <v>200</v>
      </c>
      <c r="E101" s="54"/>
      <c r="F101" s="53" t="s">
        <v>201</v>
      </c>
      <c r="G101" s="56"/>
      <c r="H101" s="52" t="s">
        <v>10</v>
      </c>
      <c r="I101" s="65"/>
      <c r="J101" s="65"/>
      <c r="K101" s="65">
        <f>SUM(I101*J101)</f>
        <v>0</v>
      </c>
    </row>
    <row r="102" spans="2:14" ht="39.950000000000003" hidden="1" customHeight="1" outlineLevel="1" x14ac:dyDescent="0.25">
      <c r="B102" s="17">
        <f ca="1">DATE(YEAR(TODAY()),4,2)</f>
        <v>42096</v>
      </c>
      <c r="C102" s="31"/>
      <c r="D102" s="53" t="s">
        <v>202</v>
      </c>
      <c r="E102" s="54"/>
      <c r="F102" s="53" t="s">
        <v>203</v>
      </c>
      <c r="G102" s="56"/>
      <c r="H102" s="52" t="s">
        <v>13</v>
      </c>
      <c r="I102" s="65"/>
      <c r="J102" s="65"/>
      <c r="K102" s="65">
        <f t="shared" ref="K102:K130" si="3">SUM(I102*J102)</f>
        <v>0</v>
      </c>
      <c r="N102" s="19" t="s">
        <v>14</v>
      </c>
    </row>
    <row r="103" spans="2:14" ht="39.950000000000003" hidden="1" customHeight="1" outlineLevel="1" x14ac:dyDescent="0.25">
      <c r="B103" s="20">
        <f ca="1">DATE(YEAR(TODAY()),4,3)</f>
        <v>42097</v>
      </c>
      <c r="C103" s="32"/>
      <c r="D103" s="53" t="s">
        <v>204</v>
      </c>
      <c r="E103" s="54"/>
      <c r="F103" s="53" t="s">
        <v>205</v>
      </c>
      <c r="G103" s="56"/>
      <c r="H103" s="52" t="s">
        <v>10</v>
      </c>
      <c r="I103" s="65"/>
      <c r="J103" s="65"/>
      <c r="K103" s="65">
        <f t="shared" si="3"/>
        <v>0</v>
      </c>
      <c r="N103" s="19" t="s">
        <v>17</v>
      </c>
    </row>
    <row r="104" spans="2:14" ht="39.950000000000003" hidden="1" customHeight="1" outlineLevel="1" x14ac:dyDescent="0.25">
      <c r="B104" s="17">
        <f ca="1">DATE(YEAR(TODAY()),4,4)</f>
        <v>42098</v>
      </c>
      <c r="C104" s="31"/>
      <c r="D104" s="53" t="s">
        <v>206</v>
      </c>
      <c r="E104" s="54"/>
      <c r="F104" s="53" t="s">
        <v>207</v>
      </c>
      <c r="G104" s="56"/>
      <c r="H104" s="52" t="s">
        <v>34</v>
      </c>
      <c r="I104" s="65"/>
      <c r="J104" s="65"/>
      <c r="K104" s="65">
        <f t="shared" si="3"/>
        <v>0</v>
      </c>
      <c r="N104" s="19" t="s">
        <v>20</v>
      </c>
    </row>
    <row r="105" spans="2:14" ht="39.950000000000003" hidden="1" customHeight="1" outlineLevel="1" x14ac:dyDescent="0.25">
      <c r="B105" s="20">
        <f ca="1">DATE(YEAR(TODAY()),4,5)</f>
        <v>42099</v>
      </c>
      <c r="C105" s="32"/>
      <c r="D105" s="53" t="s">
        <v>208</v>
      </c>
      <c r="E105" s="54"/>
      <c r="F105" s="53" t="s">
        <v>209</v>
      </c>
      <c r="G105" s="56"/>
      <c r="H105" s="52" t="s">
        <v>10</v>
      </c>
      <c r="I105" s="65"/>
      <c r="J105" s="65"/>
      <c r="K105" s="65">
        <f t="shared" si="3"/>
        <v>0</v>
      </c>
      <c r="N105" s="19" t="s">
        <v>23</v>
      </c>
    </row>
    <row r="106" spans="2:14" ht="39.950000000000003" hidden="1" customHeight="1" outlineLevel="1" x14ac:dyDescent="0.25">
      <c r="B106" s="14">
        <f ca="1">DATE(YEAR(TODAY()),4,6)</f>
        <v>42100</v>
      </c>
      <c r="C106" s="33"/>
      <c r="D106" s="53" t="s">
        <v>210</v>
      </c>
      <c r="E106" s="54"/>
      <c r="F106" s="53" t="s">
        <v>211</v>
      </c>
      <c r="G106" s="56"/>
      <c r="H106" s="52" t="s">
        <v>10</v>
      </c>
      <c r="I106" s="65"/>
      <c r="J106" s="65"/>
      <c r="K106" s="65">
        <f t="shared" si="3"/>
        <v>0</v>
      </c>
      <c r="N106" s="19" t="s">
        <v>26</v>
      </c>
    </row>
    <row r="107" spans="2:14" ht="39.950000000000003" hidden="1" customHeight="1" outlineLevel="1" x14ac:dyDescent="0.25">
      <c r="B107" s="17">
        <f ca="1">DATE(YEAR(TODAY()),4,7)</f>
        <v>42101</v>
      </c>
      <c r="C107" s="31"/>
      <c r="D107" s="53" t="s">
        <v>212</v>
      </c>
      <c r="E107" s="54"/>
      <c r="F107" s="53" t="s">
        <v>184</v>
      </c>
      <c r="G107" s="56"/>
      <c r="H107" s="52" t="s">
        <v>13</v>
      </c>
      <c r="I107" s="65"/>
      <c r="J107" s="65"/>
      <c r="K107" s="65">
        <f t="shared" si="3"/>
        <v>0</v>
      </c>
      <c r="N107" s="19" t="s">
        <v>29</v>
      </c>
    </row>
    <row r="108" spans="2:14" ht="39.950000000000003" hidden="1" customHeight="1" outlineLevel="1" x14ac:dyDescent="0.25">
      <c r="B108" s="20">
        <f ca="1">DATE(YEAR(TODAY()),4,8)</f>
        <v>42102</v>
      </c>
      <c r="C108" s="32"/>
      <c r="D108" s="53" t="s">
        <v>213</v>
      </c>
      <c r="E108" s="54"/>
      <c r="F108" s="53" t="s">
        <v>214</v>
      </c>
      <c r="G108" s="56"/>
      <c r="H108" s="52" t="s">
        <v>10</v>
      </c>
      <c r="I108" s="65"/>
      <c r="J108" s="65"/>
      <c r="K108" s="65">
        <f t="shared" si="3"/>
        <v>0</v>
      </c>
    </row>
    <row r="109" spans="2:14" ht="39.950000000000003" hidden="1" customHeight="1" outlineLevel="1" x14ac:dyDescent="0.25">
      <c r="B109" s="24">
        <f ca="1">DATE(YEAR(TODAY()),4,9)</f>
        <v>42103</v>
      </c>
      <c r="C109" s="30"/>
      <c r="D109" s="53" t="s">
        <v>215</v>
      </c>
      <c r="E109" s="54"/>
      <c r="F109" s="53" t="s">
        <v>216</v>
      </c>
      <c r="G109" s="56"/>
      <c r="H109" s="52" t="s">
        <v>10</v>
      </c>
      <c r="I109" s="65"/>
      <c r="J109" s="65"/>
      <c r="K109" s="65">
        <f t="shared" si="3"/>
        <v>0</v>
      </c>
    </row>
    <row r="110" spans="2:14" ht="39.950000000000003" hidden="1" customHeight="1" outlineLevel="1" x14ac:dyDescent="0.25">
      <c r="B110" s="26">
        <f ca="1">DATE(YEAR(TODAY()),4,10)</f>
        <v>42104</v>
      </c>
      <c r="C110" s="34"/>
      <c r="D110" s="53" t="s">
        <v>217</v>
      </c>
      <c r="E110" s="54"/>
      <c r="F110" s="53" t="s">
        <v>218</v>
      </c>
      <c r="G110" s="56"/>
      <c r="H110" s="52" t="s">
        <v>34</v>
      </c>
      <c r="I110" s="65"/>
      <c r="J110" s="65"/>
      <c r="K110" s="65">
        <f t="shared" si="3"/>
        <v>0</v>
      </c>
    </row>
    <row r="111" spans="2:14" ht="39.950000000000003" hidden="1" customHeight="1" outlineLevel="1" x14ac:dyDescent="0.25">
      <c r="B111" s="24">
        <f ca="1">DATE(YEAR(TODAY()),4,11)</f>
        <v>42105</v>
      </c>
      <c r="C111" s="30"/>
      <c r="D111" s="53" t="s">
        <v>219</v>
      </c>
      <c r="E111" s="54"/>
      <c r="F111" s="53" t="s">
        <v>220</v>
      </c>
      <c r="G111" s="56"/>
      <c r="H111" s="52" t="s">
        <v>10</v>
      </c>
      <c r="I111" s="65"/>
      <c r="J111" s="65"/>
      <c r="K111" s="65">
        <f t="shared" si="3"/>
        <v>0</v>
      </c>
    </row>
    <row r="112" spans="2:14" ht="39.950000000000003" hidden="1" customHeight="1" outlineLevel="1" x14ac:dyDescent="0.25">
      <c r="B112" s="14">
        <f ca="1">DATE(YEAR(TODAY()),4,12)</f>
        <v>42106</v>
      </c>
      <c r="C112" s="33"/>
      <c r="D112" s="53" t="s">
        <v>221</v>
      </c>
      <c r="E112" s="54"/>
      <c r="F112" s="53" t="s">
        <v>222</v>
      </c>
      <c r="G112" s="56"/>
      <c r="H112" s="52" t="s">
        <v>10</v>
      </c>
      <c r="I112" s="65"/>
      <c r="J112" s="65"/>
      <c r="K112" s="65">
        <f t="shared" si="3"/>
        <v>0</v>
      </c>
    </row>
    <row r="113" spans="2:11" ht="39.950000000000003" hidden="1" customHeight="1" outlineLevel="1" x14ac:dyDescent="0.25">
      <c r="B113" s="17">
        <f ca="1">DATE(YEAR(TODAY()),4,13)</f>
        <v>42107</v>
      </c>
      <c r="C113" s="31"/>
      <c r="D113" s="53" t="s">
        <v>223</v>
      </c>
      <c r="E113" s="54"/>
      <c r="F113" s="53" t="s">
        <v>224</v>
      </c>
      <c r="G113" s="56"/>
      <c r="H113" s="52" t="s">
        <v>13</v>
      </c>
      <c r="I113" s="65"/>
      <c r="J113" s="65"/>
      <c r="K113" s="65">
        <f t="shared" si="3"/>
        <v>0</v>
      </c>
    </row>
    <row r="114" spans="2:11" ht="39.950000000000003" hidden="1" customHeight="1" outlineLevel="1" x14ac:dyDescent="0.25">
      <c r="B114" s="24">
        <f ca="1">DATE(YEAR(TODAY()),4,14)</f>
        <v>42108</v>
      </c>
      <c r="C114" s="30"/>
      <c r="D114" s="53" t="s">
        <v>225</v>
      </c>
      <c r="E114" s="54"/>
      <c r="F114" s="53" t="s">
        <v>226</v>
      </c>
      <c r="G114" s="56"/>
      <c r="H114" s="52" t="s">
        <v>10</v>
      </c>
      <c r="I114" s="65"/>
      <c r="J114" s="65"/>
      <c r="K114" s="65">
        <f t="shared" si="3"/>
        <v>0</v>
      </c>
    </row>
    <row r="115" spans="2:11" ht="39.950000000000003" hidden="1" customHeight="1" outlineLevel="1" x14ac:dyDescent="0.25">
      <c r="B115" s="17">
        <f ca="1">DATE(YEAR(TODAY()),4,15)</f>
        <v>42109</v>
      </c>
      <c r="C115" s="31"/>
      <c r="D115" s="53" t="s">
        <v>227</v>
      </c>
      <c r="E115" s="54"/>
      <c r="F115" s="53" t="s">
        <v>228</v>
      </c>
      <c r="G115" s="56"/>
      <c r="H115" s="52" t="s">
        <v>34</v>
      </c>
      <c r="I115" s="65"/>
      <c r="J115" s="65"/>
      <c r="K115" s="65">
        <f t="shared" si="3"/>
        <v>0</v>
      </c>
    </row>
    <row r="116" spans="2:11" ht="39.950000000000003" hidden="1" customHeight="1" outlineLevel="1" x14ac:dyDescent="0.25">
      <c r="B116" s="17">
        <f ca="1">DATE(YEAR(TODAY()),4,16)</f>
        <v>42110</v>
      </c>
      <c r="C116" s="31"/>
      <c r="D116" s="53" t="s">
        <v>229</v>
      </c>
      <c r="E116" s="54"/>
      <c r="F116" s="53" t="s">
        <v>230</v>
      </c>
      <c r="G116" s="56"/>
      <c r="H116" s="52" t="s">
        <v>34</v>
      </c>
      <c r="I116" s="65"/>
      <c r="J116" s="65"/>
      <c r="K116" s="65">
        <f t="shared" si="3"/>
        <v>0</v>
      </c>
    </row>
    <row r="117" spans="2:11" ht="39.950000000000003" hidden="1" customHeight="1" outlineLevel="1" x14ac:dyDescent="0.25">
      <c r="B117" s="14">
        <f ca="1">DATE(YEAR(TODAY()),4,17)</f>
        <v>42111</v>
      </c>
      <c r="C117" s="33"/>
      <c r="D117" s="53" t="s">
        <v>231</v>
      </c>
      <c r="E117" s="54"/>
      <c r="F117" s="53" t="s">
        <v>232</v>
      </c>
      <c r="G117" s="56"/>
      <c r="H117" s="52" t="s">
        <v>10</v>
      </c>
      <c r="I117" s="65"/>
      <c r="J117" s="65"/>
      <c r="K117" s="65">
        <f t="shared" si="3"/>
        <v>0</v>
      </c>
    </row>
    <row r="118" spans="2:11" ht="39.950000000000003" hidden="1" customHeight="1" outlineLevel="1" x14ac:dyDescent="0.25">
      <c r="B118" s="24">
        <f ca="1">DATE(YEAR(TODAY()),4,18)</f>
        <v>42112</v>
      </c>
      <c r="C118" s="30"/>
      <c r="D118" s="53" t="s">
        <v>233</v>
      </c>
      <c r="E118" s="54"/>
      <c r="F118" s="53" t="s">
        <v>234</v>
      </c>
      <c r="G118" s="56"/>
      <c r="H118" s="52" t="s">
        <v>10</v>
      </c>
      <c r="I118" s="65"/>
      <c r="J118" s="65"/>
      <c r="K118" s="65">
        <f t="shared" si="3"/>
        <v>0</v>
      </c>
    </row>
    <row r="119" spans="2:11" ht="39.950000000000003" hidden="1" customHeight="1" outlineLevel="1" x14ac:dyDescent="0.25">
      <c r="B119" s="17">
        <f ca="1">DATE(YEAR(TODAY()),4,19)</f>
        <v>42113</v>
      </c>
      <c r="C119" s="31"/>
      <c r="D119" s="53" t="s">
        <v>235</v>
      </c>
      <c r="E119" s="54"/>
      <c r="F119" s="53" t="s">
        <v>236</v>
      </c>
      <c r="G119" s="56"/>
      <c r="H119" s="52" t="s">
        <v>13</v>
      </c>
      <c r="I119" s="65"/>
      <c r="J119" s="65"/>
      <c r="K119" s="65">
        <f t="shared" si="3"/>
        <v>0</v>
      </c>
    </row>
    <row r="120" spans="2:11" ht="39.950000000000003" hidden="1" customHeight="1" outlineLevel="1" x14ac:dyDescent="0.25">
      <c r="B120" s="20">
        <f ca="1">DATE(YEAR(TODAY()),4,20)</f>
        <v>42114</v>
      </c>
      <c r="C120" s="32"/>
      <c r="D120" s="53" t="s">
        <v>237</v>
      </c>
      <c r="E120" s="54"/>
      <c r="F120" s="53" t="s">
        <v>238</v>
      </c>
      <c r="G120" s="56"/>
      <c r="H120" s="52" t="s">
        <v>10</v>
      </c>
      <c r="I120" s="65"/>
      <c r="J120" s="65"/>
      <c r="K120" s="65">
        <f t="shared" si="3"/>
        <v>0</v>
      </c>
    </row>
    <row r="121" spans="2:11" ht="39.950000000000003" hidden="1" customHeight="1" outlineLevel="1" x14ac:dyDescent="0.25">
      <c r="B121" s="14">
        <f ca="1">DATE(YEAR(TODAY()),4,21)</f>
        <v>42115</v>
      </c>
      <c r="C121" s="33"/>
      <c r="D121" s="53" t="s">
        <v>239</v>
      </c>
      <c r="E121" s="54"/>
      <c r="F121" s="53" t="s">
        <v>240</v>
      </c>
      <c r="G121" s="56"/>
      <c r="H121" s="52" t="s">
        <v>10</v>
      </c>
      <c r="I121" s="65"/>
      <c r="J121" s="65"/>
      <c r="K121" s="65">
        <f t="shared" si="3"/>
        <v>0</v>
      </c>
    </row>
    <row r="122" spans="2:11" ht="39.950000000000003" hidden="1" customHeight="1" outlineLevel="1" x14ac:dyDescent="0.25">
      <c r="B122" s="17">
        <f ca="1">DATE(YEAR(TODAY()),4,22)</f>
        <v>42116</v>
      </c>
      <c r="C122" s="31"/>
      <c r="D122" s="53" t="s">
        <v>241</v>
      </c>
      <c r="E122" s="54"/>
      <c r="F122" s="53" t="s">
        <v>242</v>
      </c>
      <c r="G122" s="56"/>
      <c r="H122" s="52" t="s">
        <v>13</v>
      </c>
      <c r="I122" s="65"/>
      <c r="J122" s="65"/>
      <c r="K122" s="65">
        <f t="shared" si="3"/>
        <v>0</v>
      </c>
    </row>
    <row r="123" spans="2:11" ht="39.950000000000003" hidden="1" customHeight="1" outlineLevel="1" x14ac:dyDescent="0.25">
      <c r="B123" s="20">
        <f ca="1">DATE(YEAR(TODAY()),4,23)</f>
        <v>42117</v>
      </c>
      <c r="C123" s="32"/>
      <c r="D123" s="53" t="s">
        <v>243</v>
      </c>
      <c r="E123" s="54"/>
      <c r="F123" s="53" t="s">
        <v>46</v>
      </c>
      <c r="G123" s="56"/>
      <c r="H123" s="52" t="s">
        <v>10</v>
      </c>
      <c r="I123" s="65"/>
      <c r="J123" s="65"/>
      <c r="K123" s="65">
        <f t="shared" si="3"/>
        <v>0</v>
      </c>
    </row>
    <row r="124" spans="2:11" ht="39.950000000000003" hidden="1" customHeight="1" outlineLevel="1" x14ac:dyDescent="0.25">
      <c r="B124" s="24">
        <f ca="1">DATE(YEAR(TODAY()),4,24)</f>
        <v>42118</v>
      </c>
      <c r="C124" s="30"/>
      <c r="D124" s="53" t="s">
        <v>244</v>
      </c>
      <c r="E124" s="54"/>
      <c r="F124" s="53" t="s">
        <v>245</v>
      </c>
      <c r="G124" s="56"/>
      <c r="H124" s="52" t="s">
        <v>10</v>
      </c>
      <c r="I124" s="65"/>
      <c r="J124" s="65"/>
      <c r="K124" s="65">
        <f t="shared" si="3"/>
        <v>0</v>
      </c>
    </row>
    <row r="125" spans="2:11" ht="39.950000000000003" hidden="1" customHeight="1" outlineLevel="1" x14ac:dyDescent="0.25">
      <c r="B125" s="17">
        <f ca="1">DATE(YEAR(TODAY()),4,25)</f>
        <v>42119</v>
      </c>
      <c r="C125" s="31"/>
      <c r="D125" s="53" t="s">
        <v>246</v>
      </c>
      <c r="E125" s="54"/>
      <c r="F125" s="53" t="s">
        <v>247</v>
      </c>
      <c r="G125" s="56"/>
      <c r="H125" s="52" t="s">
        <v>13</v>
      </c>
      <c r="I125" s="65"/>
      <c r="J125" s="65"/>
      <c r="K125" s="65">
        <f t="shared" si="3"/>
        <v>0</v>
      </c>
    </row>
    <row r="126" spans="2:11" ht="39.950000000000003" hidden="1" customHeight="1" outlineLevel="1" x14ac:dyDescent="0.25">
      <c r="B126" s="22">
        <f ca="1">DATE(YEAR(TODAY()),4,26)</f>
        <v>42120</v>
      </c>
      <c r="C126" s="41"/>
      <c r="D126" s="53" t="s">
        <v>248</v>
      </c>
      <c r="E126" s="54"/>
      <c r="F126" s="53" t="s">
        <v>249</v>
      </c>
      <c r="G126" s="56"/>
      <c r="H126" s="52" t="s">
        <v>10</v>
      </c>
      <c r="I126" s="65"/>
      <c r="J126" s="65"/>
      <c r="K126" s="65">
        <f t="shared" si="3"/>
        <v>0</v>
      </c>
    </row>
    <row r="127" spans="2:11" ht="39.950000000000003" hidden="1" customHeight="1" outlineLevel="1" x14ac:dyDescent="0.25">
      <c r="B127" s="24">
        <f ca="1">DATE(YEAR(TODAY()),4,27)</f>
        <v>42121</v>
      </c>
      <c r="C127" s="30"/>
      <c r="D127" s="53" t="s">
        <v>250</v>
      </c>
      <c r="E127" s="54"/>
      <c r="F127" s="53" t="s">
        <v>251</v>
      </c>
      <c r="G127" s="56"/>
      <c r="H127" s="52" t="s">
        <v>10</v>
      </c>
      <c r="I127" s="65"/>
      <c r="J127" s="65"/>
      <c r="K127" s="65">
        <f t="shared" si="3"/>
        <v>0</v>
      </c>
    </row>
    <row r="128" spans="2:11" ht="39.950000000000003" hidden="1" customHeight="1" outlineLevel="1" x14ac:dyDescent="0.25">
      <c r="B128" s="17">
        <f ca="1">DATE(YEAR(TODAY()),4,28)</f>
        <v>42122</v>
      </c>
      <c r="C128" s="31"/>
      <c r="D128" s="53" t="s">
        <v>252</v>
      </c>
      <c r="E128" s="54"/>
      <c r="F128" s="53" t="s">
        <v>253</v>
      </c>
      <c r="G128" s="56"/>
      <c r="H128" s="52" t="s">
        <v>34</v>
      </c>
      <c r="I128" s="65"/>
      <c r="J128" s="65"/>
      <c r="K128" s="65">
        <f t="shared" si="3"/>
        <v>0</v>
      </c>
    </row>
    <row r="129" spans="2:14" ht="39.950000000000003" hidden="1" customHeight="1" outlineLevel="1" x14ac:dyDescent="0.25">
      <c r="B129" s="14">
        <f ca="1">DATE(YEAR(TODAY()),4,29)</f>
        <v>42123</v>
      </c>
      <c r="C129" s="33"/>
      <c r="D129" s="53" t="s">
        <v>254</v>
      </c>
      <c r="E129" s="54"/>
      <c r="F129" s="53" t="s">
        <v>255</v>
      </c>
      <c r="G129" s="56"/>
      <c r="H129" s="52" t="s">
        <v>10</v>
      </c>
      <c r="I129" s="65"/>
      <c r="J129" s="65"/>
      <c r="K129" s="65">
        <f t="shared" si="3"/>
        <v>0</v>
      </c>
    </row>
    <row r="130" spans="2:14" ht="39.950000000000003" hidden="1" customHeight="1" outlineLevel="1" x14ac:dyDescent="0.25">
      <c r="B130" s="17">
        <f ca="1">DATE(YEAR(TODAY()),4,30)</f>
        <v>42124</v>
      </c>
      <c r="C130" s="31"/>
      <c r="D130" s="53" t="s">
        <v>256</v>
      </c>
      <c r="E130" s="54"/>
      <c r="F130" s="53" t="s">
        <v>257</v>
      </c>
      <c r="G130" s="56"/>
      <c r="H130" s="52" t="s">
        <v>13</v>
      </c>
      <c r="I130" s="65"/>
      <c r="J130" s="65"/>
      <c r="K130" s="65">
        <f t="shared" si="3"/>
        <v>0</v>
      </c>
    </row>
    <row r="131" spans="2:14" ht="21" customHeight="1" collapsed="1" x14ac:dyDescent="0.35">
      <c r="B131" s="67" t="s">
        <v>258</v>
      </c>
      <c r="C131" s="67"/>
      <c r="D131" s="67"/>
      <c r="E131" s="67"/>
      <c r="F131" s="67"/>
      <c r="G131" s="67"/>
      <c r="H131" s="67"/>
      <c r="I131" s="67"/>
      <c r="J131" s="67"/>
      <c r="K131" s="67"/>
    </row>
    <row r="132" spans="2:14" ht="15" hidden="1" customHeight="1" outlineLevel="1" x14ac:dyDescent="0.25">
      <c r="B132" s="35" t="s">
        <v>1</v>
      </c>
      <c r="C132" s="36"/>
      <c r="D132" s="37" t="s">
        <v>2</v>
      </c>
      <c r="E132" s="37"/>
      <c r="F132" s="38" t="s">
        <v>3</v>
      </c>
      <c r="G132" s="39"/>
      <c r="H132" s="39" t="s">
        <v>4</v>
      </c>
      <c r="I132" s="40" t="s">
        <v>5</v>
      </c>
      <c r="J132" s="40" t="s">
        <v>6</v>
      </c>
      <c r="K132" s="40" t="s">
        <v>7</v>
      </c>
    </row>
    <row r="133" spans="2:14" ht="39.950000000000003" hidden="1" customHeight="1" outlineLevel="1" x14ac:dyDescent="0.25">
      <c r="B133" s="17">
        <f ca="1">DATE(YEAR(TODAY()),5,1)</f>
        <v>42125</v>
      </c>
      <c r="C133" s="31"/>
      <c r="D133" s="53" t="s">
        <v>259</v>
      </c>
      <c r="E133" s="54"/>
      <c r="F133" s="53" t="s">
        <v>260</v>
      </c>
      <c r="G133" s="56"/>
      <c r="H133" s="52" t="s">
        <v>10</v>
      </c>
      <c r="I133" s="63"/>
      <c r="J133" s="63"/>
      <c r="K133" s="63">
        <f>SUM(I133*J133)</f>
        <v>0</v>
      </c>
    </row>
    <row r="134" spans="2:14" ht="39.950000000000003" hidden="1" customHeight="1" outlineLevel="1" x14ac:dyDescent="0.25">
      <c r="B134" s="20">
        <f ca="1">DATE(YEAR(TODAY()),5,2)</f>
        <v>42126</v>
      </c>
      <c r="C134" s="32"/>
      <c r="D134" s="53" t="s">
        <v>261</v>
      </c>
      <c r="E134" s="54"/>
      <c r="F134" s="53" t="s">
        <v>262</v>
      </c>
      <c r="G134" s="56"/>
      <c r="H134" s="52" t="s">
        <v>10</v>
      </c>
      <c r="I134" s="63"/>
      <c r="J134" s="63"/>
      <c r="K134" s="63">
        <f t="shared" ref="K134:K163" si="4">SUM(I134*J134)</f>
        <v>0</v>
      </c>
      <c r="N134" s="19" t="s">
        <v>14</v>
      </c>
    </row>
    <row r="135" spans="2:14" ht="39.950000000000003" hidden="1" customHeight="1" outlineLevel="1" x14ac:dyDescent="0.25">
      <c r="B135" s="14">
        <f ca="1">DATE(YEAR(TODAY()),5,3)</f>
        <v>42127</v>
      </c>
      <c r="C135" s="33"/>
      <c r="D135" s="53" t="s">
        <v>263</v>
      </c>
      <c r="E135" s="54"/>
      <c r="F135" s="53" t="s">
        <v>264</v>
      </c>
      <c r="G135" s="56"/>
      <c r="H135" s="52" t="s">
        <v>10</v>
      </c>
      <c r="I135" s="63"/>
      <c r="J135" s="63"/>
      <c r="K135" s="63">
        <f t="shared" si="4"/>
        <v>0</v>
      </c>
      <c r="N135" s="19" t="s">
        <v>17</v>
      </c>
    </row>
    <row r="136" spans="2:14" ht="39.950000000000003" hidden="1" customHeight="1" outlineLevel="1" x14ac:dyDescent="0.25">
      <c r="B136" s="24">
        <f ca="1">DATE(YEAR(TODAY()),5,4)</f>
        <v>42128</v>
      </c>
      <c r="C136" s="30"/>
      <c r="D136" s="53" t="s">
        <v>265</v>
      </c>
      <c r="E136" s="54"/>
      <c r="F136" s="53" t="s">
        <v>266</v>
      </c>
      <c r="G136" s="56"/>
      <c r="H136" s="52" t="s">
        <v>10</v>
      </c>
      <c r="I136" s="63"/>
      <c r="J136" s="63"/>
      <c r="K136" s="63">
        <f t="shared" si="4"/>
        <v>0</v>
      </c>
      <c r="N136" s="19" t="s">
        <v>20</v>
      </c>
    </row>
    <row r="137" spans="2:14" ht="39.950000000000003" hidden="1" customHeight="1" outlineLevel="1" x14ac:dyDescent="0.25">
      <c r="B137" s="29">
        <f ca="1">DATE(YEAR(TODAY()),5,5)</f>
        <v>42129</v>
      </c>
      <c r="C137" s="16"/>
      <c r="D137" s="53" t="s">
        <v>267</v>
      </c>
      <c r="E137" s="54"/>
      <c r="F137" s="53" t="s">
        <v>268</v>
      </c>
      <c r="G137" s="56"/>
      <c r="H137" s="52" t="s">
        <v>34</v>
      </c>
      <c r="I137" s="63"/>
      <c r="J137" s="63"/>
      <c r="K137" s="63">
        <f t="shared" si="4"/>
        <v>0</v>
      </c>
      <c r="N137" s="19" t="s">
        <v>23</v>
      </c>
    </row>
    <row r="138" spans="2:14" ht="39.950000000000003" hidden="1" customHeight="1" outlineLevel="1" x14ac:dyDescent="0.25">
      <c r="B138" s="17">
        <f ca="1">DATE(YEAR(TODAY()),5,6)</f>
        <v>42130</v>
      </c>
      <c r="C138" s="31"/>
      <c r="D138" s="53" t="s">
        <v>269</v>
      </c>
      <c r="E138" s="54"/>
      <c r="F138" s="53" t="s">
        <v>270</v>
      </c>
      <c r="G138" s="56"/>
      <c r="H138" s="52" t="s">
        <v>13</v>
      </c>
      <c r="I138" s="63"/>
      <c r="J138" s="63"/>
      <c r="K138" s="63">
        <f t="shared" si="4"/>
        <v>0</v>
      </c>
      <c r="N138" s="19" t="s">
        <v>26</v>
      </c>
    </row>
    <row r="139" spans="2:14" ht="39.950000000000003" hidden="1" customHeight="1" outlineLevel="1" x14ac:dyDescent="0.25">
      <c r="B139" s="17">
        <f ca="1">DATE(YEAR(TODAY()),5,7)</f>
        <v>42131</v>
      </c>
      <c r="C139" s="31"/>
      <c r="D139" s="53" t="s">
        <v>271</v>
      </c>
      <c r="E139" s="54"/>
      <c r="F139" s="53" t="s">
        <v>272</v>
      </c>
      <c r="G139" s="56"/>
      <c r="H139" s="52" t="s">
        <v>34</v>
      </c>
      <c r="I139" s="63"/>
      <c r="J139" s="63"/>
      <c r="K139" s="63">
        <f t="shared" si="4"/>
        <v>0</v>
      </c>
      <c r="N139" s="19" t="s">
        <v>29</v>
      </c>
    </row>
    <row r="140" spans="2:14" ht="39.950000000000003" hidden="1" customHeight="1" outlineLevel="1" x14ac:dyDescent="0.25">
      <c r="B140" s="22">
        <f ca="1">DATE(YEAR(TODAY()),5,8)</f>
        <v>42132</v>
      </c>
      <c r="C140" s="41"/>
      <c r="D140" s="53" t="s">
        <v>273</v>
      </c>
      <c r="E140" s="54"/>
      <c r="F140" s="53" t="s">
        <v>274</v>
      </c>
      <c r="G140" s="56"/>
      <c r="H140" s="52" t="s">
        <v>13</v>
      </c>
      <c r="I140" s="63"/>
      <c r="J140" s="63"/>
      <c r="K140" s="63">
        <f t="shared" si="4"/>
        <v>0</v>
      </c>
    </row>
    <row r="141" spans="2:14" ht="39.950000000000003" hidden="1" customHeight="1" outlineLevel="1" x14ac:dyDescent="0.25">
      <c r="B141" s="14">
        <f ca="1">DATE(YEAR(TODAY()),5,9)</f>
        <v>42133</v>
      </c>
      <c r="C141" s="33"/>
      <c r="D141" s="53" t="s">
        <v>275</v>
      </c>
      <c r="E141" s="54"/>
      <c r="F141" s="53" t="s">
        <v>276</v>
      </c>
      <c r="G141" s="56"/>
      <c r="H141" s="52" t="s">
        <v>10</v>
      </c>
      <c r="I141" s="63"/>
      <c r="J141" s="63"/>
      <c r="K141" s="63">
        <f t="shared" si="4"/>
        <v>0</v>
      </c>
      <c r="N141" s="19"/>
    </row>
    <row r="142" spans="2:14" ht="39.950000000000003" hidden="1" customHeight="1" outlineLevel="1" x14ac:dyDescent="0.25">
      <c r="B142" s="42">
        <f ca="1">DATE(YEAR(TODAY()),5,10)</f>
        <v>42134</v>
      </c>
      <c r="C142" s="43"/>
      <c r="D142" s="53" t="s">
        <v>277</v>
      </c>
      <c r="E142" s="54"/>
      <c r="F142" s="53" t="s">
        <v>278</v>
      </c>
      <c r="G142" s="56"/>
      <c r="H142" s="52" t="s">
        <v>34</v>
      </c>
      <c r="I142" s="63"/>
      <c r="J142" s="63"/>
      <c r="K142" s="63">
        <f t="shared" si="4"/>
        <v>0</v>
      </c>
      <c r="N142" s="19"/>
    </row>
    <row r="143" spans="2:14" ht="39.950000000000003" hidden="1" customHeight="1" outlineLevel="1" x14ac:dyDescent="0.25">
      <c r="B143" s="20">
        <f ca="1">DATE(YEAR(TODAY()),5,11)</f>
        <v>42135</v>
      </c>
      <c r="C143" s="32"/>
      <c r="D143" s="53" t="s">
        <v>279</v>
      </c>
      <c r="E143" s="54"/>
      <c r="F143" s="53" t="s">
        <v>280</v>
      </c>
      <c r="G143" s="56"/>
      <c r="H143" s="52" t="s">
        <v>10</v>
      </c>
      <c r="I143" s="63"/>
      <c r="J143" s="63"/>
      <c r="K143" s="63">
        <f t="shared" si="4"/>
        <v>0</v>
      </c>
      <c r="N143" s="19"/>
    </row>
    <row r="144" spans="2:14" ht="39.950000000000003" hidden="1" customHeight="1" outlineLevel="1" x14ac:dyDescent="0.25">
      <c r="B144" s="17">
        <f ca="1">DATE(YEAR(TODAY()),5,12)</f>
        <v>42136</v>
      </c>
      <c r="C144" s="31"/>
      <c r="D144" s="53" t="s">
        <v>281</v>
      </c>
      <c r="E144" s="54"/>
      <c r="F144" s="53" t="s">
        <v>282</v>
      </c>
      <c r="G144" s="56"/>
      <c r="H144" s="52" t="s">
        <v>13</v>
      </c>
      <c r="I144" s="63"/>
      <c r="J144" s="63"/>
      <c r="K144" s="63">
        <f t="shared" si="4"/>
        <v>0</v>
      </c>
      <c r="N144" s="19"/>
    </row>
    <row r="145" spans="2:14" ht="39.950000000000003" hidden="1" customHeight="1" outlineLevel="1" x14ac:dyDescent="0.25">
      <c r="B145" s="24">
        <f ca="1">DATE(YEAR(TODAY()),5,13)</f>
        <v>42137</v>
      </c>
      <c r="C145" s="30"/>
      <c r="D145" s="53" t="s">
        <v>283</v>
      </c>
      <c r="E145" s="54"/>
      <c r="F145" s="53" t="s">
        <v>284</v>
      </c>
      <c r="G145" s="56"/>
      <c r="H145" s="52" t="s">
        <v>10</v>
      </c>
      <c r="I145" s="63"/>
      <c r="J145" s="63"/>
      <c r="K145" s="63">
        <f t="shared" si="4"/>
        <v>0</v>
      </c>
      <c r="N145" s="19"/>
    </row>
    <row r="146" spans="2:14" ht="39.950000000000003" hidden="1" customHeight="1" outlineLevel="1" x14ac:dyDescent="0.25">
      <c r="B146" s="17">
        <f ca="1">DATE(YEAR(TODAY()),5,14)</f>
        <v>42138</v>
      </c>
      <c r="C146" s="31"/>
      <c r="D146" s="53" t="s">
        <v>285</v>
      </c>
      <c r="E146" s="54"/>
      <c r="F146" s="53" t="s">
        <v>286</v>
      </c>
      <c r="G146" s="56"/>
      <c r="H146" s="52" t="s">
        <v>34</v>
      </c>
      <c r="I146" s="63"/>
      <c r="J146" s="63"/>
      <c r="K146" s="63">
        <f t="shared" si="4"/>
        <v>0</v>
      </c>
      <c r="N146" s="19"/>
    </row>
    <row r="147" spans="2:14" ht="39.950000000000003" hidden="1" customHeight="1" outlineLevel="1" x14ac:dyDescent="0.25">
      <c r="B147" s="14">
        <f ca="1">DATE(YEAR(TODAY()),5,15)</f>
        <v>42139</v>
      </c>
      <c r="C147" s="33"/>
      <c r="D147" s="53" t="s">
        <v>287</v>
      </c>
      <c r="E147" s="54"/>
      <c r="F147" s="53" t="s">
        <v>74</v>
      </c>
      <c r="G147" s="56"/>
      <c r="H147" s="52" t="s">
        <v>10</v>
      </c>
      <c r="I147" s="63"/>
      <c r="J147" s="63"/>
      <c r="K147" s="63">
        <f t="shared" si="4"/>
        <v>0</v>
      </c>
    </row>
    <row r="148" spans="2:14" ht="39.950000000000003" hidden="1" customHeight="1" outlineLevel="1" x14ac:dyDescent="0.25">
      <c r="B148" s="22">
        <f ca="1">DATE(YEAR(TODAY()),5,16)</f>
        <v>42140</v>
      </c>
      <c r="C148" s="41"/>
      <c r="D148" s="53" t="s">
        <v>288</v>
      </c>
      <c r="E148" s="54"/>
      <c r="F148" s="53" t="s">
        <v>289</v>
      </c>
      <c r="G148" s="56"/>
      <c r="H148" s="52" t="s">
        <v>10</v>
      </c>
      <c r="I148" s="63"/>
      <c r="J148" s="63"/>
      <c r="K148" s="63">
        <f t="shared" si="4"/>
        <v>0</v>
      </c>
    </row>
    <row r="149" spans="2:14" ht="39.950000000000003" hidden="1" customHeight="1" outlineLevel="1" x14ac:dyDescent="0.25">
      <c r="B149" s="14">
        <f ca="1">DATE(YEAR(TODAY()),5,17)</f>
        <v>42141</v>
      </c>
      <c r="C149" s="33"/>
      <c r="D149" s="53" t="s">
        <v>290</v>
      </c>
      <c r="E149" s="54"/>
      <c r="F149" s="53" t="s">
        <v>291</v>
      </c>
      <c r="G149" s="56"/>
      <c r="H149" s="52" t="s">
        <v>10</v>
      </c>
      <c r="I149" s="63"/>
      <c r="J149" s="63"/>
      <c r="K149" s="63">
        <f t="shared" si="4"/>
        <v>0</v>
      </c>
    </row>
    <row r="150" spans="2:14" ht="39.950000000000003" hidden="1" customHeight="1" outlineLevel="1" x14ac:dyDescent="0.25">
      <c r="B150" s="24">
        <f ca="1">DATE(YEAR(TODAY()),5,18)</f>
        <v>42142</v>
      </c>
      <c r="C150" s="30"/>
      <c r="D150" s="53" t="s">
        <v>292</v>
      </c>
      <c r="E150" s="54"/>
      <c r="F150" s="53" t="s">
        <v>293</v>
      </c>
      <c r="G150" s="56"/>
      <c r="H150" s="52" t="s">
        <v>10</v>
      </c>
      <c r="I150" s="63"/>
      <c r="J150" s="63"/>
      <c r="K150" s="63">
        <f t="shared" si="4"/>
        <v>0</v>
      </c>
    </row>
    <row r="151" spans="2:14" ht="39.950000000000003" hidden="1" customHeight="1" outlineLevel="1" x14ac:dyDescent="0.25">
      <c r="B151" s="17">
        <f ca="1">DATE(YEAR(TODAY()),5,19)</f>
        <v>42143</v>
      </c>
      <c r="C151" s="31"/>
      <c r="D151" s="53" t="s">
        <v>294</v>
      </c>
      <c r="E151" s="54"/>
      <c r="F151" s="53" t="s">
        <v>295</v>
      </c>
      <c r="G151" s="56"/>
      <c r="H151" s="52" t="s">
        <v>13</v>
      </c>
      <c r="I151" s="63"/>
      <c r="J151" s="63"/>
      <c r="K151" s="63">
        <f t="shared" si="4"/>
        <v>0</v>
      </c>
    </row>
    <row r="152" spans="2:14" ht="39.950000000000003" hidden="1" customHeight="1" outlineLevel="1" x14ac:dyDescent="0.25">
      <c r="B152" s="20">
        <f ca="1">DATE(YEAR(TODAY()),5,20)</f>
        <v>42144</v>
      </c>
      <c r="C152" s="32"/>
      <c r="D152" s="53" t="s">
        <v>296</v>
      </c>
      <c r="E152" s="54"/>
      <c r="F152" s="53" t="s">
        <v>297</v>
      </c>
      <c r="G152" s="56"/>
      <c r="H152" s="52" t="s">
        <v>10</v>
      </c>
      <c r="I152" s="63"/>
      <c r="J152" s="63"/>
      <c r="K152" s="63">
        <f t="shared" si="4"/>
        <v>0</v>
      </c>
    </row>
    <row r="153" spans="2:14" ht="39.950000000000003" hidden="1" customHeight="1" outlineLevel="1" x14ac:dyDescent="0.25">
      <c r="B153" s="17">
        <f ca="1">DATE(YEAR(TODAY()),5,21)</f>
        <v>42145</v>
      </c>
      <c r="C153" s="31"/>
      <c r="D153" s="53" t="s">
        <v>298</v>
      </c>
      <c r="E153" s="54"/>
      <c r="F153" s="53" t="s">
        <v>299</v>
      </c>
      <c r="G153" s="56"/>
      <c r="H153" s="52" t="s">
        <v>34</v>
      </c>
      <c r="I153" s="63"/>
      <c r="J153" s="63"/>
      <c r="K153" s="63">
        <f t="shared" si="4"/>
        <v>0</v>
      </c>
    </row>
    <row r="154" spans="2:14" ht="39.950000000000003" hidden="1" customHeight="1" outlineLevel="1" x14ac:dyDescent="0.25">
      <c r="B154" s="24">
        <f ca="1">DATE(YEAR(TODAY()),5,22)</f>
        <v>42146</v>
      </c>
      <c r="C154" s="30"/>
      <c r="D154" s="53" t="s">
        <v>300</v>
      </c>
      <c r="E154" s="54"/>
      <c r="F154" s="53" t="s">
        <v>301</v>
      </c>
      <c r="G154" s="56"/>
      <c r="H154" s="52" t="s">
        <v>10</v>
      </c>
      <c r="I154" s="63"/>
      <c r="J154" s="63"/>
      <c r="K154" s="63">
        <f t="shared" si="4"/>
        <v>0</v>
      </c>
    </row>
    <row r="155" spans="2:14" ht="39.950000000000003" hidden="1" customHeight="1" outlineLevel="1" x14ac:dyDescent="0.25">
      <c r="B155" s="17">
        <f ca="1">DATE(YEAR(TODAY()),5,23)</f>
        <v>42147</v>
      </c>
      <c r="C155" s="31"/>
      <c r="D155" s="53" t="s">
        <v>302</v>
      </c>
      <c r="E155" s="54"/>
      <c r="F155" s="53" t="s">
        <v>303</v>
      </c>
      <c r="G155" s="56"/>
      <c r="H155" s="52" t="s">
        <v>13</v>
      </c>
      <c r="I155" s="63"/>
      <c r="J155" s="63"/>
      <c r="K155" s="63">
        <f t="shared" si="4"/>
        <v>0</v>
      </c>
    </row>
    <row r="156" spans="2:14" ht="39.950000000000003" hidden="1" customHeight="1" outlineLevel="1" x14ac:dyDescent="0.25">
      <c r="B156" s="14">
        <f ca="1">DATE(YEAR(TODAY()),5,24)</f>
        <v>42148</v>
      </c>
      <c r="C156" s="33"/>
      <c r="D156" s="53" t="s">
        <v>304</v>
      </c>
      <c r="E156" s="54"/>
      <c r="F156" s="53" t="s">
        <v>305</v>
      </c>
      <c r="G156" s="56"/>
      <c r="H156" s="52" t="s">
        <v>10</v>
      </c>
      <c r="I156" s="63"/>
      <c r="J156" s="63"/>
      <c r="K156" s="63">
        <f t="shared" si="4"/>
        <v>0</v>
      </c>
    </row>
    <row r="157" spans="2:14" ht="39.950000000000003" hidden="1" customHeight="1" outlineLevel="1" x14ac:dyDescent="0.25">
      <c r="B157" s="20">
        <f ca="1">DATE(YEAR(TODAY()),5,25)</f>
        <v>42149</v>
      </c>
      <c r="C157" s="32"/>
      <c r="D157" s="53" t="s">
        <v>306</v>
      </c>
      <c r="E157" s="54"/>
      <c r="F157" s="53" t="s">
        <v>307</v>
      </c>
      <c r="G157" s="56"/>
      <c r="H157" s="52" t="s">
        <v>10</v>
      </c>
      <c r="I157" s="63"/>
      <c r="J157" s="63"/>
      <c r="K157" s="63">
        <f t="shared" si="4"/>
        <v>0</v>
      </c>
    </row>
    <row r="158" spans="2:14" ht="39.950000000000003" hidden="1" customHeight="1" outlineLevel="1" x14ac:dyDescent="0.25">
      <c r="B158" s="24">
        <f ca="1">DATE(YEAR(TODAY()),5,26)</f>
        <v>42150</v>
      </c>
      <c r="C158" s="30"/>
      <c r="D158" s="53" t="s">
        <v>308</v>
      </c>
      <c r="E158" s="54"/>
      <c r="F158" s="53" t="s">
        <v>309</v>
      </c>
      <c r="G158" s="56"/>
      <c r="H158" s="52" t="s">
        <v>10</v>
      </c>
      <c r="I158" s="63"/>
      <c r="J158" s="63"/>
      <c r="K158" s="63">
        <f t="shared" si="4"/>
        <v>0</v>
      </c>
    </row>
    <row r="159" spans="2:14" ht="39.950000000000003" hidden="1" customHeight="1" outlineLevel="1" x14ac:dyDescent="0.25">
      <c r="B159" s="17">
        <f ca="1">DATE(YEAR(TODAY()),5,27)</f>
        <v>42151</v>
      </c>
      <c r="C159" s="31"/>
      <c r="D159" s="53" t="s">
        <v>310</v>
      </c>
      <c r="E159" s="54"/>
      <c r="F159" s="53" t="s">
        <v>311</v>
      </c>
      <c r="G159" s="56"/>
      <c r="H159" s="52" t="s">
        <v>34</v>
      </c>
      <c r="I159" s="63"/>
      <c r="J159" s="63"/>
      <c r="K159" s="63">
        <f t="shared" si="4"/>
        <v>0</v>
      </c>
    </row>
    <row r="160" spans="2:14" ht="39.950000000000003" hidden="1" customHeight="1" outlineLevel="1" x14ac:dyDescent="0.25">
      <c r="B160" s="17">
        <f ca="1">DATE(YEAR(TODAY()),5,28)</f>
        <v>42152</v>
      </c>
      <c r="C160" s="31"/>
      <c r="D160" s="53" t="s">
        <v>312</v>
      </c>
      <c r="E160" s="54"/>
      <c r="F160" s="53" t="s">
        <v>313</v>
      </c>
      <c r="G160" s="56"/>
      <c r="H160" s="52" t="s">
        <v>34</v>
      </c>
      <c r="I160" s="63"/>
      <c r="J160" s="63"/>
      <c r="K160" s="63">
        <f t="shared" si="4"/>
        <v>0</v>
      </c>
    </row>
    <row r="161" spans="2:14" ht="39.950000000000003" hidden="1" customHeight="1" outlineLevel="1" x14ac:dyDescent="0.25">
      <c r="B161" s="24">
        <f ca="1">DATE(YEAR(TODAY()),5,29)</f>
        <v>42153</v>
      </c>
      <c r="C161" s="30"/>
      <c r="D161" s="53" t="s">
        <v>314</v>
      </c>
      <c r="E161" s="54"/>
      <c r="F161" s="53" t="s">
        <v>315</v>
      </c>
      <c r="G161" s="56"/>
      <c r="H161" s="52" t="s">
        <v>10</v>
      </c>
      <c r="I161" s="63"/>
      <c r="J161" s="63"/>
      <c r="K161" s="63">
        <f t="shared" si="4"/>
        <v>0</v>
      </c>
    </row>
    <row r="162" spans="2:14" ht="39.950000000000003" hidden="1" customHeight="1" outlineLevel="1" x14ac:dyDescent="0.25">
      <c r="B162" s="20">
        <f ca="1">DATE(YEAR(TODAY()),5,30)</f>
        <v>42154</v>
      </c>
      <c r="C162" s="32"/>
      <c r="D162" s="53" t="s">
        <v>316</v>
      </c>
      <c r="E162" s="54"/>
      <c r="F162" s="53" t="s">
        <v>317</v>
      </c>
      <c r="G162" s="56"/>
      <c r="H162" s="52" t="s">
        <v>10</v>
      </c>
      <c r="I162" s="63"/>
      <c r="J162" s="63"/>
      <c r="K162" s="63">
        <f t="shared" si="4"/>
        <v>0</v>
      </c>
    </row>
    <row r="163" spans="2:14" ht="39.950000000000003" hidden="1" customHeight="1" outlineLevel="1" x14ac:dyDescent="0.25">
      <c r="B163" s="14">
        <f ca="1">DATE(YEAR(TODAY()),5,31)</f>
        <v>42155</v>
      </c>
      <c r="C163" s="33"/>
      <c r="D163" s="53" t="s">
        <v>318</v>
      </c>
      <c r="E163" s="54"/>
      <c r="F163" s="55" t="s">
        <v>319</v>
      </c>
      <c r="G163" s="56"/>
      <c r="H163" s="52" t="s">
        <v>10</v>
      </c>
      <c r="I163" s="63"/>
      <c r="J163" s="63"/>
      <c r="K163" s="63">
        <f t="shared" si="4"/>
        <v>0</v>
      </c>
    </row>
    <row r="164" spans="2:14" ht="21" customHeight="1" collapsed="1" x14ac:dyDescent="0.35">
      <c r="B164" s="66" t="s">
        <v>320</v>
      </c>
      <c r="C164" s="66"/>
      <c r="D164" s="66"/>
      <c r="E164" s="66"/>
      <c r="F164" s="66"/>
      <c r="G164" s="66"/>
      <c r="H164" s="66"/>
      <c r="I164" s="66"/>
      <c r="J164" s="66"/>
      <c r="K164" s="66"/>
    </row>
    <row r="165" spans="2:14" ht="15" hidden="1" customHeight="1" outlineLevel="1" x14ac:dyDescent="0.25">
      <c r="B165" s="35" t="s">
        <v>1</v>
      </c>
      <c r="C165" s="36"/>
      <c r="D165" s="37" t="s">
        <v>2</v>
      </c>
      <c r="E165" s="37"/>
      <c r="F165" s="38" t="s">
        <v>3</v>
      </c>
      <c r="G165" s="39"/>
      <c r="H165" s="39" t="s">
        <v>4</v>
      </c>
      <c r="I165" s="40" t="s">
        <v>5</v>
      </c>
      <c r="J165" s="40" t="s">
        <v>6</v>
      </c>
      <c r="K165" s="40" t="s">
        <v>7</v>
      </c>
    </row>
    <row r="166" spans="2:14" ht="39.950000000000003" hidden="1" customHeight="1" outlineLevel="1" x14ac:dyDescent="0.25">
      <c r="B166" s="24">
        <f ca="1">DATE(YEAR(TODAY()),6,1)</f>
        <v>42156</v>
      </c>
      <c r="C166" s="30"/>
      <c r="D166" s="53" t="s">
        <v>321</v>
      </c>
      <c r="E166" s="54"/>
      <c r="F166" s="53" t="s">
        <v>322</v>
      </c>
      <c r="G166" s="56"/>
      <c r="H166" s="52" t="s">
        <v>10</v>
      </c>
      <c r="I166" s="63"/>
      <c r="J166" s="63"/>
      <c r="K166" s="63">
        <f>SUM(I166*J166)</f>
        <v>0</v>
      </c>
    </row>
    <row r="167" spans="2:14" ht="39.950000000000003" hidden="1" customHeight="1" outlineLevel="1" x14ac:dyDescent="0.25">
      <c r="B167" s="17">
        <f ca="1">DATE(YEAR(TODAY()),6,2)</f>
        <v>42157</v>
      </c>
      <c r="C167" s="31"/>
      <c r="D167" s="53" t="s">
        <v>323</v>
      </c>
      <c r="E167" s="54"/>
      <c r="F167" s="53" t="s">
        <v>324</v>
      </c>
      <c r="G167" s="56"/>
      <c r="H167" s="52" t="s">
        <v>34</v>
      </c>
      <c r="I167" s="63"/>
      <c r="J167" s="63"/>
      <c r="K167" s="63">
        <f t="shared" ref="K167:K195" si="5">SUM(I167*J167)</f>
        <v>0</v>
      </c>
      <c r="N167" s="19" t="s">
        <v>14</v>
      </c>
    </row>
    <row r="168" spans="2:14" ht="39.950000000000003" hidden="1" customHeight="1" outlineLevel="1" x14ac:dyDescent="0.25">
      <c r="B168" s="24">
        <f ca="1">DATE(YEAR(TODAY()),6,3)</f>
        <v>42158</v>
      </c>
      <c r="C168" s="30"/>
      <c r="D168" s="53" t="s">
        <v>325</v>
      </c>
      <c r="E168" s="54"/>
      <c r="F168" s="53" t="s">
        <v>326</v>
      </c>
      <c r="G168" s="56"/>
      <c r="H168" s="52" t="s">
        <v>10</v>
      </c>
      <c r="I168" s="63"/>
      <c r="J168" s="63"/>
      <c r="K168" s="63">
        <f t="shared" si="5"/>
        <v>0</v>
      </c>
      <c r="N168" s="19" t="s">
        <v>17</v>
      </c>
    </row>
    <row r="169" spans="2:14" ht="39.950000000000003" hidden="1" customHeight="1" outlineLevel="1" x14ac:dyDescent="0.25">
      <c r="B169" s="14">
        <f ca="1">DATE(YEAR(TODAY()),6,4)</f>
        <v>42159</v>
      </c>
      <c r="C169" s="33"/>
      <c r="D169" s="53" t="s">
        <v>327</v>
      </c>
      <c r="E169" s="54"/>
      <c r="F169" s="53" t="s">
        <v>328</v>
      </c>
      <c r="G169" s="56"/>
      <c r="H169" s="52" t="s">
        <v>10</v>
      </c>
      <c r="I169" s="63"/>
      <c r="J169" s="63"/>
      <c r="K169" s="63">
        <f t="shared" si="5"/>
        <v>0</v>
      </c>
      <c r="N169" s="19" t="s">
        <v>20</v>
      </c>
    </row>
    <row r="170" spans="2:14" ht="39.950000000000003" hidden="1" customHeight="1" outlineLevel="1" x14ac:dyDescent="0.25">
      <c r="B170" s="17">
        <f ca="1">DATE(YEAR(TODAY()),6,5)</f>
        <v>42160</v>
      </c>
      <c r="C170" s="31"/>
      <c r="D170" s="53" t="s">
        <v>329</v>
      </c>
      <c r="E170" s="54"/>
      <c r="F170" s="53" t="s">
        <v>236</v>
      </c>
      <c r="G170" s="56"/>
      <c r="H170" s="52" t="s">
        <v>34</v>
      </c>
      <c r="I170" s="63"/>
      <c r="J170" s="63"/>
      <c r="K170" s="63">
        <f t="shared" si="5"/>
        <v>0</v>
      </c>
      <c r="N170" s="19" t="s">
        <v>23</v>
      </c>
    </row>
    <row r="171" spans="2:14" ht="39.950000000000003" hidden="1" customHeight="1" outlineLevel="1" x14ac:dyDescent="0.25">
      <c r="B171" s="14">
        <f ca="1">DATE(YEAR(TODAY()),6,6)</f>
        <v>42161</v>
      </c>
      <c r="C171" s="33"/>
      <c r="D171" s="53" t="s">
        <v>330</v>
      </c>
      <c r="E171" s="54"/>
      <c r="F171" s="53" t="s">
        <v>331</v>
      </c>
      <c r="G171" s="56"/>
      <c r="H171" s="52" t="s">
        <v>10</v>
      </c>
      <c r="I171" s="63"/>
      <c r="J171" s="63"/>
      <c r="K171" s="63">
        <f t="shared" si="5"/>
        <v>0</v>
      </c>
      <c r="N171" s="19" t="s">
        <v>26</v>
      </c>
    </row>
    <row r="172" spans="2:14" ht="39.950000000000003" hidden="1" customHeight="1" outlineLevel="1" x14ac:dyDescent="0.25">
      <c r="B172" s="20">
        <f ca="1">DATE(YEAR(TODAY()),6,7)</f>
        <v>42162</v>
      </c>
      <c r="C172" s="32"/>
      <c r="D172" s="53" t="s">
        <v>332</v>
      </c>
      <c r="E172" s="54"/>
      <c r="F172" s="53" t="s">
        <v>333</v>
      </c>
      <c r="G172" s="56"/>
      <c r="H172" s="52" t="s">
        <v>10</v>
      </c>
      <c r="I172" s="63"/>
      <c r="J172" s="63"/>
      <c r="K172" s="63">
        <f t="shared" si="5"/>
        <v>0</v>
      </c>
      <c r="N172" s="19" t="s">
        <v>29</v>
      </c>
    </row>
    <row r="173" spans="2:14" ht="39.950000000000003" hidden="1" customHeight="1" outlineLevel="1" x14ac:dyDescent="0.25">
      <c r="B173" s="24">
        <f ca="1">DATE(YEAR(TODAY()),6,8)</f>
        <v>42163</v>
      </c>
      <c r="C173" s="30"/>
      <c r="D173" s="53" t="s">
        <v>334</v>
      </c>
      <c r="E173" s="54"/>
      <c r="F173" s="53" t="s">
        <v>335</v>
      </c>
      <c r="G173" s="56"/>
      <c r="H173" s="52" t="s">
        <v>10</v>
      </c>
      <c r="I173" s="63"/>
      <c r="J173" s="63"/>
      <c r="K173" s="63">
        <f t="shared" si="5"/>
        <v>0</v>
      </c>
    </row>
    <row r="174" spans="2:14" ht="39.950000000000003" hidden="1" customHeight="1" outlineLevel="1" x14ac:dyDescent="0.25">
      <c r="B174" s="17">
        <f ca="1">DATE(YEAR(TODAY()),6,9)</f>
        <v>42164</v>
      </c>
      <c r="C174" s="31"/>
      <c r="D174" s="53" t="s">
        <v>336</v>
      </c>
      <c r="E174" s="54"/>
      <c r="F174" s="53" t="s">
        <v>337</v>
      </c>
      <c r="G174" s="56"/>
      <c r="H174" s="52" t="s">
        <v>13</v>
      </c>
      <c r="I174" s="63"/>
      <c r="J174" s="63"/>
      <c r="K174" s="63">
        <f t="shared" si="5"/>
        <v>0</v>
      </c>
    </row>
    <row r="175" spans="2:14" ht="39.950000000000003" hidden="1" customHeight="1" outlineLevel="1" x14ac:dyDescent="0.25">
      <c r="B175" s="42">
        <f ca="1">DATE(YEAR(TODAY()),6,10)</f>
        <v>42165</v>
      </c>
      <c r="C175" s="43"/>
      <c r="D175" s="53" t="s">
        <v>338</v>
      </c>
      <c r="E175" s="54"/>
      <c r="F175" s="53" t="s">
        <v>339</v>
      </c>
      <c r="G175" s="56"/>
      <c r="H175" s="52" t="s">
        <v>10</v>
      </c>
      <c r="I175" s="63"/>
      <c r="J175" s="63"/>
      <c r="K175" s="63">
        <f t="shared" si="5"/>
        <v>0</v>
      </c>
    </row>
    <row r="176" spans="2:14" ht="39.950000000000003" hidden="1" customHeight="1" outlineLevel="1" x14ac:dyDescent="0.25">
      <c r="B176" s="14">
        <f ca="1">DATE(YEAR(TODAY()),6,11)</f>
        <v>42166</v>
      </c>
      <c r="C176" s="33"/>
      <c r="D176" s="53" t="s">
        <v>340</v>
      </c>
      <c r="E176" s="54"/>
      <c r="F176" s="53" t="s">
        <v>341</v>
      </c>
      <c r="G176" s="56"/>
      <c r="H176" s="52" t="s">
        <v>10</v>
      </c>
      <c r="I176" s="63"/>
      <c r="J176" s="63"/>
      <c r="K176" s="63">
        <f t="shared" si="5"/>
        <v>0</v>
      </c>
    </row>
    <row r="177" spans="2:11" ht="39.950000000000003" hidden="1" customHeight="1" outlineLevel="1" x14ac:dyDescent="0.25">
      <c r="B177" s="17">
        <f ca="1">DATE(YEAR(TODAY()),6,12)</f>
        <v>42167</v>
      </c>
      <c r="C177" s="31"/>
      <c r="D177" s="53" t="s">
        <v>342</v>
      </c>
      <c r="E177" s="54"/>
      <c r="F177" s="53" t="s">
        <v>343</v>
      </c>
      <c r="G177" s="56"/>
      <c r="H177" s="52" t="s">
        <v>34</v>
      </c>
      <c r="I177" s="63"/>
      <c r="J177" s="63"/>
      <c r="K177" s="63">
        <f t="shared" si="5"/>
        <v>0</v>
      </c>
    </row>
    <row r="178" spans="2:11" ht="39.950000000000003" hidden="1" customHeight="1" outlineLevel="1" x14ac:dyDescent="0.25">
      <c r="B178" s="20">
        <f ca="1">DATE(YEAR(TODAY()),6,13)</f>
        <v>42168</v>
      </c>
      <c r="C178" s="32"/>
      <c r="D178" s="53" t="s">
        <v>344</v>
      </c>
      <c r="E178" s="54"/>
      <c r="F178" s="53" t="s">
        <v>345</v>
      </c>
      <c r="G178" s="56"/>
      <c r="H178" s="52" t="s">
        <v>10</v>
      </c>
      <c r="I178" s="63"/>
      <c r="J178" s="63"/>
      <c r="K178" s="63">
        <f t="shared" si="5"/>
        <v>0</v>
      </c>
    </row>
    <row r="179" spans="2:11" ht="39.950000000000003" hidden="1" customHeight="1" outlineLevel="1" x14ac:dyDescent="0.25">
      <c r="B179" s="17">
        <f ca="1">DATE(YEAR(TODAY()),6,14)</f>
        <v>42169</v>
      </c>
      <c r="C179" s="31"/>
      <c r="D179" s="53" t="s">
        <v>346</v>
      </c>
      <c r="E179" s="54"/>
      <c r="F179" s="53" t="s">
        <v>347</v>
      </c>
      <c r="G179" s="56"/>
      <c r="H179" s="52" t="s">
        <v>34</v>
      </c>
      <c r="I179" s="63"/>
      <c r="J179" s="63"/>
      <c r="K179" s="63">
        <f t="shared" si="5"/>
        <v>0</v>
      </c>
    </row>
    <row r="180" spans="2:11" ht="39.950000000000003" hidden="1" customHeight="1" outlineLevel="1" x14ac:dyDescent="0.25">
      <c r="B180" s="17">
        <f ca="1">DATE(YEAR(TODAY()),6,15)</f>
        <v>42170</v>
      </c>
      <c r="C180" s="31"/>
      <c r="D180" s="53" t="s">
        <v>348</v>
      </c>
      <c r="E180" s="54"/>
      <c r="F180" s="53" t="s">
        <v>349</v>
      </c>
      <c r="G180" s="56"/>
      <c r="H180" s="52" t="s">
        <v>13</v>
      </c>
      <c r="I180" s="63"/>
      <c r="J180" s="63"/>
      <c r="K180" s="63">
        <f t="shared" si="5"/>
        <v>0</v>
      </c>
    </row>
    <row r="181" spans="2:11" ht="39.950000000000003" hidden="1" customHeight="1" outlineLevel="1" x14ac:dyDescent="0.25">
      <c r="B181" s="24">
        <f ca="1">DATE(YEAR(TODAY()),6,16)</f>
        <v>42171</v>
      </c>
      <c r="C181" s="30"/>
      <c r="D181" s="53" t="s">
        <v>350</v>
      </c>
      <c r="E181" s="54"/>
      <c r="F181" s="53" t="s">
        <v>351</v>
      </c>
      <c r="G181" s="56"/>
      <c r="H181" s="52" t="s">
        <v>10</v>
      </c>
      <c r="I181" s="63"/>
      <c r="J181" s="63"/>
      <c r="K181" s="63">
        <f t="shared" si="5"/>
        <v>0</v>
      </c>
    </row>
    <row r="182" spans="2:11" ht="39.950000000000003" hidden="1" customHeight="1" outlineLevel="1" x14ac:dyDescent="0.25">
      <c r="B182" s="14">
        <f ca="1">DATE(YEAR(TODAY()),6,17)</f>
        <v>42172</v>
      </c>
      <c r="C182" s="33"/>
      <c r="D182" s="53" t="s">
        <v>352</v>
      </c>
      <c r="E182" s="54"/>
      <c r="F182" s="53" t="s">
        <v>353</v>
      </c>
      <c r="G182" s="56"/>
      <c r="H182" s="52" t="s">
        <v>10</v>
      </c>
      <c r="I182" s="63"/>
      <c r="J182" s="63"/>
      <c r="K182" s="63">
        <f t="shared" si="5"/>
        <v>0</v>
      </c>
    </row>
    <row r="183" spans="2:11" ht="39.950000000000003" hidden="1" customHeight="1" outlineLevel="1" x14ac:dyDescent="0.25">
      <c r="B183" s="20">
        <f ca="1">DATE(YEAR(TODAY()),6,18)</f>
        <v>42173</v>
      </c>
      <c r="C183" s="32"/>
      <c r="D183" s="53" t="s">
        <v>354</v>
      </c>
      <c r="E183" s="54"/>
      <c r="F183" s="53" t="s">
        <v>355</v>
      </c>
      <c r="G183" s="56"/>
      <c r="H183" s="52" t="s">
        <v>10</v>
      </c>
      <c r="I183" s="63"/>
      <c r="J183" s="63"/>
      <c r="K183" s="63">
        <f t="shared" si="5"/>
        <v>0</v>
      </c>
    </row>
    <row r="184" spans="2:11" ht="39.950000000000003" hidden="1" customHeight="1" outlineLevel="1" x14ac:dyDescent="0.25">
      <c r="B184" s="24">
        <f ca="1">DATE(YEAR(TODAY()),6,19)</f>
        <v>42174</v>
      </c>
      <c r="C184" s="30"/>
      <c r="D184" s="53" t="s">
        <v>356</v>
      </c>
      <c r="E184" s="54"/>
      <c r="F184" s="53" t="s">
        <v>357</v>
      </c>
      <c r="G184" s="56"/>
      <c r="H184" s="52" t="s">
        <v>10</v>
      </c>
      <c r="I184" s="63"/>
      <c r="J184" s="63"/>
      <c r="K184" s="63">
        <f t="shared" si="5"/>
        <v>0</v>
      </c>
    </row>
    <row r="185" spans="2:11" ht="39.950000000000003" hidden="1" customHeight="1" outlineLevel="1" x14ac:dyDescent="0.25">
      <c r="B185" s="17">
        <f ca="1">DATE(YEAR(TODAY()),6,20)</f>
        <v>42175</v>
      </c>
      <c r="C185" s="31"/>
      <c r="D185" s="53" t="s">
        <v>358</v>
      </c>
      <c r="E185" s="54"/>
      <c r="F185" s="53" t="s">
        <v>359</v>
      </c>
      <c r="G185" s="56"/>
      <c r="H185" s="52" t="s">
        <v>13</v>
      </c>
      <c r="I185" s="63"/>
      <c r="J185" s="63"/>
      <c r="K185" s="63">
        <f t="shared" si="5"/>
        <v>0</v>
      </c>
    </row>
    <row r="186" spans="2:11" ht="39.950000000000003" hidden="1" customHeight="1" outlineLevel="1" x14ac:dyDescent="0.25">
      <c r="B186" s="22">
        <f ca="1">DATE(YEAR(TODAY()),6,21)</f>
        <v>42176</v>
      </c>
      <c r="C186" s="41"/>
      <c r="D186" s="53" t="s">
        <v>360</v>
      </c>
      <c r="E186" s="54"/>
      <c r="F186" s="53" t="s">
        <v>361</v>
      </c>
      <c r="G186" s="56"/>
      <c r="H186" s="52" t="s">
        <v>10</v>
      </c>
      <c r="I186" s="63"/>
      <c r="J186" s="63"/>
      <c r="K186" s="63">
        <f t="shared" si="5"/>
        <v>0</v>
      </c>
    </row>
    <row r="187" spans="2:11" ht="39.950000000000003" hidden="1" customHeight="1" outlineLevel="1" x14ac:dyDescent="0.25">
      <c r="B187" s="24">
        <f ca="1">DATE(YEAR(TODAY()),6,22)</f>
        <v>42177</v>
      </c>
      <c r="C187" s="30"/>
      <c r="D187" s="53" t="s">
        <v>362</v>
      </c>
      <c r="E187" s="54"/>
      <c r="F187" s="53" t="s">
        <v>363</v>
      </c>
      <c r="G187" s="56"/>
      <c r="H187" s="52" t="s">
        <v>10</v>
      </c>
      <c r="I187" s="63"/>
      <c r="J187" s="63"/>
      <c r="K187" s="63">
        <f t="shared" si="5"/>
        <v>0</v>
      </c>
    </row>
    <row r="188" spans="2:11" ht="39.950000000000003" hidden="1" customHeight="1" outlineLevel="1" x14ac:dyDescent="0.25">
      <c r="B188" s="14">
        <f ca="1">DATE(YEAR(TODAY()),6,23)</f>
        <v>42178</v>
      </c>
      <c r="C188" s="33"/>
      <c r="D188" s="53" t="s">
        <v>364</v>
      </c>
      <c r="E188" s="54"/>
      <c r="F188" s="53" t="s">
        <v>307</v>
      </c>
      <c r="G188" s="56"/>
      <c r="H188" s="52" t="s">
        <v>10</v>
      </c>
      <c r="I188" s="63"/>
      <c r="J188" s="63"/>
      <c r="K188" s="63">
        <f t="shared" si="5"/>
        <v>0</v>
      </c>
    </row>
    <row r="189" spans="2:11" ht="39.950000000000003" hidden="1" customHeight="1" outlineLevel="1" x14ac:dyDescent="0.25">
      <c r="B189" s="20">
        <f ca="1">DATE(YEAR(TODAY()),6,24)</f>
        <v>42179</v>
      </c>
      <c r="C189" s="32"/>
      <c r="D189" s="53" t="s">
        <v>365</v>
      </c>
      <c r="E189" s="54"/>
      <c r="F189" s="53" t="s">
        <v>366</v>
      </c>
      <c r="G189" s="56"/>
      <c r="H189" s="52" t="s">
        <v>10</v>
      </c>
      <c r="I189" s="63"/>
      <c r="J189" s="63"/>
      <c r="K189" s="63">
        <f t="shared" si="5"/>
        <v>0</v>
      </c>
    </row>
    <row r="190" spans="2:11" ht="39.950000000000003" hidden="1" customHeight="1" outlineLevel="1" x14ac:dyDescent="0.25">
      <c r="B190" s="17">
        <f ca="1">DATE(YEAR(TODAY()),6,25)</f>
        <v>42180</v>
      </c>
      <c r="C190" s="31"/>
      <c r="D190" s="53" t="s">
        <v>367</v>
      </c>
      <c r="E190" s="54"/>
      <c r="F190" s="53" t="s">
        <v>368</v>
      </c>
      <c r="G190" s="56"/>
      <c r="H190" s="52" t="s">
        <v>13</v>
      </c>
      <c r="I190" s="63"/>
      <c r="J190" s="63"/>
      <c r="K190" s="63">
        <f t="shared" si="5"/>
        <v>0</v>
      </c>
    </row>
    <row r="191" spans="2:11" ht="39.950000000000003" hidden="1" customHeight="1" outlineLevel="1" x14ac:dyDescent="0.25">
      <c r="B191" s="17">
        <f ca="1">DATE(YEAR(TODAY()),6,26)</f>
        <v>42181</v>
      </c>
      <c r="C191" s="31"/>
      <c r="D191" s="53" t="s">
        <v>369</v>
      </c>
      <c r="E191" s="54"/>
      <c r="F191" s="53" t="s">
        <v>370</v>
      </c>
      <c r="G191" s="56"/>
      <c r="H191" s="52" t="s">
        <v>34</v>
      </c>
      <c r="I191" s="63"/>
      <c r="J191" s="63"/>
      <c r="K191" s="63">
        <f t="shared" si="5"/>
        <v>0</v>
      </c>
    </row>
    <row r="192" spans="2:11" ht="39.950000000000003" hidden="1" customHeight="1" outlineLevel="1" x14ac:dyDescent="0.25">
      <c r="B192" s="14">
        <f ca="1">DATE(YEAR(TODAY()),6,27)</f>
        <v>42182</v>
      </c>
      <c r="C192" s="33"/>
      <c r="D192" s="53" t="s">
        <v>371</v>
      </c>
      <c r="E192" s="54"/>
      <c r="F192" s="53" t="s">
        <v>372</v>
      </c>
      <c r="G192" s="56"/>
      <c r="H192" s="52" t="s">
        <v>10</v>
      </c>
      <c r="I192" s="63"/>
      <c r="J192" s="63"/>
      <c r="K192" s="63">
        <f t="shared" si="5"/>
        <v>0</v>
      </c>
    </row>
    <row r="193" spans="2:14" ht="39.950000000000003" hidden="1" customHeight="1" outlineLevel="1" x14ac:dyDescent="0.25">
      <c r="B193" s="24">
        <f ca="1">DATE(YEAR(TODAY()),6,28)</f>
        <v>42183</v>
      </c>
      <c r="C193" s="30"/>
      <c r="D193" s="53" t="s">
        <v>373</v>
      </c>
      <c r="E193" s="54"/>
      <c r="F193" s="53" t="s">
        <v>374</v>
      </c>
      <c r="G193" s="56"/>
      <c r="H193" s="52" t="s">
        <v>10</v>
      </c>
      <c r="I193" s="63"/>
      <c r="J193" s="63"/>
      <c r="K193" s="63">
        <f t="shared" si="5"/>
        <v>0</v>
      </c>
    </row>
    <row r="194" spans="2:14" ht="39.950000000000003" hidden="1" customHeight="1" outlineLevel="1" x14ac:dyDescent="0.25">
      <c r="B194" s="17">
        <f ca="1">DATE(YEAR(TODAY()),6,29)</f>
        <v>42184</v>
      </c>
      <c r="C194" s="31"/>
      <c r="D194" s="53" t="s">
        <v>375</v>
      </c>
      <c r="E194" s="54"/>
      <c r="F194" s="53" t="s">
        <v>376</v>
      </c>
      <c r="G194" s="56"/>
      <c r="H194" s="52" t="s">
        <v>13</v>
      </c>
      <c r="I194" s="63"/>
      <c r="J194" s="63"/>
      <c r="K194" s="63">
        <f t="shared" si="5"/>
        <v>0</v>
      </c>
    </row>
    <row r="195" spans="2:14" ht="39.950000000000003" hidden="1" customHeight="1" outlineLevel="1" x14ac:dyDescent="0.25">
      <c r="B195" s="20">
        <f ca="1">DATE(YEAR(TODAY()),6,30)</f>
        <v>42185</v>
      </c>
      <c r="C195" s="32"/>
      <c r="D195" s="53" t="s">
        <v>377</v>
      </c>
      <c r="E195" s="54"/>
      <c r="F195" s="53" t="s">
        <v>378</v>
      </c>
      <c r="G195" s="56"/>
      <c r="H195" s="52" t="s">
        <v>10</v>
      </c>
      <c r="I195" s="63"/>
      <c r="J195" s="63"/>
      <c r="K195" s="63">
        <f t="shared" si="5"/>
        <v>0</v>
      </c>
    </row>
    <row r="196" spans="2:14" ht="21" customHeight="1" x14ac:dyDescent="0.35">
      <c r="B196" s="67" t="s">
        <v>379</v>
      </c>
      <c r="C196" s="67"/>
      <c r="D196" s="67"/>
      <c r="E196" s="67"/>
      <c r="F196" s="67"/>
      <c r="G196" s="67"/>
      <c r="H196" s="67"/>
      <c r="I196" s="67"/>
      <c r="J196" s="67"/>
      <c r="K196" s="67"/>
    </row>
    <row r="197" spans="2:14" ht="15" customHeight="1" outlineLevel="1" x14ac:dyDescent="0.25">
      <c r="B197" s="35" t="s">
        <v>1</v>
      </c>
      <c r="C197" s="36"/>
      <c r="D197" s="37" t="s">
        <v>2</v>
      </c>
      <c r="E197" s="37"/>
      <c r="F197" s="38" t="s">
        <v>3</v>
      </c>
      <c r="G197" s="39"/>
      <c r="H197" s="39" t="s">
        <v>4</v>
      </c>
      <c r="I197" s="40" t="s">
        <v>5</v>
      </c>
      <c r="J197" s="40" t="s">
        <v>6</v>
      </c>
      <c r="K197" s="40" t="s">
        <v>7</v>
      </c>
    </row>
    <row r="198" spans="2:14" ht="39.950000000000003" customHeight="1" outlineLevel="1" x14ac:dyDescent="0.25">
      <c r="B198" s="14">
        <f ca="1">DATE(YEAR(TODAY()),7,1)</f>
        <v>42186</v>
      </c>
      <c r="C198" s="33"/>
      <c r="D198" s="53" t="s">
        <v>380</v>
      </c>
      <c r="E198" s="54"/>
      <c r="F198" s="51" t="s">
        <v>381</v>
      </c>
      <c r="G198" s="56"/>
      <c r="H198" s="52" t="s">
        <v>10</v>
      </c>
      <c r="I198" s="63"/>
      <c r="J198" s="63"/>
      <c r="K198" s="63">
        <f>SUM(I198*J198)</f>
        <v>0</v>
      </c>
    </row>
    <row r="199" spans="2:14" ht="39.950000000000003" customHeight="1" outlineLevel="1" x14ac:dyDescent="0.25">
      <c r="B199" s="24">
        <f ca="1">DATE(YEAR(TODAY()),7,2)</f>
        <v>42187</v>
      </c>
      <c r="C199" s="30"/>
      <c r="D199" s="53" t="s">
        <v>382</v>
      </c>
      <c r="E199" s="54"/>
      <c r="F199" s="51" t="s">
        <v>383</v>
      </c>
      <c r="G199" s="56"/>
      <c r="H199" s="52" t="s">
        <v>10</v>
      </c>
      <c r="I199" s="63"/>
      <c r="J199" s="63"/>
      <c r="K199" s="63">
        <f t="shared" ref="K199:K228" si="6">SUM(I199*J199)</f>
        <v>0</v>
      </c>
      <c r="N199" s="19" t="s">
        <v>14</v>
      </c>
    </row>
    <row r="200" spans="2:14" ht="39.950000000000003" customHeight="1" outlineLevel="1" x14ac:dyDescent="0.25">
      <c r="B200" s="17">
        <f ca="1">DATE(YEAR(TODAY()),7,3)</f>
        <v>42188</v>
      </c>
      <c r="C200" s="31"/>
      <c r="D200" s="53" t="s">
        <v>384</v>
      </c>
      <c r="E200" s="54"/>
      <c r="F200" s="51" t="s">
        <v>385</v>
      </c>
      <c r="G200" s="56"/>
      <c r="H200" s="52" t="s">
        <v>34</v>
      </c>
      <c r="I200" s="63"/>
      <c r="J200" s="63"/>
      <c r="K200" s="63">
        <f t="shared" si="6"/>
        <v>0</v>
      </c>
      <c r="N200" s="19" t="s">
        <v>17</v>
      </c>
    </row>
    <row r="201" spans="2:14" ht="39.950000000000003" customHeight="1" outlineLevel="1" x14ac:dyDescent="0.25">
      <c r="B201" s="17">
        <f ca="1">DATE(YEAR(TODAY()),7,4)</f>
        <v>42189</v>
      </c>
      <c r="C201" s="31"/>
      <c r="D201" s="53" t="s">
        <v>386</v>
      </c>
      <c r="E201" s="54"/>
      <c r="F201" s="51" t="s">
        <v>387</v>
      </c>
      <c r="G201" s="56"/>
      <c r="H201" s="52" t="s">
        <v>34</v>
      </c>
      <c r="I201" s="63"/>
      <c r="J201" s="63"/>
      <c r="K201" s="63">
        <f t="shared" si="6"/>
        <v>0</v>
      </c>
      <c r="N201" s="19" t="s">
        <v>20</v>
      </c>
    </row>
    <row r="202" spans="2:14" ht="39.950000000000003" customHeight="1" outlineLevel="1" x14ac:dyDescent="0.25">
      <c r="B202" s="24">
        <f ca="1">DATE(YEAR(TODAY()),7,5)</f>
        <v>42190</v>
      </c>
      <c r="C202" s="30"/>
      <c r="D202" s="53" t="s">
        <v>388</v>
      </c>
      <c r="E202" s="54"/>
      <c r="F202" s="51" t="s">
        <v>389</v>
      </c>
      <c r="G202" s="56"/>
      <c r="H202" s="52" t="s">
        <v>10</v>
      </c>
      <c r="I202" s="63"/>
      <c r="J202" s="63"/>
      <c r="K202" s="63">
        <f t="shared" si="6"/>
        <v>0</v>
      </c>
      <c r="N202" s="19" t="s">
        <v>23</v>
      </c>
    </row>
    <row r="203" spans="2:14" ht="39.950000000000003" customHeight="1" outlineLevel="1" x14ac:dyDescent="0.25">
      <c r="B203" s="17">
        <f ca="1">DATE(YEAR(TODAY()),7,6)</f>
        <v>42191</v>
      </c>
      <c r="C203" s="31"/>
      <c r="D203" s="53" t="s">
        <v>390</v>
      </c>
      <c r="E203" s="54"/>
      <c r="F203" s="51" t="s">
        <v>391</v>
      </c>
      <c r="G203" s="56"/>
      <c r="H203" s="52" t="s">
        <v>13</v>
      </c>
      <c r="I203" s="63"/>
      <c r="J203" s="63"/>
      <c r="K203" s="63">
        <f t="shared" si="6"/>
        <v>0</v>
      </c>
      <c r="N203" s="19" t="s">
        <v>26</v>
      </c>
    </row>
    <row r="204" spans="2:14" ht="39.950000000000003" customHeight="1" outlineLevel="1" x14ac:dyDescent="0.25">
      <c r="B204" s="14">
        <f ca="1">DATE(YEAR(TODAY()),7,7)</f>
        <v>42192</v>
      </c>
      <c r="C204" s="33"/>
      <c r="D204" s="53" t="s">
        <v>392</v>
      </c>
      <c r="E204" s="54"/>
      <c r="F204" s="51" t="s">
        <v>393</v>
      </c>
      <c r="G204" s="56"/>
      <c r="H204" s="52" t="s">
        <v>10</v>
      </c>
      <c r="I204" s="63"/>
      <c r="J204" s="63"/>
      <c r="K204" s="63">
        <f t="shared" si="6"/>
        <v>0</v>
      </c>
      <c r="N204" s="19" t="s">
        <v>29</v>
      </c>
    </row>
    <row r="205" spans="2:14" ht="39.950000000000003" customHeight="1" outlineLevel="1" x14ac:dyDescent="0.25">
      <c r="B205" s="20">
        <f ca="1">DATE(YEAR(TODAY()),7,8)</f>
        <v>42193</v>
      </c>
      <c r="C205" s="32"/>
      <c r="D205" s="53" t="s">
        <v>394</v>
      </c>
      <c r="E205" s="54"/>
      <c r="F205" s="51" t="s">
        <v>395</v>
      </c>
      <c r="G205" s="56"/>
      <c r="H205" s="52" t="s">
        <v>10</v>
      </c>
      <c r="I205" s="63"/>
      <c r="J205" s="63"/>
      <c r="K205" s="63">
        <f t="shared" si="6"/>
        <v>0</v>
      </c>
    </row>
    <row r="206" spans="2:14" ht="39.950000000000003" customHeight="1" outlineLevel="1" x14ac:dyDescent="0.25">
      <c r="B206" s="17">
        <f ca="1">DATE(YEAR(TODAY()),7,9)</f>
        <v>42194</v>
      </c>
      <c r="C206" s="31"/>
      <c r="D206" s="53" t="s">
        <v>396</v>
      </c>
      <c r="E206" s="54"/>
      <c r="F206" s="51" t="s">
        <v>397</v>
      </c>
      <c r="G206" s="56"/>
      <c r="H206" s="52" t="s">
        <v>34</v>
      </c>
      <c r="I206" s="63"/>
      <c r="J206" s="63"/>
      <c r="K206" s="63">
        <f t="shared" si="6"/>
        <v>0</v>
      </c>
    </row>
    <row r="207" spans="2:14" ht="39.950000000000003" customHeight="1" outlineLevel="1" x14ac:dyDescent="0.25">
      <c r="B207" s="42">
        <f ca="1">DATE(YEAR(TODAY()),7,10)</f>
        <v>42195</v>
      </c>
      <c r="C207" s="43"/>
      <c r="D207" s="53" t="s">
        <v>398</v>
      </c>
      <c r="E207" s="54"/>
      <c r="F207" s="51" t="s">
        <v>399</v>
      </c>
      <c r="G207" s="56"/>
      <c r="H207" s="52" t="s">
        <v>34</v>
      </c>
      <c r="I207" s="63"/>
      <c r="J207" s="63"/>
      <c r="K207" s="63">
        <f t="shared" si="6"/>
        <v>0</v>
      </c>
    </row>
    <row r="208" spans="2:14" ht="39.950000000000003" customHeight="1" outlineLevel="1" x14ac:dyDescent="0.25">
      <c r="B208" s="17">
        <f ca="1">DATE(YEAR(TODAY()),7,11)</f>
        <v>42196</v>
      </c>
      <c r="C208" s="31"/>
      <c r="D208" s="53" t="s">
        <v>400</v>
      </c>
      <c r="E208" s="54"/>
      <c r="F208" s="51" t="s">
        <v>401</v>
      </c>
      <c r="G208" s="56"/>
      <c r="H208" s="52" t="s">
        <v>13</v>
      </c>
      <c r="I208" s="63"/>
      <c r="J208" s="63"/>
      <c r="K208" s="63">
        <f t="shared" si="6"/>
        <v>0</v>
      </c>
    </row>
    <row r="209" spans="2:11" ht="39.950000000000003" customHeight="1" outlineLevel="1" x14ac:dyDescent="0.25">
      <c r="B209" s="24">
        <f ca="1">DATE(YEAR(TODAY()),7,12)</f>
        <v>42197</v>
      </c>
      <c r="C209" s="30"/>
      <c r="D209" s="53" t="s">
        <v>402</v>
      </c>
      <c r="E209" s="54"/>
      <c r="F209" s="51" t="s">
        <v>403</v>
      </c>
      <c r="G209" s="56"/>
      <c r="H209" s="52" t="s">
        <v>10</v>
      </c>
      <c r="I209" s="63"/>
      <c r="J209" s="63"/>
      <c r="K209" s="63">
        <f t="shared" si="6"/>
        <v>0</v>
      </c>
    </row>
    <row r="210" spans="2:11" ht="39.950000000000003" customHeight="1" outlineLevel="1" x14ac:dyDescent="0.25">
      <c r="B210" s="20">
        <f ca="1">DATE(YEAR(TODAY()),7,13)</f>
        <v>42198</v>
      </c>
      <c r="C210" s="32"/>
      <c r="D210" s="53" t="s">
        <v>404</v>
      </c>
      <c r="E210" s="54"/>
      <c r="F210" s="51" t="s">
        <v>405</v>
      </c>
      <c r="G210" s="56"/>
      <c r="H210" s="52" t="s">
        <v>10</v>
      </c>
      <c r="I210" s="63"/>
      <c r="J210" s="63"/>
      <c r="K210" s="63">
        <f t="shared" si="6"/>
        <v>0</v>
      </c>
    </row>
    <row r="211" spans="2:11" ht="39.950000000000003" customHeight="1" outlineLevel="1" x14ac:dyDescent="0.25">
      <c r="B211" s="20">
        <f ca="1">DATE(YEAR(TODAY()),7,14)</f>
        <v>42199</v>
      </c>
      <c r="C211" s="32"/>
      <c r="D211" s="53" t="s">
        <v>406</v>
      </c>
      <c r="E211" s="54"/>
      <c r="F211" s="51" t="s">
        <v>407</v>
      </c>
      <c r="G211" s="56"/>
      <c r="H211" s="52" t="s">
        <v>10</v>
      </c>
      <c r="I211" s="63"/>
      <c r="J211" s="63"/>
      <c r="K211" s="63">
        <f t="shared" si="6"/>
        <v>0</v>
      </c>
    </row>
    <row r="212" spans="2:11" ht="39.950000000000003" customHeight="1" outlineLevel="1" x14ac:dyDescent="0.25">
      <c r="B212" s="17">
        <f ca="1">DATE(YEAR(TODAY()),7,15)</f>
        <v>42200</v>
      </c>
      <c r="C212" s="31"/>
      <c r="D212" s="53" t="s">
        <v>408</v>
      </c>
      <c r="E212" s="54"/>
      <c r="F212" s="51" t="s">
        <v>409</v>
      </c>
      <c r="G212" s="56"/>
      <c r="H212" s="52" t="s">
        <v>13</v>
      </c>
      <c r="I212" s="63"/>
      <c r="J212" s="63"/>
      <c r="K212" s="63">
        <f t="shared" si="6"/>
        <v>0</v>
      </c>
    </row>
    <row r="213" spans="2:11" ht="39.950000000000003" customHeight="1" outlineLevel="1" x14ac:dyDescent="0.25">
      <c r="B213" s="14">
        <f ca="1">DATE(YEAR(TODAY()),7,16)</f>
        <v>42201</v>
      </c>
      <c r="C213" s="33"/>
      <c r="D213" s="53" t="s">
        <v>410</v>
      </c>
      <c r="E213" s="54"/>
      <c r="F213" s="51" t="s">
        <v>411</v>
      </c>
      <c r="G213" s="56"/>
      <c r="H213" s="52" t="s">
        <v>10</v>
      </c>
      <c r="I213" s="63"/>
      <c r="J213" s="63"/>
      <c r="K213" s="63">
        <f t="shared" si="6"/>
        <v>0</v>
      </c>
    </row>
    <row r="214" spans="2:11" ht="39.950000000000003" customHeight="1" outlineLevel="1" x14ac:dyDescent="0.25">
      <c r="B214" s="24">
        <f ca="1">DATE(YEAR(TODAY()),7,17)</f>
        <v>42202</v>
      </c>
      <c r="C214" s="30"/>
      <c r="D214" s="53" t="s">
        <v>412</v>
      </c>
      <c r="E214" s="54"/>
      <c r="F214" s="51" t="s">
        <v>413</v>
      </c>
      <c r="G214" s="56"/>
      <c r="H214" s="52" t="s">
        <v>10</v>
      </c>
      <c r="I214" s="63"/>
      <c r="J214" s="63"/>
      <c r="K214" s="63">
        <f t="shared" si="6"/>
        <v>0</v>
      </c>
    </row>
    <row r="215" spans="2:11" ht="39.950000000000003" customHeight="1" outlineLevel="1" x14ac:dyDescent="0.25">
      <c r="B215" s="17">
        <f ca="1">DATE(YEAR(TODAY()),7,18)</f>
        <v>42203</v>
      </c>
      <c r="C215" s="31"/>
      <c r="D215" s="53" t="s">
        <v>414</v>
      </c>
      <c r="E215" s="54"/>
      <c r="F215" s="51" t="s">
        <v>415</v>
      </c>
      <c r="G215" s="56"/>
      <c r="H215" s="52" t="s">
        <v>34</v>
      </c>
      <c r="I215" s="63"/>
      <c r="J215" s="63"/>
      <c r="K215" s="63">
        <f t="shared" si="6"/>
        <v>0</v>
      </c>
    </row>
    <row r="216" spans="2:11" ht="39.950000000000003" customHeight="1" outlineLevel="1" x14ac:dyDescent="0.25">
      <c r="B216" s="20">
        <f ca="1">DATE(YEAR(TODAY()),7,19)</f>
        <v>42204</v>
      </c>
      <c r="C216" s="32"/>
      <c r="D216" s="53" t="s">
        <v>416</v>
      </c>
      <c r="E216" s="54"/>
      <c r="F216" s="51" t="s">
        <v>417</v>
      </c>
      <c r="G216" s="56"/>
      <c r="H216" s="52" t="s">
        <v>10</v>
      </c>
      <c r="I216" s="63"/>
      <c r="J216" s="63"/>
      <c r="K216" s="63">
        <f t="shared" si="6"/>
        <v>0</v>
      </c>
    </row>
    <row r="217" spans="2:11" ht="39.950000000000003" customHeight="1" outlineLevel="1" x14ac:dyDescent="0.25">
      <c r="B217" s="17">
        <f ca="1">DATE(YEAR(TODAY()),7,20)</f>
        <v>42205</v>
      </c>
      <c r="C217" s="31"/>
      <c r="D217" s="53" t="s">
        <v>418</v>
      </c>
      <c r="E217" s="54"/>
      <c r="F217" s="51" t="s">
        <v>419</v>
      </c>
      <c r="G217" s="56"/>
      <c r="H217" s="52" t="s">
        <v>34</v>
      </c>
      <c r="I217" s="63"/>
      <c r="J217" s="63"/>
      <c r="K217" s="63">
        <f t="shared" si="6"/>
        <v>0</v>
      </c>
    </row>
    <row r="218" spans="2:11" ht="39.950000000000003" customHeight="1" outlineLevel="1" x14ac:dyDescent="0.25">
      <c r="B218" s="14">
        <f ca="1">DATE(YEAR(TODAY()),7,21)</f>
        <v>42206</v>
      </c>
      <c r="C218" s="33"/>
      <c r="D218" s="53" t="s">
        <v>420</v>
      </c>
      <c r="E218" s="54"/>
      <c r="F218" s="51" t="s">
        <v>421</v>
      </c>
      <c r="G218" s="56"/>
      <c r="H218" s="52" t="s">
        <v>10</v>
      </c>
      <c r="I218" s="63"/>
      <c r="J218" s="63"/>
      <c r="K218" s="63">
        <f t="shared" si="6"/>
        <v>0</v>
      </c>
    </row>
    <row r="219" spans="2:11" ht="39.950000000000003" customHeight="1" outlineLevel="1" x14ac:dyDescent="0.25">
      <c r="B219" s="24">
        <f ca="1">DATE(YEAR(TODAY()),7,22)</f>
        <v>42207</v>
      </c>
      <c r="C219" s="30"/>
      <c r="D219" s="53" t="s">
        <v>422</v>
      </c>
      <c r="E219" s="54"/>
      <c r="F219" s="51" t="s">
        <v>423</v>
      </c>
      <c r="G219" s="56"/>
      <c r="H219" s="52" t="s">
        <v>10</v>
      </c>
      <c r="I219" s="63"/>
      <c r="J219" s="63"/>
      <c r="K219" s="63">
        <f t="shared" si="6"/>
        <v>0</v>
      </c>
    </row>
    <row r="220" spans="2:11" ht="39.950000000000003" customHeight="1" outlineLevel="1" x14ac:dyDescent="0.25">
      <c r="B220" s="29">
        <f ca="1">DATE(YEAR(TODAY()),7,23)</f>
        <v>42208</v>
      </c>
      <c r="C220" s="16"/>
      <c r="D220" s="53" t="s">
        <v>424</v>
      </c>
      <c r="E220" s="54"/>
      <c r="F220" s="51" t="s">
        <v>425</v>
      </c>
      <c r="G220" s="56"/>
      <c r="H220" s="52" t="s">
        <v>13</v>
      </c>
      <c r="I220" s="63"/>
      <c r="J220" s="63"/>
      <c r="K220" s="63">
        <f t="shared" si="6"/>
        <v>0</v>
      </c>
    </row>
    <row r="221" spans="2:11" ht="39.950000000000003" customHeight="1" outlineLevel="1" x14ac:dyDescent="0.25">
      <c r="B221" s="17">
        <f ca="1">DATE(YEAR(TODAY()),7,24)</f>
        <v>42209</v>
      </c>
      <c r="C221" s="31"/>
      <c r="D221" s="53" t="s">
        <v>426</v>
      </c>
      <c r="E221" s="54"/>
      <c r="F221" s="51" t="s">
        <v>427</v>
      </c>
      <c r="G221" s="56"/>
      <c r="H221" s="52" t="s">
        <v>13</v>
      </c>
      <c r="I221" s="63"/>
      <c r="J221" s="63"/>
      <c r="K221" s="63">
        <f t="shared" si="6"/>
        <v>0</v>
      </c>
    </row>
    <row r="222" spans="2:11" ht="39.950000000000003" customHeight="1" outlineLevel="1" x14ac:dyDescent="0.25">
      <c r="B222" s="24">
        <f ca="1">DATE(YEAR(TODAY()),7,25)</f>
        <v>42210</v>
      </c>
      <c r="C222" s="30"/>
      <c r="D222" s="53" t="s">
        <v>428</v>
      </c>
      <c r="E222" s="54"/>
      <c r="F222" s="51" t="s">
        <v>429</v>
      </c>
      <c r="G222" s="56"/>
      <c r="H222" s="52" t="s">
        <v>10</v>
      </c>
      <c r="I222" s="63"/>
      <c r="J222" s="63"/>
      <c r="K222" s="63">
        <f t="shared" si="6"/>
        <v>0</v>
      </c>
    </row>
    <row r="223" spans="2:11" ht="39.950000000000003" customHeight="1" outlineLevel="1" x14ac:dyDescent="0.25">
      <c r="B223" s="20">
        <f ca="1">DATE(YEAR(TODAY()),7,26)</f>
        <v>42211</v>
      </c>
      <c r="C223" s="32"/>
      <c r="D223" s="53" t="s">
        <v>430</v>
      </c>
      <c r="E223" s="54"/>
      <c r="F223" s="51" t="s">
        <v>431</v>
      </c>
      <c r="G223" s="56"/>
      <c r="H223" s="52" t="s">
        <v>10</v>
      </c>
      <c r="I223" s="63"/>
      <c r="J223" s="63"/>
      <c r="K223" s="63">
        <f t="shared" si="6"/>
        <v>0</v>
      </c>
    </row>
    <row r="224" spans="2:11" ht="39.950000000000003" customHeight="1" outlineLevel="1" x14ac:dyDescent="0.25">
      <c r="B224" s="17">
        <f ca="1">DATE(YEAR(TODAY()),7,27)</f>
        <v>42212</v>
      </c>
      <c r="C224" s="31"/>
      <c r="D224" s="53" t="s">
        <v>432</v>
      </c>
      <c r="E224" s="54"/>
      <c r="F224" s="51" t="s">
        <v>433</v>
      </c>
      <c r="G224" s="56"/>
      <c r="H224" s="52" t="s">
        <v>34</v>
      </c>
      <c r="I224" s="63"/>
      <c r="J224" s="63"/>
      <c r="K224" s="63">
        <f t="shared" si="6"/>
        <v>0</v>
      </c>
    </row>
    <row r="225" spans="2:14" ht="39.950000000000003" customHeight="1" outlineLevel="1" x14ac:dyDescent="0.25">
      <c r="B225" s="24">
        <f ca="1">DATE(YEAR(TODAY()),7,28)</f>
        <v>42213</v>
      </c>
      <c r="C225" s="30"/>
      <c r="D225" s="53" t="s">
        <v>434</v>
      </c>
      <c r="E225" s="54"/>
      <c r="F225" s="51" t="s">
        <v>435</v>
      </c>
      <c r="G225" s="56"/>
      <c r="H225" s="52" t="s">
        <v>10</v>
      </c>
      <c r="I225" s="63"/>
      <c r="J225" s="63"/>
      <c r="K225" s="63">
        <f t="shared" si="6"/>
        <v>0</v>
      </c>
    </row>
    <row r="226" spans="2:14" ht="39.950000000000003" customHeight="1" outlineLevel="1" x14ac:dyDescent="0.25">
      <c r="B226" s="14">
        <f ca="1">DATE(YEAR(TODAY()),7,29)</f>
        <v>42214</v>
      </c>
      <c r="C226" s="33"/>
      <c r="D226" s="53" t="s">
        <v>436</v>
      </c>
      <c r="E226" s="54"/>
      <c r="F226" s="51" t="s">
        <v>437</v>
      </c>
      <c r="G226" s="56"/>
      <c r="H226" s="52" t="s">
        <v>10</v>
      </c>
      <c r="I226" s="63"/>
      <c r="J226" s="63"/>
      <c r="K226" s="63">
        <f t="shared" si="6"/>
        <v>0</v>
      </c>
    </row>
    <row r="227" spans="2:14" ht="39.950000000000003" customHeight="1" outlineLevel="1" x14ac:dyDescent="0.25">
      <c r="B227" s="24">
        <f ca="1">DATE(YEAR(TODAY()),7,30)</f>
        <v>42215</v>
      </c>
      <c r="C227" s="30"/>
      <c r="D227" s="53" t="s">
        <v>438</v>
      </c>
      <c r="E227" s="54"/>
      <c r="F227" s="51" t="s">
        <v>439</v>
      </c>
      <c r="G227" s="56"/>
      <c r="H227" s="52" t="s">
        <v>10</v>
      </c>
      <c r="I227" s="63"/>
      <c r="J227" s="63"/>
      <c r="K227" s="63">
        <f t="shared" si="6"/>
        <v>0</v>
      </c>
    </row>
    <row r="228" spans="2:14" ht="39.950000000000003" customHeight="1" outlineLevel="1" x14ac:dyDescent="0.25">
      <c r="B228" s="20">
        <f ca="1">DATE(YEAR(TODAY()),7,31)</f>
        <v>42216</v>
      </c>
      <c r="C228" s="32"/>
      <c r="D228" s="53" t="s">
        <v>440</v>
      </c>
      <c r="E228" s="54"/>
      <c r="F228" s="51" t="s">
        <v>441</v>
      </c>
      <c r="G228" s="56"/>
      <c r="H228" s="52" t="s">
        <v>10</v>
      </c>
      <c r="I228" s="63"/>
      <c r="J228" s="63"/>
      <c r="K228" s="63">
        <f t="shared" si="6"/>
        <v>0</v>
      </c>
    </row>
    <row r="229" spans="2:14" ht="21" customHeight="1" collapsed="1" x14ac:dyDescent="0.35">
      <c r="B229" s="66" t="s">
        <v>442</v>
      </c>
      <c r="C229" s="66"/>
      <c r="D229" s="66"/>
      <c r="E229" s="66"/>
      <c r="F229" s="66"/>
      <c r="G229" s="66"/>
      <c r="H229" s="66"/>
      <c r="I229" s="66"/>
      <c r="J229" s="66"/>
      <c r="K229" s="66"/>
    </row>
    <row r="230" spans="2:14" ht="15" hidden="1" customHeight="1" outlineLevel="1" x14ac:dyDescent="0.25">
      <c r="B230" s="35" t="s">
        <v>1</v>
      </c>
      <c r="C230" s="36"/>
      <c r="D230" s="37" t="s">
        <v>2</v>
      </c>
      <c r="E230" s="37"/>
      <c r="F230" s="38" t="s">
        <v>3</v>
      </c>
      <c r="G230" s="39"/>
      <c r="H230" s="39" t="s">
        <v>4</v>
      </c>
      <c r="I230" s="40" t="s">
        <v>5</v>
      </c>
      <c r="J230" s="40" t="s">
        <v>6</v>
      </c>
      <c r="K230" s="40" t="s">
        <v>7</v>
      </c>
    </row>
    <row r="231" spans="2:14" ht="39.950000000000003" hidden="1" customHeight="1" outlineLevel="1" x14ac:dyDescent="0.25">
      <c r="B231" s="17">
        <f ca="1">DATE(YEAR(TODAY()),8,1)</f>
        <v>42217</v>
      </c>
      <c r="C231" s="31"/>
      <c r="D231" s="53" t="s">
        <v>443</v>
      </c>
      <c r="E231" s="54"/>
      <c r="F231" s="51" t="s">
        <v>444</v>
      </c>
      <c r="G231" s="56"/>
      <c r="H231" s="52" t="s">
        <v>13</v>
      </c>
      <c r="I231" s="63"/>
      <c r="J231" s="63"/>
      <c r="K231" s="63">
        <f>SUM(I231*J231)</f>
        <v>0</v>
      </c>
    </row>
    <row r="232" spans="2:14" ht="39.950000000000003" hidden="1" customHeight="1" outlineLevel="1" x14ac:dyDescent="0.25">
      <c r="B232" s="14">
        <f ca="1">DATE(YEAR(TODAY()),8,2)</f>
        <v>42218</v>
      </c>
      <c r="C232" s="33"/>
      <c r="D232" s="53" t="s">
        <v>445</v>
      </c>
      <c r="E232" s="54"/>
      <c r="F232" s="51" t="s">
        <v>446</v>
      </c>
      <c r="G232" s="56"/>
      <c r="H232" s="52" t="s">
        <v>10</v>
      </c>
      <c r="I232" s="63"/>
      <c r="J232" s="63"/>
      <c r="K232" s="63">
        <f t="shared" ref="K232:K261" si="7">SUM(I232*J232)</f>
        <v>0</v>
      </c>
      <c r="N232" s="19" t="s">
        <v>14</v>
      </c>
    </row>
    <row r="233" spans="2:14" ht="39.950000000000003" hidden="1" customHeight="1" outlineLevel="1" x14ac:dyDescent="0.25">
      <c r="B233" s="22">
        <f ca="1">DATE(YEAR(TODAY()),8,3)</f>
        <v>42219</v>
      </c>
      <c r="C233" s="41"/>
      <c r="D233" s="53" t="s">
        <v>447</v>
      </c>
      <c r="E233" s="54"/>
      <c r="F233" s="51" t="s">
        <v>448</v>
      </c>
      <c r="G233" s="56"/>
      <c r="H233" s="52" t="s">
        <v>34</v>
      </c>
      <c r="I233" s="63"/>
      <c r="J233" s="63"/>
      <c r="K233" s="63">
        <f t="shared" si="7"/>
        <v>0</v>
      </c>
      <c r="N233" s="19" t="s">
        <v>17</v>
      </c>
    </row>
    <row r="234" spans="2:14" ht="39.950000000000003" hidden="1" customHeight="1" outlineLevel="1" x14ac:dyDescent="0.25">
      <c r="B234" s="24">
        <f ca="1">DATE(YEAR(TODAY()),8,4)</f>
        <v>42220</v>
      </c>
      <c r="C234" s="30"/>
      <c r="D234" s="53" t="s">
        <v>449</v>
      </c>
      <c r="E234" s="54"/>
      <c r="F234" s="51" t="s">
        <v>450</v>
      </c>
      <c r="G234" s="56"/>
      <c r="H234" s="52" t="s">
        <v>10</v>
      </c>
      <c r="I234" s="63"/>
      <c r="J234" s="63"/>
      <c r="K234" s="63">
        <f t="shared" si="7"/>
        <v>0</v>
      </c>
      <c r="N234" s="19" t="s">
        <v>20</v>
      </c>
    </row>
    <row r="235" spans="2:14" ht="39.950000000000003" hidden="1" customHeight="1" outlineLevel="1" x14ac:dyDescent="0.25">
      <c r="B235" s="17">
        <f ca="1">DATE(YEAR(TODAY()),8,5)</f>
        <v>42221</v>
      </c>
      <c r="C235" s="31"/>
      <c r="D235" s="53" t="s">
        <v>451</v>
      </c>
      <c r="E235" s="54"/>
      <c r="F235" s="51" t="s">
        <v>452</v>
      </c>
      <c r="G235" s="56"/>
      <c r="H235" s="52" t="s">
        <v>13</v>
      </c>
      <c r="I235" s="63"/>
      <c r="J235" s="63"/>
      <c r="K235" s="63">
        <f t="shared" si="7"/>
        <v>0</v>
      </c>
      <c r="N235" s="19" t="s">
        <v>23</v>
      </c>
    </row>
    <row r="236" spans="2:14" ht="39.950000000000003" hidden="1" customHeight="1" outlineLevel="1" x14ac:dyDescent="0.25">
      <c r="B236" s="20">
        <f ca="1">DATE(YEAR(TODAY()),8,6)</f>
        <v>42222</v>
      </c>
      <c r="C236" s="32"/>
      <c r="D236" s="53" t="s">
        <v>453</v>
      </c>
      <c r="E236" s="54"/>
      <c r="F236" s="51" t="s">
        <v>454</v>
      </c>
      <c r="G236" s="56"/>
      <c r="H236" s="52" t="s">
        <v>10</v>
      </c>
      <c r="I236" s="63"/>
      <c r="J236" s="63"/>
      <c r="K236" s="63">
        <f t="shared" si="7"/>
        <v>0</v>
      </c>
      <c r="N236" s="19" t="s">
        <v>26</v>
      </c>
    </row>
    <row r="237" spans="2:14" ht="39.950000000000003" hidden="1" customHeight="1" outlineLevel="1" x14ac:dyDescent="0.25">
      <c r="B237" s="24">
        <f ca="1">DATE(YEAR(TODAY()),8,7)</f>
        <v>42223</v>
      </c>
      <c r="C237" s="30"/>
      <c r="D237" s="53" t="s">
        <v>455</v>
      </c>
      <c r="E237" s="54"/>
      <c r="F237" s="51" t="s">
        <v>456</v>
      </c>
      <c r="G237" s="56"/>
      <c r="H237" s="52" t="s">
        <v>10</v>
      </c>
      <c r="I237" s="63"/>
      <c r="J237" s="63"/>
      <c r="K237" s="63">
        <f t="shared" si="7"/>
        <v>0</v>
      </c>
      <c r="N237" s="19" t="s">
        <v>29</v>
      </c>
    </row>
    <row r="238" spans="2:14" ht="39.950000000000003" hidden="1" customHeight="1" outlineLevel="1" x14ac:dyDescent="0.25">
      <c r="B238" s="17">
        <f ca="1">DATE(YEAR(TODAY()),8,8)</f>
        <v>42224</v>
      </c>
      <c r="C238" s="31"/>
      <c r="D238" s="53" t="s">
        <v>457</v>
      </c>
      <c r="E238" s="54"/>
      <c r="F238" s="51" t="s">
        <v>458</v>
      </c>
      <c r="G238" s="56"/>
      <c r="H238" s="52" t="s">
        <v>34</v>
      </c>
      <c r="I238" s="63"/>
      <c r="J238" s="63"/>
      <c r="K238" s="63">
        <f t="shared" si="7"/>
        <v>0</v>
      </c>
    </row>
    <row r="239" spans="2:14" ht="39.950000000000003" hidden="1" customHeight="1" outlineLevel="1" x14ac:dyDescent="0.25">
      <c r="B239" s="17">
        <f ca="1">DATE(YEAR(TODAY()),8,9)</f>
        <v>42225</v>
      </c>
      <c r="C239" s="31"/>
      <c r="D239" s="53" t="s">
        <v>459</v>
      </c>
      <c r="E239" s="54"/>
      <c r="F239" s="51" t="s">
        <v>359</v>
      </c>
      <c r="G239" s="56"/>
      <c r="H239" s="52" t="s">
        <v>13</v>
      </c>
      <c r="I239" s="63"/>
      <c r="J239" s="63"/>
      <c r="K239" s="63">
        <f t="shared" si="7"/>
        <v>0</v>
      </c>
    </row>
    <row r="240" spans="2:14" ht="39.950000000000003" hidden="1" customHeight="1" outlineLevel="1" x14ac:dyDescent="0.25">
      <c r="B240" s="42">
        <f ca="1">DATE(YEAR(TODAY()),8,10)</f>
        <v>42226</v>
      </c>
      <c r="C240" s="43"/>
      <c r="D240" s="53" t="s">
        <v>460</v>
      </c>
      <c r="E240" s="54"/>
      <c r="F240" s="51" t="s">
        <v>461</v>
      </c>
      <c r="G240" s="56"/>
      <c r="H240" s="52" t="s">
        <v>10</v>
      </c>
      <c r="I240" s="63"/>
      <c r="J240" s="63"/>
      <c r="K240" s="63">
        <f t="shared" si="7"/>
        <v>0</v>
      </c>
    </row>
    <row r="241" spans="1:11" ht="39.950000000000003" hidden="1" customHeight="1" outlineLevel="1" x14ac:dyDescent="0.25">
      <c r="B241" s="14">
        <f ca="1">DATE(YEAR(TODAY()),8,11)</f>
        <v>42227</v>
      </c>
      <c r="C241" s="33"/>
      <c r="D241" s="53" t="s">
        <v>462</v>
      </c>
      <c r="E241" s="54"/>
      <c r="F241" s="51" t="s">
        <v>463</v>
      </c>
      <c r="G241" s="56"/>
      <c r="H241" s="52" t="s">
        <v>10</v>
      </c>
      <c r="I241" s="63"/>
      <c r="J241" s="63"/>
      <c r="K241" s="63">
        <f t="shared" si="7"/>
        <v>0</v>
      </c>
    </row>
    <row r="242" spans="1:11" ht="39.950000000000003" hidden="1" customHeight="1" outlineLevel="1" x14ac:dyDescent="0.25">
      <c r="B242" s="20">
        <f ca="1">DATE(YEAR(TODAY()),8,12)</f>
        <v>42228</v>
      </c>
      <c r="C242" s="32"/>
      <c r="D242" s="53" t="s">
        <v>464</v>
      </c>
      <c r="E242" s="54"/>
      <c r="F242" s="51" t="s">
        <v>465</v>
      </c>
      <c r="G242" s="56"/>
      <c r="H242" s="52" t="s">
        <v>10</v>
      </c>
      <c r="I242" s="63"/>
      <c r="J242" s="63"/>
      <c r="K242" s="63">
        <f t="shared" si="7"/>
        <v>0</v>
      </c>
    </row>
    <row r="243" spans="1:11" ht="39.950000000000003" hidden="1" customHeight="1" outlineLevel="1" x14ac:dyDescent="0.25">
      <c r="B243" s="24">
        <f ca="1">DATE(YEAR(TODAY()),8,13)</f>
        <v>42229</v>
      </c>
      <c r="C243" s="30"/>
      <c r="D243" s="53" t="s">
        <v>466</v>
      </c>
      <c r="E243" s="54"/>
      <c r="F243" s="51" t="s">
        <v>467</v>
      </c>
      <c r="G243" s="56"/>
      <c r="H243" s="52" t="s">
        <v>10</v>
      </c>
      <c r="I243" s="63"/>
      <c r="J243" s="63"/>
      <c r="K243" s="63">
        <f t="shared" si="7"/>
        <v>0</v>
      </c>
    </row>
    <row r="244" spans="1:11" ht="39.950000000000003" hidden="1" customHeight="1" outlineLevel="1" x14ac:dyDescent="0.25">
      <c r="A244" s="16"/>
      <c r="B244" s="24">
        <f ca="1">DATE(YEAR(TODAY()),8,14)</f>
        <v>42230</v>
      </c>
      <c r="C244" s="30"/>
      <c r="D244" s="53" t="s">
        <v>468</v>
      </c>
      <c r="E244" s="54"/>
      <c r="F244" s="51" t="s">
        <v>78</v>
      </c>
      <c r="G244" s="56"/>
      <c r="H244" s="52" t="s">
        <v>13</v>
      </c>
      <c r="I244" s="63"/>
      <c r="J244" s="63"/>
      <c r="K244" s="63">
        <f t="shared" si="7"/>
        <v>0</v>
      </c>
    </row>
    <row r="245" spans="1:11" ht="39.950000000000003" hidden="1" customHeight="1" outlineLevel="1" x14ac:dyDescent="0.25">
      <c r="A245" s="16"/>
      <c r="B245" s="24">
        <f ca="1">DATE(YEAR(TODAY()),8,15)</f>
        <v>42231</v>
      </c>
      <c r="C245" s="30"/>
      <c r="D245" s="53" t="s">
        <v>469</v>
      </c>
      <c r="E245" s="54"/>
      <c r="F245" s="51" t="s">
        <v>470</v>
      </c>
      <c r="G245" s="56"/>
      <c r="H245" s="52" t="s">
        <v>10</v>
      </c>
      <c r="I245" s="63"/>
      <c r="J245" s="63"/>
      <c r="K245" s="63">
        <f t="shared" si="7"/>
        <v>0</v>
      </c>
    </row>
    <row r="246" spans="1:11" ht="39.950000000000003" hidden="1" customHeight="1" outlineLevel="1" x14ac:dyDescent="0.25">
      <c r="B246" s="20">
        <f ca="1">DATE(YEAR(TODAY()),8,16)</f>
        <v>42232</v>
      </c>
      <c r="C246" s="32"/>
      <c r="D246" s="53" t="s">
        <v>471</v>
      </c>
      <c r="E246" s="54"/>
      <c r="F246" s="51" t="s">
        <v>472</v>
      </c>
      <c r="G246" s="56"/>
      <c r="H246" s="52" t="s">
        <v>10</v>
      </c>
      <c r="I246" s="63"/>
      <c r="J246" s="63"/>
      <c r="K246" s="63">
        <f t="shared" si="7"/>
        <v>0</v>
      </c>
    </row>
    <row r="247" spans="1:11" ht="39.950000000000003" hidden="1" customHeight="1" outlineLevel="1" x14ac:dyDescent="0.25">
      <c r="B247" s="17">
        <f ca="1">DATE(YEAR(TODAY()),8,17)</f>
        <v>42233</v>
      </c>
      <c r="C247" s="31"/>
      <c r="D247" s="53" t="s">
        <v>473</v>
      </c>
      <c r="E247" s="54"/>
      <c r="F247" s="51" t="s">
        <v>474</v>
      </c>
      <c r="G247" s="56"/>
      <c r="H247" s="52" t="s">
        <v>13</v>
      </c>
      <c r="I247" s="63"/>
      <c r="J247" s="63"/>
      <c r="K247" s="63">
        <f t="shared" si="7"/>
        <v>0</v>
      </c>
    </row>
    <row r="248" spans="1:11" ht="39.950000000000003" hidden="1" customHeight="1" outlineLevel="1" x14ac:dyDescent="0.25">
      <c r="B248" s="14">
        <f ca="1">DATE(YEAR(TODAY()),8,18)</f>
        <v>42234</v>
      </c>
      <c r="C248" s="33"/>
      <c r="D248" s="53" t="s">
        <v>475</v>
      </c>
      <c r="E248" s="54"/>
      <c r="F248" s="51" t="s">
        <v>240</v>
      </c>
      <c r="G248" s="56"/>
      <c r="H248" s="52" t="s">
        <v>10</v>
      </c>
      <c r="I248" s="63"/>
      <c r="J248" s="63"/>
      <c r="K248" s="63">
        <f t="shared" si="7"/>
        <v>0</v>
      </c>
    </row>
    <row r="249" spans="1:11" ht="39.950000000000003" hidden="1" customHeight="1" outlineLevel="1" x14ac:dyDescent="0.25">
      <c r="B249" s="17">
        <f ca="1">DATE(YEAR(TODAY()),8,19)</f>
        <v>42235</v>
      </c>
      <c r="C249" s="31"/>
      <c r="D249" s="53" t="s">
        <v>476</v>
      </c>
      <c r="E249" s="54"/>
      <c r="F249" s="51" t="s">
        <v>154</v>
      </c>
      <c r="G249" s="56"/>
      <c r="H249" s="52" t="s">
        <v>34</v>
      </c>
      <c r="I249" s="63"/>
      <c r="J249" s="63"/>
      <c r="K249" s="63">
        <f t="shared" si="7"/>
        <v>0</v>
      </c>
    </row>
    <row r="250" spans="1:11" ht="39.950000000000003" hidden="1" customHeight="1" outlineLevel="1" x14ac:dyDescent="0.25">
      <c r="B250" s="24">
        <f ca="1">DATE(YEAR(TODAY()),8,20)</f>
        <v>42236</v>
      </c>
      <c r="C250" s="30"/>
      <c r="D250" s="53" t="s">
        <v>477</v>
      </c>
      <c r="E250" s="54"/>
      <c r="F250" s="51" t="s">
        <v>478</v>
      </c>
      <c r="G250" s="56"/>
      <c r="H250" s="52" t="s">
        <v>10</v>
      </c>
      <c r="I250" s="63"/>
      <c r="J250" s="63"/>
      <c r="K250" s="63">
        <f t="shared" si="7"/>
        <v>0</v>
      </c>
    </row>
    <row r="251" spans="1:11" ht="39.950000000000003" hidden="1" customHeight="1" outlineLevel="1" x14ac:dyDescent="0.25">
      <c r="B251" s="24">
        <f ca="1">DATE(YEAR(TODAY()),8,21)</f>
        <v>42237</v>
      </c>
      <c r="C251" s="30"/>
      <c r="D251" s="53" t="s">
        <v>479</v>
      </c>
      <c r="E251" s="54"/>
      <c r="F251" s="51" t="s">
        <v>480</v>
      </c>
      <c r="G251" s="56"/>
      <c r="H251" s="52" t="s">
        <v>10</v>
      </c>
      <c r="I251" s="63"/>
      <c r="J251" s="63"/>
      <c r="K251" s="63">
        <f t="shared" si="7"/>
        <v>0</v>
      </c>
    </row>
    <row r="252" spans="1:11" ht="39.950000000000003" hidden="1" customHeight="1" outlineLevel="1" x14ac:dyDescent="0.25">
      <c r="B252" s="17">
        <f ca="1">DATE(YEAR(TODAY()),8,22)</f>
        <v>42238</v>
      </c>
      <c r="C252" s="31"/>
      <c r="D252" s="53" t="s">
        <v>481</v>
      </c>
      <c r="E252" s="54"/>
      <c r="F252" s="51" t="s">
        <v>482</v>
      </c>
      <c r="G252" s="56"/>
      <c r="H252" s="52" t="s">
        <v>34</v>
      </c>
      <c r="I252" s="63"/>
      <c r="J252" s="63"/>
      <c r="K252" s="63">
        <f t="shared" si="7"/>
        <v>0</v>
      </c>
    </row>
    <row r="253" spans="1:11" ht="39.950000000000003" hidden="1" customHeight="1" outlineLevel="1" x14ac:dyDescent="0.25">
      <c r="B253" s="14">
        <f ca="1">DATE(YEAR(TODAY()),8,23)</f>
        <v>42239</v>
      </c>
      <c r="C253" s="33"/>
      <c r="D253" s="53" t="s">
        <v>483</v>
      </c>
      <c r="E253" s="54"/>
      <c r="F253" s="51" t="s">
        <v>484</v>
      </c>
      <c r="G253" s="56"/>
      <c r="H253" s="52" t="s">
        <v>10</v>
      </c>
      <c r="I253" s="63"/>
      <c r="J253" s="63"/>
      <c r="K253" s="63">
        <f t="shared" si="7"/>
        <v>0</v>
      </c>
    </row>
    <row r="254" spans="1:11" ht="39.950000000000003" hidden="1" customHeight="1" outlineLevel="1" x14ac:dyDescent="0.25">
      <c r="B254" s="20">
        <f ca="1">DATE(YEAR(TODAY()),8,24)</f>
        <v>42240</v>
      </c>
      <c r="C254" s="32"/>
      <c r="D254" s="53" t="s">
        <v>485</v>
      </c>
      <c r="E254" s="54"/>
      <c r="F254" s="51" t="s">
        <v>486</v>
      </c>
      <c r="G254" s="56"/>
      <c r="H254" s="52" t="s">
        <v>10</v>
      </c>
      <c r="I254" s="63"/>
      <c r="J254" s="63"/>
      <c r="K254" s="63">
        <f t="shared" si="7"/>
        <v>0</v>
      </c>
    </row>
    <row r="255" spans="1:11" ht="39.950000000000003" hidden="1" customHeight="1" outlineLevel="1" x14ac:dyDescent="0.25">
      <c r="B255" s="24">
        <f ca="1">DATE(YEAR(TODAY()),8,25)</f>
        <v>42241</v>
      </c>
      <c r="C255" s="30"/>
      <c r="D255" s="53" t="s">
        <v>487</v>
      </c>
      <c r="E255" s="54"/>
      <c r="F255" s="51" t="s">
        <v>488</v>
      </c>
      <c r="G255" s="56"/>
      <c r="H255" s="52" t="s">
        <v>10</v>
      </c>
      <c r="I255" s="63"/>
      <c r="J255" s="63"/>
      <c r="K255" s="63">
        <f t="shared" si="7"/>
        <v>0</v>
      </c>
    </row>
    <row r="256" spans="1:11" ht="39.950000000000003" hidden="1" customHeight="1" outlineLevel="1" x14ac:dyDescent="0.25">
      <c r="B256" s="14">
        <f ca="1">DATE(YEAR(TODAY()),8,26)</f>
        <v>42242</v>
      </c>
      <c r="C256" s="33"/>
      <c r="D256" s="53" t="s">
        <v>489</v>
      </c>
      <c r="E256" s="54"/>
      <c r="F256" s="51" t="s">
        <v>123</v>
      </c>
      <c r="G256" s="56"/>
      <c r="H256" s="52" t="s">
        <v>10</v>
      </c>
      <c r="I256" s="63"/>
      <c r="J256" s="63"/>
      <c r="K256" s="63">
        <f t="shared" si="7"/>
        <v>0</v>
      </c>
    </row>
    <row r="257" spans="2:14" ht="39.950000000000003" hidden="1" customHeight="1" outlineLevel="1" x14ac:dyDescent="0.25">
      <c r="B257" s="20">
        <f ca="1">DATE(YEAR(TODAY()),8,27)</f>
        <v>42243</v>
      </c>
      <c r="C257" s="32"/>
      <c r="D257" s="53" t="s">
        <v>490</v>
      </c>
      <c r="E257" s="54"/>
      <c r="F257" s="51" t="s">
        <v>491</v>
      </c>
      <c r="G257" s="56"/>
      <c r="H257" s="52" t="s">
        <v>10</v>
      </c>
      <c r="I257" s="63"/>
      <c r="J257" s="63"/>
      <c r="K257" s="63">
        <f t="shared" si="7"/>
        <v>0</v>
      </c>
    </row>
    <row r="258" spans="2:14" ht="39.950000000000003" hidden="1" customHeight="1" outlineLevel="1" x14ac:dyDescent="0.25">
      <c r="B258" s="17">
        <f ca="1">DATE(YEAR(TODAY()),8,28)</f>
        <v>42244</v>
      </c>
      <c r="C258" s="31"/>
      <c r="D258" s="53" t="s">
        <v>492</v>
      </c>
      <c r="E258" s="54"/>
      <c r="F258" s="51" t="s">
        <v>493</v>
      </c>
      <c r="G258" s="56"/>
      <c r="H258" s="52" t="s">
        <v>13</v>
      </c>
      <c r="I258" s="63"/>
      <c r="J258" s="63"/>
      <c r="K258" s="63">
        <f t="shared" si="7"/>
        <v>0</v>
      </c>
    </row>
    <row r="259" spans="2:14" ht="39.950000000000003" hidden="1" customHeight="1" outlineLevel="1" x14ac:dyDescent="0.25">
      <c r="B259" s="14">
        <f ca="1">DATE(YEAR(TODAY()),8,29)</f>
        <v>42245</v>
      </c>
      <c r="C259" s="33"/>
      <c r="D259" s="53" t="s">
        <v>494</v>
      </c>
      <c r="E259" s="54"/>
      <c r="F259" s="51" t="s">
        <v>495</v>
      </c>
      <c r="G259" s="56"/>
      <c r="H259" s="52" t="s">
        <v>10</v>
      </c>
      <c r="I259" s="63"/>
      <c r="J259" s="63"/>
      <c r="K259" s="63">
        <f t="shared" si="7"/>
        <v>0</v>
      </c>
    </row>
    <row r="260" spans="2:14" ht="39.950000000000003" hidden="1" customHeight="1" outlineLevel="1" x14ac:dyDescent="0.25">
      <c r="B260" s="24">
        <f ca="1">DATE(YEAR(TODAY()),8,30)</f>
        <v>42246</v>
      </c>
      <c r="C260" s="30"/>
      <c r="D260" s="53" t="s">
        <v>496</v>
      </c>
      <c r="E260" s="54"/>
      <c r="F260" s="51" t="s">
        <v>497</v>
      </c>
      <c r="G260" s="56"/>
      <c r="H260" s="52" t="s">
        <v>10</v>
      </c>
      <c r="I260" s="63"/>
      <c r="J260" s="63"/>
      <c r="K260" s="63">
        <f t="shared" si="7"/>
        <v>0</v>
      </c>
    </row>
    <row r="261" spans="2:14" ht="39.950000000000003" hidden="1" customHeight="1" outlineLevel="1" x14ac:dyDescent="0.25">
      <c r="B261" s="17">
        <f ca="1">DATE(YEAR(TODAY()),8,31)</f>
        <v>42247</v>
      </c>
      <c r="C261" s="31"/>
      <c r="D261" s="53" t="s">
        <v>498</v>
      </c>
      <c r="E261" s="54"/>
      <c r="F261" s="51" t="s">
        <v>499</v>
      </c>
      <c r="G261" s="56"/>
      <c r="H261" s="52" t="s">
        <v>34</v>
      </c>
      <c r="I261" s="63"/>
      <c r="J261" s="63"/>
      <c r="K261" s="63">
        <f t="shared" si="7"/>
        <v>0</v>
      </c>
    </row>
    <row r="262" spans="2:14" ht="21" customHeight="1" collapsed="1" x14ac:dyDescent="0.35">
      <c r="B262" s="67" t="s">
        <v>500</v>
      </c>
      <c r="C262" s="67"/>
      <c r="D262" s="67"/>
      <c r="E262" s="67"/>
      <c r="F262" s="67"/>
      <c r="G262" s="67"/>
      <c r="H262" s="67"/>
      <c r="I262" s="67"/>
      <c r="J262" s="67"/>
      <c r="K262" s="67"/>
    </row>
    <row r="263" spans="2:14" ht="15" hidden="1" customHeight="1" outlineLevel="1" x14ac:dyDescent="0.25">
      <c r="B263" s="35" t="s">
        <v>1</v>
      </c>
      <c r="C263" s="36"/>
      <c r="D263" s="37" t="s">
        <v>2</v>
      </c>
      <c r="E263" s="37"/>
      <c r="F263" s="38" t="s">
        <v>3</v>
      </c>
      <c r="G263" s="39"/>
      <c r="H263" s="39" t="s">
        <v>4</v>
      </c>
      <c r="I263" s="40" t="s">
        <v>5</v>
      </c>
      <c r="J263" s="40" t="s">
        <v>6</v>
      </c>
      <c r="K263" s="40" t="s">
        <v>7</v>
      </c>
    </row>
    <row r="264" spans="2:14" ht="39.950000000000003" hidden="1" customHeight="1" outlineLevel="1" x14ac:dyDescent="0.25">
      <c r="B264" s="20">
        <f ca="1">DATE(YEAR(TODAY()),9,1)</f>
        <v>42248</v>
      </c>
      <c r="C264" s="32"/>
      <c r="D264" s="53" t="s">
        <v>501</v>
      </c>
      <c r="E264" s="54"/>
      <c r="F264" s="51" t="s">
        <v>502</v>
      </c>
      <c r="G264" s="56"/>
      <c r="H264" s="52" t="s">
        <v>10</v>
      </c>
      <c r="I264" s="63"/>
      <c r="J264" s="63"/>
      <c r="K264" s="63">
        <f>SUM(I264*J264)</f>
        <v>0</v>
      </c>
    </row>
    <row r="265" spans="2:14" ht="39.950000000000003" hidden="1" customHeight="1" outlineLevel="1" x14ac:dyDescent="0.25">
      <c r="B265" s="17">
        <f ca="1">DATE(YEAR(TODAY()),9,2)</f>
        <v>42249</v>
      </c>
      <c r="C265" s="31"/>
      <c r="D265" s="53" t="s">
        <v>503</v>
      </c>
      <c r="E265" s="54"/>
      <c r="F265" s="51" t="s">
        <v>504</v>
      </c>
      <c r="G265" s="56"/>
      <c r="H265" s="52" t="s">
        <v>34</v>
      </c>
      <c r="I265" s="63"/>
      <c r="J265" s="63"/>
      <c r="K265" s="63">
        <f t="shared" ref="K265:K293" si="8">SUM(I265*J265)</f>
        <v>0</v>
      </c>
      <c r="N265" s="19" t="s">
        <v>14</v>
      </c>
    </row>
    <row r="266" spans="2:14" ht="39.950000000000003" hidden="1" customHeight="1" outlineLevel="1" x14ac:dyDescent="0.25">
      <c r="B266" s="17">
        <f ca="1">DATE(YEAR(TODAY()),9,3)</f>
        <v>42250</v>
      </c>
      <c r="C266" s="31"/>
      <c r="D266" s="53" t="s">
        <v>505</v>
      </c>
      <c r="E266" s="54"/>
      <c r="F266" s="51" t="s">
        <v>506</v>
      </c>
      <c r="G266" s="56"/>
      <c r="H266" s="52" t="s">
        <v>13</v>
      </c>
      <c r="I266" s="63"/>
      <c r="J266" s="63"/>
      <c r="K266" s="63">
        <f t="shared" si="8"/>
        <v>0</v>
      </c>
      <c r="N266" s="19" t="s">
        <v>17</v>
      </c>
    </row>
    <row r="267" spans="2:14" ht="39.950000000000003" hidden="1" customHeight="1" outlineLevel="1" x14ac:dyDescent="0.25">
      <c r="B267" s="24">
        <f ca="1">DATE(YEAR(TODAY()),9,4)</f>
        <v>42251</v>
      </c>
      <c r="C267" s="30"/>
      <c r="D267" s="53" t="s">
        <v>507</v>
      </c>
      <c r="E267" s="54"/>
      <c r="F267" s="51" t="s">
        <v>508</v>
      </c>
      <c r="G267" s="56"/>
      <c r="H267" s="52" t="s">
        <v>10</v>
      </c>
      <c r="I267" s="63"/>
      <c r="J267" s="63"/>
      <c r="K267" s="63">
        <f t="shared" si="8"/>
        <v>0</v>
      </c>
      <c r="N267" s="19" t="s">
        <v>20</v>
      </c>
    </row>
    <row r="268" spans="2:14" ht="39.950000000000003" hidden="1" customHeight="1" outlineLevel="1" x14ac:dyDescent="0.25">
      <c r="B268" s="14">
        <f ca="1">DATE(YEAR(TODAY()),9,5)</f>
        <v>42252</v>
      </c>
      <c r="C268" s="33"/>
      <c r="D268" s="53" t="s">
        <v>509</v>
      </c>
      <c r="E268" s="54"/>
      <c r="F268" s="51" t="s">
        <v>510</v>
      </c>
      <c r="G268" s="56"/>
      <c r="H268" s="52" t="s">
        <v>10</v>
      </c>
      <c r="I268" s="63"/>
      <c r="J268" s="63"/>
      <c r="K268" s="63">
        <f t="shared" si="8"/>
        <v>0</v>
      </c>
      <c r="N268" s="19" t="s">
        <v>23</v>
      </c>
    </row>
    <row r="269" spans="2:14" ht="39.950000000000003" hidden="1" customHeight="1" outlineLevel="1" x14ac:dyDescent="0.25">
      <c r="B269" s="20">
        <f ca="1">DATE(YEAR(TODAY()),9,6)</f>
        <v>42253</v>
      </c>
      <c r="C269" s="32"/>
      <c r="D269" s="53" t="s">
        <v>511</v>
      </c>
      <c r="E269" s="54"/>
      <c r="F269" s="51" t="s">
        <v>512</v>
      </c>
      <c r="G269" s="56"/>
      <c r="H269" s="52" t="s">
        <v>10</v>
      </c>
      <c r="I269" s="63"/>
      <c r="J269" s="63"/>
      <c r="K269" s="63">
        <f t="shared" si="8"/>
        <v>0</v>
      </c>
      <c r="N269" s="19" t="s">
        <v>26</v>
      </c>
    </row>
    <row r="270" spans="2:14" ht="39.950000000000003" hidden="1" customHeight="1" outlineLevel="1" x14ac:dyDescent="0.25">
      <c r="B270" s="24">
        <f ca="1">DATE(YEAR(TODAY()),9,7)</f>
        <v>42254</v>
      </c>
      <c r="C270" s="30"/>
      <c r="D270" s="53" t="s">
        <v>513</v>
      </c>
      <c r="E270" s="54"/>
      <c r="F270" s="51" t="s">
        <v>514</v>
      </c>
      <c r="G270" s="56"/>
      <c r="H270" s="52" t="s">
        <v>10</v>
      </c>
      <c r="I270" s="63"/>
      <c r="J270" s="63"/>
      <c r="K270" s="63">
        <f t="shared" si="8"/>
        <v>0</v>
      </c>
      <c r="N270" s="19" t="s">
        <v>29</v>
      </c>
    </row>
    <row r="271" spans="2:14" ht="39.950000000000003" hidden="1" customHeight="1" outlineLevel="1" x14ac:dyDescent="0.25">
      <c r="B271" s="17">
        <f ca="1">DATE(YEAR(TODAY()),9,8)</f>
        <v>42255</v>
      </c>
      <c r="C271" s="31"/>
      <c r="D271" s="53" t="s">
        <v>515</v>
      </c>
      <c r="E271" s="54"/>
      <c r="F271" s="51" t="s">
        <v>324</v>
      </c>
      <c r="G271" s="56"/>
      <c r="H271" s="52" t="s">
        <v>13</v>
      </c>
      <c r="I271" s="63"/>
      <c r="J271" s="63"/>
      <c r="K271" s="63">
        <f t="shared" si="8"/>
        <v>0</v>
      </c>
    </row>
    <row r="272" spans="2:14" ht="39.950000000000003" hidden="1" customHeight="1" outlineLevel="1" x14ac:dyDescent="0.25">
      <c r="B272" s="14">
        <f ca="1">DATE(YEAR(TODAY()),9,9)</f>
        <v>42256</v>
      </c>
      <c r="C272" s="33"/>
      <c r="D272" s="53" t="s">
        <v>516</v>
      </c>
      <c r="E272" s="54"/>
      <c r="F272" s="51" t="s">
        <v>517</v>
      </c>
      <c r="G272" s="56"/>
      <c r="H272" s="52" t="s">
        <v>10</v>
      </c>
      <c r="I272" s="63"/>
      <c r="J272" s="63"/>
      <c r="K272" s="63">
        <f t="shared" si="8"/>
        <v>0</v>
      </c>
    </row>
    <row r="273" spans="2:11" ht="39.950000000000003" hidden="1" customHeight="1" outlineLevel="1" x14ac:dyDescent="0.25">
      <c r="B273" s="42">
        <f ca="1">DATE(YEAR(TODAY()),9,10)</f>
        <v>42257</v>
      </c>
      <c r="C273" s="43"/>
      <c r="D273" s="53" t="s">
        <v>518</v>
      </c>
      <c r="E273" s="54"/>
      <c r="F273" s="51" t="s">
        <v>519</v>
      </c>
      <c r="G273" s="56"/>
      <c r="H273" s="52" t="s">
        <v>10</v>
      </c>
      <c r="I273" s="63"/>
      <c r="J273" s="63"/>
      <c r="K273" s="63">
        <f t="shared" si="8"/>
        <v>0</v>
      </c>
    </row>
    <row r="274" spans="2:11" ht="39.950000000000003" hidden="1" customHeight="1" outlineLevel="1" x14ac:dyDescent="0.25">
      <c r="B274" s="24">
        <f ca="1">DATE(YEAR(TODAY()),9,11)</f>
        <v>42258</v>
      </c>
      <c r="C274" s="30"/>
      <c r="D274" s="53" t="s">
        <v>520</v>
      </c>
      <c r="E274" s="54"/>
      <c r="F274" s="51" t="s">
        <v>521</v>
      </c>
      <c r="G274" s="56"/>
      <c r="H274" s="52" t="s">
        <v>10</v>
      </c>
      <c r="I274" s="63"/>
      <c r="J274" s="63"/>
      <c r="K274" s="63">
        <f t="shared" si="8"/>
        <v>0</v>
      </c>
    </row>
    <row r="275" spans="2:11" ht="39.950000000000003" hidden="1" customHeight="1" outlineLevel="1" x14ac:dyDescent="0.25">
      <c r="B275" s="22">
        <f ca="1">DATE(YEAR(TODAY()),9,12)</f>
        <v>42259</v>
      </c>
      <c r="C275" s="41"/>
      <c r="D275" s="53" t="s">
        <v>522</v>
      </c>
      <c r="E275" s="54"/>
      <c r="F275" s="51" t="s">
        <v>523</v>
      </c>
      <c r="G275" s="56"/>
      <c r="H275" s="52" t="s">
        <v>10</v>
      </c>
      <c r="I275" s="63"/>
      <c r="J275" s="63"/>
      <c r="K275" s="63">
        <f t="shared" si="8"/>
        <v>0</v>
      </c>
    </row>
    <row r="276" spans="2:11" ht="39.950000000000003" hidden="1" customHeight="1" outlineLevel="1" x14ac:dyDescent="0.25">
      <c r="B276" s="17">
        <f ca="1">DATE(YEAR(TODAY()),9,13)</f>
        <v>42260</v>
      </c>
      <c r="C276" s="31"/>
      <c r="D276" s="53" t="s">
        <v>524</v>
      </c>
      <c r="E276" s="54"/>
      <c r="F276" s="51" t="s">
        <v>525</v>
      </c>
      <c r="G276" s="56"/>
      <c r="H276" s="52" t="s">
        <v>13</v>
      </c>
      <c r="I276" s="63"/>
      <c r="J276" s="63"/>
      <c r="K276" s="63">
        <f t="shared" si="8"/>
        <v>0</v>
      </c>
    </row>
    <row r="277" spans="2:11" ht="39.950000000000003" hidden="1" customHeight="1" outlineLevel="1" x14ac:dyDescent="0.25">
      <c r="B277" s="20">
        <f ca="1">DATE(YEAR(TODAY()),9,14)</f>
        <v>42261</v>
      </c>
      <c r="C277" s="32"/>
      <c r="D277" s="53" t="s">
        <v>526</v>
      </c>
      <c r="E277" s="54"/>
      <c r="F277" s="51" t="s">
        <v>527</v>
      </c>
      <c r="G277" s="56"/>
      <c r="H277" s="52" t="s">
        <v>10</v>
      </c>
      <c r="I277" s="63"/>
      <c r="J277" s="63"/>
      <c r="K277" s="63">
        <f t="shared" si="8"/>
        <v>0</v>
      </c>
    </row>
    <row r="278" spans="2:11" ht="39.950000000000003" hidden="1" customHeight="1" outlineLevel="1" x14ac:dyDescent="0.25">
      <c r="B278" s="17">
        <f ca="1">DATE(YEAR(TODAY()),9,15)</f>
        <v>42262</v>
      </c>
      <c r="C278" s="31"/>
      <c r="D278" s="53" t="s">
        <v>528</v>
      </c>
      <c r="E278" s="54"/>
      <c r="F278" s="51" t="s">
        <v>529</v>
      </c>
      <c r="G278" s="56"/>
      <c r="H278" s="52" t="s">
        <v>34</v>
      </c>
      <c r="I278" s="63"/>
      <c r="J278" s="63"/>
      <c r="K278" s="63">
        <f t="shared" si="8"/>
        <v>0</v>
      </c>
    </row>
    <row r="279" spans="2:11" ht="39.950000000000003" hidden="1" customHeight="1" outlineLevel="1" x14ac:dyDescent="0.25">
      <c r="B279" s="14">
        <f ca="1">DATE(YEAR(TODAY()),9,16)</f>
        <v>42263</v>
      </c>
      <c r="C279" s="33"/>
      <c r="D279" s="53" t="s">
        <v>530</v>
      </c>
      <c r="E279" s="54"/>
      <c r="F279" s="51" t="s">
        <v>531</v>
      </c>
      <c r="G279" s="56"/>
      <c r="H279" s="52" t="s">
        <v>10</v>
      </c>
      <c r="I279" s="63"/>
      <c r="J279" s="63"/>
      <c r="K279" s="63">
        <f t="shared" si="8"/>
        <v>0</v>
      </c>
    </row>
    <row r="280" spans="2:11" ht="39.950000000000003" hidden="1" customHeight="1" outlineLevel="1" x14ac:dyDescent="0.25">
      <c r="B280" s="20">
        <f ca="1">DATE(YEAR(TODAY()),9,17)</f>
        <v>42264</v>
      </c>
      <c r="C280" s="32"/>
      <c r="D280" s="53" t="s">
        <v>532</v>
      </c>
      <c r="E280" s="54"/>
      <c r="F280" s="51" t="s">
        <v>533</v>
      </c>
      <c r="G280" s="56"/>
      <c r="H280" s="52" t="s">
        <v>10</v>
      </c>
      <c r="I280" s="63"/>
      <c r="J280" s="63"/>
      <c r="K280" s="63">
        <f t="shared" si="8"/>
        <v>0</v>
      </c>
    </row>
    <row r="281" spans="2:11" ht="39.950000000000003" hidden="1" customHeight="1" outlineLevel="1" x14ac:dyDescent="0.25">
      <c r="B281" s="24">
        <f ca="1">DATE(YEAR(TODAY()),9,18)</f>
        <v>42265</v>
      </c>
      <c r="C281" s="30"/>
      <c r="D281" s="53" t="s">
        <v>534</v>
      </c>
      <c r="E281" s="54"/>
      <c r="F281" s="51" t="s">
        <v>535</v>
      </c>
      <c r="G281" s="56"/>
      <c r="H281" s="52" t="s">
        <v>10</v>
      </c>
      <c r="I281" s="63"/>
      <c r="J281" s="63"/>
      <c r="K281" s="63">
        <f t="shared" si="8"/>
        <v>0</v>
      </c>
    </row>
    <row r="282" spans="2:11" ht="39.950000000000003" hidden="1" customHeight="1" outlineLevel="1" x14ac:dyDescent="0.25">
      <c r="B282" s="24">
        <f ca="1">DATE(YEAR(TODAY()),9,19)</f>
        <v>42266</v>
      </c>
      <c r="C282" s="30"/>
      <c r="D282" s="53" t="s">
        <v>536</v>
      </c>
      <c r="E282" s="54"/>
      <c r="F282" s="51" t="s">
        <v>493</v>
      </c>
      <c r="G282" s="56"/>
      <c r="H282" s="52" t="s">
        <v>10</v>
      </c>
      <c r="I282" s="63"/>
      <c r="J282" s="63"/>
      <c r="K282" s="63">
        <f t="shared" si="8"/>
        <v>0</v>
      </c>
    </row>
    <row r="283" spans="2:11" ht="39.950000000000003" hidden="1" customHeight="1" outlineLevel="1" x14ac:dyDescent="0.25">
      <c r="B283" s="17">
        <f ca="1">DATE(YEAR(TODAY()),9,20)</f>
        <v>42267</v>
      </c>
      <c r="C283" s="31"/>
      <c r="D283" s="53" t="s">
        <v>537</v>
      </c>
      <c r="E283" s="54"/>
      <c r="F283" s="51" t="s">
        <v>538</v>
      </c>
      <c r="G283" s="56"/>
      <c r="H283" s="52" t="s">
        <v>13</v>
      </c>
      <c r="I283" s="63"/>
      <c r="J283" s="63"/>
      <c r="K283" s="63">
        <f t="shared" si="8"/>
        <v>0</v>
      </c>
    </row>
    <row r="284" spans="2:11" ht="39.950000000000003" hidden="1" customHeight="1" outlineLevel="1" x14ac:dyDescent="0.25">
      <c r="B284" s="17">
        <f ca="1">DATE(YEAR(TODAY()),9,21)</f>
        <v>42268</v>
      </c>
      <c r="C284" s="31"/>
      <c r="D284" s="53" t="s">
        <v>539</v>
      </c>
      <c r="E284" s="54"/>
      <c r="F284" s="51" t="s">
        <v>540</v>
      </c>
      <c r="G284" s="56"/>
      <c r="H284" s="52" t="s">
        <v>34</v>
      </c>
      <c r="I284" s="63"/>
      <c r="J284" s="63"/>
      <c r="K284" s="63">
        <f t="shared" si="8"/>
        <v>0</v>
      </c>
    </row>
    <row r="285" spans="2:11" ht="39.950000000000003" hidden="1" customHeight="1" outlineLevel="1" x14ac:dyDescent="0.25">
      <c r="B285" s="24">
        <f ca="1">DATE(YEAR(TODAY()),9,22)</f>
        <v>42269</v>
      </c>
      <c r="C285" s="30"/>
      <c r="D285" s="53" t="s">
        <v>541</v>
      </c>
      <c r="E285" s="54"/>
      <c r="F285" s="51" t="s">
        <v>542</v>
      </c>
      <c r="G285" s="56"/>
      <c r="H285" s="52" t="s">
        <v>10</v>
      </c>
      <c r="I285" s="63"/>
      <c r="J285" s="63"/>
      <c r="K285" s="63">
        <f t="shared" si="8"/>
        <v>0</v>
      </c>
    </row>
    <row r="286" spans="2:11" ht="39.950000000000003" hidden="1" customHeight="1" outlineLevel="1" x14ac:dyDescent="0.25">
      <c r="B286" s="14">
        <f ca="1">DATE(YEAR(TODAY()),9,23)</f>
        <v>42270</v>
      </c>
      <c r="C286" s="33"/>
      <c r="D286" s="53" t="s">
        <v>543</v>
      </c>
      <c r="E286" s="54"/>
      <c r="F286" s="51" t="s">
        <v>544</v>
      </c>
      <c r="G286" s="56"/>
      <c r="H286" s="52" t="s">
        <v>10</v>
      </c>
      <c r="I286" s="63"/>
      <c r="J286" s="63"/>
      <c r="K286" s="63">
        <f t="shared" si="8"/>
        <v>0</v>
      </c>
    </row>
    <row r="287" spans="2:11" ht="39.950000000000003" hidden="1" customHeight="1" outlineLevel="1" x14ac:dyDescent="0.25">
      <c r="B287" s="17">
        <f ca="1">DATE(YEAR(TODAY()),9,24)</f>
        <v>42271</v>
      </c>
      <c r="C287" s="31"/>
      <c r="D287" s="53" t="s">
        <v>545</v>
      </c>
      <c r="E287" s="54"/>
      <c r="F287" s="51" t="s">
        <v>546</v>
      </c>
      <c r="G287" s="56"/>
      <c r="H287" s="52" t="s">
        <v>34</v>
      </c>
      <c r="I287" s="63"/>
      <c r="J287" s="63"/>
      <c r="K287" s="63">
        <f t="shared" si="8"/>
        <v>0</v>
      </c>
    </row>
    <row r="288" spans="2:11" ht="39.950000000000003" hidden="1" customHeight="1" outlineLevel="1" x14ac:dyDescent="0.25">
      <c r="B288" s="20">
        <f ca="1">DATE(YEAR(TODAY()),9,25)</f>
        <v>42272</v>
      </c>
      <c r="C288" s="32"/>
      <c r="D288" s="53" t="s">
        <v>547</v>
      </c>
      <c r="E288" s="54"/>
      <c r="F288" s="51" t="s">
        <v>548</v>
      </c>
      <c r="G288" s="56"/>
      <c r="H288" s="52" t="s">
        <v>10</v>
      </c>
      <c r="I288" s="63"/>
      <c r="J288" s="63"/>
      <c r="K288" s="63">
        <f t="shared" si="8"/>
        <v>0</v>
      </c>
    </row>
    <row r="289" spans="2:14" ht="39.950000000000003" hidden="1" customHeight="1" outlineLevel="1" x14ac:dyDescent="0.25">
      <c r="B289" s="17">
        <f ca="1">DATE(YEAR(TODAY()),9,26)</f>
        <v>42273</v>
      </c>
      <c r="C289" s="31"/>
      <c r="D289" s="53" t="s">
        <v>549</v>
      </c>
      <c r="E289" s="54"/>
      <c r="F289" s="51" t="s">
        <v>550</v>
      </c>
      <c r="G289" s="56"/>
      <c r="H289" s="52" t="s">
        <v>13</v>
      </c>
      <c r="I289" s="63"/>
      <c r="J289" s="63"/>
      <c r="K289" s="63">
        <f t="shared" si="8"/>
        <v>0</v>
      </c>
    </row>
    <row r="290" spans="2:14" ht="39.950000000000003" hidden="1" customHeight="1" outlineLevel="1" x14ac:dyDescent="0.25">
      <c r="B290" s="14">
        <f ca="1">DATE(YEAR(TODAY()),9,27)</f>
        <v>42274</v>
      </c>
      <c r="C290" s="33"/>
      <c r="D290" s="53" t="s">
        <v>551</v>
      </c>
      <c r="E290" s="54"/>
      <c r="F290" s="51" t="s">
        <v>552</v>
      </c>
      <c r="G290" s="56"/>
      <c r="H290" s="52" t="s">
        <v>10</v>
      </c>
      <c r="I290" s="63"/>
      <c r="J290" s="63"/>
      <c r="K290" s="63">
        <f t="shared" si="8"/>
        <v>0</v>
      </c>
    </row>
    <row r="291" spans="2:14" ht="39.950000000000003" hidden="1" customHeight="1" outlineLevel="1" x14ac:dyDescent="0.25">
      <c r="B291" s="24">
        <f ca="1">DATE(YEAR(TODAY()),9,28)</f>
        <v>42275</v>
      </c>
      <c r="C291" s="30"/>
      <c r="D291" s="53" t="s">
        <v>553</v>
      </c>
      <c r="E291" s="54"/>
      <c r="F291" s="51" t="s">
        <v>554</v>
      </c>
      <c r="G291" s="56"/>
      <c r="H291" s="52" t="s">
        <v>10</v>
      </c>
      <c r="I291" s="63"/>
      <c r="J291" s="63"/>
      <c r="K291" s="63">
        <f t="shared" si="8"/>
        <v>0</v>
      </c>
    </row>
    <row r="292" spans="2:14" ht="39.950000000000003" hidden="1" customHeight="1" outlineLevel="1" x14ac:dyDescent="0.25">
      <c r="B292" s="24">
        <f ca="1">DATE(YEAR(TODAY()),9,29)</f>
        <v>42276</v>
      </c>
      <c r="C292" s="30"/>
      <c r="D292" s="53" t="s">
        <v>555</v>
      </c>
      <c r="E292" s="54"/>
      <c r="F292" s="51" t="s">
        <v>556</v>
      </c>
      <c r="G292" s="56"/>
      <c r="H292" s="52" t="s">
        <v>10</v>
      </c>
      <c r="I292" s="63"/>
      <c r="J292" s="63"/>
      <c r="K292" s="63">
        <f t="shared" si="8"/>
        <v>0</v>
      </c>
    </row>
    <row r="293" spans="2:14" ht="39.950000000000003" hidden="1" customHeight="1" outlineLevel="1" x14ac:dyDescent="0.25">
      <c r="B293" s="14">
        <f ca="1">DATE(YEAR(TODAY()),9,30)</f>
        <v>42277</v>
      </c>
      <c r="C293" s="33"/>
      <c r="D293" s="53" t="s">
        <v>557</v>
      </c>
      <c r="E293" s="54"/>
      <c r="F293" s="51" t="s">
        <v>558</v>
      </c>
      <c r="G293" s="56"/>
      <c r="H293" s="52" t="s">
        <v>10</v>
      </c>
      <c r="I293" s="63"/>
      <c r="J293" s="63"/>
      <c r="K293" s="63">
        <f t="shared" si="8"/>
        <v>0</v>
      </c>
    </row>
    <row r="294" spans="2:14" ht="21" customHeight="1" collapsed="1" x14ac:dyDescent="0.35">
      <c r="B294" s="66" t="s">
        <v>559</v>
      </c>
      <c r="C294" s="66"/>
      <c r="D294" s="66"/>
      <c r="E294" s="66"/>
      <c r="F294" s="66"/>
      <c r="G294" s="66"/>
      <c r="H294" s="66"/>
      <c r="I294" s="66"/>
      <c r="J294" s="66"/>
      <c r="K294" s="66"/>
    </row>
    <row r="295" spans="2:14" ht="15" hidden="1" customHeight="1" outlineLevel="1" x14ac:dyDescent="0.25">
      <c r="B295" s="35" t="s">
        <v>1</v>
      </c>
      <c r="C295" s="36"/>
      <c r="D295" s="37" t="s">
        <v>2</v>
      </c>
      <c r="E295" s="37"/>
      <c r="F295" s="38" t="s">
        <v>3</v>
      </c>
      <c r="G295" s="39"/>
      <c r="H295" s="39" t="s">
        <v>4</v>
      </c>
      <c r="I295" s="40" t="s">
        <v>5</v>
      </c>
      <c r="J295" s="40" t="s">
        <v>6</v>
      </c>
      <c r="K295" s="40" t="s">
        <v>7</v>
      </c>
    </row>
    <row r="296" spans="2:14" ht="39.950000000000003" hidden="1" customHeight="1" outlineLevel="1" x14ac:dyDescent="0.25">
      <c r="B296" s="20">
        <f ca="1">DATE(YEAR(TODAY()),10,1)</f>
        <v>42278</v>
      </c>
      <c r="C296" s="32"/>
      <c r="D296" s="53" t="s">
        <v>560</v>
      </c>
      <c r="E296" s="54"/>
      <c r="F296" s="51" t="s">
        <v>561</v>
      </c>
      <c r="G296" s="56"/>
      <c r="H296" s="52" t="s">
        <v>10</v>
      </c>
      <c r="I296" s="63"/>
      <c r="J296" s="63"/>
      <c r="K296" s="63">
        <f>SUM(I296*J296)</f>
        <v>0</v>
      </c>
    </row>
    <row r="297" spans="2:14" ht="39.950000000000003" hidden="1" customHeight="1" outlineLevel="1" x14ac:dyDescent="0.25">
      <c r="B297" s="17">
        <f ca="1">DATE(YEAR(TODAY()),10,2)</f>
        <v>42279</v>
      </c>
      <c r="C297" s="31"/>
      <c r="D297" s="53" t="s">
        <v>562</v>
      </c>
      <c r="E297" s="54"/>
      <c r="F297" s="51" t="s">
        <v>563</v>
      </c>
      <c r="G297" s="56"/>
      <c r="H297" s="52" t="s">
        <v>13</v>
      </c>
      <c r="I297" s="63"/>
      <c r="J297" s="63"/>
      <c r="K297" s="63">
        <f t="shared" ref="K297:K326" si="9">SUM(I297*J297)</f>
        <v>0</v>
      </c>
      <c r="N297" s="19" t="s">
        <v>14</v>
      </c>
    </row>
    <row r="298" spans="2:14" ht="39.950000000000003" hidden="1" customHeight="1" outlineLevel="1" x14ac:dyDescent="0.25">
      <c r="B298" s="22">
        <f ca="1">DATE(YEAR(TODAY()),10,3)</f>
        <v>42280</v>
      </c>
      <c r="C298" s="41"/>
      <c r="D298" s="53" t="s">
        <v>564</v>
      </c>
      <c r="E298" s="54"/>
      <c r="F298" s="51" t="s">
        <v>565</v>
      </c>
      <c r="G298" s="56"/>
      <c r="H298" s="52" t="s">
        <v>34</v>
      </c>
      <c r="I298" s="63"/>
      <c r="J298" s="63"/>
      <c r="K298" s="63">
        <f t="shared" si="9"/>
        <v>0</v>
      </c>
      <c r="N298" s="19" t="s">
        <v>17</v>
      </c>
    </row>
    <row r="299" spans="2:14" ht="39.950000000000003" hidden="1" customHeight="1" outlineLevel="1" x14ac:dyDescent="0.25">
      <c r="B299" s="14">
        <f ca="1">DATE(YEAR(TODAY()),10,4)</f>
        <v>42281</v>
      </c>
      <c r="C299" s="33"/>
      <c r="D299" s="53" t="s">
        <v>566</v>
      </c>
      <c r="E299" s="54"/>
      <c r="F299" s="51" t="s">
        <v>567</v>
      </c>
      <c r="G299" s="56"/>
      <c r="H299" s="52" t="s">
        <v>10</v>
      </c>
      <c r="I299" s="63"/>
      <c r="J299" s="63"/>
      <c r="K299" s="63">
        <f t="shared" si="9"/>
        <v>0</v>
      </c>
      <c r="N299" s="19" t="s">
        <v>20</v>
      </c>
    </row>
    <row r="300" spans="2:14" ht="39.950000000000003" hidden="1" customHeight="1" outlineLevel="1" x14ac:dyDescent="0.25">
      <c r="B300" s="17">
        <f ca="1">DATE(YEAR(TODAY()),10,5)</f>
        <v>42282</v>
      </c>
      <c r="C300" s="31"/>
      <c r="D300" s="53" t="s">
        <v>568</v>
      </c>
      <c r="E300" s="54"/>
      <c r="F300" s="51" t="s">
        <v>569</v>
      </c>
      <c r="G300" s="56"/>
      <c r="H300" s="52" t="s">
        <v>34</v>
      </c>
      <c r="I300" s="63"/>
      <c r="J300" s="63"/>
      <c r="K300" s="63">
        <f t="shared" si="9"/>
        <v>0</v>
      </c>
      <c r="N300" s="19" t="s">
        <v>23</v>
      </c>
    </row>
    <row r="301" spans="2:14" ht="39.950000000000003" hidden="1" customHeight="1" outlineLevel="1" x14ac:dyDescent="0.25">
      <c r="B301" s="24">
        <f ca="1">DATE(YEAR(TODAY()),10,6)</f>
        <v>42283</v>
      </c>
      <c r="C301" s="30"/>
      <c r="D301" s="53" t="s">
        <v>570</v>
      </c>
      <c r="E301" s="54"/>
      <c r="F301" s="51" t="s">
        <v>571</v>
      </c>
      <c r="G301" s="56"/>
      <c r="H301" s="52" t="s">
        <v>10</v>
      </c>
      <c r="I301" s="63"/>
      <c r="J301" s="63"/>
      <c r="K301" s="63">
        <f t="shared" si="9"/>
        <v>0</v>
      </c>
      <c r="N301" s="19" t="s">
        <v>26</v>
      </c>
    </row>
    <row r="302" spans="2:14" ht="39.950000000000003" hidden="1" customHeight="1" outlineLevel="1" x14ac:dyDescent="0.25">
      <c r="B302" s="20">
        <f ca="1">DATE(YEAR(TODAY()),10,7)</f>
        <v>42284</v>
      </c>
      <c r="C302" s="32"/>
      <c r="D302" s="53" t="s">
        <v>572</v>
      </c>
      <c r="E302" s="54"/>
      <c r="F302" s="51" t="s">
        <v>573</v>
      </c>
      <c r="G302" s="56"/>
      <c r="H302" s="52" t="s">
        <v>10</v>
      </c>
      <c r="I302" s="63"/>
      <c r="J302" s="63"/>
      <c r="K302" s="63">
        <f t="shared" si="9"/>
        <v>0</v>
      </c>
      <c r="N302" s="19" t="s">
        <v>29</v>
      </c>
    </row>
    <row r="303" spans="2:14" ht="39.950000000000003" hidden="1" customHeight="1" outlineLevel="1" x14ac:dyDescent="0.25">
      <c r="B303" s="17">
        <f ca="1">DATE(YEAR(TODAY()),10,8)</f>
        <v>42285</v>
      </c>
      <c r="C303" s="31"/>
      <c r="D303" s="53" t="s">
        <v>574</v>
      </c>
      <c r="E303" s="54"/>
      <c r="F303" s="51" t="s">
        <v>575</v>
      </c>
      <c r="G303" s="56"/>
      <c r="H303" s="52" t="s">
        <v>34</v>
      </c>
      <c r="I303" s="63"/>
      <c r="J303" s="63"/>
      <c r="K303" s="63">
        <f t="shared" si="9"/>
        <v>0</v>
      </c>
    </row>
    <row r="304" spans="2:14" ht="39.950000000000003" hidden="1" customHeight="1" outlineLevel="1" x14ac:dyDescent="0.25">
      <c r="B304" s="24">
        <f ca="1">DATE(YEAR(TODAY()),10,9)</f>
        <v>42286</v>
      </c>
      <c r="C304" s="30"/>
      <c r="D304" s="53" t="s">
        <v>576</v>
      </c>
      <c r="E304" s="54"/>
      <c r="F304" s="51" t="s">
        <v>577</v>
      </c>
      <c r="G304" s="56"/>
      <c r="H304" s="52" t="s">
        <v>10</v>
      </c>
      <c r="I304" s="63"/>
      <c r="J304" s="63"/>
      <c r="K304" s="63">
        <f t="shared" si="9"/>
        <v>0</v>
      </c>
    </row>
    <row r="305" spans="2:11" ht="39.950000000000003" hidden="1" customHeight="1" outlineLevel="1" x14ac:dyDescent="0.25">
      <c r="B305" s="42">
        <f ca="1">DATE(YEAR(TODAY()),10,10)</f>
        <v>42287</v>
      </c>
      <c r="C305" s="43"/>
      <c r="D305" s="53" t="s">
        <v>578</v>
      </c>
      <c r="E305" s="54"/>
      <c r="F305" s="51" t="s">
        <v>579</v>
      </c>
      <c r="G305" s="56"/>
      <c r="H305" s="52" t="s">
        <v>34</v>
      </c>
      <c r="I305" s="63"/>
      <c r="J305" s="63"/>
      <c r="K305" s="63">
        <f t="shared" si="9"/>
        <v>0</v>
      </c>
    </row>
    <row r="306" spans="2:11" ht="39.950000000000003" hidden="1" customHeight="1" outlineLevel="1" x14ac:dyDescent="0.25">
      <c r="B306" s="14">
        <f ca="1">DATE(YEAR(TODAY()),10,11)</f>
        <v>42288</v>
      </c>
      <c r="C306" s="33"/>
      <c r="D306" s="53" t="s">
        <v>580</v>
      </c>
      <c r="E306" s="54"/>
      <c r="F306" s="51" t="s">
        <v>393</v>
      </c>
      <c r="G306" s="56"/>
      <c r="H306" s="52" t="s">
        <v>10</v>
      </c>
      <c r="I306" s="63"/>
      <c r="J306" s="63"/>
      <c r="K306" s="63">
        <f t="shared" si="9"/>
        <v>0</v>
      </c>
    </row>
    <row r="307" spans="2:11" ht="39.950000000000003" hidden="1" customHeight="1" outlineLevel="1" x14ac:dyDescent="0.25">
      <c r="B307" s="22">
        <f ca="1">DATE(YEAR(TODAY()),10,12)</f>
        <v>42289</v>
      </c>
      <c r="C307" s="41"/>
      <c r="D307" s="53" t="s">
        <v>581</v>
      </c>
      <c r="E307" s="54"/>
      <c r="F307" s="51" t="s">
        <v>582</v>
      </c>
      <c r="G307" s="56"/>
      <c r="H307" s="52" t="s">
        <v>10</v>
      </c>
      <c r="I307" s="63"/>
      <c r="J307" s="63"/>
      <c r="K307" s="63">
        <f t="shared" si="9"/>
        <v>0</v>
      </c>
    </row>
    <row r="308" spans="2:11" ht="39.950000000000003" hidden="1" customHeight="1" outlineLevel="1" x14ac:dyDescent="0.25">
      <c r="B308" s="24">
        <f ca="1">DATE(YEAR(TODAY()),10,13)</f>
        <v>42290</v>
      </c>
      <c r="C308" s="30"/>
      <c r="D308" s="53" t="s">
        <v>583</v>
      </c>
      <c r="E308" s="54"/>
      <c r="F308" s="51" t="s">
        <v>584</v>
      </c>
      <c r="G308" s="56"/>
      <c r="H308" s="52" t="s">
        <v>10</v>
      </c>
      <c r="I308" s="63"/>
      <c r="J308" s="63"/>
      <c r="K308" s="63">
        <f t="shared" si="9"/>
        <v>0</v>
      </c>
    </row>
    <row r="309" spans="2:11" ht="39.950000000000003" hidden="1" customHeight="1" outlineLevel="1" x14ac:dyDescent="0.25">
      <c r="B309" s="24">
        <f ca="1">DATE(YEAR(TODAY()),10,14)</f>
        <v>42291</v>
      </c>
      <c r="C309" s="30"/>
      <c r="D309" s="53" t="s">
        <v>585</v>
      </c>
      <c r="E309" s="54"/>
      <c r="F309" s="51" t="s">
        <v>586</v>
      </c>
      <c r="G309" s="56"/>
      <c r="H309" s="52" t="s">
        <v>10</v>
      </c>
      <c r="I309" s="63"/>
      <c r="J309" s="63"/>
      <c r="K309" s="63">
        <f t="shared" si="9"/>
        <v>0</v>
      </c>
    </row>
    <row r="310" spans="2:11" ht="39.950000000000003" hidden="1" customHeight="1" outlineLevel="1" x14ac:dyDescent="0.25">
      <c r="B310" s="17">
        <f ca="1">DATE(YEAR(TODAY()),10,15)</f>
        <v>42292</v>
      </c>
      <c r="C310" s="31"/>
      <c r="D310" s="53" t="s">
        <v>587</v>
      </c>
      <c r="E310" s="54"/>
      <c r="F310" s="51" t="s">
        <v>257</v>
      </c>
      <c r="G310" s="56"/>
      <c r="H310" s="52" t="s">
        <v>13</v>
      </c>
      <c r="I310" s="63"/>
      <c r="J310" s="63"/>
      <c r="K310" s="63">
        <f t="shared" si="9"/>
        <v>0</v>
      </c>
    </row>
    <row r="311" spans="2:11" ht="39.950000000000003" hidden="1" customHeight="1" outlineLevel="1" x14ac:dyDescent="0.25">
      <c r="B311" s="14">
        <f ca="1">DATE(YEAR(TODAY()),10,16)</f>
        <v>42293</v>
      </c>
      <c r="C311" s="33"/>
      <c r="D311" s="53" t="s">
        <v>588</v>
      </c>
      <c r="E311" s="54"/>
      <c r="F311" s="51" t="s">
        <v>589</v>
      </c>
      <c r="G311" s="56"/>
      <c r="H311" s="52" t="s">
        <v>10</v>
      </c>
      <c r="I311" s="63"/>
      <c r="J311" s="63"/>
      <c r="K311" s="63">
        <f t="shared" si="9"/>
        <v>0</v>
      </c>
    </row>
    <row r="312" spans="2:11" ht="39.950000000000003" hidden="1" customHeight="1" outlineLevel="1" x14ac:dyDescent="0.25">
      <c r="B312" s="17">
        <f ca="1">DATE(YEAR(TODAY()),10,17)</f>
        <v>42294</v>
      </c>
      <c r="C312" s="31"/>
      <c r="D312" s="53" t="s">
        <v>590</v>
      </c>
      <c r="E312" s="54"/>
      <c r="F312" s="51" t="s">
        <v>591</v>
      </c>
      <c r="G312" s="56"/>
      <c r="H312" s="52" t="s">
        <v>34</v>
      </c>
      <c r="I312" s="63"/>
      <c r="J312" s="63"/>
      <c r="K312" s="63">
        <f t="shared" si="9"/>
        <v>0</v>
      </c>
    </row>
    <row r="313" spans="2:11" ht="39.950000000000003" hidden="1" customHeight="1" outlineLevel="1" x14ac:dyDescent="0.25">
      <c r="B313" s="20">
        <f ca="1">DATE(YEAR(TODAY()),10,18)</f>
        <v>42295</v>
      </c>
      <c r="C313" s="32"/>
      <c r="D313" s="53" t="s">
        <v>592</v>
      </c>
      <c r="E313" s="54"/>
      <c r="F313" s="51" t="s">
        <v>593</v>
      </c>
      <c r="G313" s="56"/>
      <c r="H313" s="52" t="s">
        <v>10</v>
      </c>
      <c r="I313" s="63"/>
      <c r="J313" s="63"/>
      <c r="K313" s="63">
        <f t="shared" si="9"/>
        <v>0</v>
      </c>
    </row>
    <row r="314" spans="2:11" ht="39.950000000000003" hidden="1" customHeight="1" outlineLevel="1" x14ac:dyDescent="0.25">
      <c r="B314" s="17">
        <f ca="1">DATE(YEAR(TODAY()),10,19)</f>
        <v>42296</v>
      </c>
      <c r="C314" s="31"/>
      <c r="D314" s="53" t="s">
        <v>594</v>
      </c>
      <c r="E314" s="54"/>
      <c r="F314" s="51" t="s">
        <v>595</v>
      </c>
      <c r="G314" s="56"/>
      <c r="H314" s="52" t="s">
        <v>13</v>
      </c>
      <c r="I314" s="63"/>
      <c r="J314" s="63"/>
      <c r="K314" s="63">
        <f t="shared" si="9"/>
        <v>0</v>
      </c>
    </row>
    <row r="315" spans="2:11" ht="39.950000000000003" hidden="1" customHeight="1" outlineLevel="1" x14ac:dyDescent="0.25">
      <c r="B315" s="14">
        <f ca="1">DATE(YEAR(TODAY()),10,20)</f>
        <v>42297</v>
      </c>
      <c r="C315" s="33"/>
      <c r="D315" s="53" t="s">
        <v>596</v>
      </c>
      <c r="E315" s="54"/>
      <c r="F315" s="51" t="s">
        <v>597</v>
      </c>
      <c r="G315" s="56"/>
      <c r="H315" s="52" t="s">
        <v>10</v>
      </c>
      <c r="I315" s="63"/>
      <c r="J315" s="63"/>
      <c r="K315" s="63">
        <f t="shared" si="9"/>
        <v>0</v>
      </c>
    </row>
    <row r="316" spans="2:11" ht="39.950000000000003" hidden="1" customHeight="1" outlineLevel="1" x14ac:dyDescent="0.25">
      <c r="B316" s="17">
        <f ca="1">DATE(YEAR(TODAY()),10,21)</f>
        <v>42298</v>
      </c>
      <c r="C316" s="31"/>
      <c r="D316" s="53" t="s">
        <v>598</v>
      </c>
      <c r="E316" s="54"/>
      <c r="F316" s="51" t="s">
        <v>599</v>
      </c>
      <c r="G316" s="56"/>
      <c r="H316" s="52" t="s">
        <v>34</v>
      </c>
      <c r="I316" s="63"/>
      <c r="J316" s="63"/>
      <c r="K316" s="63">
        <f t="shared" si="9"/>
        <v>0</v>
      </c>
    </row>
    <row r="317" spans="2:11" ht="39.950000000000003" hidden="1" customHeight="1" outlineLevel="1" x14ac:dyDescent="0.25">
      <c r="B317" s="20">
        <f ca="1">DATE(YEAR(TODAY()),10,22)</f>
        <v>42299</v>
      </c>
      <c r="C317" s="32"/>
      <c r="D317" s="53" t="s">
        <v>600</v>
      </c>
      <c r="E317" s="54"/>
      <c r="F317" s="51" t="s">
        <v>601</v>
      </c>
      <c r="G317" s="56"/>
      <c r="H317" s="52" t="s">
        <v>10</v>
      </c>
      <c r="I317" s="63"/>
      <c r="J317" s="63"/>
      <c r="K317" s="63">
        <f t="shared" si="9"/>
        <v>0</v>
      </c>
    </row>
    <row r="318" spans="2:11" ht="39.950000000000003" hidden="1" customHeight="1" outlineLevel="1" x14ac:dyDescent="0.25">
      <c r="B318" s="24">
        <f ca="1">DATE(YEAR(TODAY()),10,23)</f>
        <v>42300</v>
      </c>
      <c r="C318" s="30"/>
      <c r="D318" s="53" t="s">
        <v>602</v>
      </c>
      <c r="E318" s="54"/>
      <c r="F318" s="51" t="s">
        <v>603</v>
      </c>
      <c r="G318" s="56"/>
      <c r="H318" s="52" t="s">
        <v>10</v>
      </c>
      <c r="I318" s="63"/>
      <c r="J318" s="63"/>
      <c r="K318" s="63">
        <f t="shared" si="9"/>
        <v>0</v>
      </c>
    </row>
    <row r="319" spans="2:11" ht="39.950000000000003" hidden="1" customHeight="1" outlineLevel="1" x14ac:dyDescent="0.25">
      <c r="B319" s="17">
        <f ca="1">DATE(YEAR(TODAY()),10,24)</f>
        <v>42301</v>
      </c>
      <c r="C319" s="31"/>
      <c r="D319" s="53" t="s">
        <v>604</v>
      </c>
      <c r="E319" s="54"/>
      <c r="F319" s="51" t="s">
        <v>368</v>
      </c>
      <c r="G319" s="56"/>
      <c r="H319" s="52" t="s">
        <v>13</v>
      </c>
      <c r="I319" s="63"/>
      <c r="J319" s="63"/>
      <c r="K319" s="63">
        <f t="shared" si="9"/>
        <v>0</v>
      </c>
    </row>
    <row r="320" spans="2:11" ht="39.950000000000003" hidden="1" customHeight="1" outlineLevel="1" x14ac:dyDescent="0.25">
      <c r="B320" s="14">
        <f ca="1">DATE(YEAR(TODAY()),10,25)</f>
        <v>42302</v>
      </c>
      <c r="C320" s="33"/>
      <c r="D320" s="53" t="s">
        <v>605</v>
      </c>
      <c r="E320" s="54"/>
      <c r="F320" s="51" t="s">
        <v>606</v>
      </c>
      <c r="G320" s="56"/>
      <c r="H320" s="52" t="s">
        <v>10</v>
      </c>
      <c r="I320" s="63"/>
      <c r="J320" s="63"/>
      <c r="K320" s="63">
        <f t="shared" si="9"/>
        <v>0</v>
      </c>
    </row>
    <row r="321" spans="2:14" ht="39.950000000000003" hidden="1" customHeight="1" outlineLevel="1" x14ac:dyDescent="0.25">
      <c r="B321" s="20">
        <f ca="1">DATE(YEAR(TODAY()),10,26)</f>
        <v>42303</v>
      </c>
      <c r="C321" s="32"/>
      <c r="D321" s="53" t="s">
        <v>607</v>
      </c>
      <c r="E321" s="54"/>
      <c r="F321" s="51" t="s">
        <v>608</v>
      </c>
      <c r="G321" s="56"/>
      <c r="H321" s="52" t="s">
        <v>10</v>
      </c>
      <c r="I321" s="63"/>
      <c r="J321" s="63"/>
      <c r="K321" s="63">
        <f t="shared" si="9"/>
        <v>0</v>
      </c>
    </row>
    <row r="322" spans="2:14" ht="39.950000000000003" hidden="1" customHeight="1" outlineLevel="1" x14ac:dyDescent="0.25">
      <c r="B322" s="17">
        <f ca="1">DATE(YEAR(TODAY()),10,27)</f>
        <v>42304</v>
      </c>
      <c r="C322" s="31"/>
      <c r="D322" s="53" t="s">
        <v>609</v>
      </c>
      <c r="E322" s="54"/>
      <c r="F322" s="51" t="s">
        <v>610</v>
      </c>
      <c r="G322" s="56"/>
      <c r="H322" s="52" t="s">
        <v>34</v>
      </c>
      <c r="I322" s="63"/>
      <c r="J322" s="63"/>
      <c r="K322" s="63">
        <f t="shared" si="9"/>
        <v>0</v>
      </c>
    </row>
    <row r="323" spans="2:14" ht="39.950000000000003" hidden="1" customHeight="1" outlineLevel="1" x14ac:dyDescent="0.25">
      <c r="B323" s="17">
        <f ca="1">DATE(YEAR(TODAY()),10,28)</f>
        <v>42305</v>
      </c>
      <c r="C323" s="31"/>
      <c r="D323" s="53" t="s">
        <v>611</v>
      </c>
      <c r="E323" s="54"/>
      <c r="F323" s="51" t="s">
        <v>612</v>
      </c>
      <c r="G323" s="56"/>
      <c r="H323" s="52" t="s">
        <v>13</v>
      </c>
      <c r="I323" s="63"/>
      <c r="J323" s="63"/>
      <c r="K323" s="63">
        <f t="shared" si="9"/>
        <v>0</v>
      </c>
    </row>
    <row r="324" spans="2:14" ht="39.950000000000003" hidden="1" customHeight="1" outlineLevel="1" x14ac:dyDescent="0.25">
      <c r="B324" s="24">
        <f ca="1">DATE(YEAR(TODAY()),10,29)</f>
        <v>42306</v>
      </c>
      <c r="C324" s="30"/>
      <c r="D324" s="53" t="s">
        <v>613</v>
      </c>
      <c r="E324" s="54"/>
      <c r="F324" s="51" t="s">
        <v>614</v>
      </c>
      <c r="G324" s="56"/>
      <c r="H324" s="52" t="s">
        <v>10</v>
      </c>
      <c r="I324" s="63"/>
      <c r="J324" s="63"/>
      <c r="K324" s="63">
        <f t="shared" si="9"/>
        <v>0</v>
      </c>
    </row>
    <row r="325" spans="2:14" ht="39.950000000000003" hidden="1" customHeight="1" outlineLevel="1" x14ac:dyDescent="0.25">
      <c r="B325" s="24">
        <f ca="1">DATE(YEAR(TODAY()),10,30)</f>
        <v>42307</v>
      </c>
      <c r="C325" s="30"/>
      <c r="D325" s="53" t="s">
        <v>615</v>
      </c>
      <c r="E325" s="54"/>
      <c r="F325" s="51" t="s">
        <v>616</v>
      </c>
      <c r="G325" s="56"/>
      <c r="H325" s="52" t="s">
        <v>10</v>
      </c>
      <c r="I325" s="63"/>
      <c r="J325" s="63"/>
      <c r="K325" s="63">
        <f t="shared" si="9"/>
        <v>0</v>
      </c>
    </row>
    <row r="326" spans="2:14" ht="39.950000000000003" hidden="1" customHeight="1" outlineLevel="1" x14ac:dyDescent="0.25">
      <c r="B326" s="29">
        <f ca="1">DATE(YEAR(TODAY()),10,31)</f>
        <v>42308</v>
      </c>
      <c r="C326" s="16"/>
      <c r="D326" s="53" t="s">
        <v>617</v>
      </c>
      <c r="E326" s="54"/>
      <c r="F326" s="51" t="s">
        <v>618</v>
      </c>
      <c r="G326" s="56"/>
      <c r="H326" s="52" t="s">
        <v>10</v>
      </c>
      <c r="I326" s="63"/>
      <c r="J326" s="63"/>
      <c r="K326" s="63">
        <f t="shared" si="9"/>
        <v>0</v>
      </c>
    </row>
    <row r="327" spans="2:14" ht="21" customHeight="1" collapsed="1" x14ac:dyDescent="0.35">
      <c r="B327" s="67" t="s">
        <v>619</v>
      </c>
      <c r="C327" s="67"/>
      <c r="D327" s="67"/>
      <c r="E327" s="67"/>
      <c r="F327" s="67"/>
      <c r="G327" s="67"/>
      <c r="H327" s="67"/>
      <c r="I327" s="67"/>
      <c r="J327" s="67"/>
      <c r="K327" s="67"/>
    </row>
    <row r="328" spans="2:14" ht="15" hidden="1" customHeight="1" outlineLevel="1" x14ac:dyDescent="0.25">
      <c r="B328" s="35" t="s">
        <v>1</v>
      </c>
      <c r="C328" s="36"/>
      <c r="D328" s="37" t="s">
        <v>2</v>
      </c>
      <c r="E328" s="37"/>
      <c r="F328" s="38" t="s">
        <v>3</v>
      </c>
      <c r="G328" s="39"/>
      <c r="H328" s="39" t="s">
        <v>4</v>
      </c>
      <c r="I328" s="40" t="s">
        <v>5</v>
      </c>
      <c r="J328" s="40" t="s">
        <v>6</v>
      </c>
      <c r="K328" s="40" t="s">
        <v>7</v>
      </c>
    </row>
    <row r="329" spans="2:14" ht="39.950000000000003" hidden="1" customHeight="1" outlineLevel="1" x14ac:dyDescent="0.25">
      <c r="B329" s="24">
        <f ca="1">DATE(YEAR(TODAY()),11,1)</f>
        <v>42309</v>
      </c>
      <c r="C329" s="30"/>
      <c r="D329" s="53" t="s">
        <v>620</v>
      </c>
      <c r="E329" s="54"/>
      <c r="F329" s="51" t="s">
        <v>621</v>
      </c>
      <c r="G329" s="56"/>
      <c r="H329" s="52" t="s">
        <v>10</v>
      </c>
      <c r="I329" s="63"/>
      <c r="J329" s="63"/>
      <c r="K329" s="63">
        <f>SUM(I329*J329)</f>
        <v>0</v>
      </c>
    </row>
    <row r="330" spans="2:14" ht="39.950000000000003" hidden="1" customHeight="1" outlineLevel="1" x14ac:dyDescent="0.25">
      <c r="B330" s="14">
        <f ca="1">DATE(YEAR(TODAY()),11,2)</f>
        <v>42310</v>
      </c>
      <c r="C330" s="33"/>
      <c r="D330" s="53" t="s">
        <v>622</v>
      </c>
      <c r="E330" s="54"/>
      <c r="F330" s="51" t="s">
        <v>623</v>
      </c>
      <c r="G330" s="56"/>
      <c r="H330" s="52" t="s">
        <v>10</v>
      </c>
      <c r="I330" s="63"/>
      <c r="J330" s="63"/>
      <c r="K330" s="63">
        <f t="shared" ref="K330:K358" si="10">SUM(I330*J330)</f>
        <v>0</v>
      </c>
      <c r="N330" s="19" t="s">
        <v>14</v>
      </c>
    </row>
    <row r="331" spans="2:14" ht="39.950000000000003" hidden="1" customHeight="1" outlineLevel="1" x14ac:dyDescent="0.25">
      <c r="B331" s="17">
        <f ca="1">DATE(YEAR(TODAY()),11,3)</f>
        <v>42311</v>
      </c>
      <c r="C331" s="31"/>
      <c r="D331" s="53" t="s">
        <v>624</v>
      </c>
      <c r="E331" s="54"/>
      <c r="F331" s="51" t="s">
        <v>625</v>
      </c>
      <c r="G331" s="56"/>
      <c r="H331" s="52" t="s">
        <v>34</v>
      </c>
      <c r="I331" s="63"/>
      <c r="J331" s="63"/>
      <c r="K331" s="63">
        <f t="shared" si="10"/>
        <v>0</v>
      </c>
      <c r="N331" s="19" t="s">
        <v>17</v>
      </c>
    </row>
    <row r="332" spans="2:14" ht="39.950000000000003" hidden="1" customHeight="1" outlineLevel="1" x14ac:dyDescent="0.25">
      <c r="B332" s="20">
        <f ca="1">DATE(YEAR(TODAY()),11,4)</f>
        <v>42312</v>
      </c>
      <c r="C332" s="32"/>
      <c r="D332" s="53" t="s">
        <v>626</v>
      </c>
      <c r="E332" s="54"/>
      <c r="F332" s="51" t="s">
        <v>328</v>
      </c>
      <c r="G332" s="56"/>
      <c r="H332" s="52" t="s">
        <v>10</v>
      </c>
      <c r="I332" s="63"/>
      <c r="J332" s="63"/>
      <c r="K332" s="63">
        <f t="shared" si="10"/>
        <v>0</v>
      </c>
      <c r="N332" s="19" t="s">
        <v>20</v>
      </c>
    </row>
    <row r="333" spans="2:14" ht="39.950000000000003" hidden="1" customHeight="1" outlineLevel="1" x14ac:dyDescent="0.25">
      <c r="B333" s="24">
        <f ca="1">DATE(YEAR(TODAY()),11,5)</f>
        <v>42313</v>
      </c>
      <c r="C333" s="30"/>
      <c r="D333" s="53" t="s">
        <v>627</v>
      </c>
      <c r="E333" s="54"/>
      <c r="F333" s="51" t="s">
        <v>628</v>
      </c>
      <c r="G333" s="56"/>
      <c r="H333" s="52" t="s">
        <v>10</v>
      </c>
      <c r="I333" s="63"/>
      <c r="J333" s="63"/>
      <c r="K333" s="63">
        <f t="shared" si="10"/>
        <v>0</v>
      </c>
      <c r="N333" s="19" t="s">
        <v>23</v>
      </c>
    </row>
    <row r="334" spans="2:14" ht="39.950000000000003" hidden="1" customHeight="1" outlineLevel="1" x14ac:dyDescent="0.25">
      <c r="B334" s="17">
        <f ca="1">DATE(YEAR(TODAY()),11,6)</f>
        <v>42314</v>
      </c>
      <c r="C334" s="31"/>
      <c r="D334" s="53" t="s">
        <v>629</v>
      </c>
      <c r="E334" s="54"/>
      <c r="F334" s="51" t="s">
        <v>182</v>
      </c>
      <c r="G334" s="56"/>
      <c r="H334" s="52" t="s">
        <v>13</v>
      </c>
      <c r="I334" s="63"/>
      <c r="J334" s="63"/>
      <c r="K334" s="63">
        <f t="shared" si="10"/>
        <v>0</v>
      </c>
      <c r="N334" s="19" t="s">
        <v>26</v>
      </c>
    </row>
    <row r="335" spans="2:14" ht="39.950000000000003" hidden="1" customHeight="1" outlineLevel="1" x14ac:dyDescent="0.25">
      <c r="B335" s="20">
        <f ca="1">DATE(YEAR(TODAY()),11,7)</f>
        <v>42315</v>
      </c>
      <c r="C335" s="32"/>
      <c r="D335" s="53" t="s">
        <v>630</v>
      </c>
      <c r="E335" s="54"/>
      <c r="F335" s="51" t="s">
        <v>631</v>
      </c>
      <c r="G335" s="56"/>
      <c r="H335" s="52" t="s">
        <v>10</v>
      </c>
      <c r="I335" s="63"/>
      <c r="J335" s="63"/>
      <c r="K335" s="63">
        <f t="shared" si="10"/>
        <v>0</v>
      </c>
      <c r="N335" s="19" t="s">
        <v>29</v>
      </c>
    </row>
    <row r="336" spans="2:14" ht="39.950000000000003" hidden="1" customHeight="1" outlineLevel="1" x14ac:dyDescent="0.25">
      <c r="B336" s="24">
        <f ca="1">DATE(YEAR(TODAY()),11,8)</f>
        <v>42316</v>
      </c>
      <c r="C336" s="30"/>
      <c r="D336" s="53" t="s">
        <v>632</v>
      </c>
      <c r="E336" s="54"/>
      <c r="F336" s="51" t="s">
        <v>633</v>
      </c>
      <c r="G336" s="56"/>
      <c r="H336" s="52" t="s">
        <v>10</v>
      </c>
      <c r="I336" s="63"/>
      <c r="J336" s="63"/>
      <c r="K336" s="63">
        <f t="shared" si="10"/>
        <v>0</v>
      </c>
    </row>
    <row r="337" spans="2:11" ht="39.950000000000003" hidden="1" customHeight="1" outlineLevel="1" x14ac:dyDescent="0.25">
      <c r="B337" s="14">
        <f ca="1">DATE(YEAR(TODAY()),11,9)</f>
        <v>42317</v>
      </c>
      <c r="C337" s="33"/>
      <c r="D337" s="53" t="s">
        <v>634</v>
      </c>
      <c r="E337" s="54"/>
      <c r="F337" s="51" t="s">
        <v>635</v>
      </c>
      <c r="G337" s="56"/>
      <c r="H337" s="52" t="s">
        <v>10</v>
      </c>
      <c r="I337" s="63"/>
      <c r="J337" s="63"/>
      <c r="K337" s="63">
        <f t="shared" si="10"/>
        <v>0</v>
      </c>
    </row>
    <row r="338" spans="2:11" ht="39.950000000000003" hidden="1" customHeight="1" outlineLevel="1" x14ac:dyDescent="0.25">
      <c r="B338" s="42">
        <f ca="1">DATE(YEAR(TODAY()),11,10)</f>
        <v>42318</v>
      </c>
      <c r="C338" s="43"/>
      <c r="D338" s="53" t="s">
        <v>636</v>
      </c>
      <c r="E338" s="54"/>
      <c r="F338" s="51" t="s">
        <v>637</v>
      </c>
      <c r="G338" s="56"/>
      <c r="H338" s="52" t="s">
        <v>34</v>
      </c>
      <c r="I338" s="63"/>
      <c r="J338" s="63"/>
      <c r="K338" s="63">
        <f t="shared" si="10"/>
        <v>0</v>
      </c>
    </row>
    <row r="339" spans="2:11" ht="39.950000000000003" hidden="1" customHeight="1" outlineLevel="1" x14ac:dyDescent="0.25">
      <c r="B339" s="29">
        <f ca="1">DATE(YEAR(TODAY()),11,11)</f>
        <v>42319</v>
      </c>
      <c r="C339" s="16"/>
      <c r="D339" s="53" t="s">
        <v>638</v>
      </c>
      <c r="E339" s="54"/>
      <c r="F339" s="51" t="s">
        <v>639</v>
      </c>
      <c r="G339" s="56"/>
      <c r="H339" s="52" t="s">
        <v>10</v>
      </c>
      <c r="I339" s="63"/>
      <c r="J339" s="63"/>
      <c r="K339" s="63">
        <f t="shared" si="10"/>
        <v>0</v>
      </c>
    </row>
    <row r="340" spans="2:11" ht="39.950000000000003" hidden="1" customHeight="1" outlineLevel="1" x14ac:dyDescent="0.25">
      <c r="B340" s="17">
        <f ca="1">DATE(YEAR(TODAY()),11,12)</f>
        <v>42320</v>
      </c>
      <c r="C340" s="31"/>
      <c r="D340" s="53" t="s">
        <v>640</v>
      </c>
      <c r="E340" s="54"/>
      <c r="F340" s="51" t="s">
        <v>641</v>
      </c>
      <c r="G340" s="56"/>
      <c r="H340" s="52" t="s">
        <v>13</v>
      </c>
      <c r="I340" s="63"/>
      <c r="J340" s="63"/>
      <c r="K340" s="63">
        <f t="shared" si="10"/>
        <v>0</v>
      </c>
    </row>
    <row r="341" spans="2:11" ht="39.950000000000003" hidden="1" customHeight="1" outlineLevel="1" x14ac:dyDescent="0.25">
      <c r="B341" s="24">
        <f ca="1">DATE(YEAR(TODAY()),11,13)</f>
        <v>42321</v>
      </c>
      <c r="C341" s="30"/>
      <c r="D341" s="53" t="s">
        <v>642</v>
      </c>
      <c r="E341" s="54"/>
      <c r="F341" s="51" t="s">
        <v>643</v>
      </c>
      <c r="G341" s="56"/>
      <c r="H341" s="52" t="s">
        <v>10</v>
      </c>
      <c r="I341" s="63"/>
      <c r="J341" s="63"/>
      <c r="K341" s="63">
        <f t="shared" si="10"/>
        <v>0</v>
      </c>
    </row>
    <row r="342" spans="2:11" ht="39.950000000000003" hidden="1" customHeight="1" outlineLevel="1" x14ac:dyDescent="0.25">
      <c r="B342" s="14">
        <f ca="1">DATE(YEAR(TODAY()),11,14)</f>
        <v>42322</v>
      </c>
      <c r="C342" s="33"/>
      <c r="D342" s="53" t="s">
        <v>644</v>
      </c>
      <c r="E342" s="54"/>
      <c r="F342" s="51" t="s">
        <v>645</v>
      </c>
      <c r="G342" s="56"/>
      <c r="H342" s="52" t="s">
        <v>10</v>
      </c>
      <c r="I342" s="63"/>
      <c r="J342" s="63"/>
      <c r="K342" s="63">
        <f t="shared" si="10"/>
        <v>0</v>
      </c>
    </row>
    <row r="343" spans="2:11" ht="39.950000000000003" hidden="1" customHeight="1" outlineLevel="1" x14ac:dyDescent="0.25">
      <c r="B343" s="22">
        <f ca="1">DATE(YEAR(TODAY()),11,15)</f>
        <v>42323</v>
      </c>
      <c r="C343" s="41"/>
      <c r="D343" s="53" t="s">
        <v>646</v>
      </c>
      <c r="E343" s="54"/>
      <c r="F343" s="51" t="s">
        <v>647</v>
      </c>
      <c r="G343" s="56"/>
      <c r="H343" s="52" t="s">
        <v>34</v>
      </c>
      <c r="I343" s="63"/>
      <c r="J343" s="63"/>
      <c r="K343" s="63">
        <f t="shared" si="10"/>
        <v>0</v>
      </c>
    </row>
    <row r="344" spans="2:11" ht="39.950000000000003" hidden="1" customHeight="1" outlineLevel="1" x14ac:dyDescent="0.25">
      <c r="B344" s="20">
        <f ca="1">DATE(YEAR(TODAY()),11,16)</f>
        <v>42324</v>
      </c>
      <c r="C344" s="32"/>
      <c r="D344" s="53" t="s">
        <v>648</v>
      </c>
      <c r="E344" s="54"/>
      <c r="F344" s="51" t="s">
        <v>649</v>
      </c>
      <c r="G344" s="56"/>
      <c r="H344" s="52" t="s">
        <v>10</v>
      </c>
      <c r="I344" s="63"/>
      <c r="J344" s="63"/>
      <c r="K344" s="63">
        <f t="shared" si="10"/>
        <v>0</v>
      </c>
    </row>
    <row r="345" spans="2:11" ht="39.950000000000003" hidden="1" customHeight="1" outlineLevel="1" x14ac:dyDescent="0.25">
      <c r="B345" s="17">
        <f ca="1">DATE(YEAR(TODAY()),11,17)</f>
        <v>42325</v>
      </c>
      <c r="C345" s="31"/>
      <c r="D345" s="53" t="s">
        <v>650</v>
      </c>
      <c r="E345" s="54"/>
      <c r="F345" s="51" t="s">
        <v>651</v>
      </c>
      <c r="G345" s="56"/>
      <c r="H345" s="52" t="s">
        <v>13</v>
      </c>
      <c r="I345" s="63"/>
      <c r="J345" s="63"/>
      <c r="K345" s="63">
        <f t="shared" si="10"/>
        <v>0</v>
      </c>
    </row>
    <row r="346" spans="2:11" ht="39.950000000000003" hidden="1" customHeight="1" outlineLevel="1" x14ac:dyDescent="0.25">
      <c r="B346" s="24">
        <f ca="1">DATE(YEAR(TODAY()),11,18)</f>
        <v>42326</v>
      </c>
      <c r="C346" s="30"/>
      <c r="D346" s="53" t="s">
        <v>652</v>
      </c>
      <c r="E346" s="54"/>
      <c r="F346" s="51" t="s">
        <v>653</v>
      </c>
      <c r="G346" s="56"/>
      <c r="H346" s="52" t="s">
        <v>10</v>
      </c>
      <c r="I346" s="63"/>
      <c r="J346" s="63"/>
      <c r="K346" s="63">
        <f t="shared" si="10"/>
        <v>0</v>
      </c>
    </row>
    <row r="347" spans="2:11" ht="39.950000000000003" hidden="1" customHeight="1" outlineLevel="1" x14ac:dyDescent="0.25">
      <c r="B347" s="17">
        <f ca="1">DATE(YEAR(TODAY()),11,19)</f>
        <v>42327</v>
      </c>
      <c r="C347" s="31"/>
      <c r="D347" s="53" t="s">
        <v>654</v>
      </c>
      <c r="E347" s="54"/>
      <c r="F347" s="51" t="s">
        <v>655</v>
      </c>
      <c r="G347" s="56"/>
      <c r="H347" s="52" t="s">
        <v>34</v>
      </c>
      <c r="I347" s="63"/>
      <c r="J347" s="63"/>
      <c r="K347" s="63">
        <f t="shared" si="10"/>
        <v>0</v>
      </c>
    </row>
    <row r="348" spans="2:11" ht="39.950000000000003" hidden="1" customHeight="1" outlineLevel="1" x14ac:dyDescent="0.25">
      <c r="B348" s="24">
        <f ca="1">DATE(YEAR(TODAY()),11,20)</f>
        <v>42328</v>
      </c>
      <c r="C348" s="30"/>
      <c r="D348" s="53" t="s">
        <v>656</v>
      </c>
      <c r="E348" s="54"/>
      <c r="F348" s="51" t="s">
        <v>657</v>
      </c>
      <c r="G348" s="56"/>
      <c r="H348" s="52" t="s">
        <v>10</v>
      </c>
      <c r="I348" s="63"/>
      <c r="J348" s="63"/>
      <c r="K348" s="63">
        <f t="shared" si="10"/>
        <v>0</v>
      </c>
    </row>
    <row r="349" spans="2:11" ht="39.950000000000003" hidden="1" customHeight="1" outlineLevel="1" x14ac:dyDescent="0.25">
      <c r="B349" s="24">
        <f ca="1">DATE(YEAR(TODAY()),11,21)</f>
        <v>42329</v>
      </c>
      <c r="C349" s="30"/>
      <c r="D349" s="53" t="s">
        <v>658</v>
      </c>
      <c r="E349" s="54"/>
      <c r="F349" s="51" t="s">
        <v>659</v>
      </c>
      <c r="G349" s="56"/>
      <c r="H349" s="52" t="s">
        <v>10</v>
      </c>
      <c r="I349" s="63"/>
      <c r="J349" s="63"/>
      <c r="K349" s="63">
        <f t="shared" si="10"/>
        <v>0</v>
      </c>
    </row>
    <row r="350" spans="2:11" ht="39.950000000000003" hidden="1" customHeight="1" outlineLevel="1" x14ac:dyDescent="0.25">
      <c r="B350" s="24">
        <f ca="1">DATE(YEAR(TODAY()),11,22)</f>
        <v>42330</v>
      </c>
      <c r="C350" s="30"/>
      <c r="D350" s="53" t="s">
        <v>660</v>
      </c>
      <c r="E350" s="54"/>
      <c r="F350" s="51" t="s">
        <v>661</v>
      </c>
      <c r="G350" s="56"/>
      <c r="H350" s="52" t="s">
        <v>13</v>
      </c>
      <c r="I350" s="63"/>
      <c r="J350" s="63"/>
      <c r="K350" s="63">
        <f t="shared" si="10"/>
        <v>0</v>
      </c>
    </row>
    <row r="351" spans="2:11" ht="39.950000000000003" hidden="1" customHeight="1" outlineLevel="1" x14ac:dyDescent="0.25">
      <c r="B351" s="20">
        <f ca="1">DATE(YEAR(TODAY()),11,23)</f>
        <v>42331</v>
      </c>
      <c r="C351" s="32"/>
      <c r="D351" s="53" t="s">
        <v>662</v>
      </c>
      <c r="E351" s="54"/>
      <c r="F351" s="51" t="s">
        <v>663</v>
      </c>
      <c r="G351" s="56"/>
      <c r="H351" s="52" t="s">
        <v>10</v>
      </c>
      <c r="I351" s="63"/>
      <c r="J351" s="63"/>
      <c r="K351" s="63">
        <f t="shared" si="10"/>
        <v>0</v>
      </c>
    </row>
    <row r="352" spans="2:11" ht="39.950000000000003" hidden="1" customHeight="1" outlineLevel="1" x14ac:dyDescent="0.25">
      <c r="B352" s="17">
        <f ca="1">DATE(YEAR(TODAY()),11,24)</f>
        <v>42332</v>
      </c>
      <c r="C352" s="31"/>
      <c r="D352" s="53" t="s">
        <v>664</v>
      </c>
      <c r="E352" s="54"/>
      <c r="F352" s="51" t="s">
        <v>12</v>
      </c>
      <c r="G352" s="56"/>
      <c r="H352" s="52" t="s">
        <v>13</v>
      </c>
      <c r="I352" s="63"/>
      <c r="J352" s="63"/>
      <c r="K352" s="63">
        <f t="shared" si="10"/>
        <v>0</v>
      </c>
    </row>
    <row r="353" spans="2:14" ht="39.950000000000003" hidden="1" customHeight="1" outlineLevel="1" x14ac:dyDescent="0.25">
      <c r="B353" s="14">
        <f ca="1">DATE(YEAR(TODAY()),11,25)</f>
        <v>42333</v>
      </c>
      <c r="C353" s="33"/>
      <c r="D353" s="53" t="s">
        <v>665</v>
      </c>
      <c r="E353" s="54"/>
      <c r="F353" s="51" t="s">
        <v>666</v>
      </c>
      <c r="G353" s="56"/>
      <c r="H353" s="52" t="s">
        <v>10</v>
      </c>
      <c r="I353" s="63"/>
      <c r="J353" s="63"/>
      <c r="K353" s="63">
        <f t="shared" si="10"/>
        <v>0</v>
      </c>
    </row>
    <row r="354" spans="2:14" ht="39.950000000000003" hidden="1" customHeight="1" outlineLevel="1" x14ac:dyDescent="0.25">
      <c r="B354" s="29">
        <f ca="1">DATE(YEAR(TODAY()),11,26)</f>
        <v>42334</v>
      </c>
      <c r="C354" s="16"/>
      <c r="D354" s="53" t="s">
        <v>660</v>
      </c>
      <c r="E354" s="54"/>
      <c r="F354" s="51" t="s">
        <v>667</v>
      </c>
      <c r="G354" s="56"/>
      <c r="H354" s="52" t="s">
        <v>10</v>
      </c>
      <c r="I354" s="63"/>
      <c r="J354" s="63"/>
      <c r="K354" s="63">
        <f t="shared" si="10"/>
        <v>0</v>
      </c>
    </row>
    <row r="355" spans="2:14" ht="39.950000000000003" hidden="1" customHeight="1" outlineLevel="1" x14ac:dyDescent="0.25">
      <c r="B355" s="20">
        <f ca="1">DATE(YEAR(TODAY()),11,27)</f>
        <v>42335</v>
      </c>
      <c r="C355" s="32"/>
      <c r="D355" s="53" t="s">
        <v>668</v>
      </c>
      <c r="E355" s="54"/>
      <c r="F355" s="51" t="s">
        <v>669</v>
      </c>
      <c r="G355" s="56"/>
      <c r="H355" s="52" t="s">
        <v>10</v>
      </c>
      <c r="I355" s="63"/>
      <c r="J355" s="63"/>
      <c r="K355" s="63">
        <f t="shared" si="10"/>
        <v>0</v>
      </c>
    </row>
    <row r="356" spans="2:14" ht="39.950000000000003" hidden="1" customHeight="1" outlineLevel="1" x14ac:dyDescent="0.25">
      <c r="B356" s="24">
        <f ca="1">DATE(YEAR(TODAY()),11,28)</f>
        <v>42336</v>
      </c>
      <c r="C356" s="30"/>
      <c r="D356" s="53" t="s">
        <v>670</v>
      </c>
      <c r="E356" s="54"/>
      <c r="F356" s="51" t="s">
        <v>671</v>
      </c>
      <c r="G356" s="56"/>
      <c r="H356" s="52" t="s">
        <v>10</v>
      </c>
      <c r="I356" s="63"/>
      <c r="J356" s="63"/>
      <c r="K356" s="63">
        <f t="shared" si="10"/>
        <v>0</v>
      </c>
    </row>
    <row r="357" spans="2:14" ht="39.950000000000003" hidden="1" customHeight="1" outlineLevel="1" x14ac:dyDescent="0.25">
      <c r="B357" s="17">
        <f ca="1">DATE(YEAR(TODAY()),11,29)</f>
        <v>42337</v>
      </c>
      <c r="C357" s="31"/>
      <c r="D357" s="53" t="s">
        <v>672</v>
      </c>
      <c r="E357" s="54"/>
      <c r="F357" s="51" t="s">
        <v>673</v>
      </c>
      <c r="G357" s="56"/>
      <c r="H357" s="52" t="s">
        <v>13</v>
      </c>
      <c r="I357" s="63"/>
      <c r="J357" s="63"/>
      <c r="K357" s="63">
        <f t="shared" si="10"/>
        <v>0</v>
      </c>
    </row>
    <row r="358" spans="2:14" ht="39.950000000000003" hidden="1" customHeight="1" outlineLevel="1" x14ac:dyDescent="0.25">
      <c r="B358" s="14">
        <f ca="1">DATE(YEAR(TODAY()),11,30)</f>
        <v>42338</v>
      </c>
      <c r="C358" s="33"/>
      <c r="D358" s="53" t="s">
        <v>674</v>
      </c>
      <c r="E358" s="54"/>
      <c r="F358" s="51" t="s">
        <v>675</v>
      </c>
      <c r="G358" s="56"/>
      <c r="H358" s="52" t="s">
        <v>10</v>
      </c>
      <c r="I358" s="63"/>
      <c r="J358" s="63"/>
      <c r="K358" s="63">
        <f t="shared" si="10"/>
        <v>0</v>
      </c>
    </row>
    <row r="359" spans="2:14" ht="21" customHeight="1" collapsed="1" x14ac:dyDescent="0.35">
      <c r="B359" s="66" t="s">
        <v>676</v>
      </c>
      <c r="C359" s="66"/>
      <c r="D359" s="66"/>
      <c r="E359" s="66"/>
      <c r="F359" s="66"/>
      <c r="G359" s="66"/>
      <c r="H359" s="66"/>
      <c r="I359" s="66"/>
      <c r="J359" s="66"/>
      <c r="K359" s="66"/>
    </row>
    <row r="360" spans="2:14" ht="15" hidden="1" customHeight="1" outlineLevel="1" x14ac:dyDescent="0.25">
      <c r="B360" s="44" t="s">
        <v>1</v>
      </c>
      <c r="C360" s="45"/>
      <c r="D360" s="46" t="s">
        <v>2</v>
      </c>
      <c r="E360" s="46"/>
      <c r="F360" s="47" t="s">
        <v>3</v>
      </c>
      <c r="G360" s="48"/>
      <c r="H360" s="48" t="s">
        <v>4</v>
      </c>
      <c r="I360" s="49" t="s">
        <v>5</v>
      </c>
      <c r="J360" s="49" t="s">
        <v>6</v>
      </c>
      <c r="K360" s="49" t="s">
        <v>7</v>
      </c>
    </row>
    <row r="361" spans="2:14" ht="39.950000000000003" hidden="1" customHeight="1" outlineLevel="1" x14ac:dyDescent="0.25">
      <c r="B361" s="24">
        <f ca="1">DATE(YEAR(TODAY()),12,1)</f>
        <v>42339</v>
      </c>
      <c r="C361" s="30"/>
      <c r="D361" s="57" t="s">
        <v>677</v>
      </c>
      <c r="E361" s="58"/>
      <c r="F361" s="62" t="s">
        <v>678</v>
      </c>
      <c r="G361" s="60"/>
      <c r="H361" s="61" t="s">
        <v>10</v>
      </c>
      <c r="I361" s="64"/>
      <c r="J361" s="64"/>
      <c r="K361" s="64">
        <f>SUM(I361*J361)</f>
        <v>0</v>
      </c>
    </row>
    <row r="362" spans="2:14" ht="39.950000000000003" hidden="1" customHeight="1" outlineLevel="1" x14ac:dyDescent="0.25">
      <c r="B362" s="17">
        <f ca="1">DATE(YEAR(TODAY()),12,2)</f>
        <v>42340</v>
      </c>
      <c r="C362" s="31"/>
      <c r="D362" s="57" t="s">
        <v>679</v>
      </c>
      <c r="E362" s="58"/>
      <c r="F362" s="62" t="s">
        <v>680</v>
      </c>
      <c r="G362" s="60"/>
      <c r="H362" s="61" t="s">
        <v>34</v>
      </c>
      <c r="I362" s="64"/>
      <c r="J362" s="64"/>
      <c r="K362" s="64">
        <f t="shared" ref="K362:K391" si="11">SUM(I362*J362)</f>
        <v>0</v>
      </c>
      <c r="N362" s="19" t="s">
        <v>14</v>
      </c>
    </row>
    <row r="363" spans="2:14" ht="39.950000000000003" hidden="1" customHeight="1" outlineLevel="1" x14ac:dyDescent="0.25">
      <c r="B363" s="20">
        <f ca="1">DATE(YEAR(TODAY()),12,3)</f>
        <v>42341</v>
      </c>
      <c r="C363" s="32"/>
      <c r="D363" s="57" t="s">
        <v>681</v>
      </c>
      <c r="E363" s="58"/>
      <c r="F363" s="62" t="s">
        <v>682</v>
      </c>
      <c r="G363" s="60"/>
      <c r="H363" s="61" t="s">
        <v>10</v>
      </c>
      <c r="I363" s="64"/>
      <c r="J363" s="64"/>
      <c r="K363" s="64">
        <f t="shared" si="11"/>
        <v>0</v>
      </c>
      <c r="N363" s="19" t="s">
        <v>17</v>
      </c>
    </row>
    <row r="364" spans="2:14" ht="39.950000000000003" hidden="1" customHeight="1" outlineLevel="1" x14ac:dyDescent="0.25">
      <c r="B364" s="17">
        <f ca="1">DATE(YEAR(TODAY()),12,4)</f>
        <v>42342</v>
      </c>
      <c r="C364" s="31"/>
      <c r="D364" s="57" t="s">
        <v>683</v>
      </c>
      <c r="E364" s="58"/>
      <c r="F364" s="62" t="s">
        <v>563</v>
      </c>
      <c r="G364" s="60"/>
      <c r="H364" s="61" t="s">
        <v>34</v>
      </c>
      <c r="I364" s="64"/>
      <c r="J364" s="64"/>
      <c r="K364" s="64">
        <f t="shared" si="11"/>
        <v>0</v>
      </c>
      <c r="N364" s="19" t="s">
        <v>20</v>
      </c>
    </row>
    <row r="365" spans="2:14" ht="39.950000000000003" hidden="1" customHeight="1" outlineLevel="1" x14ac:dyDescent="0.25">
      <c r="B365" s="24">
        <f ca="1">DATE(YEAR(TODAY()),12,5)</f>
        <v>42343</v>
      </c>
      <c r="C365" s="30"/>
      <c r="D365" s="57" t="s">
        <v>684</v>
      </c>
      <c r="E365" s="58"/>
      <c r="F365" s="62" t="s">
        <v>685</v>
      </c>
      <c r="G365" s="60"/>
      <c r="H365" s="61" t="s">
        <v>10</v>
      </c>
      <c r="I365" s="64"/>
      <c r="J365" s="64"/>
      <c r="K365" s="64">
        <f t="shared" si="11"/>
        <v>0</v>
      </c>
      <c r="N365" s="19" t="s">
        <v>23</v>
      </c>
    </row>
    <row r="366" spans="2:14" ht="39.950000000000003" hidden="1" customHeight="1" outlineLevel="1" x14ac:dyDescent="0.25">
      <c r="B366" s="14">
        <f ca="1">DATE(YEAR(TODAY()),12,6)</f>
        <v>42344</v>
      </c>
      <c r="C366" s="33"/>
      <c r="D366" s="57" t="s">
        <v>686</v>
      </c>
      <c r="E366" s="58"/>
      <c r="F366" s="62" t="s">
        <v>687</v>
      </c>
      <c r="G366" s="60"/>
      <c r="H366" s="61" t="s">
        <v>34</v>
      </c>
      <c r="I366" s="64"/>
      <c r="J366" s="64"/>
      <c r="K366" s="64">
        <f t="shared" si="11"/>
        <v>0</v>
      </c>
      <c r="N366" s="19" t="s">
        <v>26</v>
      </c>
    </row>
    <row r="367" spans="2:14" ht="39.950000000000003" hidden="1" customHeight="1" outlineLevel="1" x14ac:dyDescent="0.25">
      <c r="B367" s="14">
        <f ca="1">DATE(YEAR(TODAY()),12,7)</f>
        <v>42345</v>
      </c>
      <c r="C367" s="33"/>
      <c r="D367" s="57" t="s">
        <v>688</v>
      </c>
      <c r="E367" s="58"/>
      <c r="F367" s="62" t="s">
        <v>689</v>
      </c>
      <c r="G367" s="60"/>
      <c r="H367" s="61" t="s">
        <v>10</v>
      </c>
      <c r="I367" s="64"/>
      <c r="J367" s="64"/>
      <c r="K367" s="64">
        <f t="shared" si="11"/>
        <v>0</v>
      </c>
      <c r="N367" s="19" t="s">
        <v>29</v>
      </c>
    </row>
    <row r="368" spans="2:14" ht="39.950000000000003" hidden="1" customHeight="1" outlineLevel="1" x14ac:dyDescent="0.25">
      <c r="B368" s="20">
        <f ca="1">DATE(YEAR(TODAY()),12,8)</f>
        <v>42346</v>
      </c>
      <c r="C368" s="32"/>
      <c r="D368" s="57" t="s">
        <v>690</v>
      </c>
      <c r="E368" s="58"/>
      <c r="F368" s="62" t="s">
        <v>691</v>
      </c>
      <c r="G368" s="60"/>
      <c r="H368" s="61" t="s">
        <v>10</v>
      </c>
      <c r="I368" s="64"/>
      <c r="J368" s="64"/>
      <c r="K368" s="64">
        <f t="shared" si="11"/>
        <v>0</v>
      </c>
    </row>
    <row r="369" spans="2:11" ht="39.950000000000003" hidden="1" customHeight="1" outlineLevel="1" x14ac:dyDescent="0.25">
      <c r="B369" s="17">
        <f ca="1">DATE(YEAR(TODAY()),12,9)</f>
        <v>42347</v>
      </c>
      <c r="C369" s="31"/>
      <c r="D369" s="57" t="s">
        <v>692</v>
      </c>
      <c r="E369" s="58"/>
      <c r="F369" s="62" t="s">
        <v>693</v>
      </c>
      <c r="G369" s="60"/>
      <c r="H369" s="61" t="s">
        <v>13</v>
      </c>
      <c r="I369" s="64"/>
      <c r="J369" s="64"/>
      <c r="K369" s="64">
        <f t="shared" si="11"/>
        <v>0</v>
      </c>
    </row>
    <row r="370" spans="2:11" ht="39.950000000000003" hidden="1" customHeight="1" outlineLevel="1" x14ac:dyDescent="0.25">
      <c r="B370" s="42">
        <f ca="1">DATE(YEAR(TODAY()),12,10)</f>
        <v>42348</v>
      </c>
      <c r="C370" s="43"/>
      <c r="D370" s="57" t="s">
        <v>694</v>
      </c>
      <c r="E370" s="58"/>
      <c r="F370" s="62" t="s">
        <v>695</v>
      </c>
      <c r="G370" s="60"/>
      <c r="H370" s="61" t="s">
        <v>10</v>
      </c>
      <c r="I370" s="64"/>
      <c r="J370" s="64"/>
      <c r="K370" s="64">
        <f t="shared" si="11"/>
        <v>0</v>
      </c>
    </row>
    <row r="371" spans="2:11" ht="39.950000000000003" hidden="1" customHeight="1" outlineLevel="1" x14ac:dyDescent="0.25">
      <c r="B371" s="17">
        <f ca="1">DATE(YEAR(TODAY()),12,11)</f>
        <v>42349</v>
      </c>
      <c r="C371" s="31"/>
      <c r="D371" s="57" t="s">
        <v>696</v>
      </c>
      <c r="E371" s="58"/>
      <c r="F371" s="62" t="s">
        <v>697</v>
      </c>
      <c r="G371" s="60"/>
      <c r="H371" s="61" t="s">
        <v>34</v>
      </c>
      <c r="I371" s="64"/>
      <c r="J371" s="64"/>
      <c r="K371" s="64">
        <f t="shared" si="11"/>
        <v>0</v>
      </c>
    </row>
    <row r="372" spans="2:11" ht="39.950000000000003" hidden="1" customHeight="1" outlineLevel="1" x14ac:dyDescent="0.25">
      <c r="B372" s="22">
        <f ca="1">DATE(YEAR(TODAY()),12,12)</f>
        <v>42350</v>
      </c>
      <c r="C372" s="41"/>
      <c r="D372" s="57" t="s">
        <v>698</v>
      </c>
      <c r="E372" s="58"/>
      <c r="F372" s="62" t="s">
        <v>699</v>
      </c>
      <c r="G372" s="60"/>
      <c r="H372" s="61" t="s">
        <v>34</v>
      </c>
      <c r="I372" s="64"/>
      <c r="J372" s="64"/>
      <c r="K372" s="64">
        <f t="shared" si="11"/>
        <v>0</v>
      </c>
    </row>
    <row r="373" spans="2:11" ht="39.950000000000003" hidden="1" customHeight="1" outlineLevel="1" x14ac:dyDescent="0.25">
      <c r="B373" s="17">
        <f ca="1">DATE(YEAR(TODAY()),12,13)</f>
        <v>42351</v>
      </c>
      <c r="C373" s="31"/>
      <c r="D373" s="57" t="s">
        <v>700</v>
      </c>
      <c r="E373" s="58"/>
      <c r="F373" s="62" t="s">
        <v>105</v>
      </c>
      <c r="G373" s="60"/>
      <c r="H373" s="61" t="s">
        <v>13</v>
      </c>
      <c r="I373" s="64"/>
      <c r="J373" s="64"/>
      <c r="K373" s="64">
        <f t="shared" si="11"/>
        <v>0</v>
      </c>
    </row>
    <row r="374" spans="2:11" ht="39.950000000000003" hidden="1" customHeight="1" outlineLevel="1" x14ac:dyDescent="0.25">
      <c r="B374" s="20">
        <f ca="1">DATE(YEAR(TODAY()),12,14)</f>
        <v>42352</v>
      </c>
      <c r="C374" s="32"/>
      <c r="D374" s="57" t="s">
        <v>701</v>
      </c>
      <c r="E374" s="58"/>
      <c r="F374" s="62" t="s">
        <v>702</v>
      </c>
      <c r="G374" s="60"/>
      <c r="H374" s="61" t="s">
        <v>10</v>
      </c>
      <c r="I374" s="64"/>
      <c r="J374" s="64"/>
      <c r="K374" s="64">
        <f t="shared" si="11"/>
        <v>0</v>
      </c>
    </row>
    <row r="375" spans="2:11" ht="39.950000000000003" hidden="1" customHeight="1" outlineLevel="1" x14ac:dyDescent="0.25">
      <c r="B375" s="14">
        <f ca="1">DATE(YEAR(TODAY()),12,15)</f>
        <v>42353</v>
      </c>
      <c r="C375" s="33"/>
      <c r="D375" s="57" t="s">
        <v>703</v>
      </c>
      <c r="E375" s="58"/>
      <c r="F375" s="62" t="s">
        <v>704</v>
      </c>
      <c r="G375" s="60"/>
      <c r="H375" s="61" t="s">
        <v>10</v>
      </c>
      <c r="I375" s="64"/>
      <c r="J375" s="64"/>
      <c r="K375" s="64">
        <f t="shared" si="11"/>
        <v>0</v>
      </c>
    </row>
    <row r="376" spans="2:11" ht="39.950000000000003" hidden="1" customHeight="1" outlineLevel="1" x14ac:dyDescent="0.25">
      <c r="B376" s="24">
        <f ca="1">DATE(YEAR(TODAY()),12,16)</f>
        <v>42354</v>
      </c>
      <c r="C376" s="30"/>
      <c r="D376" s="57" t="s">
        <v>705</v>
      </c>
      <c r="E376" s="58"/>
      <c r="F376" s="62" t="s">
        <v>706</v>
      </c>
      <c r="G376" s="60"/>
      <c r="H376" s="61" t="s">
        <v>707</v>
      </c>
      <c r="I376" s="64"/>
      <c r="J376" s="64"/>
      <c r="K376" s="64">
        <f t="shared" si="11"/>
        <v>0</v>
      </c>
    </row>
    <row r="377" spans="2:11" ht="39.950000000000003" hidden="1" customHeight="1" outlineLevel="1" x14ac:dyDescent="0.25">
      <c r="B377" s="17">
        <f ca="1">DATE(YEAR(TODAY()),12,17)</f>
        <v>42355</v>
      </c>
      <c r="C377" s="31"/>
      <c r="D377" s="57" t="s">
        <v>708</v>
      </c>
      <c r="E377" s="58"/>
      <c r="F377" s="62" t="s">
        <v>709</v>
      </c>
      <c r="G377" s="60"/>
      <c r="H377" s="61" t="s">
        <v>13</v>
      </c>
      <c r="I377" s="64"/>
      <c r="J377" s="64"/>
      <c r="K377" s="64">
        <f t="shared" si="11"/>
        <v>0</v>
      </c>
    </row>
    <row r="378" spans="2:11" ht="39.950000000000003" hidden="1" customHeight="1" outlineLevel="1" x14ac:dyDescent="0.25">
      <c r="B378" s="24">
        <f ca="1">DATE(YEAR(TODAY()),12,18)</f>
        <v>42356</v>
      </c>
      <c r="C378" s="30"/>
      <c r="D378" s="57" t="s">
        <v>710</v>
      </c>
      <c r="E378" s="58"/>
      <c r="F378" s="62" t="s">
        <v>711</v>
      </c>
      <c r="G378" s="60"/>
      <c r="H378" s="61" t="s">
        <v>34</v>
      </c>
      <c r="I378" s="64"/>
      <c r="J378" s="64"/>
      <c r="K378" s="64">
        <f t="shared" si="11"/>
        <v>0</v>
      </c>
    </row>
    <row r="379" spans="2:11" ht="39.950000000000003" hidden="1" customHeight="1" outlineLevel="1" x14ac:dyDescent="0.25">
      <c r="B379" s="14">
        <f ca="1">DATE(YEAR(TODAY()),12,19)</f>
        <v>42357</v>
      </c>
      <c r="C379" s="33"/>
      <c r="D379" s="57" t="s">
        <v>712</v>
      </c>
      <c r="E379" s="58"/>
      <c r="F379" s="62" t="s">
        <v>713</v>
      </c>
      <c r="G379" s="60"/>
      <c r="H379" s="61" t="s">
        <v>707</v>
      </c>
      <c r="I379" s="64"/>
      <c r="J379" s="64"/>
      <c r="K379" s="64">
        <f t="shared" si="11"/>
        <v>0</v>
      </c>
    </row>
    <row r="380" spans="2:11" ht="39.950000000000003" hidden="1" customHeight="1" outlineLevel="1" x14ac:dyDescent="0.25">
      <c r="B380" s="17">
        <f ca="1">DATE(YEAR(TODAY()),12,20)</f>
        <v>42358</v>
      </c>
      <c r="C380" s="31"/>
      <c r="D380" s="57" t="s">
        <v>714</v>
      </c>
      <c r="E380" s="58"/>
      <c r="F380" s="62" t="s">
        <v>715</v>
      </c>
      <c r="G380" s="60"/>
      <c r="H380" s="61" t="s">
        <v>34</v>
      </c>
      <c r="I380" s="64"/>
      <c r="J380" s="64"/>
      <c r="K380" s="64">
        <f t="shared" si="11"/>
        <v>0</v>
      </c>
    </row>
    <row r="381" spans="2:11" ht="39.950000000000003" hidden="1" customHeight="1" outlineLevel="1" x14ac:dyDescent="0.25">
      <c r="B381" s="20">
        <f ca="1">DATE(YEAR(TODAY()),12,21)</f>
        <v>42359</v>
      </c>
      <c r="C381" s="32"/>
      <c r="D381" s="57" t="s">
        <v>716</v>
      </c>
      <c r="E381" s="58"/>
      <c r="F381" s="62" t="s">
        <v>717</v>
      </c>
      <c r="G381" s="60"/>
      <c r="H381" s="61" t="s">
        <v>10</v>
      </c>
      <c r="I381" s="64"/>
      <c r="J381" s="64"/>
      <c r="K381" s="64">
        <f t="shared" si="11"/>
        <v>0</v>
      </c>
    </row>
    <row r="382" spans="2:11" ht="39.950000000000003" hidden="1" customHeight="1" outlineLevel="1" x14ac:dyDescent="0.25">
      <c r="B382" s="24">
        <f ca="1">DATE(YEAR(TODAY()),12,22)</f>
        <v>42360</v>
      </c>
      <c r="C382" s="30"/>
      <c r="D382" s="57" t="s">
        <v>718</v>
      </c>
      <c r="E382" s="58"/>
      <c r="F382" s="62" t="s">
        <v>719</v>
      </c>
      <c r="G382" s="60"/>
      <c r="H382" s="61" t="s">
        <v>10</v>
      </c>
      <c r="I382" s="64"/>
      <c r="J382" s="64"/>
      <c r="K382" s="64">
        <f t="shared" si="11"/>
        <v>0</v>
      </c>
    </row>
    <row r="383" spans="2:11" ht="39.950000000000003" hidden="1" customHeight="1" outlineLevel="1" x14ac:dyDescent="0.25">
      <c r="B383" s="17">
        <f ca="1">DATE(YEAR(TODAY()),12,23)</f>
        <v>42361</v>
      </c>
      <c r="C383" s="31"/>
      <c r="D383" s="57" t="s">
        <v>720</v>
      </c>
      <c r="E383" s="58"/>
      <c r="F383" s="62" t="s">
        <v>721</v>
      </c>
      <c r="G383" s="60"/>
      <c r="H383" s="61" t="s">
        <v>13</v>
      </c>
      <c r="I383" s="64"/>
      <c r="J383" s="64"/>
      <c r="K383" s="64">
        <f t="shared" si="11"/>
        <v>0</v>
      </c>
    </row>
    <row r="384" spans="2:11" ht="39.950000000000003" hidden="1" customHeight="1" outlineLevel="1" x14ac:dyDescent="0.25">
      <c r="B384" s="24">
        <f ca="1">DATE(YEAR(TODAY()),12,24)</f>
        <v>42362</v>
      </c>
      <c r="C384" s="30"/>
      <c r="D384" s="57" t="s">
        <v>722</v>
      </c>
      <c r="E384" s="58"/>
      <c r="F384" s="62" t="s">
        <v>723</v>
      </c>
      <c r="G384" s="60"/>
      <c r="H384" s="61" t="s">
        <v>707</v>
      </c>
      <c r="I384" s="64"/>
      <c r="J384" s="64"/>
      <c r="K384" s="64">
        <f t="shared" si="11"/>
        <v>0</v>
      </c>
    </row>
    <row r="385" spans="2:11" ht="39.950000000000003" hidden="1" customHeight="1" outlineLevel="1" x14ac:dyDescent="0.25">
      <c r="B385" s="14">
        <f ca="1">DATE(YEAR(TODAY()),12,25)</f>
        <v>42363</v>
      </c>
      <c r="C385" s="33"/>
      <c r="D385" s="57" t="s">
        <v>724</v>
      </c>
      <c r="E385" s="58"/>
      <c r="F385" s="62" t="s">
        <v>725</v>
      </c>
      <c r="G385" s="60"/>
      <c r="H385" s="61" t="s">
        <v>10</v>
      </c>
      <c r="I385" s="64"/>
      <c r="J385" s="64"/>
      <c r="K385" s="64">
        <f t="shared" si="11"/>
        <v>0</v>
      </c>
    </row>
    <row r="386" spans="2:11" ht="39.950000000000003" hidden="1" customHeight="1" outlineLevel="1" x14ac:dyDescent="0.25">
      <c r="B386" s="14">
        <f ca="1">DATE(YEAR(TODAY()),12,26)</f>
        <v>42364</v>
      </c>
      <c r="C386" s="33"/>
      <c r="D386" s="57" t="s">
        <v>726</v>
      </c>
      <c r="E386" s="58"/>
      <c r="F386" s="62" t="s">
        <v>727</v>
      </c>
      <c r="G386" s="60"/>
      <c r="H386" s="61" t="s">
        <v>10</v>
      </c>
      <c r="I386" s="64"/>
      <c r="J386" s="64"/>
      <c r="K386" s="64">
        <f t="shared" si="11"/>
        <v>0</v>
      </c>
    </row>
    <row r="387" spans="2:11" ht="39.950000000000003" hidden="1" customHeight="1" outlineLevel="1" x14ac:dyDescent="0.25">
      <c r="B387" s="20">
        <f ca="1">DATE(YEAR(TODAY()),12,27)</f>
        <v>42365</v>
      </c>
      <c r="C387" s="32"/>
      <c r="D387" s="57" t="s">
        <v>728</v>
      </c>
      <c r="E387" s="58"/>
      <c r="F387" s="62" t="s">
        <v>729</v>
      </c>
      <c r="G387" s="60"/>
      <c r="H387" s="61" t="s">
        <v>707</v>
      </c>
      <c r="I387" s="64"/>
      <c r="J387" s="64"/>
      <c r="K387" s="64">
        <f t="shared" si="11"/>
        <v>0</v>
      </c>
    </row>
    <row r="388" spans="2:11" ht="39.950000000000003" hidden="1" customHeight="1" outlineLevel="1" x14ac:dyDescent="0.25">
      <c r="B388" s="24">
        <f ca="1">DATE(YEAR(TODAY()),12,28)</f>
        <v>42366</v>
      </c>
      <c r="C388" s="30"/>
      <c r="D388" s="57" t="s">
        <v>730</v>
      </c>
      <c r="E388" s="58"/>
      <c r="F388" s="62" t="s">
        <v>725</v>
      </c>
      <c r="G388" s="60"/>
      <c r="H388" s="61" t="s">
        <v>10</v>
      </c>
      <c r="I388" s="64"/>
      <c r="J388" s="64"/>
      <c r="K388" s="64">
        <f t="shared" si="11"/>
        <v>0</v>
      </c>
    </row>
    <row r="389" spans="2:11" ht="39.950000000000003" hidden="1" customHeight="1" outlineLevel="1" x14ac:dyDescent="0.25">
      <c r="B389" s="17">
        <f ca="1">DATE(YEAR(TODAY()),12,29)</f>
        <v>42367</v>
      </c>
      <c r="C389" s="31"/>
      <c r="D389" s="57" t="s">
        <v>731</v>
      </c>
      <c r="E389" s="58"/>
      <c r="F389" s="62" t="s">
        <v>732</v>
      </c>
      <c r="G389" s="60"/>
      <c r="H389" s="61" t="s">
        <v>13</v>
      </c>
      <c r="I389" s="64"/>
      <c r="J389" s="64"/>
      <c r="K389" s="64">
        <f t="shared" si="11"/>
        <v>0</v>
      </c>
    </row>
    <row r="390" spans="2:11" ht="39.950000000000003" hidden="1" customHeight="1" outlineLevel="1" x14ac:dyDescent="0.25">
      <c r="B390" s="14">
        <f ca="1">DATE(YEAR(TODAY()),12,30)</f>
        <v>42368</v>
      </c>
      <c r="C390" s="33"/>
      <c r="D390" s="57" t="s">
        <v>733</v>
      </c>
      <c r="E390" s="58"/>
      <c r="F390" s="62" t="s">
        <v>734</v>
      </c>
      <c r="G390" s="60"/>
      <c r="H390" s="61" t="s">
        <v>10</v>
      </c>
      <c r="I390" s="64"/>
      <c r="J390" s="64"/>
      <c r="K390" s="64">
        <f t="shared" si="11"/>
        <v>0</v>
      </c>
    </row>
    <row r="391" spans="2:11" ht="39.950000000000003" hidden="1" customHeight="1" outlineLevel="1" x14ac:dyDescent="0.25">
      <c r="B391" s="17">
        <f ca="1">DATE(YEAR(TODAY()),12,31)</f>
        <v>42369</v>
      </c>
      <c r="C391" s="31"/>
      <c r="D391" s="57" t="s">
        <v>735</v>
      </c>
      <c r="E391" s="58"/>
      <c r="F391" s="62" t="s">
        <v>736</v>
      </c>
      <c r="G391" s="60"/>
      <c r="H391" s="61" t="s">
        <v>34</v>
      </c>
      <c r="I391" s="64"/>
      <c r="J391" s="64"/>
      <c r="K391" s="64">
        <f t="shared" si="11"/>
        <v>0</v>
      </c>
    </row>
  </sheetData>
  <mergeCells count="12">
    <mergeCell ref="B359:K359"/>
    <mergeCell ref="B2:K2"/>
    <mergeCell ref="B35:K35"/>
    <mergeCell ref="B66:K66"/>
    <mergeCell ref="B99:K99"/>
    <mergeCell ref="B131:K131"/>
    <mergeCell ref="B164:K164"/>
    <mergeCell ref="B196:K196"/>
    <mergeCell ref="B229:K229"/>
    <mergeCell ref="B262:K262"/>
    <mergeCell ref="B294:K294"/>
    <mergeCell ref="B327:K327"/>
  </mergeCells>
  <conditionalFormatting sqref="B4:K391">
    <cfRule type="timePeriod" dxfId="1" priority="1" timePeriod="today">
      <formula>FLOOR(B4,1)=TODAY()</formula>
    </cfRule>
    <cfRule type="expression" dxfId="0" priority="2">
      <formula>$B4=TODAY()</formula>
    </cfRule>
  </conditionalFormatting>
  <pageMargins left="0.7" right="0.7" top="0.75" bottom="0.75" header="0.3" footer="0.3"/>
  <pageSetup paperSize="9" scale="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Almanax</vt:lpstr>
      <vt:lpstr>Almanax!Criteres</vt:lpstr>
      <vt:lpstr>Almanax!Zone_d_impression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Stéphanie AMIOT</dc:creator>
  <cp:lastModifiedBy>Stéphanie AMIOT</cp:lastModifiedBy>
  <dcterms:created xsi:type="dcterms:W3CDTF">2015-07-02T12:14:43Z</dcterms:created>
  <dcterms:modified xsi:type="dcterms:W3CDTF">2015-07-06T14:43:17Z</dcterms:modified>
</cp:coreProperties>
</file>