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téphanie\Desktop\"/>
    </mc:Choice>
  </mc:AlternateContent>
  <bookViews>
    <workbookView xWindow="0" yWindow="0" windowWidth="28800" windowHeight="12435"/>
  </bookViews>
  <sheets>
    <sheet name="Almanax (2)" sheetId="1" r:id="rId1"/>
  </sheets>
  <definedNames>
    <definedName name="_xlnm._FilterDatabase" localSheetId="0" hidden="1">'Almanax (2)'!$B$2:$K$391</definedName>
    <definedName name="_xlnm.Criteria" localSheetId="0">'Almanax (2)'!$D$3:$K$34</definedName>
    <definedName name="_xlnm.Print_Area" localSheetId="0">'Almanax (2)'!$A$2:$K$468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1" l="1"/>
  <c r="K4" i="1"/>
  <c r="B5" i="1"/>
  <c r="K5" i="1"/>
  <c r="B6" i="1"/>
  <c r="K6" i="1"/>
  <c r="B7" i="1"/>
  <c r="K7" i="1"/>
  <c r="B8" i="1"/>
  <c r="K8" i="1"/>
  <c r="B9" i="1"/>
  <c r="K9" i="1"/>
  <c r="B10" i="1"/>
  <c r="K10" i="1"/>
  <c r="B11" i="1"/>
  <c r="K11" i="1"/>
  <c r="B12" i="1"/>
  <c r="K12" i="1"/>
  <c r="B13" i="1"/>
  <c r="K13" i="1"/>
  <c r="B14" i="1"/>
  <c r="K14" i="1"/>
  <c r="B15" i="1"/>
  <c r="K15" i="1"/>
  <c r="B16" i="1"/>
  <c r="K16" i="1"/>
  <c r="B17" i="1"/>
  <c r="K17" i="1"/>
  <c r="B18" i="1"/>
  <c r="K18" i="1"/>
  <c r="B19" i="1"/>
  <c r="K19" i="1"/>
  <c r="B20" i="1"/>
  <c r="K20" i="1"/>
  <c r="B21" i="1"/>
  <c r="K21" i="1"/>
  <c r="B22" i="1"/>
  <c r="K22" i="1"/>
  <c r="B23" i="1"/>
  <c r="K23" i="1"/>
  <c r="B24" i="1"/>
  <c r="K24" i="1"/>
  <c r="B25" i="1"/>
  <c r="K25" i="1"/>
  <c r="B26" i="1"/>
  <c r="K26" i="1"/>
  <c r="B27" i="1"/>
  <c r="K27" i="1"/>
  <c r="B28" i="1"/>
  <c r="K28" i="1"/>
  <c r="B29" i="1"/>
  <c r="K29" i="1"/>
  <c r="B30" i="1"/>
  <c r="K30" i="1"/>
  <c r="B31" i="1"/>
  <c r="K31" i="1"/>
  <c r="B32" i="1"/>
  <c r="K32" i="1"/>
  <c r="B33" i="1"/>
  <c r="K33" i="1"/>
  <c r="B34" i="1"/>
  <c r="K34" i="1"/>
  <c r="B37" i="1"/>
  <c r="K37" i="1"/>
  <c r="B38" i="1"/>
  <c r="K38" i="1"/>
  <c r="B39" i="1"/>
  <c r="K39" i="1"/>
  <c r="B40" i="1"/>
  <c r="K40" i="1"/>
  <c r="B41" i="1"/>
  <c r="K41" i="1"/>
  <c r="B42" i="1"/>
  <c r="K42" i="1"/>
  <c r="B43" i="1"/>
  <c r="K43" i="1"/>
  <c r="B44" i="1"/>
  <c r="K44" i="1"/>
  <c r="B45" i="1"/>
  <c r="K45" i="1"/>
  <c r="B46" i="1"/>
  <c r="K46" i="1"/>
  <c r="B47" i="1"/>
  <c r="K47" i="1"/>
  <c r="B48" i="1"/>
  <c r="K48" i="1"/>
  <c r="B49" i="1"/>
  <c r="K49" i="1"/>
  <c r="B50" i="1"/>
  <c r="K50" i="1"/>
  <c r="B51" i="1"/>
  <c r="K51" i="1"/>
  <c r="B52" i="1"/>
  <c r="K52" i="1"/>
  <c r="B53" i="1"/>
  <c r="K53" i="1"/>
  <c r="B54" i="1"/>
  <c r="K54" i="1"/>
  <c r="B55" i="1"/>
  <c r="K55" i="1"/>
  <c r="B56" i="1"/>
  <c r="K56" i="1"/>
  <c r="B57" i="1"/>
  <c r="K57" i="1"/>
  <c r="B58" i="1"/>
  <c r="K58" i="1"/>
  <c r="B59" i="1"/>
  <c r="K59" i="1"/>
  <c r="B60" i="1"/>
  <c r="K60" i="1"/>
  <c r="B61" i="1"/>
  <c r="K61" i="1"/>
  <c r="B62" i="1"/>
  <c r="K62" i="1"/>
  <c r="B63" i="1"/>
  <c r="K63" i="1"/>
  <c r="B64" i="1"/>
  <c r="K64" i="1"/>
  <c r="B65" i="1"/>
  <c r="K65" i="1"/>
  <c r="B68" i="1"/>
  <c r="K68" i="1"/>
  <c r="B69" i="1"/>
  <c r="K69" i="1"/>
  <c r="B70" i="1"/>
  <c r="K70" i="1"/>
  <c r="B71" i="1"/>
  <c r="K71" i="1"/>
  <c r="B72" i="1"/>
  <c r="K72" i="1"/>
  <c r="B73" i="1"/>
  <c r="K73" i="1"/>
  <c r="B74" i="1"/>
  <c r="K74" i="1"/>
  <c r="B75" i="1"/>
  <c r="K75" i="1"/>
  <c r="B76" i="1"/>
  <c r="K76" i="1"/>
  <c r="B77" i="1"/>
  <c r="K77" i="1"/>
  <c r="B78" i="1"/>
  <c r="K78" i="1"/>
  <c r="B79" i="1"/>
  <c r="K79" i="1"/>
  <c r="B80" i="1"/>
  <c r="K80" i="1"/>
  <c r="B81" i="1"/>
  <c r="K81" i="1"/>
  <c r="B82" i="1"/>
  <c r="K82" i="1"/>
  <c r="B83" i="1"/>
  <c r="K83" i="1"/>
  <c r="B84" i="1"/>
  <c r="K84" i="1"/>
  <c r="B85" i="1"/>
  <c r="K85" i="1"/>
  <c r="B86" i="1"/>
  <c r="K86" i="1"/>
  <c r="B87" i="1"/>
  <c r="K87" i="1"/>
  <c r="B88" i="1"/>
  <c r="K88" i="1"/>
  <c r="B89" i="1"/>
  <c r="K89" i="1"/>
  <c r="B90" i="1"/>
  <c r="K90" i="1"/>
  <c r="B91" i="1"/>
  <c r="K91" i="1"/>
  <c r="B92" i="1"/>
  <c r="K92" i="1"/>
  <c r="B93" i="1"/>
  <c r="K93" i="1"/>
  <c r="B94" i="1"/>
  <c r="K94" i="1"/>
  <c r="B95" i="1"/>
  <c r="K95" i="1"/>
  <c r="B96" i="1"/>
  <c r="K96" i="1"/>
  <c r="B97" i="1"/>
  <c r="K97" i="1"/>
  <c r="B98" i="1"/>
  <c r="K98" i="1"/>
  <c r="B101" i="1"/>
  <c r="K101" i="1"/>
  <c r="B102" i="1"/>
  <c r="K102" i="1"/>
  <c r="B103" i="1"/>
  <c r="K103" i="1"/>
  <c r="B104" i="1"/>
  <c r="K104" i="1"/>
  <c r="B105" i="1"/>
  <c r="K105" i="1"/>
  <c r="B106" i="1"/>
  <c r="K106" i="1"/>
  <c r="B107" i="1"/>
  <c r="K107" i="1"/>
  <c r="B108" i="1"/>
  <c r="K108" i="1"/>
  <c r="B109" i="1"/>
  <c r="K109" i="1"/>
  <c r="B110" i="1"/>
  <c r="K110" i="1"/>
  <c r="B111" i="1"/>
  <c r="K111" i="1"/>
  <c r="B112" i="1"/>
  <c r="K112" i="1"/>
  <c r="B113" i="1"/>
  <c r="K113" i="1"/>
  <c r="B114" i="1"/>
  <c r="K114" i="1"/>
  <c r="B115" i="1"/>
  <c r="K115" i="1"/>
  <c r="B116" i="1"/>
  <c r="K116" i="1"/>
  <c r="B117" i="1"/>
  <c r="K117" i="1"/>
  <c r="B118" i="1"/>
  <c r="K118" i="1"/>
  <c r="B119" i="1"/>
  <c r="K119" i="1"/>
  <c r="B120" i="1"/>
  <c r="K120" i="1"/>
  <c r="B121" i="1"/>
  <c r="K121" i="1"/>
  <c r="B122" i="1"/>
  <c r="K122" i="1"/>
  <c r="B123" i="1"/>
  <c r="K123" i="1"/>
  <c r="B124" i="1"/>
  <c r="K124" i="1"/>
  <c r="B125" i="1"/>
  <c r="K125" i="1"/>
  <c r="B126" i="1"/>
  <c r="K126" i="1"/>
  <c r="B127" i="1"/>
  <c r="K127" i="1"/>
  <c r="B128" i="1"/>
  <c r="K128" i="1"/>
  <c r="B129" i="1"/>
  <c r="K129" i="1"/>
  <c r="B130" i="1"/>
  <c r="K130" i="1"/>
  <c r="B133" i="1"/>
  <c r="K133" i="1"/>
  <c r="B134" i="1"/>
  <c r="K134" i="1"/>
  <c r="B135" i="1"/>
  <c r="K135" i="1"/>
  <c r="B136" i="1"/>
  <c r="K136" i="1"/>
  <c r="B137" i="1"/>
  <c r="K137" i="1"/>
  <c r="B138" i="1"/>
  <c r="K138" i="1"/>
  <c r="B139" i="1"/>
  <c r="K139" i="1"/>
  <c r="B140" i="1"/>
  <c r="K140" i="1"/>
  <c r="B141" i="1"/>
  <c r="K141" i="1"/>
  <c r="B142" i="1"/>
  <c r="K142" i="1"/>
  <c r="B143" i="1"/>
  <c r="K143" i="1"/>
  <c r="B144" i="1"/>
  <c r="K144" i="1"/>
  <c r="B145" i="1"/>
  <c r="K145" i="1"/>
  <c r="B146" i="1"/>
  <c r="K146" i="1"/>
  <c r="B147" i="1"/>
  <c r="K147" i="1"/>
  <c r="B148" i="1"/>
  <c r="K148" i="1"/>
  <c r="B149" i="1"/>
  <c r="K149" i="1"/>
  <c r="B150" i="1"/>
  <c r="K150" i="1"/>
  <c r="B151" i="1"/>
  <c r="K151" i="1"/>
  <c r="B152" i="1"/>
  <c r="K152" i="1"/>
  <c r="B153" i="1"/>
  <c r="K153" i="1"/>
  <c r="B154" i="1"/>
  <c r="K154" i="1"/>
  <c r="B155" i="1"/>
  <c r="K155" i="1"/>
  <c r="B156" i="1"/>
  <c r="K156" i="1"/>
  <c r="B157" i="1"/>
  <c r="K157" i="1"/>
  <c r="B158" i="1"/>
  <c r="K158" i="1"/>
  <c r="B159" i="1"/>
  <c r="K159" i="1"/>
  <c r="B160" i="1"/>
  <c r="K160" i="1"/>
  <c r="B161" i="1"/>
  <c r="K161" i="1"/>
  <c r="B162" i="1"/>
  <c r="K162" i="1"/>
  <c r="B163" i="1"/>
  <c r="K163" i="1"/>
  <c r="B166" i="1"/>
  <c r="K166" i="1"/>
  <c r="B167" i="1"/>
  <c r="K167" i="1"/>
  <c r="B168" i="1"/>
  <c r="K168" i="1"/>
  <c r="B169" i="1"/>
  <c r="K169" i="1"/>
  <c r="B170" i="1"/>
  <c r="K170" i="1"/>
  <c r="B171" i="1"/>
  <c r="K171" i="1"/>
  <c r="B172" i="1"/>
  <c r="K172" i="1"/>
  <c r="B173" i="1"/>
  <c r="K173" i="1"/>
  <c r="B174" i="1"/>
  <c r="K174" i="1"/>
  <c r="B175" i="1"/>
  <c r="K175" i="1"/>
  <c r="B176" i="1"/>
  <c r="K176" i="1"/>
  <c r="B177" i="1"/>
  <c r="K177" i="1"/>
  <c r="B178" i="1"/>
  <c r="K178" i="1"/>
  <c r="B179" i="1"/>
  <c r="K179" i="1"/>
  <c r="B180" i="1"/>
  <c r="K180" i="1"/>
  <c r="B181" i="1"/>
  <c r="K181" i="1"/>
  <c r="B182" i="1"/>
  <c r="K182" i="1"/>
  <c r="B183" i="1"/>
  <c r="K183" i="1"/>
  <c r="B184" i="1"/>
  <c r="K184" i="1"/>
  <c r="B185" i="1"/>
  <c r="K185" i="1"/>
  <c r="B186" i="1"/>
  <c r="K186" i="1"/>
  <c r="B187" i="1"/>
  <c r="K187" i="1"/>
  <c r="B188" i="1"/>
  <c r="K188" i="1"/>
  <c r="B189" i="1"/>
  <c r="K189" i="1"/>
  <c r="B190" i="1"/>
  <c r="K190" i="1"/>
  <c r="B191" i="1"/>
  <c r="K191" i="1"/>
  <c r="B192" i="1"/>
  <c r="K192" i="1"/>
  <c r="B193" i="1"/>
  <c r="K193" i="1"/>
  <c r="B194" i="1"/>
  <c r="K194" i="1"/>
  <c r="B195" i="1"/>
  <c r="K195" i="1"/>
  <c r="B198" i="1"/>
  <c r="K198" i="1"/>
  <c r="B199" i="1"/>
  <c r="K199" i="1"/>
  <c r="B200" i="1"/>
  <c r="K200" i="1"/>
  <c r="B201" i="1"/>
  <c r="K201" i="1"/>
  <c r="B202" i="1"/>
  <c r="K202" i="1"/>
  <c r="B203" i="1"/>
  <c r="K203" i="1"/>
  <c r="B204" i="1"/>
  <c r="K204" i="1"/>
  <c r="B205" i="1"/>
  <c r="K205" i="1"/>
  <c r="B206" i="1"/>
  <c r="K206" i="1"/>
  <c r="B207" i="1"/>
  <c r="K207" i="1"/>
  <c r="B208" i="1"/>
  <c r="K208" i="1"/>
  <c r="B209" i="1"/>
  <c r="K209" i="1"/>
  <c r="B210" i="1"/>
  <c r="K210" i="1"/>
  <c r="B211" i="1"/>
  <c r="K211" i="1"/>
  <c r="B212" i="1"/>
  <c r="K212" i="1"/>
  <c r="B213" i="1"/>
  <c r="K213" i="1"/>
  <c r="B214" i="1"/>
  <c r="K214" i="1"/>
  <c r="B215" i="1"/>
  <c r="K215" i="1"/>
  <c r="B216" i="1"/>
  <c r="K216" i="1"/>
  <c r="B217" i="1"/>
  <c r="K217" i="1"/>
  <c r="B218" i="1"/>
  <c r="K218" i="1"/>
  <c r="B219" i="1"/>
  <c r="K219" i="1"/>
  <c r="B220" i="1"/>
  <c r="K220" i="1"/>
  <c r="B221" i="1"/>
  <c r="K221" i="1"/>
  <c r="B222" i="1"/>
  <c r="K222" i="1"/>
  <c r="B223" i="1"/>
  <c r="K223" i="1"/>
  <c r="B224" i="1"/>
  <c r="K224" i="1"/>
  <c r="B225" i="1"/>
  <c r="K225" i="1"/>
  <c r="B226" i="1"/>
  <c r="K226" i="1"/>
  <c r="B227" i="1"/>
  <c r="K227" i="1"/>
  <c r="B228" i="1"/>
  <c r="K228" i="1"/>
  <c r="B231" i="1"/>
  <c r="K231" i="1"/>
  <c r="B232" i="1"/>
  <c r="K232" i="1"/>
  <c r="B233" i="1"/>
  <c r="K233" i="1"/>
  <c r="B234" i="1"/>
  <c r="K234" i="1"/>
  <c r="B235" i="1"/>
  <c r="K235" i="1"/>
  <c r="B236" i="1"/>
  <c r="K236" i="1"/>
  <c r="B237" i="1"/>
  <c r="K237" i="1"/>
  <c r="B238" i="1"/>
  <c r="K238" i="1"/>
  <c r="B239" i="1"/>
  <c r="K239" i="1"/>
  <c r="B240" i="1"/>
  <c r="K240" i="1"/>
  <c r="B241" i="1"/>
  <c r="K241" i="1"/>
  <c r="B242" i="1"/>
  <c r="K242" i="1"/>
  <c r="B243" i="1"/>
  <c r="K243" i="1"/>
  <c r="B244" i="1"/>
  <c r="K244" i="1"/>
  <c r="B245" i="1"/>
  <c r="K245" i="1"/>
  <c r="B246" i="1"/>
  <c r="K246" i="1"/>
  <c r="B247" i="1"/>
  <c r="K247" i="1"/>
  <c r="B248" i="1"/>
  <c r="K248" i="1"/>
  <c r="B249" i="1"/>
  <c r="K249" i="1"/>
  <c r="B250" i="1"/>
  <c r="K250" i="1"/>
  <c r="B251" i="1"/>
  <c r="K251" i="1"/>
  <c r="B252" i="1"/>
  <c r="K252" i="1"/>
  <c r="B253" i="1"/>
  <c r="K253" i="1"/>
  <c r="B254" i="1"/>
  <c r="K254" i="1"/>
  <c r="B255" i="1"/>
  <c r="K255" i="1"/>
  <c r="B256" i="1"/>
  <c r="K256" i="1"/>
  <c r="B257" i="1"/>
  <c r="K257" i="1"/>
  <c r="B258" i="1"/>
  <c r="K258" i="1"/>
  <c r="B259" i="1"/>
  <c r="K259" i="1"/>
  <c r="B260" i="1"/>
  <c r="K260" i="1"/>
  <c r="B261" i="1"/>
  <c r="K261" i="1"/>
  <c r="B264" i="1"/>
  <c r="K264" i="1"/>
  <c r="B265" i="1"/>
  <c r="K265" i="1"/>
  <c r="B266" i="1"/>
  <c r="K266" i="1"/>
  <c r="B267" i="1"/>
  <c r="K267" i="1"/>
  <c r="B268" i="1"/>
  <c r="K268" i="1"/>
  <c r="B269" i="1"/>
  <c r="K269" i="1"/>
  <c r="B270" i="1"/>
  <c r="K270" i="1"/>
  <c r="B271" i="1"/>
  <c r="K271" i="1"/>
  <c r="B272" i="1"/>
  <c r="K272" i="1"/>
  <c r="B273" i="1"/>
  <c r="K273" i="1"/>
  <c r="B274" i="1"/>
  <c r="K274" i="1"/>
  <c r="B275" i="1"/>
  <c r="K275" i="1"/>
  <c r="B276" i="1"/>
  <c r="K276" i="1"/>
  <c r="B277" i="1"/>
  <c r="K277" i="1"/>
  <c r="B278" i="1"/>
  <c r="K278" i="1"/>
  <c r="B279" i="1"/>
  <c r="K279" i="1"/>
  <c r="B280" i="1"/>
  <c r="K280" i="1"/>
  <c r="B281" i="1"/>
  <c r="K281" i="1"/>
  <c r="B282" i="1"/>
  <c r="K282" i="1"/>
  <c r="B283" i="1"/>
  <c r="K283" i="1"/>
  <c r="B284" i="1"/>
  <c r="K284" i="1"/>
  <c r="B285" i="1"/>
  <c r="K285" i="1"/>
  <c r="B286" i="1"/>
  <c r="K286" i="1"/>
  <c r="B287" i="1"/>
  <c r="K287" i="1"/>
  <c r="B288" i="1"/>
  <c r="K288" i="1"/>
  <c r="B289" i="1"/>
  <c r="K289" i="1"/>
  <c r="B290" i="1"/>
  <c r="K290" i="1"/>
  <c r="B291" i="1"/>
  <c r="K291" i="1"/>
  <c r="B292" i="1"/>
  <c r="K292" i="1"/>
  <c r="B293" i="1"/>
  <c r="K293" i="1"/>
  <c r="B296" i="1"/>
  <c r="K296" i="1"/>
  <c r="B297" i="1"/>
  <c r="K297" i="1"/>
  <c r="B298" i="1"/>
  <c r="K298" i="1"/>
  <c r="B299" i="1"/>
  <c r="K299" i="1"/>
  <c r="B300" i="1"/>
  <c r="K300" i="1"/>
  <c r="B301" i="1"/>
  <c r="K301" i="1"/>
  <c r="B302" i="1"/>
  <c r="K302" i="1"/>
  <c r="B303" i="1"/>
  <c r="K303" i="1"/>
  <c r="B304" i="1"/>
  <c r="K304" i="1"/>
  <c r="B305" i="1"/>
  <c r="K305" i="1"/>
  <c r="B306" i="1"/>
  <c r="K306" i="1"/>
  <c r="B307" i="1"/>
  <c r="K307" i="1"/>
  <c r="B308" i="1"/>
  <c r="K308" i="1"/>
  <c r="B309" i="1"/>
  <c r="K309" i="1"/>
  <c r="B310" i="1"/>
  <c r="K310" i="1"/>
  <c r="B311" i="1"/>
  <c r="K311" i="1"/>
  <c r="B312" i="1"/>
  <c r="K312" i="1"/>
  <c r="B313" i="1"/>
  <c r="K313" i="1"/>
  <c r="B314" i="1"/>
  <c r="K314" i="1"/>
  <c r="B315" i="1"/>
  <c r="K315" i="1"/>
  <c r="B316" i="1"/>
  <c r="K316" i="1"/>
  <c r="B317" i="1"/>
  <c r="K317" i="1"/>
  <c r="B318" i="1"/>
  <c r="K318" i="1"/>
  <c r="B319" i="1"/>
  <c r="K319" i="1"/>
  <c r="B320" i="1"/>
  <c r="K320" i="1"/>
  <c r="B321" i="1"/>
  <c r="K321" i="1"/>
  <c r="B322" i="1"/>
  <c r="K322" i="1"/>
  <c r="B323" i="1"/>
  <c r="K323" i="1"/>
  <c r="B324" i="1"/>
  <c r="K324" i="1"/>
  <c r="B325" i="1"/>
  <c r="K325" i="1"/>
  <c r="B326" i="1"/>
  <c r="K326" i="1"/>
  <c r="B329" i="1"/>
  <c r="K329" i="1"/>
  <c r="B330" i="1"/>
  <c r="K330" i="1"/>
  <c r="B331" i="1"/>
  <c r="K331" i="1"/>
  <c r="B332" i="1"/>
  <c r="K332" i="1"/>
  <c r="B333" i="1"/>
  <c r="K333" i="1"/>
  <c r="B334" i="1"/>
  <c r="K334" i="1"/>
  <c r="B335" i="1"/>
  <c r="K335" i="1"/>
  <c r="B336" i="1"/>
  <c r="K336" i="1"/>
  <c r="B337" i="1"/>
  <c r="K337" i="1"/>
  <c r="B338" i="1"/>
  <c r="K338" i="1"/>
  <c r="B339" i="1"/>
  <c r="K339" i="1"/>
  <c r="B340" i="1"/>
  <c r="K340" i="1"/>
  <c r="B341" i="1"/>
  <c r="K341" i="1"/>
  <c r="B342" i="1"/>
  <c r="K342" i="1"/>
  <c r="B343" i="1"/>
  <c r="K343" i="1"/>
  <c r="B344" i="1"/>
  <c r="K344" i="1"/>
  <c r="B345" i="1"/>
  <c r="K345" i="1"/>
  <c r="B346" i="1"/>
  <c r="K346" i="1"/>
  <c r="B347" i="1"/>
  <c r="K347" i="1"/>
  <c r="B348" i="1"/>
  <c r="K348" i="1"/>
  <c r="B349" i="1"/>
  <c r="K349" i="1"/>
  <c r="B350" i="1"/>
  <c r="K350" i="1"/>
  <c r="B351" i="1"/>
  <c r="K351" i="1"/>
  <c r="B352" i="1"/>
  <c r="K352" i="1"/>
  <c r="B353" i="1"/>
  <c r="K353" i="1"/>
  <c r="B354" i="1"/>
  <c r="K354" i="1"/>
  <c r="B355" i="1"/>
  <c r="K355" i="1"/>
  <c r="B356" i="1"/>
  <c r="K356" i="1"/>
  <c r="B357" i="1"/>
  <c r="K357" i="1"/>
  <c r="B358" i="1"/>
  <c r="K358" i="1"/>
  <c r="B361" i="1"/>
  <c r="K361" i="1"/>
  <c r="B362" i="1"/>
  <c r="K362" i="1"/>
  <c r="B363" i="1"/>
  <c r="K363" i="1"/>
  <c r="B364" i="1"/>
  <c r="K364" i="1"/>
  <c r="B365" i="1"/>
  <c r="K365" i="1"/>
  <c r="B366" i="1"/>
  <c r="K366" i="1"/>
  <c r="B367" i="1"/>
  <c r="K367" i="1"/>
  <c r="B368" i="1"/>
  <c r="K368" i="1"/>
  <c r="B369" i="1"/>
  <c r="K369" i="1"/>
  <c r="B370" i="1"/>
  <c r="K370" i="1"/>
  <c r="B371" i="1"/>
  <c r="K371" i="1"/>
  <c r="B372" i="1"/>
  <c r="K372" i="1"/>
  <c r="B373" i="1"/>
  <c r="K373" i="1"/>
  <c r="B374" i="1"/>
  <c r="K374" i="1"/>
  <c r="B375" i="1"/>
  <c r="K375" i="1"/>
  <c r="B376" i="1"/>
  <c r="K376" i="1"/>
  <c r="B377" i="1"/>
  <c r="K377" i="1"/>
  <c r="B378" i="1"/>
  <c r="K378" i="1"/>
  <c r="B379" i="1"/>
  <c r="K379" i="1"/>
  <c r="B380" i="1"/>
  <c r="K380" i="1"/>
  <c r="B381" i="1"/>
  <c r="K381" i="1"/>
  <c r="B382" i="1"/>
  <c r="K382" i="1"/>
  <c r="B383" i="1"/>
  <c r="K383" i="1"/>
  <c r="B384" i="1"/>
  <c r="K384" i="1"/>
  <c r="B385" i="1"/>
  <c r="K385" i="1"/>
  <c r="B386" i="1"/>
  <c r="K386" i="1"/>
  <c r="B387" i="1"/>
  <c r="K387" i="1"/>
  <c r="B388" i="1"/>
  <c r="K388" i="1"/>
  <c r="B389" i="1"/>
  <c r="K389" i="1"/>
  <c r="B390" i="1"/>
  <c r="K390" i="1"/>
  <c r="B391" i="1"/>
  <c r="K391" i="1"/>
</calcChain>
</file>

<file path=xl/sharedStrings.xml><?xml version="1.0" encoding="utf-8"?>
<sst xmlns="http://schemas.openxmlformats.org/spreadsheetml/2006/main" count="1266" uniqueCount="737">
  <si>
    <t>Craft</t>
  </si>
  <si>
    <t>8 Beignet de Tofu</t>
  </si>
  <si>
    <t>Les gains d'expérience sLes gains d'expérience sont augmentés de 50 % pour les métiers de fabrication de consommables (Paysan, Chasseur, Bricoleur, Pêcheur et Alchimiste).ont augmentés de 50 % pour les métiers de fabrication de consommables (Boulanger, Boucher, Bricoleur et Poissonnier).</t>
  </si>
  <si>
    <t>Drop</t>
  </si>
  <si>
    <t>2 Graine de l'Abrakleur sombre</t>
  </si>
  <si>
    <t>Les chances d'obtenir du butin sont augmentées de 100 % dans la zone de la jungle Obscure.</t>
  </si>
  <si>
    <t>Récolte</t>
  </si>
  <si>
    <t>20 Seigle</t>
  </si>
  <si>
    <t>Les quantités de Seigle et de Riz récupérées par les Paysans sont augmentées de 125 %.</t>
  </si>
  <si>
    <t>4 Cadeau de Nowel</t>
  </si>
  <si>
    <t>La vitesse d'apparition des étoiles sur les groupes de monstres est augmentée dans les zones du Havre, de la Terre et de la Taïga de Nowel : une étoile apparaît toutes les 15 minutes.</t>
  </si>
  <si>
    <t>Achat</t>
  </si>
  <si>
    <t>1 Paquet Cadeau en Chocolat</t>
  </si>
  <si>
    <t>Les gains d'expérience sont augmentés de 75 % sur les monstres de Nowel.</t>
  </si>
  <si>
    <t>2 Poil de barbe du Shamansot</t>
  </si>
  <si>
    <t>Les chances d'obtenir du butin sont augmentées de 125 % dans le donjon de l'excavation du Mansot Royal.</t>
  </si>
  <si>
    <t>Des Cadeaux de Nowel ont été ajoutés aux butins des monstres. Lorsqu'ils sont utilisés, ils permettent d'obtenir des ressources ou d'autres objets aléatoires.</t>
  </si>
  <si>
    <t>1 Traîneau en Pain d'Épices</t>
  </si>
  <si>
    <t>Les bonus apportés par les challenges réussis sont augmentés de 150 % sur les monstres de Nowel.</t>
  </si>
  <si>
    <t>4 Filet de Kwak</t>
  </si>
  <si>
    <t xml:space="preserve">Les quantités du Filet de Kwak récupérées par les Chasseurs sont augmentées de 125%. </t>
  </si>
  <si>
    <t>2 Nœud de Marin</t>
  </si>
  <si>
    <t>La vitesse d'apparition des étoiles sur les groupes de monstres est augmentée dans les zones du Bateau Pirate et de l'île des Naufragés : une étoile apparaît toutes les 5 minutes.</t>
  </si>
  <si>
    <t>3 Dent Pointue</t>
  </si>
  <si>
    <t>Les gains d'expérience sont augmentés de 100 % dans la zone du Cimetière de Bonta.</t>
  </si>
  <si>
    <t>1 Aluminite</t>
  </si>
  <si>
    <t>Les artisans et les récolteurs économisent 15 % de leurs ingrédients lorsqu'ils fabriquent des objets dans la zone du territoire des Porcos</t>
  </si>
  <si>
    <t>2 Flocon de Neige</t>
  </si>
  <si>
    <t>Les chances d'obtenir du butin sont augmentées de 75 % sur les monstres de Nowel.</t>
  </si>
  <si>
    <t>3 Epée de Boisaille</t>
  </si>
  <si>
    <t>Les bonus apportés par les challenges réussis sont augmentés de 200 % dans tous les donjons.</t>
  </si>
  <si>
    <t>3 Kralamoure</t>
  </si>
  <si>
    <t>Les quantités de Gros poissons de mer récupérées par les Pêcheurs sont augmentées de 150 %.</t>
  </si>
  <si>
    <t>2 Emballage de Nowel Écarlate</t>
  </si>
  <si>
    <t>Un challenge supplémentaire est généré contre les monstres de Nowel.</t>
  </si>
  <si>
    <t>4 Cuir de Porkass</t>
  </si>
  <si>
    <t>Les chances d'obtenir du butin sont augmentées de 100 % dans la zone de la plaine des Porkass.</t>
  </si>
  <si>
    <t>8 Babines d'Ouginak</t>
  </si>
  <si>
    <t>Les gains d'expérience sont augmentés de 125 % dans le donjon des Canidés.</t>
  </si>
  <si>
    <t>20 Cuivre</t>
  </si>
  <si>
    <t>La vitesse d'apparition des minerais de tous types est augmentée de 100 %.</t>
  </si>
  <si>
    <t>3 Potion de cité : Brâkmar</t>
  </si>
  <si>
    <t>Une quête répétable spéciale est disponible aujourd'hui près des portes de Brâkmar. Réalisable à partir du niveau 10, elle est indépendante de la quête d'offrande.</t>
  </si>
  <si>
    <t>1 Sandales Tofuesques</t>
  </si>
  <si>
    <t>Les Cordonniers ont 10 % de chances d'économiser des ingrédients lorsqu'ils fabriquent des objets.</t>
  </si>
  <si>
    <t>3 Dent de Dragodinde</t>
  </si>
  <si>
    <t>Toutes les variétés de Dragodindes Ivoire donnent naissance à un bébé supplémentaire.</t>
  </si>
  <si>
    <t>5 Perce-Neige</t>
  </si>
  <si>
    <t>Les quantités de Perce-Neige récupérées par les Alchimistes sont augmentées de 175 %.</t>
  </si>
  <si>
    <t>2 Oeil de Sapeur</t>
  </si>
  <si>
    <t>Les gains d'expérience sont augmentés de 100 % dans les zones de la plaine de Sakaï et de la forêt Enneigée.</t>
  </si>
  <si>
    <t>Elevage</t>
  </si>
  <si>
    <t>2 Etoffe de Dok Alako</t>
  </si>
  <si>
    <t>Les chances d'obtenir du butin sont augmentées de 75 % sur les Koalaks.</t>
  </si>
  <si>
    <t>Quêtes</t>
  </si>
  <si>
    <t>1 Pelle de Rapage</t>
  </si>
  <si>
    <t>La quantité de jetons gagnée en Kolizéum est augmentée de 100 %.</t>
  </si>
  <si>
    <t>Bonus Métier</t>
  </si>
  <si>
    <t>4 Oeuf de Dragoeuf Noir</t>
  </si>
  <si>
    <t>Les bonus apportés par les challenges réussis sont augmentés de 200 % dans la zone des Souterrains des Dragoeufs.</t>
  </si>
  <si>
    <t>Bonus XP et Drop</t>
  </si>
  <si>
    <t>20 Bois de Chêne</t>
  </si>
  <si>
    <t>Les quantités de Bois récupérées par les Bûcherons de tous niveaux sont augmentées de 100 %.</t>
  </si>
  <si>
    <t>Bonus Drop</t>
  </si>
  <si>
    <t>2 Peau de Mansobèse</t>
  </si>
  <si>
    <t>Les gains d'expérience sont augmentés de 75 % sur les monstres du lac Gelé.</t>
  </si>
  <si>
    <t>Bonus XP</t>
  </si>
  <si>
    <t>1 Clef du Donjon Ensablé</t>
  </si>
  <si>
    <t>Les artisans et les récolteurs ont 15 % de chances d'économiser des ingrédients lorsqu'ils fabriquent des objets dans la zone de Sufokia.</t>
  </si>
  <si>
    <t>9 Cuir de Bouftou</t>
  </si>
  <si>
    <t>Les bonus apportés par les challenges réussis sont augmentés de 200 % dans le donjon des Bouftous.</t>
  </si>
  <si>
    <t>PRIX TOTAL</t>
  </si>
  <si>
    <t>Banque</t>
  </si>
  <si>
    <t>Prix/u</t>
  </si>
  <si>
    <t>Obtention</t>
  </si>
  <si>
    <t>Offrande</t>
  </si>
  <si>
    <t>BONUS</t>
  </si>
  <si>
    <t>JOUR</t>
  </si>
  <si>
    <t>DECEMBRE</t>
  </si>
  <si>
    <t>2 Oreille de Gobosteur</t>
  </si>
  <si>
    <t>Les chances d'obtenir du butin sont augmentées de 100 % dans la zone de la forêt Enneigée.</t>
  </si>
  <si>
    <t>20 Kobalte</t>
  </si>
  <si>
    <t>Les quantités de Kobalte récupérées par les mineurs sont augmentées de 150 %.</t>
  </si>
  <si>
    <t>2 Coeur de Crapeur</t>
  </si>
  <si>
    <t>La vitesse d'apparition des étoiles sur les groupes de monstres est augmentée dans la zone des Larmes d'Ouronigride : une étoile apparaît toutes les 10 minutes.</t>
  </si>
  <si>
    <t>2 Rembourrage de Meupette</t>
  </si>
  <si>
    <t>Les gains d'expérience sont augmentés de 125 % dans la Canopée du Kimbo.</t>
  </si>
  <si>
    <t>4 Dragoviande</t>
  </si>
  <si>
    <t>Les bonus apportés par les montures Dragodindes sont augmentés de 100 %.</t>
  </si>
  <si>
    <t>2 Laine de Boufmouth légendaire</t>
  </si>
  <si>
    <t>Les chances d'obtenir du butin sont augmentées de 75 % sur les monstres des Champs de Glace.</t>
  </si>
  <si>
    <t>20 Avoine</t>
  </si>
  <si>
    <t>Les quantités d'Avoine récupérées par les Paysans sont augmentées de 125 %.</t>
  </si>
  <si>
    <t>2 Mâchoire du Chafer Draugr</t>
  </si>
  <si>
    <t>Les gains d'expérience sont augmentés de 100 % dans la zone du Cimetière des Torturés.</t>
  </si>
  <si>
    <t>7 Queue de Mulou</t>
  </si>
  <si>
    <t>2 Cloaque du Poolay</t>
  </si>
  <si>
    <t>Les bonus apportés par les challenges réussis sont augmentés de 150 % sur les monstres de l'Arbre Hakam.</t>
  </si>
  <si>
    <t>5 Patte de Corbac</t>
  </si>
  <si>
    <t>La vitesse d'apparition des étoiles sur les groupes de monstres est augmentée dans la zone de la bordure de Brâkmar : une étoile apparaît toutes les 10 minutes.</t>
  </si>
  <si>
    <t xml:space="preserve">3 Substrat de futaie </t>
  </si>
  <si>
    <t>Les Bûcherons ont 10 % de chances d'économiser des ingrédients lorsqu'ils fabriquent des objets.</t>
  </si>
  <si>
    <t>2 Patte de la Gardienne des Égouts</t>
  </si>
  <si>
    <t>Un challenge supplémentaire est généré contre les monstres des Égouts.</t>
  </si>
  <si>
    <t>1 Chair de Mansot</t>
  </si>
  <si>
    <t>Les quantités de viande récupérées par les Chasseurs sur les créatures de Frigost qui vivent en dehors de la Bourgade sont augmentées de 150 %.</t>
  </si>
  <si>
    <t>2 Peau de Chamane d'Egoutant</t>
  </si>
  <si>
    <t>Les gains d'expérience sont augmentés de 75 % sur les monstres des Égouts.</t>
  </si>
  <si>
    <t>2 Leurnettes</t>
  </si>
  <si>
    <t>Une quête répétable spéciale est disponible aujourd'hui près de la statue du dieu Sram à Astrub. Réalisable à partir du niveau 10, elle est indépendante de la quête d'offrande.</t>
  </si>
  <si>
    <t>1 Aile de Dragodinde Rousse Sauvage</t>
  </si>
  <si>
    <t>Les chances d'obtenir du butin sont augmentées de 75 % sur les monstres Dragodindes.</t>
  </si>
  <si>
    <t>2 Bave Empoisonnée</t>
  </si>
  <si>
    <t>Les bonus apportés par les challenges réussis sont augmentés de 200 % dans le donjon des Rats de Brâkmar.</t>
  </si>
  <si>
    <t>3 Raie Bleue</t>
  </si>
  <si>
    <t>Les quantités de Poissons de mer géants récupérées par les Pêcheurs sont augmentées de 150 %.</t>
  </si>
  <si>
    <t>4 Ecaille de Crocodaille</t>
  </si>
  <si>
    <t>Miss Triste attend les aventuriers qui veulent se refaire une laideur près de la fontaine du village d'Amakna. Sa bénédiction transforme temporairement en Crocodaille (effet qui disparaît quand un combat est lancé) et en Souffre-Douleur (bonus de 50 Puissance et 10 dommages fixes durant 15 combats).</t>
  </si>
  <si>
    <t>7 Goujon</t>
  </si>
  <si>
    <t>Toutes les variétés de Dragodindes Orchidée donnent naissance à un bébé supplémentaire.</t>
  </si>
  <si>
    <t>2 Coquille de Fantimonier</t>
  </si>
  <si>
    <t>Les chances d'obtenir du butin sont augmentées de 100 % dans la zone du Berceau d'Alma.</t>
  </si>
  <si>
    <t>2 Queue de Prespic</t>
  </si>
  <si>
    <t>Un challenge supplémentaire est généré contre les monstres présents dans la zone du Bord de la forêt Maléfique.</t>
  </si>
  <si>
    <t>2 Calice de Fécorce</t>
  </si>
  <si>
    <t>Les gains d'expérience sont augmentés de 100 % dans la zone de la jungle Obscure.</t>
  </si>
  <si>
    <t>20 Bois de Châtaignier</t>
  </si>
  <si>
    <t>Les quantités de Bois de Châtaignier récupérées par les Bûcherons sont augmentées de 125 %.</t>
  </si>
  <si>
    <t>2 Poil de Chachachovage</t>
  </si>
  <si>
    <t>Les bonus apportés par les challenges réussis sont augmentés de 200 % dans la zone du port de Givre.</t>
  </si>
  <si>
    <t>2 Sceau Royal Contrefait</t>
  </si>
  <si>
    <t>Les gains d'expérience sont augmentés de 75 % sur les Bandits et les Artisans Sombres.</t>
  </si>
  <si>
    <t>1 Cape Sombre</t>
  </si>
  <si>
    <t>Les artisans et les récolteurs ont 15 % de chances d'économiser des ingrédients lorsqu'ils fabriquent des objets dans la zone du Village d'Amakna.</t>
  </si>
  <si>
    <t>9 Moustache de Kolérat</t>
  </si>
  <si>
    <t>Les chances d'obtenir du butin sont augmentées de 125 % dans le laboratoire de Brumen Tinctorias.</t>
  </si>
  <si>
    <t>2 Slip de Bwork Archer</t>
  </si>
  <si>
    <t>Les gains d'expérience et les chances d'obtenir du butin sont augmentés de 50 % pour tous les aventuriers qui sont équipés d'un slip.</t>
  </si>
  <si>
    <t>NOVEMBRE</t>
  </si>
  <si>
    <t>4 Poils de Barbe du Bwork Mage</t>
  </si>
  <si>
    <t>Des Surprises de Trikortritt ont été ajoutées aux butins des monstres. Lorsqu'elles sont utilisées, elles permettent d'obtenir des Bonbons d'Halouine ou bien de se retrouver transformé en Petite Chauffe-Soutrille.</t>
  </si>
  <si>
    <t>2 Peau d'Ouilleur</t>
  </si>
  <si>
    <t>Un challenge supplémentaire est généré contre les monstres présents dans la zone de la forêt Enneigée.</t>
  </si>
  <si>
    <t>2 Oreille de Soryo Givrefoux</t>
  </si>
  <si>
    <t>Les bonus apportés par les challenges réussis sont augmentés de 150 % sur les monstres de la Crevasse Perge.</t>
  </si>
  <si>
    <t>20 Chanvre</t>
  </si>
  <si>
    <t>Les quantités de Chanvre récupérées par les Paysans sont augmentées de 125 %</t>
  </si>
  <si>
    <t>3 Baguette de Boisaille</t>
  </si>
  <si>
    <t>Les Sculpteurs ont 10 % de chances d'économiser des ingrédients lorsqu'ils fabriquent des objets.</t>
  </si>
  <si>
    <t>5 Dent de Wabbit</t>
  </si>
  <si>
    <t>Les gains d'expérience sont augmentés de 125 % dans le donjon Wabbit.</t>
  </si>
  <si>
    <t>2 Poil de Smilomouth</t>
  </si>
  <si>
    <t>Les chances d'obtenir du butin sont augmentées de 75 % sur les monstres de la forêt des Pins Perdus.</t>
  </si>
  <si>
    <t>40 Fer</t>
  </si>
  <si>
    <t>Les quantités de Fer récupérées par les Mineurs sont augmentées de 150 %.</t>
  </si>
  <si>
    <t>4 Plume de Corbac</t>
  </si>
  <si>
    <t>La vitesse d'apparition des étoiles sur les groupes de monstres est augmentée dans la zone de la Lande de Sidimote : une étoile apparaît toutes les 15 minutes.</t>
  </si>
  <si>
    <t>7 Plumes de Tofu</t>
  </si>
  <si>
    <t>Les gains d'expérience sont augmentés de 100 % dans la zone du Berceau.</t>
  </si>
  <si>
    <t>4 Jambon cuit</t>
  </si>
  <si>
    <t>Les quantités d'objets fabriqués par les Chasseurs sont augmentées de 25 %.</t>
  </si>
  <si>
    <t>7 Coquille de Dragoeuf Noir</t>
  </si>
  <si>
    <t>Les chances d'obtenir du butin sont augmentées de 100 % dans la zone de la presqu'île des Dragoeufs.</t>
  </si>
  <si>
    <t>3 Brochet</t>
  </si>
  <si>
    <t>La vitesse d'apparition des poissons de tous types est augmentée de 100 %.</t>
  </si>
  <si>
    <t>2 Enfumoir Zoth</t>
  </si>
  <si>
    <t>Les gains d'expérience sont augmentés de 75 % sur les Zoths.</t>
  </si>
  <si>
    <t xml:space="preserve">3 Chair de Larve </t>
  </si>
  <si>
    <t>Les récolteurs ont 15 % de chances d'économiser des ingrédients lorsqu'ils fabriquent des objets dans la zone de la forêt des Pins Perdus.</t>
  </si>
  <si>
    <t>9 Corne du Boufcoul</t>
  </si>
  <si>
    <t>Les chances d'obtenir du butin sont augmentées de 125 % dans la Caverne du Koulosse.</t>
  </si>
  <si>
    <t>20 Sauge</t>
  </si>
  <si>
    <t>Les quantités de Sauge récupérées par les Alchimistes sont augmentées de 125 %.</t>
  </si>
  <si>
    <t>7 Aile du Tofu Maléfique</t>
  </si>
  <si>
    <t>Les bonus apportés par les challenges réussis sont augmentés de 200 % dans la zone de la forêt Maléfique.</t>
  </si>
  <si>
    <t>4 Patte d'Araknawa</t>
  </si>
  <si>
    <t>La vitesse d'apparition des étoiles sur les groupes de monstres est augmentée dans la zone de Pandala Neutre : une étoile apparaît toutes les 10 minutes.</t>
  </si>
  <si>
    <t>3 Bois de Bambouto</t>
  </si>
  <si>
    <t>Les gains d'expérience sont augmentés de 100 % pour toutes les quêtes.</t>
  </si>
  <si>
    <t>2 Résidu de Solfataré</t>
  </si>
  <si>
    <t>Les chances d'obtenir du butin sont augmentées de 75 % sur les monstres des Larmes d'Ouronigride.</t>
  </si>
  <si>
    <t>2 Carpe d'Iem vidée</t>
  </si>
  <si>
    <t>Toutes les variétés de Dragodindes Dorées donnent naissance à un bébé supplémentaire.</t>
  </si>
  <si>
    <t>4 Poils de Soryo Firefoux</t>
  </si>
  <si>
    <t>Un challenge supplémentaire est généré contre les Firefoux.</t>
  </si>
  <si>
    <t>4 Museau du Mulou</t>
  </si>
  <si>
    <t>Les quantités de viande récupérées par les Chasseurs de tous niveaux sont augmentées de 100 %.</t>
  </si>
  <si>
    <t>1 Racine d'Abraknyde Sombre</t>
  </si>
  <si>
    <t>Les gains d'expérience sont augmentés de 100 % dans la zone de la forêt des Abraknydes Sombres.</t>
  </si>
  <si>
    <t>2 Etamines de Floribonde</t>
  </si>
  <si>
    <t>Les bonus apportés par les challenges réussis sont augmentés de 200 % dans le Laboratoire du Tynril.</t>
  </si>
  <si>
    <t xml:space="preserve">3 Bâton de crabe </t>
  </si>
  <si>
    <t>Les Poissonniers ont 10 % de chances d'économiser des ingrédients lorsqu'ils fabriquent des objets.</t>
  </si>
  <si>
    <t>3 Pic du Prespic</t>
  </si>
  <si>
    <t>Les chances d'obtenir du butin sont augmentées de 100 % dans la zone de la Milifutaie.</t>
  </si>
  <si>
    <t>3 Arc de Boisaille</t>
  </si>
  <si>
    <t>Une quête répétable spéciale est disponible aujourd'hui près de la fontaine du village d'Amakna. Réalisable à partir du niveau 10, elle est indépendante de la quête d'offrande.</t>
  </si>
  <si>
    <t>Les quantités de Bois de Chêne récupérées par les Bûcherons sont augmentées de 150 %.</t>
  </si>
  <si>
    <t>2 Os de Fantôme Maho Firefoux</t>
  </si>
  <si>
    <t>Les gains d'expérience sont augmentés de 75 % sur les Fantômes de Pandala.</t>
  </si>
  <si>
    <t>OCTOBRE</t>
  </si>
  <si>
    <t>2 Croupions du Bitouf Aérien</t>
  </si>
  <si>
    <t>Le butin généré par les Percepteurs est augmenté de 300 % dans la Canopée du Kimbo.</t>
  </si>
  <si>
    <t>2 Maillot de corps de Barboussa</t>
  </si>
  <si>
    <t>Un challenge supplémentaire est généré contre les monstres présents dans la zone de l'Arche d'Otomaï.</t>
  </si>
  <si>
    <t>3 Plumes de Serpiplume</t>
  </si>
  <si>
    <t>La vitesse d'apparition des étoiles sur les groupes de monstres est augmentée dans la zone du Labyrinthe du Minotoror : une étoile apparaît toutes les 5 minutes.</t>
  </si>
  <si>
    <t>4 Poils de Yokaï</t>
  </si>
  <si>
    <t>Les chances d'obtenir du butin sont augmentées de 125 % dans le donjon des Firefoux.</t>
  </si>
  <si>
    <t>3 Obsidienne</t>
  </si>
  <si>
    <t>Les quantités de Dolomite et d'Obsidienne récupérées par les Mineurs sont augmentées de 175 %.</t>
  </si>
  <si>
    <t>4 Dents de Crocodaille</t>
  </si>
  <si>
    <t>Les gains d'expérience sont augmentés de 150 % sur les Crocodailles.</t>
  </si>
  <si>
    <t>4 Hachette de Bûcheron</t>
  </si>
  <si>
    <t>Les artisans ont 15 % de chances d'économiser des ingrédients lorsqu'ils fabriquent des objets dans la zone de la Campagne.</t>
  </si>
  <si>
    <t>2 Duvet Kilibriss</t>
  </si>
  <si>
    <t>Les chances d'obtenir du butin sont augmentées de 75 % sur les monstres des Plaines Herbeuses.</t>
  </si>
  <si>
    <t>3 Poils Léopardo</t>
  </si>
  <si>
    <t>Les bonus apportés par les challenges réussis sont augmentés de 200 % dans la zone de la Bordure de Feudala.</t>
  </si>
  <si>
    <t>2 Haches Vôr'Om</t>
  </si>
  <si>
    <t>La qualité des objets fabriqués dans la ville de Brâkmar est augmentée de 10%.</t>
  </si>
  <si>
    <t>3 Viandes de Kanigrou</t>
  </si>
  <si>
    <t>Les quantités de viande récupérées par les Chasseurs sur les Kanigrous, les Crocodailles et les Koalaks sont augmentées de 125 %.</t>
  </si>
  <si>
    <t>20 Bois de Noyer</t>
  </si>
  <si>
    <t>Les gains d’expérience et les chances d’obtenir du butin sont augmentés de 75% sur tous les monstres considérés comme des pirates.</t>
  </si>
  <si>
    <t>4 Os de Chafer</t>
  </si>
  <si>
    <t>+200% sur les challenges du Donjon Squelettes.</t>
  </si>
  <si>
    <t>7 Épine du Champ Champ</t>
  </si>
  <si>
    <t>Les gains d'expérience sont augmentés de 100 % dans la zone de la Clairière de Brouce Boulgoure.</t>
  </si>
  <si>
    <t>2 Oreille de Bouftonmouth</t>
  </si>
  <si>
    <t>Les chances d'obtenir du butin sont augmentées de 100 % dans la zone des Champs de Glace.</t>
  </si>
  <si>
    <t>3 Collier de l'Arc en Ciel</t>
  </si>
  <si>
    <t>Les Bijoutiers économisent 10 % de leurs ingrédients lorsqu'ils fabriquent des objets.</t>
  </si>
  <si>
    <t>2 Écorce d'Abrazif</t>
  </si>
  <si>
    <t>Les gains d'expérience sont augmentés de 75 % sur les monstres de la forêt Pétrifiée</t>
  </si>
  <si>
    <t>20 Lin</t>
  </si>
  <si>
    <t>Les quantités de Lin récupérées par les Paysans sont augmentées de 125 %.</t>
  </si>
  <si>
    <t>2 Flamme Spectrale</t>
  </si>
  <si>
    <t>Les récompenses en points d'expérience des quêtes d'alignement et des quêtes des Ordres des cités sont augmentées de 100 %. De plus, une quête répétable spéciale est disponible aujourd'hui à l'intérieur des milices de Bonta ou de Brâkmar. Réalisable à partir du niveau 10 par les personnages alignés, elle est indépendante de la quête d'offrande.</t>
  </si>
  <si>
    <t>2 Peau de Dragoeuf Guerrier</t>
  </si>
  <si>
    <t>La vitesse d'apparition des étoiles sur les groupes de monstres est augmentée dans la zone du Sanctuaire des Dragoeufs : une étoile apparaît toutes les 10 minutes.</t>
  </si>
  <si>
    <t>1 Aile de Dragodinde</t>
  </si>
  <si>
    <t>Toutes les variétés de Dragodindes Ebène donnent naissance à un bébé supplémentaire.</t>
  </si>
  <si>
    <t>2 Trident Cassé</t>
  </si>
  <si>
    <t>Les chances d'obtenir du butin sont augmentées de 150 % sur les Bergers Porkass.</t>
  </si>
  <si>
    <t>3 Sardine Brillante</t>
  </si>
  <si>
    <t>Les quantités de Poissons de mer de taille moyenne récupérées par les Pêcheurs sont augmentées de 150 %.</t>
  </si>
  <si>
    <t>2 Pierre de Mofette</t>
  </si>
  <si>
    <t>Un challenge supplémentaire est généré contre les monstres des Larmes d'Ouronigride.</t>
  </si>
  <si>
    <t>1 Poil de Renarbo</t>
  </si>
  <si>
    <t>Les gains d'expérience sont augmentés de 125 % dans la Bibliothèque du Maître Corbac.</t>
  </si>
  <si>
    <t>4 Feuille de Bambouto</t>
  </si>
  <si>
    <t>Les chances d'obtenir du butin sont augmentées de 100 % dans la zone de Pandala Neutre.</t>
  </si>
  <si>
    <t>2 Griffe de Blérauve</t>
  </si>
  <si>
    <t>Les bonus apportés par les challenges réussis sont augmentés de 150 % sur les monstres des Crocs de verre.</t>
  </si>
  <si>
    <t>40 Ortie</t>
  </si>
  <si>
    <t>Les quantités d'Ortie récupérées par les Alchimistes sont augmentées de 125 %.</t>
  </si>
  <si>
    <t>4 Potion de Vieillesse</t>
  </si>
  <si>
    <t>Les gains d'expérience sont augmentés de 50 % pour tous les métiers.</t>
  </si>
  <si>
    <t>2 Os de Pékeualak</t>
  </si>
  <si>
    <t>Les gains d'expérience sont augmentés de 100 % dans la zone des Lacs Enchantés.</t>
  </si>
  <si>
    <t>SEPTEMBRE</t>
  </si>
  <si>
    <t>3 Michette</t>
  </si>
  <si>
    <t>Les artisans ont 15 % de chances d'économiser des ingrédients lorsqu'ils fabriquent des objets dans la zone de la forêt d'Amakna</t>
  </si>
  <si>
    <t>1 Peau de Don Dorgan</t>
  </si>
  <si>
    <t>La vitesse d'apparition des étoiles sur les groupes de monstres est augmentée dans la zone du Labyrinthe du Dragon Cochon : une étoile apparaît toutes les 5 minutes.</t>
  </si>
  <si>
    <t>2 Fleur de Blopignon</t>
  </si>
  <si>
    <t>Les chances d'obtenir du butin sont augmentées de 125 % dans le donjon des Blops.</t>
  </si>
  <si>
    <t>Les quantités de Noyer récupérées par les Bûcherons sont augmentées de 150 %.</t>
  </si>
  <si>
    <t>2 Ecaille de Harpirate</t>
  </si>
  <si>
    <t>Les gains d'expérience sont augmentés de 75 % sur les créatures de type Monstres du Berceau d'Alma.</t>
  </si>
  <si>
    <t>2 Peau de Dragueuse</t>
  </si>
  <si>
    <t>Le butin généré par les Percepteurs est augmenté de 300 % dans le donjon des Dragoeufs.</t>
  </si>
  <si>
    <t>3 Pétale de Tournesol Sauvage</t>
  </si>
  <si>
    <t>Un challenge supplémentaire est généré contre les monstres présents dans la zone du champ des Ingalsses.</t>
  </si>
  <si>
    <t>2 Furoncle de la Mama Bwork</t>
  </si>
  <si>
    <t>Les gains d'expérience sont augmentés de 125 % dans le donjon du Bworker.</t>
  </si>
  <si>
    <t>2 Poils de Boulglours</t>
  </si>
  <si>
    <t>Les chances d'obtenir du butin sont augmentées de 100 % dans la zone du Mont Torrideau.</t>
  </si>
  <si>
    <t>4 Échine de Porc</t>
  </si>
  <si>
    <t>Les quantités de Viande de Porc récupérées par les Chasseurs sont augmentées de 125%.</t>
  </si>
  <si>
    <t>2 Fumée Juvénile</t>
  </si>
  <si>
    <t>La vitesse d'apparition des étoiles sur les groupes de monstres est augmentée dans les zones des forêts de Vulkania : une étoile apparaît toutes les 10 minutes.</t>
  </si>
  <si>
    <t>3 Cuir du Cochon de Lait</t>
  </si>
  <si>
    <t>Les bonus apportés par les challenges réussis sont augmentés de 200 % dans la zone de la plaine des Porkass.</t>
  </si>
  <si>
    <t>20 Houblon</t>
  </si>
  <si>
    <t>Les Paysans ont 10 % de chances d'économiser des ingrédients lorsqu'ils fabriquent des objets.</t>
  </si>
  <si>
    <t>2 Corne de Gamino</t>
  </si>
  <si>
    <t>Les chances d'obtenir du butin sont augmentées de 75 % sur les créatures de type Minos.</t>
  </si>
  <si>
    <t>20 Bronze</t>
  </si>
  <si>
    <t>Les quantités de Bronze récupérées par les Mineurs sont augmentées de 150 %.</t>
  </si>
  <si>
    <t>2 Brassard de Braconnier.</t>
  </si>
  <si>
    <t>Les gains d'expérience sont augmentés de 100 % dans la zone du Pichon Frétillant.</t>
  </si>
  <si>
    <t>2 Paupière d'Étoile</t>
  </si>
  <si>
    <t>La vitesse d'apparition des étoiles sur les groupes de monstres est augmentée pour toutes les zones : une étoile apparaît toutes les 30 minutes</t>
  </si>
  <si>
    <t>15 Feuille de Menthe Sauvage</t>
  </si>
  <si>
    <t>La vitesse d'apparition des ressources est augmentée de 150 % dans la zone de la forêt d'Amakna.</t>
  </si>
  <si>
    <t>2 Flaque Juvénile</t>
  </si>
  <si>
    <t>Les bonus apportés par les challenges réussis sont augmentés de 150 % sur les créatures de type Monstres de Vulkania.</t>
  </si>
  <si>
    <t>2 Pointe de Javelot de Jav</t>
  </si>
  <si>
    <t>Les gains d'expérience sont augmentés de 75 % sur les créatures de type Kannibouls de l'île de Moon.</t>
  </si>
  <si>
    <t>2 Os de Fantôme Soryo Firefoux</t>
  </si>
  <si>
    <t>Les chances d'obtenir du butin sont augmentées de 100 % dans la zone de l'île de Grobe.</t>
  </si>
  <si>
    <t>2 Pic de Dragodinde Dorée</t>
  </si>
  <si>
    <t>Toutes les variétés de Dragodindes capables de se reproduire donnent naissance à un bébé supplémentaire.</t>
  </si>
  <si>
    <t>40 Blé</t>
  </si>
  <si>
    <t>Les quantités de céréales récupérées par les Paysans de tous niveaux sont augmentées de 100 %.</t>
  </si>
  <si>
    <t>4 Bottes du Chat Buté</t>
  </si>
  <si>
    <t>Les artisans ont 15 % de chances d'économiser des ingrédients lorsqu'ils fabriquent des objets dans la zone de Bonta.</t>
  </si>
  <si>
    <t>2 Racine de Tronkoblop</t>
  </si>
  <si>
    <t>Les bonus apportés par les challenges réussis sont augmentés de 200 % dans le donjon de l'Antre du Blop Multicolore Royal.</t>
  </si>
  <si>
    <t>2 Crème à bronzer</t>
  </si>
  <si>
    <t>Les gains d'expérience sont augmentés de 100 % dans la zone des Calanques d'Astrub.</t>
  </si>
  <si>
    <t>3 Poisskaille</t>
  </si>
  <si>
    <t>Les quantités de Poissons de Frigost récupérées par les Pêcheurs sont augmentées de 150 %.</t>
  </si>
  <si>
    <t>2 Cendres Matures</t>
  </si>
  <si>
    <t>Un challenge supplémentaire est généré contre les créatures de type Monstres de Vulkania.</t>
  </si>
  <si>
    <t>3 Potion de cité : Bonta</t>
  </si>
  <si>
    <t>Une quête répétable spéciale est disponible aujourd'hui au sud des portes de Bonta. Réalisable à partir du niveau 10, elle est indépendante de la quête d'offrande.</t>
  </si>
  <si>
    <t>5 Oeuf de Tofu</t>
  </si>
  <si>
    <t>Les chances d'obtenir du butin sont augmentées de 75 % sur les créatures de type Tofus.</t>
  </si>
  <si>
    <t>10 Edelweiss</t>
  </si>
  <si>
    <t>Les quantités d'Edelweiss et de Graines de Pandouille récupérées par les Alchimistes sont augmentées de 175 %.</t>
  </si>
  <si>
    <t>AOUT</t>
  </si>
  <si>
    <t>2 Poudre Novice</t>
  </si>
  <si>
    <t>Les gains d'expérience sont augmentés de 75 % sur les créatures de type Monstres de Vulkania.</t>
  </si>
  <si>
    <t>4 Sang du Vampire</t>
  </si>
  <si>
    <t>Les gains d'expérience et les chances d'obtenir du butin sont augmentés de 125 % dans le donjon de la Maison Fantôme.</t>
  </si>
  <si>
    <t>5 Peau de Kitsou Nere</t>
  </si>
  <si>
    <t>Les chances d'obtenir du butin sont augmentées de 125 % dans le donjon du Repaire de Daïgoro.</t>
  </si>
  <si>
    <t>2 Péroné du Marôdeur</t>
  </si>
  <si>
    <t>La vitesse d'apparition des étoiles sur les groupes de monstres est augmentée dans les zones de la forêt Enneigée et de la plaine de Sakaï : une étoile apparaît toutes les 5 minutes.</t>
  </si>
  <si>
    <t>8 Larve croque-sel</t>
  </si>
  <si>
    <t>Les Chasseurs ont 10 % de chances d'économiser des ingrédients lorsqu'ils fabriquent des objets.</t>
  </si>
  <si>
    <t>2 Queue d'Ecumouth</t>
  </si>
  <si>
    <t>Les gains d'expérience sont augmentés de 100 % dans la zone de la forêt des Pins Perdus.</t>
  </si>
  <si>
    <t>1 Peau de Don Duss Ang</t>
  </si>
  <si>
    <t>Les bonus apportés par les challenges réussis sont augmentés de 150 % sur les créatures de type Cochons.</t>
  </si>
  <si>
    <t>1 Bois d'Orme</t>
  </si>
  <si>
    <t>Les quantités de Tremble, de Bambou Sacré et d'Orme récupérées par les Bûcherons sont augmentées de 200 %.</t>
  </si>
  <si>
    <t>10 Greu-Vette</t>
  </si>
  <si>
    <t>Les bonus apportés par les familiers et les montiliers sont augmentés de 100 %.</t>
  </si>
  <si>
    <t>2 Plume de Gélikan</t>
  </si>
  <si>
    <t>Un challenge supplémentaire est généré contre les créatures de type Monstres de la Bourgade.</t>
  </si>
  <si>
    <t>2 Pierre Précieuse Zoth</t>
  </si>
  <si>
    <t>Les chances d'obtenir du butin sont augmentées de 100 % dans la zone du Village des Zoths.</t>
  </si>
  <si>
    <t>1 Huile de Tournesol Sauvage</t>
  </si>
  <si>
    <t>La vitesse d'apparition des céréales récoltées par les Paysans est augmentée de 100 %.</t>
  </si>
  <si>
    <t>2 Coccyx du Corailleur</t>
  </si>
  <si>
    <t>Les gains d'expérience sont augmentés de 125 % dans le donjon de la Grotte Hesque.</t>
  </si>
  <si>
    <t>5 Substrat de buisson</t>
  </si>
  <si>
    <t>Les artisans ont 15 % de chances d'économiser des ingrédients lorsqu'ils fabriquent des objets dans la zone du Coin des Bouftous.</t>
  </si>
  <si>
    <t>4 Fleur de Pissenlit Diabolique</t>
  </si>
  <si>
    <t>La vitesse d'apparition des étoiles sur les groupes de monstres est augmentée dans la zone des Prairies d'Astrub : une étoile apparaît toutes les 10 minutes.</t>
  </si>
  <si>
    <t>2 Boue Vénérable</t>
  </si>
  <si>
    <t>Les chances d'obtenir du butin sont augmentées de 75 % sur les créatures de type Monstres de Vulkania.</t>
  </si>
  <si>
    <t>3 DragoViande</t>
  </si>
  <si>
    <t xml:space="preserve">Les quantités de Dragoviande récupérées par les Chasseurs sont augmentées de 125%. </t>
  </si>
  <si>
    <t>2 Chaînes Brisées</t>
  </si>
  <si>
    <t>Les gains d'expérience sont augmentés de 100 % lors des combats du Kolizéum.</t>
  </si>
  <si>
    <t>2 Pierre d'Atomystique</t>
  </si>
  <si>
    <t>Les gains d'expérience sont augmentés de 100 % dans la zone des Larmes d'Ouronigride.</t>
  </si>
  <si>
    <t>2 Laine de Boufmouth</t>
  </si>
  <si>
    <t>Les bonus apportés par les challenges réussis sont augmentés de 200 % dans la zone des Champs de Glace.</t>
  </si>
  <si>
    <t>10 Bauxite</t>
  </si>
  <si>
    <t>Les quantités de Bauxite récupérées par les Mineurs sont augmentées de 150 %.</t>
  </si>
  <si>
    <t>1 Arc Ecologique</t>
  </si>
  <si>
    <t>Toutes les variétés de Dragodindes Prune donnent naissance à un bébé supplémentaire.</t>
  </si>
  <si>
    <t>20 Bois de Frêne</t>
  </si>
  <si>
    <t>Les gains d'expérience sont augmentés de 50 % pour les métiers de récolte.</t>
  </si>
  <si>
    <t>8 Laine du Boufcoul</t>
  </si>
  <si>
    <t>Les gains d'expérience sont augmentés de 200 % sur les Boufcouls et les Bouftous des Cavernes.</t>
  </si>
  <si>
    <t>Les chances d'obtenir du butin sont augmentées de 100 % dans la zone des Larmes d'Ouronigride.</t>
  </si>
  <si>
    <t>8 Truite</t>
  </si>
  <si>
    <t>Les quantités de Poissons de rivière de taille moyenne récupérées par les Pêcheurs sont augmentées de 150 %.</t>
  </si>
  <si>
    <t>1 Poils de Kitsou Nakwa</t>
  </si>
  <si>
    <t>Les bonus apportés par les challenges réussis sont augmentés de 200 % dans le donjon des Kitsounes.</t>
  </si>
  <si>
    <t>2 Dés de Joue de Rat</t>
  </si>
  <si>
    <t>La qualité des objets fabriqués dans le village et la forêt d'Amakna est augmentée.</t>
  </si>
  <si>
    <t>7 Potion de Mini Soin</t>
  </si>
  <si>
    <t>Les Alchimistes ont 10 % de chances d'économiser des ingrédients lorsqu'ils fabriquent des objets.</t>
  </si>
  <si>
    <t>6 Défense du Sanglier</t>
  </si>
  <si>
    <t>Un challenge supplémentaire est généré contre les monstres présents dans la zone de la forêt d'Amakna.</t>
  </si>
  <si>
    <t>4 Écaille de Chef Crocodaille</t>
  </si>
  <si>
    <t>Les chances d'obtenir du butin sont augmentées de 150 % sur les Chefs Crocodailles.</t>
  </si>
  <si>
    <t>JUILLET</t>
  </si>
  <si>
    <t>3 Peau de Mandrine</t>
  </si>
  <si>
    <t>Les gains d'expérience sont augmentés de 100 % dans la zone de l'île du Minotoror.</t>
  </si>
  <si>
    <t>4 Cuisse de Bouftou</t>
  </si>
  <si>
    <t xml:space="preserve">Les quantités de Cuisses de Bouftou récupérées par les Chasseurs sont augmentées de 125%. </t>
  </si>
  <si>
    <t>7 Racine d'Abraknyde</t>
  </si>
  <si>
    <t>La vitesse d'apparition des étoiles sur les groupes de monstres est augmentée dans la zone de la forêt des Abraknydes : une étoile apparaît toutes les 10 minutes.</t>
  </si>
  <si>
    <t>2 Vieille Ventouse de Kralamoure</t>
  </si>
  <si>
    <t>Les chances d'obtenir du butin sont augmentées de 125 % dans le donjon de l'Antre du Kralamoure Géant.</t>
  </si>
  <si>
    <t>1 Bouclier du Bûcheron</t>
  </si>
  <si>
    <t>Les artisans ont 15 % de chances d'économiser des ingrédients lorsqu'ils fabriquent des objets dans la zone du village de Pandala.</t>
  </si>
  <si>
    <t>La vitesse d'apparition des ressources est augmentée de 150 % dans la zone des Landes de Sidimote.</t>
  </si>
  <si>
    <t>4 Langue du Pissenlit Diabolique</t>
  </si>
  <si>
    <t>Les gains d'expérience sont augmentés de 75 % sur les créatures de type Plantes des Champs.</t>
  </si>
  <si>
    <t>2 Bave du Kaskargo</t>
  </si>
  <si>
    <t>Les chances d'obtenir du butin sont augmentées de 100 % dans la zone du Feuillage de l'Arbre Hakam.</t>
  </si>
  <si>
    <t>2 Pince de Crustorail</t>
  </si>
  <si>
    <t>La vitesse d'apparition des étoiles sur les groupes de monstres est augmentée dans la zone de la Plage de Corail : une étoile apparaît toutes les 15 minutes</t>
  </si>
  <si>
    <t>2 Conque Marine</t>
  </si>
  <si>
    <t>Le coût d'utilisation des Zaaps, les frais bancaires et les taxes des Hôtels de vente bénéficient d'une réduction de 50 %.</t>
  </si>
  <si>
    <t>Les quantités de Blé récupérées par les Paysans sont augmentées de 125 %.</t>
  </si>
  <si>
    <t>5 Peau de Kitsou Nufeu</t>
  </si>
  <si>
    <t>Les bonus apportés par les challenges réussis sont augmentés de 250 % sur les Kitsous Nufeus.</t>
  </si>
  <si>
    <t>2 Peau de Dragoeuf Volant</t>
  </si>
  <si>
    <t>Les gains d'expérience sont augmentés de 125 % dans le donjon des Dragoeufs.</t>
  </si>
  <si>
    <t>2 Racine de Bulbig</t>
  </si>
  <si>
    <t>Les chances d'obtenir du butin sont augmentées de 150 % sur les Bulbigs. Le Bulbig Brozeur n'est pas concerné par ce bonus.</t>
  </si>
  <si>
    <t>7 Coquille de Dragoeuf Saphir</t>
  </si>
  <si>
    <t>Un challenge supplémentaire est généré contre les monstres présents dans la zone du Village des Dragoeufs.</t>
  </si>
  <si>
    <t>12 Bois de Merisier</t>
  </si>
  <si>
    <t>Les quantités de Merisier récupérées par les Bûcherons sont augmentées de 125 %.</t>
  </si>
  <si>
    <t>1 Clef des Champs</t>
  </si>
  <si>
    <t>Les Bricoleurs ont 10 % de chances d'économiser des ingrédients lorsqu'ils fabriquent des objets.</t>
  </si>
  <si>
    <t>1 Bave de Champ à Gnons</t>
  </si>
  <si>
    <t>Les gains d'expérience sont augmentés de 100 % dans la zone de la Caverne des Fungus.</t>
  </si>
  <si>
    <t>2 Baguette de Glace</t>
  </si>
  <si>
    <t>La qualité des objets fabriqués dans la ville de la Bourgade est augmentée</t>
  </si>
  <si>
    <t>2 Kokopaille</t>
  </si>
  <si>
    <t>Les chances d'obtenir du butin sont augmentées de 100 % dans la zone de la plage de Moon.</t>
  </si>
  <si>
    <t>5 Pic de Dragodinde</t>
  </si>
  <si>
    <t>Toutes les variétés de Dragodindes Amande donnent naissance à un bébé supplémentaire.</t>
  </si>
  <si>
    <t>10 Orchidée Freyesque</t>
  </si>
  <si>
    <t>Les quantités d'Orchidée Freyesque récupérées par les Alchimistes sont augmentées de 150 %.</t>
  </si>
  <si>
    <t>2 Pousses de Bulbambou</t>
  </si>
  <si>
    <t>Les bonus apportés par les challenges réussis sont augmentés de 200 % dans la zone de la forêt de Pandala</t>
  </si>
  <si>
    <t>2 Incisive de Kami Givrefoux</t>
  </si>
  <si>
    <t>Les gains d'expérience sont augmentés de 75 % sur les créatures de type Givrefoux.</t>
  </si>
  <si>
    <t>2 Oeil de Harrogant</t>
  </si>
  <si>
    <t>Les chances d'obtenir du butin sont augmentées de 75 % sur le Comte Harebourg et ses 4 lieutenants, ainsi que sur leurs créatures.</t>
  </si>
  <si>
    <t>10 Or</t>
  </si>
  <si>
    <t>Les quantités de minerai récupérées par les Mineurs de tous niveaux sont augmentées de 100 %.</t>
  </si>
  <si>
    <t>Le butin généré par les Percepteurs est augmenté de 200 % dans toutes les zones.</t>
  </si>
  <si>
    <t>2 Graine de la Discorde</t>
  </si>
  <si>
    <t>Les bonus apportés par les challenges réussis sont augmentés de 200 % dans le donjon des Forgerons.</t>
  </si>
  <si>
    <t>Les artisans ont 15 % de chances d'économiser des ingrédients lorsqu'ils fabriquent des objets dans la zone du port de Madrestam</t>
  </si>
  <si>
    <t>5 Pince du Crabe</t>
  </si>
  <si>
    <t>Un challenge supplémentaire est généré contre les créatures de type Monstres des plages.</t>
  </si>
  <si>
    <t>JUIN</t>
  </si>
  <si>
    <t>2 Lamelle de Dramanite</t>
  </si>
  <si>
    <t>Les chances d'obtenir du butin sont augmentées de 100 % dans la zone de la forêt Pétrifiée.</t>
  </si>
  <si>
    <t>7 Coquille de Dragoeuf Doré</t>
  </si>
  <si>
    <t>Les gains d'expérience sont augmentés de 75 % sur les créatures de type Dragoeufs.</t>
  </si>
  <si>
    <t>2 Poils de Koalak Forestier</t>
  </si>
  <si>
    <t>La vitesse d'apparition des étoiles sur les groupes de monstres est augmentée dans la zone de la forêt de Kaliptus : une étoile apparaît toutes les 5 minutes.</t>
  </si>
  <si>
    <t>2 Viande de Chachachovage</t>
  </si>
  <si>
    <t>Les quantités de viande récupérées par les Chasseurs sur les créatures de Frigost qui vivent dans la Bourgade sont augmentées de 125 %.</t>
  </si>
  <si>
    <t>10 Pain Consistant</t>
  </si>
  <si>
    <t>Pour chaque objet fabriqué, les Paysans ont 25 % de chances de créer un second objet.</t>
  </si>
  <si>
    <t>6 Corne de Bouftou</t>
  </si>
  <si>
    <t>Les bonus apportés par les challenges réussis sont augmentés de 200 % dans la zone de l'Élevage de Bouftous du Château d'Amakna.</t>
  </si>
  <si>
    <t>Les gains d'expérience sont augmentés de 100 % dans la zone du Feuillage de l'Arbre Hakam.</t>
  </si>
  <si>
    <t>3 Graine de Tournesol Sauvage</t>
  </si>
  <si>
    <t>Les chances d'obtenir du butin sont augmentées de 125 % dans le donjon des Champs.</t>
  </si>
  <si>
    <t>2 Perche</t>
  </si>
  <si>
    <t>Les quantités de Poissons de rivière géants récupérées par les Pêcheurs sont augmentées de 150 %.</t>
  </si>
  <si>
    <t>2 Laine de Yokaï Givrefoux</t>
  </si>
  <si>
    <t>Un challenge supplémentaire est généré contre les monstres présents dans la zone des Cavernes des Givrefoux.</t>
  </si>
  <si>
    <t>1 Capouze des Champs</t>
  </si>
  <si>
    <t>Les Tailleurs ont 10 % de chances d'économiser des ingrédients lorsqu'ils fabriquent des objets.</t>
  </si>
  <si>
    <t>2 Papier Charbon</t>
  </si>
  <si>
    <t>Les gains d'expérience sont augmentés de 75 % sur les créatures de type Dopeuls de temple.</t>
  </si>
  <si>
    <t>12 Etain</t>
  </si>
  <si>
    <t>Les quantités d'Étain et de Silicate récupérées par les Mineurs sont augmentées de 150 %.</t>
  </si>
  <si>
    <t>3 Fleur de Bulbiflore</t>
  </si>
  <si>
    <t>La vitesse d'apparition des étoiles sur les groupes de monstres est augmentée dans la zone de la forêt de Pandala : une étoile apparaît toutes les 5 minutes.</t>
  </si>
  <si>
    <t>2 Étoffe du Roissingue</t>
  </si>
  <si>
    <t>Les chances d'obtenir du butin sont augmentées de 150 % sur les Roissingues.</t>
  </si>
  <si>
    <t>1 Cawotte</t>
  </si>
  <si>
    <t>Une quête répétable spéciale est disponible aujourd'hui à l'est de l'atelier des bûcherons de la forêt d'Amakna. Réalisable à partir du niveau 20, elle est indépendante de la quête d'offrande.</t>
  </si>
  <si>
    <t>11 Laine de Bouftou</t>
  </si>
  <si>
    <t>Des Boufballes Surprises ont été ajoutées aux butins des monstres. Lorsqu'elles sont utilisées, elles permettent d'obtenir des Bouf'gommes de différents parfums.</t>
  </si>
  <si>
    <t>2 Dagues de Fouraille</t>
  </si>
  <si>
    <t>La qualité des objets fabriqués dans la ville d'Astrub est augmentée.</t>
  </si>
  <si>
    <t>1 Dédicace de Skeunk pour Émeraude</t>
  </si>
  <si>
    <t>Les bonus apportés par les challenges réussis sont augmentés de 200 % dans le donjon du Repaire de Skeunk.</t>
  </si>
  <si>
    <t>20 Malt</t>
  </si>
  <si>
    <t>Les quantités de Malt récupérées par les Paysans sont augmentées de 125 %.</t>
  </si>
  <si>
    <t>1 Carapace de Scarafeuille Vert</t>
  </si>
  <si>
    <t>Les gains d'expérience sont augmentés de 100 % dans la zone de la Plaine des Scarafeuilles.</t>
  </si>
  <si>
    <t>3 Pelle de Boisaille</t>
  </si>
  <si>
    <t>Toutes les variétés de Dragodindes Turquoise donnent naissance à un bébé supplémentaire.</t>
  </si>
  <si>
    <t>2 Pierre Médicinale</t>
  </si>
  <si>
    <t>Les chances d'obtenir du butin sont augmentées de 100 % dans la zone du Canyon Sauvage.</t>
  </si>
  <si>
    <t>10 Pomme de Terre</t>
  </si>
  <si>
    <t>Une quête répétable spéciale est disponible aujourd'hui près du château d'Amakna. Réalisable à partir du niveau 10, elle est indépendante de la quête d'offrande.</t>
  </si>
  <si>
    <t>5 Boulettes d'Insecte</t>
  </si>
  <si>
    <t>Les artisans ont 15 % de chances d'économiser des ingrédients lorsqu'ils fabriquent des objets dans la zone de la Bourgade, ainsi que dans les Champs de Glace.</t>
  </si>
  <si>
    <t>15 Bois d'Erable</t>
  </si>
  <si>
    <t>Les quantités de Bombu, d'Oliviolet et d'Érable récupérées par les Bûcherons sont augmentées de 125 %.</t>
  </si>
  <si>
    <t>1 Sac du Petit Récolteur</t>
  </si>
  <si>
    <t>Les protecteurs de ressources ont 5 fois plus de chances d'apparaître pendant les activités de récolte.</t>
  </si>
  <si>
    <t>1 Sang d'Oni</t>
  </si>
  <si>
    <t>Les bonus apportés par les challenges réussis sont augmentés de 250 % sur les Onis.</t>
  </si>
  <si>
    <t>2 Souche de l'Abrakleur clair</t>
  </si>
  <si>
    <t>Les chances d'obtenir du butin sont augmentées de 75 % sur les créatures de type Monstres de l'Arbre Hakam.</t>
  </si>
  <si>
    <t>1 Langue du Champodonte</t>
  </si>
  <si>
    <t>Les gains d'expérience sont augmentés de 125 % dans le donjon Fungus.</t>
  </si>
  <si>
    <t>2 Capsule Explosive</t>
  </si>
  <si>
    <t>Pour chaque Fée d'Artifice fabriquée, les personnages ont 25 % de chances de créer une seconde Fée et 10 % de chances d'économiser des ingrédients. Ils peuvent aussi récupérer 2 fois plus de Capsules Explosives en combattant des Bworks Mages.</t>
  </si>
  <si>
    <t>MAI</t>
  </si>
  <si>
    <t>Les quantités de Plantes récupérées par les Alchimistes de tous niveaux sont augmentées de 100 %.</t>
  </si>
  <si>
    <t>4 Plume de Piou Rouge</t>
  </si>
  <si>
    <t>Les chances d'obtenir du butin sont augmentées de 75 % sur les créatures de type Pious.</t>
  </si>
  <si>
    <t>1 Cristal</t>
  </si>
  <si>
    <t>Les Mineurs économisent 10 % de leurs ingrédients lorsqu'ils fabriquent des objets.</t>
  </si>
  <si>
    <t>3 Oreille de Kanigrou</t>
  </si>
  <si>
    <t>La vitesse d'apparition des étoiles sur les groupes de monstres est augmentée dans la zone de la Route de Brâkmar : une étoile apparaît toutes les 15 minutes.</t>
  </si>
  <si>
    <t>2 Bourse Suspecte</t>
  </si>
  <si>
    <t>Les gains de kamas sont augmentés de 100 % pour toutes les quêtes.</t>
  </si>
  <si>
    <t>3 Museau du Mulou</t>
  </si>
  <si>
    <t xml:space="preserve">Les quantités de Museaux et de Mouvants récupérées par les Chasseurs sont augmentées de 125%. </t>
  </si>
  <si>
    <t>2 Pierre du Craqueleur</t>
  </si>
  <si>
    <t>Les bonus apportés par les challenges réussis sont augmentés de 200 % dans la zone de la montagne des Craqueleurs.</t>
  </si>
  <si>
    <t>2 Bave de Ouassingue</t>
  </si>
  <si>
    <t>Les gains d'expérience sont augmentés de 75 % sur les créatures de type Monstres des Tourbières.</t>
  </si>
  <si>
    <t>2 Carpe d'Iem</t>
  </si>
  <si>
    <t>La vitesse d'apparition des ressources est augmentée de 150 % dans les zones de la Rivière Kawaii et du Port de Madrestam.</t>
  </si>
  <si>
    <t>Les chances d'obtenir du butin sont augmentées de 125 % dans le donjon du Centre du Labyrinthe du Minotoror.</t>
  </si>
  <si>
    <t>3 Poils de Maho Firefoux</t>
  </si>
  <si>
    <t>Les gains d'expérience sont augmentés de 100 % dans la zone de la Bordure de Feudala.</t>
  </si>
  <si>
    <t>Les quantités d'Or récupérées par les Mineurs sont augmentées de 150 %.</t>
  </si>
  <si>
    <t>2 Queue de Meliglours</t>
  </si>
  <si>
    <t>Un challenge supplémentaire est généré contre les créatures de type Monstres du Mont Torrideau.</t>
  </si>
  <si>
    <t>2 Gelée à la Fraise</t>
  </si>
  <si>
    <t>Les chances d'obtenir du butin sont augmentées de 100 % dans la zone de la péninsule des Gelées.</t>
  </si>
  <si>
    <t>2 Kralamoure Grillé</t>
  </si>
  <si>
    <t>Les artisans économisent 15 % de leurs ingrédients lorsqu'ils fabriquent des objets dans la zone d'Astrub, ainsi que dans les champs et la forêt d'Astrub.</t>
  </si>
  <si>
    <t>1 Baffeur en Frêne</t>
  </si>
  <si>
    <t>Pour chaque objet fabriqué, les Bricoleurs ont 25 % de chances de créer un second objet.</t>
  </si>
  <si>
    <t>2 Calumet Zoth</t>
  </si>
  <si>
    <t>Les bonus apportés par les challenges réussis sont augmentés de 150 % sur les créatures de type Monstres du Village des Zoths.</t>
  </si>
  <si>
    <t>8 Bois de Kaliptus</t>
  </si>
  <si>
    <t>Les quantités de Bois d'Ebène et de Bois de Kaliptus récupérées par les Bûcherons sont augmentées de 150 %.</t>
  </si>
  <si>
    <t>2 Os de Fantôme Pandikaze</t>
  </si>
  <si>
    <t>Les chances d'obtenir du butin sont augmentées de 75 % sur les créatures de type Fantômes de Pandala.</t>
  </si>
  <si>
    <t>9 Bout de Blop Coco</t>
  </si>
  <si>
    <t>La vitesse d'apparition des étoiles sur les groupes de monstres est augmentée dans la zone du Lac de Cania : une étoile apparaît toutes les 5 minutes.</t>
  </si>
  <si>
    <t>1 Mangeoire en Frêne</t>
  </si>
  <si>
    <t>Toutes les variétés de Dragodindes Pourpres donnent naissance à un bébé supplémentaire.</t>
  </si>
  <si>
    <t>2 Carapace de Scaratos</t>
  </si>
  <si>
    <t>Les bonus apportés par les challenges réussis sont augmentés de 200 % dans le donjon du Centre du Labyrinthe du Minotoror.</t>
  </si>
  <si>
    <t>3 Carapace Verte Vide</t>
  </si>
  <si>
    <t>Les gains d'expérience sont augmentés de 75 % sur les créatures de type Tortues de Moon et Plantes de Moon.</t>
  </si>
  <si>
    <t>20 Orge</t>
  </si>
  <si>
    <t>Les quantités d'Orge récupérées par les Paysans sont augmentées de 125 %.</t>
  </si>
  <si>
    <t>7 Poils du Mulou</t>
  </si>
  <si>
    <t>Les chances d'obtenir du butin sont augmentées de 100 % dans la zone du Bois de Litneg.</t>
  </si>
  <si>
    <t>1 Dent en Or du Craqueleur</t>
  </si>
  <si>
    <t>Les gains d'expérience sont augmentés de 125 % dans le donjon des Craqueleurs.</t>
  </si>
  <si>
    <t>2 Bouclier du Bouftou</t>
  </si>
  <si>
    <t>Les Façonneurs économisent 10 % de leurs ingrédients lorsqu'ils fabriquent des objets.</t>
  </si>
  <si>
    <t>2 Os de Fantôme Yokai Firefoux</t>
  </si>
  <si>
    <t>Les gains d'expérience sont augmentés de 100 % dans la zone de l'île de Grobe.</t>
  </si>
  <si>
    <t>4 Crabe Sourimi</t>
  </si>
  <si>
    <t>Les quantités de Petits poissons de rivière et de mer récupérées par les Pêcheurs sont augmentées de 125 %.</t>
  </si>
  <si>
    <t>2 Fluide Glacial</t>
  </si>
  <si>
    <t>Les gains d'expérience et les chances d'obtenir du butin sont augmentés de 75 % sur tous les monstres considérés comme des créatures marines (monstres des plages, crabes, corailleurs, crustorails, tortues de Moon, gélikan, Kralamoure Géant).</t>
  </si>
  <si>
    <t>AVRIL</t>
  </si>
  <si>
    <t>2 Dent de Larve Émeraude</t>
  </si>
  <si>
    <t>Les bonus apportés par les challenges réussis sont augmentés de 200 % dans le donjon des Larves.</t>
  </si>
  <si>
    <t>5 Peau de Kitsou Nae</t>
  </si>
  <si>
    <t>Les chances d'obtenir du butin sont augmentées de 75 % sur les créatures de type Kitsous.</t>
  </si>
  <si>
    <t>2 Etoffe de Vigie Pirate</t>
  </si>
  <si>
    <t>La vitesse d'apparition des étoiles sur les groupes de monstres est augmentée dans la zone du Berceau d'Alma : une étoile apparaît toutes les 10 minutes.</t>
  </si>
  <si>
    <t>2 Corne de Boufmouth de guerre</t>
  </si>
  <si>
    <t>Un challenge supplémentaire est généré contre les créatures de type Monstres des Champs de Glace.</t>
  </si>
  <si>
    <t>4 Œuf de Dragoeuf</t>
  </si>
  <si>
    <t>Une quête répétable spéciale est disponible aujourd'hui près du sanctuaire des Zobals. Réalisable à partir du niveau 20, elle est indépendante de la quête d'offrande.</t>
  </si>
  <si>
    <t>2 Oreille d'Apériglours</t>
  </si>
  <si>
    <t>Les bonus apportés par les challenges réussis sont augmentés de 200 % dans la zone de la Ruche des Gloursons.</t>
  </si>
  <si>
    <t>2 Laine de Maho Givrefoux</t>
  </si>
  <si>
    <t>Les chances d'obtenir du butin sont augmentées de 100 % dans la zone des Cavernes Givrefoux.</t>
  </si>
  <si>
    <t>Les artisans économisent 15 % de leurs ingrédients lorsqu'ils fabriquent des objets dans la zone des Champs de Cania.</t>
  </si>
  <si>
    <t>La vitesse d'apparition des bois de tous types est augmentée de 100 %.</t>
  </si>
  <si>
    <t>3 Fragment de Pierre Pointue</t>
  </si>
  <si>
    <t>Un challenge supplémentaire est généré contre les Craqueleurs des Plaines.</t>
  </si>
  <si>
    <t>6 Bave de Bouftou</t>
  </si>
  <si>
    <t>Les gains d'expérience sont augmentés de 150 % sur les Bouftous.</t>
  </si>
  <si>
    <t>2 Pierre du Courtilieur</t>
  </si>
  <si>
    <t>Les chances d'obtenir du butin sont augmentées de 125 % dans le donjon de la mine abandonnée de Sakaï.</t>
  </si>
  <si>
    <t>15 Manganèse</t>
  </si>
  <si>
    <t>Les quantités de Manganèse récupérées par les Mineurs sont augmentées de 150 %.</t>
  </si>
  <si>
    <t>1 Marteau Pickeur</t>
  </si>
  <si>
    <t>Les gains d'expérience sont augmentés de 50 % pour les métiers de fabrication d'armes et d'équipements (Forgeron, Sculpteur, Bijoutier, Cordonnier, Tailleur et Façonneur).</t>
  </si>
  <si>
    <t>1 Pierre d'Émeraude</t>
  </si>
  <si>
    <t>Ayiri Chkofi attend les aventuriers qui veulent boire un petit coup près de la taverne du village d'Amakna. Sa bénédiction transforme temporairement en Bulbinouze (effet qui disparaît quand un combat est lancé) et en Pilier de Comptoir (bonus de 5 % + 10 sur toutes les résistances durant 15 combats).</t>
  </si>
  <si>
    <t>2 Jouet de Gamine Zoth</t>
  </si>
  <si>
    <t>Les gains d'expérience sont augmentés de 100 % dans la zone du Village des Zoths.</t>
  </si>
  <si>
    <t>2 Groin de Sanglier des Plaines</t>
  </si>
  <si>
    <t>Les chances d'obtenir du butin sont augmentées de 150 % sur les Sangliers des Plaines.</t>
  </si>
  <si>
    <t>15 Trèfle à 5 feuilles</t>
  </si>
  <si>
    <t>Les quantités de Trèfles à 5 Feuilles récupérées par les Alchimistes sont augmentées de 125 %.</t>
  </si>
  <si>
    <t>2 Bâton Kouyu</t>
  </si>
  <si>
    <t>Les gains d'expérience sont augmentés de 100 % sur tous les gardiens de donjon.</t>
  </si>
  <si>
    <t>4 Poisson Pané</t>
  </si>
  <si>
    <t>Les Pêcheurs économisent 10 % de leurs ingrédients lorsqu'ils fabriquent des objets.</t>
  </si>
  <si>
    <t>2 Dent de Bourbassingue</t>
  </si>
  <si>
    <t>Un challenge supplémentaire est généré contre les monstres présents dans la zone de la Tourbière sans fond</t>
  </si>
  <si>
    <t>2 Lait de Dragodinde</t>
  </si>
  <si>
    <t>Toutes les variétés de Dragodindes Indigo donnent naissance à un bébé supplémentaire.</t>
  </si>
  <si>
    <t>Les quantités de Houblon récupérées par les Paysans sont augmentées de 125 %.</t>
  </si>
  <si>
    <t>7 Patte de Wabbit</t>
  </si>
  <si>
    <t>Les bonus apportés par les challenges réussis sont augmentés de 150 % sur les créatures de type Wabbits.</t>
  </si>
  <si>
    <t>2 Griffe de Pandikaze Vertige</t>
  </si>
  <si>
    <t>Les gains d'expérience sont augmentés de 125 % dans le donjon du Repaire des Pandikazes.</t>
  </si>
  <si>
    <t>2 Etoffe de Rat Bougri</t>
  </si>
  <si>
    <t>Les chances d'obtenir du butin sont augmentées de 100 % dans la zone de la Bourgade.</t>
  </si>
  <si>
    <t>2 Bandeau de Nakunbra</t>
  </si>
  <si>
    <t>Un challenge supplémentaire est généré contre les créatures de type Pirates de Moon.</t>
  </si>
  <si>
    <t>2 Volve de Fistulor</t>
  </si>
  <si>
    <t>La vitesse d'apparition des étoiles sur les groupes de monstres est augmentée dans la zone de la forêt Pétrifiée : une étoile apparaît toutes les 10 minutes.</t>
  </si>
  <si>
    <t>3 Bois de Charme</t>
  </si>
  <si>
    <t>Les quantités de Bois de Charme et de Bois de Bambou Sombre récupérées par les Bûcherons sont augmentées de 150 %.</t>
  </si>
  <si>
    <t>2 Crâne d'Aventurier</t>
  </si>
  <si>
    <t>Les gains d'expérience sont augmentés de 100 % dans la zone de la Vallée de la Morh'Kitu.</t>
  </si>
  <si>
    <t>1 Bâton Spirituel</t>
  </si>
  <si>
    <t>Les artisans économisent 15 % de leurs ingrédients lorsqu'ils fabriquent des objets dans la zone de Brâkmar.</t>
  </si>
  <si>
    <t>MARS</t>
  </si>
  <si>
    <t>2 Nageoire de Compétition</t>
  </si>
  <si>
    <t>Les chances d'obtenir du butin sont augmentées de 75 % sur les créatures de type Plantes de Moon et Tortues de Moon.</t>
  </si>
  <si>
    <t>8 Noix de Kokoko</t>
  </si>
  <si>
    <t>3 Entrecôte de Wabbit</t>
  </si>
  <si>
    <t>Les quantités de Viande de Wabbit récupérées par les Chasseurs sont augmentées de 125%.</t>
  </si>
  <si>
    <t>3 Peau de Minoskito</t>
  </si>
  <si>
    <t>Les gains d'expérience sont augmentés de 75 % sur les créatures de type Minos.</t>
  </si>
  <si>
    <t>2 Os de Fantôme Léopardo</t>
  </si>
  <si>
    <t>Les bonus apportés par les challenges réussis sont augmentés de 200 % dans la zone de l'île de Grobe.</t>
  </si>
  <si>
    <t>4 Bec du Tofu</t>
  </si>
  <si>
    <t>La vitesse d'apparition des étoiles sur les groupes de monstres est augmentée dans la zone des Souterrains profonds d'Astrub : une étoile apparaît toutes les 5 minutes.</t>
  </si>
  <si>
    <t>La vitesse d'apparition des ressources est augmentée de 150 % dans la zone des Champs de Cania.</t>
  </si>
  <si>
    <t>Les chances d'obtenir du butin sont augmentées de 100 % dans la zone du Sanctuaire des Dragoeufs.</t>
  </si>
  <si>
    <t>8 Bière de Bwork</t>
  </si>
  <si>
    <t>Les gains d'expérience sont augmentés de 100 % dans la zone de Gisgoul, le village dévasté.</t>
  </si>
  <si>
    <t>2 Croupion du Bitouf aérien</t>
  </si>
  <si>
    <t>Un challenge supplémentaire est généré contre les monstres présents dans la zone du Tronc de l'Arbre Hakam.</t>
  </si>
  <si>
    <t>5 Poisson-Chaton</t>
  </si>
  <si>
    <t>Les quantités de Poissons récupérées par les Pêcheurs de tous niveaux sont augmentées de 100 %.</t>
  </si>
  <si>
    <t>5 Bourgeon d'Abraknyde</t>
  </si>
  <si>
    <t>Les bonus apportés par les challenges réussis sont augmentés de 200 % dans le donjon des Abraknydes.</t>
  </si>
  <si>
    <t>11 Champignon</t>
  </si>
  <si>
    <t>Les chances d'obtenir du butin sont augmentées de 75 % sur les créatures de type Champignons.</t>
  </si>
  <si>
    <t xml:space="preserve">3 Chair d'Insecte </t>
  </si>
  <si>
    <t>Les Chasseurs économisent 10 % de leurs ingrédients lorsqu'ils fabriquent des objets.</t>
  </si>
  <si>
    <t>2 Feuille de Branche Soignante</t>
  </si>
  <si>
    <t>Les gains d'expérience sont augmentés de 125 % dans le donjon du Chêne Mou.</t>
  </si>
  <si>
    <t>5 Shigekax Passion</t>
  </si>
  <si>
    <t>Tous les personnages atteints par la Malédiction du Ballotin voient leurs gains d'expérience augmentés de 100 %.</t>
  </si>
  <si>
    <t>Les quantités de Cuivre récupérées par les Mineurs sont augmentées de 150 %.</t>
  </si>
  <si>
    <t>7 Canine du Mulou</t>
  </si>
  <si>
    <t>Les bonus apportés par les challenges réussis sont augmentés de 150 % sur les créatures de type Mulous.</t>
  </si>
  <si>
    <t>2 Duvet de Mamansot</t>
  </si>
  <si>
    <t>Les chances d'obtenir du butin sont augmentées de 100 % dans la zone du Lac Gelé.</t>
  </si>
  <si>
    <t>5 Pic de Dragodinde Rousse Sauvage</t>
  </si>
  <si>
    <t>Toutes les variétés de Dragodindes Rousses donnent naissance à un bébé supplémentaire.</t>
  </si>
  <si>
    <t>8 Beignet de Greuvette</t>
  </si>
  <si>
    <t>Des Pochettes-Surprises ont été ajoutées aux butins des monstres. Lorsqu'elles sont utilisées, elles permettent d'obtenir des Beignets de Karnaval ou bien de se retrouver déguisé en Tofu Tout-Fou.</t>
  </si>
  <si>
    <t>30 Bois de Frêne</t>
  </si>
  <si>
    <t>Les quantités de Bois de Frêne récupérées par les Bûcherons sont augmentées de 125 %.</t>
  </si>
  <si>
    <t>2 Os de Fantôme Pandule</t>
  </si>
  <si>
    <t>La vitesse d'apparition des étoiles sur les groupes de monstres est augmentée dans la zone de l'île de Grobe : une étoile apparaît toutes les 5 minutes.</t>
  </si>
  <si>
    <t>8 Anneau de Sagesse</t>
  </si>
  <si>
    <t>Les artisans économisent 15 % de leurs ingrédients lorsqu'ils fabriquent des objets dans la zone de la Plaine des Scarafeuilles.</t>
  </si>
  <si>
    <t>4 Peau de Cooleuvre</t>
  </si>
  <si>
    <t>Les chances d'obtenir du butin sont augmentées de 125 % dans le donjon de la Caverne des Bulbes.</t>
  </si>
  <si>
    <t>2 Molaire de Blérice</t>
  </si>
  <si>
    <t>Les gains d'expérience sont augmentés de 100 % dans la zone des Crocs de Verre.</t>
  </si>
  <si>
    <t xml:space="preserve">6 Goujon en tranche </t>
  </si>
  <si>
    <t>Pour chaque objet fabriqué, les Pêcheurs ont 25 % de chances de créer un second objet.</t>
  </si>
  <si>
    <t>6 Soupe de Plantes</t>
  </si>
  <si>
    <t>Les gains d'expérience et les chances d'obtenir du butin sont augmentés de 75 % sur toutes les créatures de la famille des Bouftous, y compris les Boufmouths et les Boufcouls.</t>
  </si>
  <si>
    <t>4 Potion de Mini Soin Supérieure</t>
  </si>
  <si>
    <t>La régénération des Points de Vie est augmentée de 300 % (hors combat), et les soins par consommables sont augmentés de 100 %.</t>
  </si>
  <si>
    <t>FEVRIER</t>
  </si>
  <si>
    <t>Les quantités de Feuilles de Menthe Sauvage récupérées par les Alchimistes sont augmentées de 125 %.</t>
  </si>
  <si>
    <t>2 Sépale de Nerbe</t>
  </si>
  <si>
    <t>Un challenge supplémentaire est généré contre les monstres présents dans la zone de la Jungle Obscure.</t>
  </si>
  <si>
    <t>Les chances d'obtenir du butin sont augmentées de 100 % dans la zone du Coin des Bouftous.</t>
  </si>
  <si>
    <t>2 Queue de Rat Pine</t>
  </si>
  <si>
    <t>Les bonus apportés par les challenges réussis sont augmentés de 200 % dans le donjon des Rats du Château d'Amakna.</t>
  </si>
  <si>
    <t>10 Frostiz</t>
  </si>
  <si>
    <t>Les quantités de Frostiz récupérées par les Paysans sont augmentées de 150 %.</t>
  </si>
  <si>
    <t>3 Marteau de Boisaille</t>
  </si>
  <si>
    <t>Les Forgerons économisent 10 % de leurs ingrédients lorsqu'ils fabriquent des objets.</t>
  </si>
  <si>
    <t>2 Tibia de Koalak Fossoyeur</t>
  </si>
  <si>
    <t>Les gains d'expérience sont augmentés de 100 % dans la zone du Cimetière Primitif.</t>
  </si>
  <si>
    <t>2 Bourgeon d'Abraknyde Sombre Irascible</t>
  </si>
  <si>
    <t>Le butin généré par les Percepteurs est augmenté de 300 % dans le donjon du Chêne Mou.</t>
  </si>
  <si>
    <t>5 Chair d'Insecte</t>
  </si>
  <si>
    <t xml:space="preserve">Les quantités de Chair d'insecte récupérées par les Chasseurs sont augmentées de 125%. </t>
  </si>
  <si>
    <t>2 Bractée de Chiendent</t>
  </si>
  <si>
    <t>La vitesse d'apparition des étoiles sur les groupes de monstres est augmentée dans la zone de la Jungle Obscure : une étoile apparaît toutes les 10 minutes.</t>
  </si>
  <si>
    <t>1 Bouteille de Gloutoburg</t>
  </si>
  <si>
    <t>Les artisans économisent 15 % de leurs ingrédients lorsqu'ils fabriquent des objets dans la zone du Bord de la forêt Maléfique.</t>
  </si>
  <si>
    <t>2 Puces Sauteuses</t>
  </si>
  <si>
    <t>Les chances d'obtenir du butin sont augmentées de 125 % dans le donjon des Rats de Bonta.</t>
  </si>
  <si>
    <t>3 Poils de Pandore</t>
  </si>
  <si>
    <t>Les gains d'expérience sont augmentés de 75 % sur les créatures de type Pandissidans.</t>
  </si>
  <si>
    <t>2 Bar Rikain</t>
  </si>
  <si>
    <t>Les quantités de Gros poissons de rivière récupérées par les Pêcheurs sont augmentées de 150 %.</t>
  </si>
  <si>
    <t>7 Patte d'Arakne</t>
  </si>
  <si>
    <t>Un challenge supplémentaire est généré contre les créatures de type Araknes.</t>
  </si>
  <si>
    <t>2 Relique Familiale</t>
  </si>
  <si>
    <t>Les chances d'obtenir du butin sont augmentées de 75 % sur les créatures de type Fantômes.</t>
  </si>
  <si>
    <t>Les bonus apportés par les challenges réussis sont augmentés de 200 % dans la zone de la Tourbière Nauséabonde.</t>
  </si>
  <si>
    <t>2 Malléole de Yomi Givrefoux</t>
  </si>
  <si>
    <t>Les gains d'expérience sont augmentés de 100 % dans la zone de la Crevasse Perge.</t>
  </si>
  <si>
    <t>2 Plume du Timansot</t>
  </si>
  <si>
    <t>La vitesse d'apparition des étoiles sur les groupes de monstres est augmentée dans la zone du Lac Gelé : une étoile apparaît toutes les 15 minutes.</t>
  </si>
  <si>
    <t>12 Argent</t>
  </si>
  <si>
    <t>Les quantités d'Argent récupérées par les Mineurs sont augmentées de 150 %.</t>
  </si>
  <si>
    <t>2 Miroir de Dopeul</t>
  </si>
  <si>
    <t>Les chances d'obtenir du butin sont augmentées de 100 % dans la zone d'Entraînement des Dopeuls.</t>
  </si>
  <si>
    <t>2 Aile de Dragodinde Dorée</t>
  </si>
  <si>
    <t>Toutes les variétés de Dragodindes Emeraude donnent naissance à un bébé supplémentaire.</t>
  </si>
  <si>
    <t>2 Epée Sacrée</t>
  </si>
  <si>
    <t>La qualité des objets fabriqués dans la ville de Bonta est augmentée</t>
  </si>
  <si>
    <t>2 Serviette de Plage</t>
  </si>
  <si>
    <t>Les gains d'expérience sont augmentés de 125 % dans le donjon Ensablé.</t>
  </si>
  <si>
    <t>7 Groin de Sanglier</t>
  </si>
  <si>
    <t>Les bonus apportés par les challenges réussis sont augmentés de 150 % sur les créatures de type Animaux de la forêt.</t>
  </si>
  <si>
    <t>2 Poils de Wabbit</t>
  </si>
  <si>
    <t>Une quête répétable spéciale est disponible aujourd'hui près de l'atelier des boulangers du village d'Amakna. Réalisable à partir du niveau 10, elle est indépendante de la quête d'offrande.</t>
  </si>
  <si>
    <t>12 Bois d'If</t>
  </si>
  <si>
    <t>Les quantités de Bois d'If et de Bois de Bambou récupérées par les Bûcherons sont augmentées de 150 %.</t>
  </si>
  <si>
    <t>2 Queue de Wolvero</t>
  </si>
  <si>
    <t>Les chances d'obtenir du butin sont augmentées de 75 % sur les créatures de type Monstres des Crocs de Verre.</t>
  </si>
  <si>
    <t>2 Foulard du Sparo</t>
  </si>
  <si>
    <t>Les gains d'expérience sont augmentés de 75 % sur les créatures de type Monstres de l'Arche d'Otomaï.</t>
  </si>
  <si>
    <t>Les Paysans économisent 10 % de leurs ingrédients lorsqu'ils fabriquent des objets.</t>
  </si>
  <si>
    <t>4 Oeuf de Dragoeuf Doré</t>
  </si>
  <si>
    <t>La vitesse d'apparition des Archimonstres est augmentée de 200 %. La vitesse d'apparition des ressources de tous types est augmentée de 100 %.</t>
  </si>
  <si>
    <t>JANVIER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</si>
</sst>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
  </numFmts>
  <fonts count="5" x14ac:knownFonts="1">
    <font>
      <sz val="11"/>
      <color theme="1"/>
      <name val="Calibri"/>
      <family val="2"/>
      <scheme val="minor"/>
    </font>
    <font>
      <b/>
      <sz val="11"/>
      <color theme="1" tint="0.499984740745262"/>
      <name val="Calibri"/>
      <family val="2"/>
      <scheme val="minor"/>
    </font>
    <font>
      <b/>
      <sz val="16"/>
      <color theme="0" tint="-0.499984740745262"/>
      <name val="Calibri"/>
      <family val="2"/>
      <scheme val="minor"/>
    </font>
    <font>
      <b/>
      <sz val="16"/>
      <color theme="0"/>
      <name val="Calibri"/>
      <family val="2"/>
      <scheme val="minor"/>
    </font>
    <font>
      <b/>
      <sz val="12"/>
      <color theme="1"/>
      <name val="Calibri"/>
      <family val="2"/>
      <scheme val="minor"/>
    </font>
  </fonts>
  <fills count="13">
    <fill>
      <patternFill patternType="none"/>
    </fill>
    <fill>
      <patternFill patternType="gray125"/>
    </fill>
    <fill>
      <patternFill patternType="solid">
        <fgColor rgb="FFCDF666"/>
        <bgColor indexed="64"/>
      </patternFill>
    </fill>
    <fill>
      <patternFill patternType="solid">
        <fgColor theme="8" tint="-0.249977111117893"/>
        <bgColor indexed="64"/>
      </patternFill>
    </fill>
    <fill>
      <patternFill patternType="solid">
        <fgColor rgb="FFFFC000"/>
        <bgColor indexed="64"/>
      </patternFill>
    </fill>
    <fill>
      <patternFill patternType="solid">
        <fgColor rgb="FFE40837"/>
        <bgColor indexed="64"/>
      </patternFill>
    </fill>
    <fill>
      <patternFill patternType="solid">
        <fgColor rgb="FFE9B1DA"/>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2"/>
        <bgColor indexed="64"/>
      </patternFill>
    </fill>
  </fills>
  <borders count="1">
    <border>
      <left/>
      <right/>
      <top/>
      <bottom/>
      <diagonal/>
    </border>
  </borders>
  <cellStyleXfs count="1">
    <xf numFmtId="0" fontId="0" fillId="0" borderId="0"/>
  </cellStyleXfs>
  <cellXfs count="63">
    <xf numFmtId="0" fontId="0" fillId="0" borderId="0" xfId="0"/>
    <xf numFmtId="3"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center" indent="3"/>
    </xf>
    <xf numFmtId="0" fontId="0" fillId="0" borderId="0" xfId="0" applyAlignment="1">
      <alignment horizontal="left" vertical="center" wrapText="1"/>
    </xf>
    <xf numFmtId="164" fontId="0" fillId="0" borderId="0" xfId="0" applyNumberFormat="1" applyAlignment="1">
      <alignment vertical="center"/>
    </xf>
    <xf numFmtId="0" fontId="0" fillId="0" borderId="0" xfId="0" applyAlignment="1">
      <alignment horizontal="left" vertical="center" indent="2"/>
    </xf>
    <xf numFmtId="0" fontId="0" fillId="0" borderId="0" xfId="0" applyAlignment="1">
      <alignment horizontal="left" vertical="center" wrapText="1" indent="2"/>
    </xf>
    <xf numFmtId="0" fontId="0" fillId="2" borderId="0" xfId="0" applyFill="1"/>
    <xf numFmtId="164" fontId="0" fillId="2" borderId="0" xfId="0" applyNumberFormat="1" applyFill="1" applyAlignment="1">
      <alignment horizontal="center" vertical="center"/>
    </xf>
    <xf numFmtId="0" fontId="0" fillId="3" borderId="0" xfId="0" applyFill="1"/>
    <xf numFmtId="164" fontId="0" fillId="3" borderId="0" xfId="0" applyNumberFormat="1" applyFill="1" applyAlignment="1">
      <alignment horizontal="center" vertical="center"/>
    </xf>
    <xf numFmtId="0" fontId="0" fillId="4" borderId="0" xfId="0" applyFill="1"/>
    <xf numFmtId="164" fontId="0" fillId="4" borderId="0" xfId="0" applyNumberFormat="1" applyFill="1" applyAlignment="1">
      <alignment horizontal="center" vertical="center"/>
    </xf>
    <xf numFmtId="0" fontId="0" fillId="5" borderId="0" xfId="0" applyFill="1"/>
    <xf numFmtId="164" fontId="0" fillId="5" borderId="0" xfId="0" applyNumberFormat="1" applyFill="1" applyAlignment="1">
      <alignment horizontal="center" vertical="center"/>
    </xf>
    <xf numFmtId="0" fontId="0" fillId="6" borderId="0" xfId="0" applyFill="1"/>
    <xf numFmtId="164" fontId="0" fillId="6" borderId="0" xfId="0" applyNumberFormat="1" applyFill="1" applyAlignment="1">
      <alignment horizontal="center" vertical="center"/>
    </xf>
    <xf numFmtId="0" fontId="0" fillId="7" borderId="0" xfId="0" applyFill="1"/>
    <xf numFmtId="164" fontId="0" fillId="7" borderId="0" xfId="0" applyNumberFormat="1" applyFill="1" applyAlignment="1">
      <alignment horizontal="center" vertical="center"/>
    </xf>
    <xf numFmtId="0" fontId="0" fillId="0" borderId="0" xfId="0" applyAlignment="1">
      <alignment vertical="center"/>
    </xf>
    <xf numFmtId="3" fontId="1" fillId="8" borderId="0" xfId="0" applyNumberFormat="1" applyFont="1" applyFill="1" applyAlignment="1">
      <alignment horizontal="center" vertical="center"/>
    </xf>
    <xf numFmtId="0" fontId="1" fillId="8" borderId="0" xfId="0" applyFont="1" applyFill="1" applyAlignment="1">
      <alignment horizontal="center" vertical="center"/>
    </xf>
    <xf numFmtId="0" fontId="1" fillId="8" borderId="0" xfId="0" applyFont="1" applyFill="1" applyAlignment="1">
      <alignment horizontal="left" vertical="center" indent="3"/>
    </xf>
    <xf numFmtId="0" fontId="1" fillId="8" borderId="0" xfId="0" applyFont="1" applyFill="1" applyAlignment="1">
      <alignment horizontal="center" vertical="center" wrapText="1"/>
    </xf>
    <xf numFmtId="0" fontId="1" fillId="8" borderId="0" xfId="0" applyFont="1" applyFill="1" applyAlignment="1">
      <alignment horizontal="center"/>
    </xf>
    <xf numFmtId="164" fontId="1" fillId="8" borderId="0" xfId="0" applyNumberFormat="1" applyFont="1" applyFill="1" applyAlignment="1">
      <alignment horizontal="center" vertical="center"/>
    </xf>
    <xf numFmtId="0" fontId="2" fillId="9" borderId="0" xfId="0" applyFont="1" applyFill="1" applyAlignment="1">
      <alignment horizontal="center"/>
    </xf>
    <xf numFmtId="3" fontId="0" fillId="0" borderId="0" xfId="0" applyNumberFormat="1" applyFill="1" applyAlignment="1">
      <alignment horizontal="center" vertical="center"/>
    </xf>
    <xf numFmtId="0" fontId="0" fillId="0" borderId="0" xfId="0" applyFill="1" applyAlignment="1">
      <alignment horizontal="center" vertical="center"/>
    </xf>
    <xf numFmtId="0" fontId="0" fillId="0" borderId="0" xfId="0" applyFill="1" applyAlignment="1">
      <alignment horizontal="left" vertical="center"/>
    </xf>
    <xf numFmtId="0" fontId="0" fillId="0" borderId="0" xfId="0" applyFill="1" applyAlignment="1">
      <alignment horizontal="left" vertical="center" indent="2"/>
    </xf>
    <xf numFmtId="0" fontId="0" fillId="0" borderId="0" xfId="0" applyFill="1" applyAlignment="1">
      <alignment horizontal="left" vertical="center" wrapText="1"/>
    </xf>
    <xf numFmtId="0" fontId="0" fillId="0" borderId="0" xfId="0" applyFill="1" applyAlignment="1">
      <alignment horizontal="left" vertical="center" wrapText="1" indent="2"/>
    </xf>
    <xf numFmtId="0" fontId="0" fillId="0" borderId="0" xfId="0" applyFill="1"/>
    <xf numFmtId="164" fontId="0" fillId="0" borderId="0" xfId="0" applyNumberFormat="1" applyFill="1" applyAlignment="1">
      <alignment horizontal="center" vertical="center"/>
    </xf>
    <xf numFmtId="3" fontId="1" fillId="10" borderId="0" xfId="0" applyNumberFormat="1" applyFont="1" applyFill="1" applyAlignment="1">
      <alignment horizontal="center" vertical="center"/>
    </xf>
    <xf numFmtId="0" fontId="1" fillId="10" borderId="0" xfId="0" applyFont="1" applyFill="1" applyAlignment="1">
      <alignment horizontal="center" vertical="center"/>
    </xf>
    <xf numFmtId="0" fontId="1" fillId="10" borderId="0" xfId="0" applyFont="1" applyFill="1" applyAlignment="1">
      <alignment horizontal="left" vertical="center" indent="3"/>
    </xf>
    <xf numFmtId="0" fontId="1" fillId="10" borderId="0" xfId="0" applyFont="1" applyFill="1" applyAlignment="1">
      <alignment horizontal="center" vertical="center" wrapText="1"/>
    </xf>
    <xf numFmtId="0" fontId="1" fillId="10" borderId="0" xfId="0" applyFont="1" applyFill="1" applyAlignment="1">
      <alignment horizontal="center"/>
    </xf>
    <xf numFmtId="164" fontId="1" fillId="10" borderId="0" xfId="0" applyNumberFormat="1" applyFont="1" applyFill="1" applyAlignment="1">
      <alignment horizontal="center" vertical="center"/>
    </xf>
    <xf numFmtId="0" fontId="3" fillId="3" borderId="0" xfId="0" applyFont="1" applyFill="1" applyAlignment="1">
      <alignment horizontal="center"/>
    </xf>
    <xf numFmtId="0" fontId="0" fillId="0" borderId="0" xfId="0" applyFill="1" applyAlignment="1">
      <alignment horizontal="left" vertical="center" indent="3"/>
    </xf>
    <xf numFmtId="3" fontId="0" fillId="0" borderId="0" xfId="0" applyNumberFormat="1" applyFill="1" applyAlignment="1">
      <alignment horizontal="right" vertical="center"/>
    </xf>
    <xf numFmtId="0" fontId="0" fillId="11" borderId="0" xfId="0" applyFill="1"/>
    <xf numFmtId="164" fontId="0" fillId="11" borderId="0" xfId="0" applyNumberFormat="1" applyFill="1" applyAlignment="1">
      <alignment horizontal="center" vertical="center"/>
    </xf>
    <xf numFmtId="3" fontId="1" fillId="12" borderId="0" xfId="0" applyNumberFormat="1" applyFont="1" applyFill="1" applyAlignment="1">
      <alignment horizontal="center" vertical="center"/>
    </xf>
    <xf numFmtId="0" fontId="1" fillId="12" borderId="0" xfId="0" applyFont="1" applyFill="1" applyAlignment="1">
      <alignment horizontal="center" vertical="center"/>
    </xf>
    <xf numFmtId="0" fontId="1" fillId="12" borderId="0" xfId="0" applyFont="1" applyFill="1" applyAlignment="1">
      <alignment horizontal="left" vertical="center" indent="3"/>
    </xf>
    <xf numFmtId="0" fontId="1" fillId="12" borderId="0" xfId="0" applyFont="1" applyFill="1" applyAlignment="1">
      <alignment horizontal="center" vertical="center" wrapText="1"/>
    </xf>
    <xf numFmtId="0" fontId="1" fillId="12" borderId="0" xfId="0" applyFont="1" applyFill="1" applyAlignment="1">
      <alignment horizontal="center"/>
    </xf>
    <xf numFmtId="164" fontId="1" fillId="12" borderId="0" xfId="0" applyNumberFormat="1" applyFont="1" applyFill="1" applyAlignment="1">
      <alignment horizontal="center" vertical="center"/>
    </xf>
    <xf numFmtId="0" fontId="0" fillId="0" borderId="0" xfId="0" applyFill="1" applyAlignment="1">
      <alignment vertical="center" wrapText="1"/>
    </xf>
    <xf numFmtId="0" fontId="0" fillId="2" borderId="0" xfId="0" applyFill="1" applyAlignment="1">
      <alignment horizontal="center"/>
    </xf>
    <xf numFmtId="0" fontId="0" fillId="4" borderId="0" xfId="0" applyFill="1" applyAlignment="1">
      <alignment horizontal="center"/>
    </xf>
    <xf numFmtId="0" fontId="0" fillId="3" borderId="0" xfId="0" applyFill="1" applyAlignment="1">
      <alignment horizontal="center"/>
    </xf>
    <xf numFmtId="0" fontId="0" fillId="5" borderId="0" xfId="0" applyFill="1" applyAlignment="1">
      <alignment horizontal="center"/>
    </xf>
    <xf numFmtId="0" fontId="0" fillId="11" borderId="0" xfId="0" applyFill="1" applyAlignment="1">
      <alignment horizontal="center"/>
    </xf>
    <xf numFmtId="0" fontId="0" fillId="6" borderId="0" xfId="0" applyFill="1" applyAlignment="1">
      <alignment horizontal="center"/>
    </xf>
    <xf numFmtId="0" fontId="4" fillId="0" borderId="0" xfId="0" applyFont="1" applyAlignment="1">
      <alignment horizontal="center"/>
    </xf>
    <xf numFmtId="0" fontId="0" fillId="0" borderId="0" xfId="0" applyBorder="1"/>
  </cellXfs>
  <cellStyles count="1">
    <cellStyle name="Normal" xfId="0" builtinId="0"/>
  </cellStyles>
  <dxfs count="1">
    <dxf>
      <font>
        <b/>
        <i val="0"/>
        <color rgb="FFE40837"/>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12</xdr:col>
      <xdr:colOff>76200</xdr:colOff>
      <xdr:row>2</xdr:row>
      <xdr:rowOff>0</xdr:rowOff>
    </xdr:from>
    <xdr:to>
      <xdr:col>12</xdr:col>
      <xdr:colOff>342900</xdr:colOff>
      <xdr:row>2</xdr:row>
      <xdr:rowOff>0</xdr:rowOff>
    </xdr:to>
    <xdr:grpSp>
      <xdr:nvGrpSpPr>
        <xdr:cNvPr id="2" name="Groupe 1"/>
        <xdr:cNvGrpSpPr/>
      </xdr:nvGrpSpPr>
      <xdr:grpSpPr>
        <a:xfrm>
          <a:off x="11058525" y="514350"/>
          <a:ext cx="266700" cy="0"/>
          <a:chOff x="11220450" y="1352550"/>
          <a:chExt cx="428625" cy="2756958"/>
        </a:xfrm>
      </xdr:grpSpPr>
      <xdr:sp macro="" textlink="">
        <xdr:nvSpPr>
          <xdr:cNvPr id="3" name="Rectangle 2"/>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 name="Rectangle 3"/>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 name="Rectangle 4"/>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 name="Rectangle 5"/>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 name="Rectangle 6"/>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 name="Rectangle 7"/>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95250</xdr:colOff>
      <xdr:row>35</xdr:row>
      <xdr:rowOff>0</xdr:rowOff>
    </xdr:from>
    <xdr:to>
      <xdr:col>12</xdr:col>
      <xdr:colOff>361950</xdr:colOff>
      <xdr:row>35</xdr:row>
      <xdr:rowOff>0</xdr:rowOff>
    </xdr:to>
    <xdr:grpSp>
      <xdr:nvGrpSpPr>
        <xdr:cNvPr id="9" name="Groupe 8"/>
        <xdr:cNvGrpSpPr/>
      </xdr:nvGrpSpPr>
      <xdr:grpSpPr>
        <a:xfrm>
          <a:off x="11077575" y="781050"/>
          <a:ext cx="266700" cy="0"/>
          <a:chOff x="11220450" y="1352550"/>
          <a:chExt cx="428625" cy="2756958"/>
        </a:xfrm>
      </xdr:grpSpPr>
      <xdr:sp macro="" textlink="">
        <xdr:nvSpPr>
          <xdr:cNvPr id="10" name="Rectangle 9"/>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 name="Rectangle 10"/>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 name="Rectangle 11"/>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 name="Rectangle 12"/>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 name="Rectangle 13"/>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 name="Rectangle 14"/>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85725</xdr:colOff>
      <xdr:row>66</xdr:row>
      <xdr:rowOff>0</xdr:rowOff>
    </xdr:from>
    <xdr:to>
      <xdr:col>12</xdr:col>
      <xdr:colOff>352425</xdr:colOff>
      <xdr:row>66</xdr:row>
      <xdr:rowOff>0</xdr:rowOff>
    </xdr:to>
    <xdr:grpSp>
      <xdr:nvGrpSpPr>
        <xdr:cNvPr id="16" name="Groupe 15"/>
        <xdr:cNvGrpSpPr/>
      </xdr:nvGrpSpPr>
      <xdr:grpSpPr>
        <a:xfrm>
          <a:off x="11068050" y="1047750"/>
          <a:ext cx="266700" cy="0"/>
          <a:chOff x="11220450" y="1352550"/>
          <a:chExt cx="428625" cy="2756958"/>
        </a:xfrm>
      </xdr:grpSpPr>
      <xdr:sp macro="" textlink="">
        <xdr:nvSpPr>
          <xdr:cNvPr id="17" name="Rectangle 16"/>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8" name="Rectangle 17"/>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9" name="Rectangle 18"/>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 name="Rectangle 19"/>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1" name="Rectangle 20"/>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2" name="Rectangle 21"/>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95250</xdr:colOff>
      <xdr:row>99</xdr:row>
      <xdr:rowOff>0</xdr:rowOff>
    </xdr:from>
    <xdr:to>
      <xdr:col>12</xdr:col>
      <xdr:colOff>361950</xdr:colOff>
      <xdr:row>99</xdr:row>
      <xdr:rowOff>0</xdr:rowOff>
    </xdr:to>
    <xdr:grpSp>
      <xdr:nvGrpSpPr>
        <xdr:cNvPr id="23" name="Groupe 22"/>
        <xdr:cNvGrpSpPr/>
      </xdr:nvGrpSpPr>
      <xdr:grpSpPr>
        <a:xfrm>
          <a:off x="11077575" y="1314450"/>
          <a:ext cx="266700" cy="0"/>
          <a:chOff x="11220450" y="1352550"/>
          <a:chExt cx="428625" cy="2756958"/>
        </a:xfrm>
      </xdr:grpSpPr>
      <xdr:sp macro="" textlink="">
        <xdr:nvSpPr>
          <xdr:cNvPr id="24" name="Rectangle 23"/>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5" name="Rectangle 24"/>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6" name="Rectangle 25"/>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7" name="Rectangle 26"/>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8" name="Rectangle 27"/>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9" name="Rectangle 28"/>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95250</xdr:colOff>
      <xdr:row>131</xdr:row>
      <xdr:rowOff>0</xdr:rowOff>
    </xdr:from>
    <xdr:to>
      <xdr:col>12</xdr:col>
      <xdr:colOff>361950</xdr:colOff>
      <xdr:row>131</xdr:row>
      <xdr:rowOff>0</xdr:rowOff>
    </xdr:to>
    <xdr:grpSp>
      <xdr:nvGrpSpPr>
        <xdr:cNvPr id="30" name="Groupe 29"/>
        <xdr:cNvGrpSpPr/>
      </xdr:nvGrpSpPr>
      <xdr:grpSpPr>
        <a:xfrm>
          <a:off x="11077575" y="1581150"/>
          <a:ext cx="266700" cy="0"/>
          <a:chOff x="11220450" y="1352550"/>
          <a:chExt cx="428625" cy="2756958"/>
        </a:xfrm>
      </xdr:grpSpPr>
      <xdr:sp macro="" textlink="">
        <xdr:nvSpPr>
          <xdr:cNvPr id="31" name="Rectangle 30"/>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2" name="Rectangle 31"/>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3" name="Rectangle 32"/>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4" name="Rectangle 33"/>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5" name="Rectangle 34"/>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6" name="Rectangle 35"/>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86591</xdr:colOff>
      <xdr:row>166</xdr:row>
      <xdr:rowOff>155867</xdr:rowOff>
    </xdr:from>
    <xdr:to>
      <xdr:col>12</xdr:col>
      <xdr:colOff>353291</xdr:colOff>
      <xdr:row>171</xdr:row>
      <xdr:rowOff>388701</xdr:rowOff>
    </xdr:to>
    <xdr:grpSp>
      <xdr:nvGrpSpPr>
        <xdr:cNvPr id="37" name="Groupe 36"/>
        <xdr:cNvGrpSpPr/>
      </xdr:nvGrpSpPr>
      <xdr:grpSpPr>
        <a:xfrm>
          <a:off x="11068916" y="2699042"/>
          <a:ext cx="266700" cy="2756959"/>
          <a:chOff x="11220450" y="1352550"/>
          <a:chExt cx="428625" cy="2756958"/>
        </a:xfrm>
      </xdr:grpSpPr>
      <xdr:sp macro="" textlink="">
        <xdr:nvSpPr>
          <xdr:cNvPr id="38" name="Rectangle 37"/>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9" name="Rectangle 38"/>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0" name="Rectangle 39"/>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1" name="Rectangle 40"/>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2" name="Rectangle 41"/>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3" name="Rectangle 42"/>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103909</xdr:colOff>
      <xdr:row>198</xdr:row>
      <xdr:rowOff>138545</xdr:rowOff>
    </xdr:from>
    <xdr:to>
      <xdr:col>12</xdr:col>
      <xdr:colOff>370609</xdr:colOff>
      <xdr:row>203</xdr:row>
      <xdr:rowOff>371380</xdr:rowOff>
    </xdr:to>
    <xdr:grpSp>
      <xdr:nvGrpSpPr>
        <xdr:cNvPr id="44" name="Groupe 43"/>
        <xdr:cNvGrpSpPr/>
      </xdr:nvGrpSpPr>
      <xdr:grpSpPr>
        <a:xfrm>
          <a:off x="11086234" y="18283670"/>
          <a:ext cx="266700" cy="2756960"/>
          <a:chOff x="11220450" y="1352550"/>
          <a:chExt cx="428625" cy="2756958"/>
        </a:xfrm>
      </xdr:grpSpPr>
      <xdr:sp macro="" textlink="">
        <xdr:nvSpPr>
          <xdr:cNvPr id="45" name="Rectangle 44"/>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6" name="Rectangle 45"/>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7" name="Rectangle 46"/>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8" name="Rectangle 47"/>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9" name="Rectangle 48"/>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0" name="Rectangle 49"/>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103908</xdr:colOff>
      <xdr:row>229</xdr:row>
      <xdr:rowOff>0</xdr:rowOff>
    </xdr:from>
    <xdr:to>
      <xdr:col>12</xdr:col>
      <xdr:colOff>370608</xdr:colOff>
      <xdr:row>229</xdr:row>
      <xdr:rowOff>0</xdr:rowOff>
    </xdr:to>
    <xdr:grpSp>
      <xdr:nvGrpSpPr>
        <xdr:cNvPr id="51" name="Groupe 50"/>
        <xdr:cNvGrpSpPr/>
      </xdr:nvGrpSpPr>
      <xdr:grpSpPr>
        <a:xfrm>
          <a:off x="11086233" y="33556575"/>
          <a:ext cx="266700" cy="0"/>
          <a:chOff x="11220450" y="1352550"/>
          <a:chExt cx="428625" cy="2756958"/>
        </a:xfrm>
      </xdr:grpSpPr>
      <xdr:sp macro="" textlink="">
        <xdr:nvSpPr>
          <xdr:cNvPr id="52" name="Rectangle 51"/>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3" name="Rectangle 52"/>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4" name="Rectangle 53"/>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5" name="Rectangle 54"/>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6" name="Rectangle 55"/>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7" name="Rectangle 56"/>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103908</xdr:colOff>
      <xdr:row>262</xdr:row>
      <xdr:rowOff>0</xdr:rowOff>
    </xdr:from>
    <xdr:to>
      <xdr:col>12</xdr:col>
      <xdr:colOff>370608</xdr:colOff>
      <xdr:row>262</xdr:row>
      <xdr:rowOff>0</xdr:rowOff>
    </xdr:to>
    <xdr:grpSp>
      <xdr:nvGrpSpPr>
        <xdr:cNvPr id="58" name="Groupe 57"/>
        <xdr:cNvGrpSpPr/>
      </xdr:nvGrpSpPr>
      <xdr:grpSpPr>
        <a:xfrm>
          <a:off x="11086233" y="33823275"/>
          <a:ext cx="266700" cy="0"/>
          <a:chOff x="11220450" y="1352550"/>
          <a:chExt cx="428625" cy="2756958"/>
        </a:xfrm>
      </xdr:grpSpPr>
      <xdr:sp macro="" textlink="">
        <xdr:nvSpPr>
          <xdr:cNvPr id="59" name="Rectangle 58"/>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0" name="Rectangle 59"/>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1" name="Rectangle 60"/>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2" name="Rectangle 61"/>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3" name="Rectangle 62"/>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4" name="Rectangle 63"/>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86590</xdr:colOff>
      <xdr:row>294</xdr:row>
      <xdr:rowOff>0</xdr:rowOff>
    </xdr:from>
    <xdr:to>
      <xdr:col>12</xdr:col>
      <xdr:colOff>353290</xdr:colOff>
      <xdr:row>294</xdr:row>
      <xdr:rowOff>0</xdr:rowOff>
    </xdr:to>
    <xdr:grpSp>
      <xdr:nvGrpSpPr>
        <xdr:cNvPr id="65" name="Groupe 64"/>
        <xdr:cNvGrpSpPr/>
      </xdr:nvGrpSpPr>
      <xdr:grpSpPr>
        <a:xfrm>
          <a:off x="11068915" y="34089975"/>
          <a:ext cx="266700" cy="0"/>
          <a:chOff x="11220450" y="1352550"/>
          <a:chExt cx="428625" cy="2756958"/>
        </a:xfrm>
      </xdr:grpSpPr>
      <xdr:sp macro="" textlink="">
        <xdr:nvSpPr>
          <xdr:cNvPr id="66" name="Rectangle 65"/>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7" name="Rectangle 66"/>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8" name="Rectangle 67"/>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9" name="Rectangle 68"/>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0" name="Rectangle 69"/>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1" name="Rectangle 70"/>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86591</xdr:colOff>
      <xdr:row>327</xdr:row>
      <xdr:rowOff>0</xdr:rowOff>
    </xdr:from>
    <xdr:to>
      <xdr:col>12</xdr:col>
      <xdr:colOff>353291</xdr:colOff>
      <xdr:row>327</xdr:row>
      <xdr:rowOff>0</xdr:rowOff>
    </xdr:to>
    <xdr:grpSp>
      <xdr:nvGrpSpPr>
        <xdr:cNvPr id="72" name="Groupe 71"/>
        <xdr:cNvGrpSpPr/>
      </xdr:nvGrpSpPr>
      <xdr:grpSpPr>
        <a:xfrm>
          <a:off x="11068916" y="34356675"/>
          <a:ext cx="266700" cy="0"/>
          <a:chOff x="11220450" y="1352550"/>
          <a:chExt cx="428625" cy="2756958"/>
        </a:xfrm>
      </xdr:grpSpPr>
      <xdr:sp macro="" textlink="">
        <xdr:nvSpPr>
          <xdr:cNvPr id="73" name="Rectangle 72"/>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4" name="Rectangle 73"/>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5" name="Rectangle 74"/>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6" name="Rectangle 75"/>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7" name="Rectangle 76"/>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8" name="Rectangle 77"/>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103909</xdr:colOff>
      <xdr:row>359</xdr:row>
      <xdr:rowOff>0</xdr:rowOff>
    </xdr:from>
    <xdr:to>
      <xdr:col>12</xdr:col>
      <xdr:colOff>370609</xdr:colOff>
      <xdr:row>359</xdr:row>
      <xdr:rowOff>0</xdr:rowOff>
    </xdr:to>
    <xdr:grpSp>
      <xdr:nvGrpSpPr>
        <xdr:cNvPr id="79" name="Groupe 78"/>
        <xdr:cNvGrpSpPr/>
      </xdr:nvGrpSpPr>
      <xdr:grpSpPr>
        <a:xfrm>
          <a:off x="11086234" y="34623375"/>
          <a:ext cx="266700" cy="0"/>
          <a:chOff x="11220450" y="1352550"/>
          <a:chExt cx="428625" cy="2756958"/>
        </a:xfrm>
      </xdr:grpSpPr>
      <xdr:sp macro="" textlink="">
        <xdr:nvSpPr>
          <xdr:cNvPr id="80" name="Rectangle 79"/>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1" name="Rectangle 80"/>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2" name="Rectangle 81"/>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3" name="Rectangle 82"/>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4" name="Rectangle 83"/>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5" name="Rectangle 84"/>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outlinePr summaryBelow="0" summaryRight="0"/>
  </sheetPr>
  <dimension ref="A1:N391"/>
  <sheetViews>
    <sheetView tabSelected="1" topLeftCell="A190" zoomScaleNormal="100" workbookViewId="0">
      <selection activeCell="F195" sqref="F195"/>
    </sheetView>
  </sheetViews>
  <sheetFormatPr baseColWidth="10" defaultRowHeight="15" outlineLevelRow="1" x14ac:dyDescent="0.25"/>
  <cols>
    <col min="1" max="1" width="3.85546875" customWidth="1"/>
    <col min="2" max="2" width="6.7109375" style="6" customWidth="1"/>
    <col min="3" max="3" width="1.7109375" customWidth="1"/>
    <col min="4" max="4" width="76.7109375" style="5" customWidth="1"/>
    <col min="5" max="5" width="1.7109375" style="5" customWidth="1"/>
    <col min="6" max="6" width="33.7109375" style="4" customWidth="1"/>
    <col min="7" max="7" width="1.7109375" style="3" customWidth="1"/>
    <col min="8" max="8" width="8.7109375" style="2" customWidth="1"/>
    <col min="9" max="10" width="8.7109375" style="1" customWidth="1"/>
    <col min="11" max="11" width="10.7109375" style="1" customWidth="1"/>
    <col min="12" max="12" width="1.7109375" customWidth="1"/>
    <col min="13" max="13" width="6.5703125" customWidth="1"/>
    <col min="14" max="14" width="22.85546875" customWidth="1"/>
    <col min="15" max="15" width="11.42578125" customWidth="1"/>
  </cols>
  <sheetData>
    <row r="1" spans="1:14" ht="19.5" customHeight="1" x14ac:dyDescent="0.25">
      <c r="A1" s="62"/>
    </row>
    <row r="2" spans="1:14" s="61" customFormat="1" ht="21" customHeight="1" collapsed="1" x14ac:dyDescent="0.35">
      <c r="A2" s="62"/>
      <c r="B2" s="43" t="s">
        <v>736</v>
      </c>
      <c r="C2" s="43"/>
      <c r="D2" s="43"/>
      <c r="E2" s="43"/>
      <c r="F2" s="43"/>
      <c r="G2" s="43"/>
      <c r="H2" s="43"/>
      <c r="I2" s="43"/>
      <c r="J2" s="43"/>
      <c r="K2" s="43"/>
    </row>
    <row r="3" spans="1:14" hidden="1" outlineLevel="1" x14ac:dyDescent="0.25">
      <c r="B3" s="53" t="s">
        <v>77</v>
      </c>
      <c r="C3" s="52"/>
      <c r="D3" s="51" t="s">
        <v>76</v>
      </c>
      <c r="E3" s="51"/>
      <c r="F3" s="49" t="s">
        <v>75</v>
      </c>
      <c r="G3" s="49"/>
      <c r="H3" s="49" t="s">
        <v>74</v>
      </c>
      <c r="I3" s="48" t="s">
        <v>73</v>
      </c>
      <c r="J3" s="48" t="s">
        <v>72</v>
      </c>
      <c r="K3" s="48" t="s">
        <v>71</v>
      </c>
    </row>
    <row r="4" spans="1:14" ht="39.950000000000003" hidden="1" customHeight="1" outlineLevel="1" x14ac:dyDescent="0.25">
      <c r="B4" s="12">
        <f ca="1">DATE(YEAR(TODAY()),1,1)</f>
        <v>42005</v>
      </c>
      <c r="C4" s="57"/>
      <c r="D4" s="34" t="s">
        <v>735</v>
      </c>
      <c r="E4" s="54"/>
      <c r="F4" s="32" t="s">
        <v>734</v>
      </c>
      <c r="G4" s="30"/>
      <c r="H4" s="30" t="s">
        <v>3</v>
      </c>
      <c r="I4" s="29"/>
      <c r="J4" s="29"/>
      <c r="K4" s="29">
        <f>SUM(I4*J4)</f>
        <v>0</v>
      </c>
      <c r="L4" s="35"/>
    </row>
    <row r="5" spans="1:14" ht="39.950000000000003" hidden="1" customHeight="1" outlineLevel="1" x14ac:dyDescent="0.25">
      <c r="B5" s="10">
        <f ca="1">DATE(YEAR(TODAY()),1,2)</f>
        <v>42006</v>
      </c>
      <c r="C5" s="55"/>
      <c r="D5" s="34" t="s">
        <v>733</v>
      </c>
      <c r="E5" s="54"/>
      <c r="F5" s="32" t="s">
        <v>91</v>
      </c>
      <c r="G5" s="30"/>
      <c r="H5" s="30" t="s">
        <v>6</v>
      </c>
      <c r="I5" s="29"/>
      <c r="J5" s="29"/>
      <c r="K5" s="29">
        <f>SUM(I5*J5)</f>
        <v>0</v>
      </c>
      <c r="L5" s="35"/>
      <c r="N5" s="21" t="s">
        <v>66</v>
      </c>
    </row>
    <row r="6" spans="1:14" ht="39.950000000000003" hidden="1" customHeight="1" outlineLevel="1" x14ac:dyDescent="0.25">
      <c r="B6" s="16">
        <f ca="1">DATE(YEAR(TODAY()),1,3)</f>
        <v>42007</v>
      </c>
      <c r="C6" s="58"/>
      <c r="D6" s="34" t="s">
        <v>732</v>
      </c>
      <c r="E6" s="54"/>
      <c r="F6" s="32" t="s">
        <v>731</v>
      </c>
      <c r="G6" s="30"/>
      <c r="H6" s="30" t="s">
        <v>3</v>
      </c>
      <c r="I6" s="29"/>
      <c r="J6" s="29"/>
      <c r="K6" s="29">
        <f>SUM(I6*J6)</f>
        <v>0</v>
      </c>
      <c r="L6" s="35"/>
      <c r="N6" s="21" t="s">
        <v>63</v>
      </c>
    </row>
    <row r="7" spans="1:14" ht="39.950000000000003" hidden="1" customHeight="1" outlineLevel="1" x14ac:dyDescent="0.25">
      <c r="B7" s="12">
        <f ca="1">DATE(YEAR(TODAY()),1,4)</f>
        <v>42008</v>
      </c>
      <c r="C7" s="57"/>
      <c r="D7" s="34" t="s">
        <v>730</v>
      </c>
      <c r="E7" s="54"/>
      <c r="F7" s="32" t="s">
        <v>729</v>
      </c>
      <c r="G7" s="30"/>
      <c r="H7" s="30" t="s">
        <v>3</v>
      </c>
      <c r="I7" s="29"/>
      <c r="J7" s="29"/>
      <c r="K7" s="29">
        <f>SUM(I7*J7)</f>
        <v>0</v>
      </c>
      <c r="L7" s="35"/>
      <c r="N7" s="21" t="s">
        <v>60</v>
      </c>
    </row>
    <row r="8" spans="1:14" ht="39.950000000000003" hidden="1" customHeight="1" outlineLevel="1" x14ac:dyDescent="0.25">
      <c r="B8" s="10">
        <f ca="1">DATE(YEAR(TODAY()),1,5)</f>
        <v>42009</v>
      </c>
      <c r="C8" s="55"/>
      <c r="D8" s="34" t="s">
        <v>728</v>
      </c>
      <c r="E8" s="54"/>
      <c r="F8" s="32" t="s">
        <v>727</v>
      </c>
      <c r="G8" s="30"/>
      <c r="H8" s="30" t="s">
        <v>6</v>
      </c>
      <c r="I8" s="29"/>
      <c r="J8" s="29"/>
      <c r="K8" s="29">
        <f>SUM(I8*J8)</f>
        <v>0</v>
      </c>
      <c r="L8" s="35"/>
      <c r="N8" s="21" t="s">
        <v>57</v>
      </c>
    </row>
    <row r="9" spans="1:14" ht="39.950000000000003" hidden="1" customHeight="1" outlineLevel="1" x14ac:dyDescent="0.25">
      <c r="B9" s="18">
        <f ca="1">DATE(YEAR(TODAY()),1,6)</f>
        <v>42010</v>
      </c>
      <c r="C9" s="60"/>
      <c r="D9" s="34" t="s">
        <v>726</v>
      </c>
      <c r="E9" s="54"/>
      <c r="F9" s="32" t="s">
        <v>725</v>
      </c>
      <c r="G9" s="30"/>
      <c r="H9" s="30" t="s">
        <v>3</v>
      </c>
      <c r="I9" s="29"/>
      <c r="J9" s="29"/>
      <c r="K9" s="29">
        <f>SUM(I9*J9)</f>
        <v>0</v>
      </c>
      <c r="L9" s="35"/>
      <c r="N9" s="21" t="s">
        <v>54</v>
      </c>
    </row>
    <row r="10" spans="1:14" ht="39.950000000000003" hidden="1" customHeight="1" outlineLevel="1" x14ac:dyDescent="0.25">
      <c r="B10" s="14">
        <f ca="1">DATE(YEAR(TODAY()),1,7)</f>
        <v>42011</v>
      </c>
      <c r="C10" s="56"/>
      <c r="D10" s="34" t="s">
        <v>724</v>
      </c>
      <c r="E10" s="54"/>
      <c r="F10" s="32" t="s">
        <v>723</v>
      </c>
      <c r="G10" s="30"/>
      <c r="H10" s="30" t="s">
        <v>3</v>
      </c>
      <c r="I10" s="29"/>
      <c r="J10" s="29"/>
      <c r="K10" s="29">
        <f>SUM(I10*J10)</f>
        <v>0</v>
      </c>
      <c r="L10" s="35"/>
      <c r="N10" s="21" t="s">
        <v>51</v>
      </c>
    </row>
    <row r="11" spans="1:14" ht="39.950000000000003" hidden="1" customHeight="1" outlineLevel="1" x14ac:dyDescent="0.25">
      <c r="B11" s="16">
        <f ca="1">DATE(YEAR(TODAY()),1,8)</f>
        <v>42012</v>
      </c>
      <c r="C11" s="58"/>
      <c r="D11" s="34" t="s">
        <v>722</v>
      </c>
      <c r="E11" s="54"/>
      <c r="F11" s="32" t="s">
        <v>721</v>
      </c>
      <c r="G11" s="30"/>
      <c r="H11" s="30" t="s">
        <v>3</v>
      </c>
      <c r="I11" s="29"/>
      <c r="J11" s="29"/>
      <c r="K11" s="29">
        <f>SUM(I11*J11)</f>
        <v>0</v>
      </c>
      <c r="L11" s="35"/>
    </row>
    <row r="12" spans="1:14" ht="39.950000000000003" hidden="1" customHeight="1" outlineLevel="1" x14ac:dyDescent="0.25">
      <c r="B12" s="10">
        <f ca="1">DATE(YEAR(TODAY()),1,9)</f>
        <v>42013</v>
      </c>
      <c r="C12" s="55"/>
      <c r="D12" s="34" t="s">
        <v>720</v>
      </c>
      <c r="E12" s="54"/>
      <c r="F12" s="32" t="s">
        <v>719</v>
      </c>
      <c r="G12" s="30"/>
      <c r="H12" s="30" t="s">
        <v>0</v>
      </c>
      <c r="I12" s="29"/>
      <c r="J12" s="29"/>
      <c r="K12" s="29">
        <f>SUM(I12*J12)</f>
        <v>0</v>
      </c>
      <c r="L12" s="35"/>
    </row>
    <row r="13" spans="1:14" ht="39.950000000000003" hidden="1" customHeight="1" outlineLevel="1" x14ac:dyDescent="0.25">
      <c r="B13" s="47">
        <f ca="1">DATE(YEAR(TODAY()),1,10)</f>
        <v>42014</v>
      </c>
      <c r="C13" s="59"/>
      <c r="D13" s="34" t="s">
        <v>718</v>
      </c>
      <c r="E13" s="54"/>
      <c r="F13" s="32" t="s">
        <v>717</v>
      </c>
      <c r="G13" s="30"/>
      <c r="H13" s="30" t="s">
        <v>3</v>
      </c>
      <c r="I13" s="29"/>
      <c r="J13" s="29"/>
      <c r="K13" s="29">
        <f>SUM(I13*J13)</f>
        <v>0</v>
      </c>
      <c r="L13" s="35"/>
    </row>
    <row r="14" spans="1:14" ht="39.950000000000003" hidden="1" customHeight="1" outlineLevel="1" x14ac:dyDescent="0.25">
      <c r="B14" s="12">
        <f ca="1">DATE(YEAR(TODAY()),1,11)</f>
        <v>42015</v>
      </c>
      <c r="C14" s="57"/>
      <c r="D14" s="34" t="s">
        <v>716</v>
      </c>
      <c r="E14" s="54"/>
      <c r="F14" s="32" t="s">
        <v>715</v>
      </c>
      <c r="G14" s="30"/>
      <c r="H14" s="30" t="s">
        <v>3</v>
      </c>
      <c r="I14" s="29"/>
      <c r="J14" s="29"/>
      <c r="K14" s="29">
        <f>SUM(I14*J14)</f>
        <v>0</v>
      </c>
      <c r="L14" s="35"/>
    </row>
    <row r="15" spans="1:14" ht="39.950000000000003" hidden="1" customHeight="1" outlineLevel="1" x14ac:dyDescent="0.25">
      <c r="B15" s="10">
        <f ca="1">DATE(YEAR(TODAY()),1,12)</f>
        <v>42016</v>
      </c>
      <c r="C15" s="55"/>
      <c r="D15" s="34" t="s">
        <v>714</v>
      </c>
      <c r="E15" s="54"/>
      <c r="F15" s="32" t="s">
        <v>713</v>
      </c>
      <c r="G15" s="30"/>
      <c r="H15" s="30" t="s">
        <v>6</v>
      </c>
      <c r="I15" s="29"/>
      <c r="J15" s="29"/>
      <c r="K15" s="29">
        <f>SUM(I15*J15)</f>
        <v>0</v>
      </c>
      <c r="L15" s="35"/>
    </row>
    <row r="16" spans="1:14" ht="39.950000000000003" hidden="1" customHeight="1" outlineLevel="1" x14ac:dyDescent="0.25">
      <c r="B16" s="14">
        <f ca="1">DATE(YEAR(TODAY()),1,13)</f>
        <v>42017</v>
      </c>
      <c r="C16" s="56"/>
      <c r="D16" s="34" t="s">
        <v>712</v>
      </c>
      <c r="E16" s="54"/>
      <c r="F16" s="32" t="s">
        <v>711</v>
      </c>
      <c r="G16" s="30"/>
      <c r="H16" s="30" t="s">
        <v>3</v>
      </c>
      <c r="I16" s="29"/>
      <c r="J16" s="29"/>
      <c r="K16" s="29">
        <f>SUM(I16*J16)</f>
        <v>0</v>
      </c>
      <c r="L16" s="35"/>
    </row>
    <row r="17" spans="2:12" ht="39.950000000000003" hidden="1" customHeight="1" outlineLevel="1" x14ac:dyDescent="0.25">
      <c r="B17" s="16">
        <f ca="1">DATE(YEAR(TODAY()),1,14)</f>
        <v>42018</v>
      </c>
      <c r="C17" s="58"/>
      <c r="D17" s="34" t="s">
        <v>710</v>
      </c>
      <c r="E17" s="54"/>
      <c r="F17" s="32" t="s">
        <v>709</v>
      </c>
      <c r="G17" s="30"/>
      <c r="H17" s="30" t="s">
        <v>3</v>
      </c>
      <c r="I17" s="29"/>
      <c r="J17" s="29"/>
      <c r="K17" s="29">
        <f>SUM(I17*J17)</f>
        <v>0</v>
      </c>
      <c r="L17" s="35"/>
    </row>
    <row r="18" spans="2:12" ht="39.950000000000003" hidden="1" customHeight="1" outlineLevel="1" x14ac:dyDescent="0.25">
      <c r="B18" s="14">
        <f ca="1">DATE(YEAR(TODAY()),1,15)</f>
        <v>42019</v>
      </c>
      <c r="C18" s="56"/>
      <c r="D18" s="34" t="s">
        <v>708</v>
      </c>
      <c r="E18" s="54"/>
      <c r="F18" s="32" t="s">
        <v>518</v>
      </c>
      <c r="G18" s="30"/>
      <c r="H18" s="30" t="s">
        <v>3</v>
      </c>
      <c r="I18" s="29"/>
      <c r="J18" s="29"/>
      <c r="K18" s="29">
        <f>SUM(I18*J18)</f>
        <v>0</v>
      </c>
      <c r="L18" s="35"/>
    </row>
    <row r="19" spans="2:12" ht="39.950000000000003" hidden="1" customHeight="1" outlineLevel="1" x14ac:dyDescent="0.25">
      <c r="B19" s="12">
        <f ca="1">DATE(YEAR(TODAY()),1,16)</f>
        <v>42020</v>
      </c>
      <c r="C19" s="57"/>
      <c r="D19" s="34" t="s">
        <v>707</v>
      </c>
      <c r="E19" s="54"/>
      <c r="F19" s="32" t="s">
        <v>706</v>
      </c>
      <c r="G19" s="30"/>
      <c r="H19" s="30" t="s">
        <v>3</v>
      </c>
      <c r="I19" s="29"/>
      <c r="J19" s="29"/>
      <c r="K19" s="29">
        <f>SUM(I19*J19)</f>
        <v>0</v>
      </c>
      <c r="L19" s="35"/>
    </row>
    <row r="20" spans="2:12" ht="39.950000000000003" hidden="1" customHeight="1" outlineLevel="1" x14ac:dyDescent="0.25">
      <c r="B20" s="14">
        <f ca="1">DATE(YEAR(TODAY()),1,17)</f>
        <v>42021</v>
      </c>
      <c r="C20" s="56"/>
      <c r="D20" s="34" t="s">
        <v>705</v>
      </c>
      <c r="E20" s="54"/>
      <c r="F20" s="32" t="s">
        <v>704</v>
      </c>
      <c r="G20" s="30"/>
      <c r="H20" s="30" t="s">
        <v>3</v>
      </c>
      <c r="I20" s="29"/>
      <c r="J20" s="29"/>
      <c r="K20" s="29">
        <f>SUM(I20*J20)</f>
        <v>0</v>
      </c>
      <c r="L20" s="35"/>
    </row>
    <row r="21" spans="2:12" ht="39.950000000000003" hidden="1" customHeight="1" outlineLevel="1" x14ac:dyDescent="0.25">
      <c r="B21" s="10">
        <f ca="1">DATE(YEAR(TODAY()),1,18)</f>
        <v>42022</v>
      </c>
      <c r="C21" s="55"/>
      <c r="D21" s="34" t="s">
        <v>703</v>
      </c>
      <c r="E21" s="54"/>
      <c r="F21" s="32" t="s">
        <v>702</v>
      </c>
      <c r="G21" s="30"/>
      <c r="H21" s="30" t="s">
        <v>6</v>
      </c>
      <c r="I21" s="29"/>
      <c r="J21" s="29"/>
      <c r="K21" s="29">
        <f>SUM(I21*J21)</f>
        <v>0</v>
      </c>
      <c r="L21" s="35"/>
    </row>
    <row r="22" spans="2:12" ht="39.950000000000003" hidden="1" customHeight="1" outlineLevel="1" x14ac:dyDescent="0.25">
      <c r="B22" s="16">
        <f ca="1">DATE(YEAR(TODAY()),1,19)</f>
        <v>42023</v>
      </c>
      <c r="C22" s="58"/>
      <c r="D22" s="34" t="s">
        <v>701</v>
      </c>
      <c r="E22" s="54"/>
      <c r="F22" s="32" t="s">
        <v>700</v>
      </c>
      <c r="G22" s="30"/>
      <c r="H22" s="30" t="s">
        <v>3</v>
      </c>
      <c r="I22" s="29"/>
      <c r="J22" s="29"/>
      <c r="K22" s="29">
        <f>SUM(I22*J22)</f>
        <v>0</v>
      </c>
      <c r="L22" s="35"/>
    </row>
    <row r="23" spans="2:12" ht="39.950000000000003" hidden="1" customHeight="1" outlineLevel="1" x14ac:dyDescent="0.25">
      <c r="B23" s="12">
        <f ca="1">DATE(YEAR(TODAY()),1,20)</f>
        <v>42024</v>
      </c>
      <c r="C23" s="57"/>
      <c r="D23" s="34" t="s">
        <v>699</v>
      </c>
      <c r="E23" s="54"/>
      <c r="F23" s="32" t="s">
        <v>698</v>
      </c>
      <c r="G23" s="30"/>
      <c r="H23" s="30" t="s">
        <v>3</v>
      </c>
      <c r="I23" s="29"/>
      <c r="J23" s="29"/>
      <c r="K23" s="29">
        <f>SUM(I23*J23)</f>
        <v>0</v>
      </c>
      <c r="L23" s="35"/>
    </row>
    <row r="24" spans="2:12" ht="39.950000000000003" hidden="1" customHeight="1" outlineLevel="1" x14ac:dyDescent="0.25">
      <c r="B24" s="10">
        <f ca="1">DATE(YEAR(TODAY()),1,21)</f>
        <v>42025</v>
      </c>
      <c r="C24" s="55"/>
      <c r="D24" s="34" t="s">
        <v>697</v>
      </c>
      <c r="E24" s="54"/>
      <c r="F24" s="32" t="s">
        <v>696</v>
      </c>
      <c r="G24" s="30"/>
      <c r="H24" s="30" t="s">
        <v>0</v>
      </c>
      <c r="I24" s="29"/>
      <c r="J24" s="29"/>
      <c r="K24" s="29">
        <f>SUM(I24*J24)</f>
        <v>0</v>
      </c>
      <c r="L24" s="35"/>
    </row>
    <row r="25" spans="2:12" ht="39.950000000000003" hidden="1" customHeight="1" outlineLevel="1" x14ac:dyDescent="0.25">
      <c r="B25" s="14">
        <f ca="1">DATE(YEAR(TODAY()),1,22)</f>
        <v>42026</v>
      </c>
      <c r="C25" s="56"/>
      <c r="D25" s="34" t="s">
        <v>695</v>
      </c>
      <c r="E25" s="54"/>
      <c r="F25" s="32" t="s">
        <v>694</v>
      </c>
      <c r="G25" s="30"/>
      <c r="H25" s="30" t="s">
        <v>3</v>
      </c>
      <c r="I25" s="29"/>
      <c r="J25" s="29"/>
      <c r="K25" s="29">
        <f>SUM(I25*J25)</f>
        <v>0</v>
      </c>
      <c r="L25" s="35"/>
    </row>
    <row r="26" spans="2:12" ht="39.950000000000003" hidden="1" customHeight="1" outlineLevel="1" x14ac:dyDescent="0.25">
      <c r="B26" s="10">
        <f ca="1">DATE(YEAR(TODAY()),1,23)</f>
        <v>42027</v>
      </c>
      <c r="C26" s="55"/>
      <c r="D26" s="34" t="s">
        <v>693</v>
      </c>
      <c r="E26" s="54"/>
      <c r="F26" s="32" t="s">
        <v>692</v>
      </c>
      <c r="G26" s="30"/>
      <c r="H26" s="30" t="s">
        <v>6</v>
      </c>
      <c r="I26" s="29"/>
      <c r="J26" s="29"/>
      <c r="K26" s="29">
        <f>SUM(I26*J26)</f>
        <v>0</v>
      </c>
      <c r="L26" s="35"/>
    </row>
    <row r="27" spans="2:12" ht="39.950000000000003" hidden="1" customHeight="1" outlineLevel="1" x14ac:dyDescent="0.25">
      <c r="B27" s="12">
        <f ca="1">DATE(YEAR(TODAY()),1,24)</f>
        <v>42028</v>
      </c>
      <c r="C27" s="57"/>
      <c r="D27" s="34" t="s">
        <v>691</v>
      </c>
      <c r="E27" s="54"/>
      <c r="F27" s="32" t="s">
        <v>690</v>
      </c>
      <c r="G27" s="30"/>
      <c r="H27" s="30" t="s">
        <v>3</v>
      </c>
      <c r="I27" s="29"/>
      <c r="J27" s="29"/>
      <c r="K27" s="29">
        <f>SUM(I27*J27)</f>
        <v>0</v>
      </c>
      <c r="L27" s="35"/>
    </row>
    <row r="28" spans="2:12" ht="39.950000000000003" hidden="1" customHeight="1" outlineLevel="1" x14ac:dyDescent="0.25">
      <c r="B28" s="16">
        <f ca="1">DATE(YEAR(TODAY()),1,25)</f>
        <v>42029</v>
      </c>
      <c r="C28" s="58"/>
      <c r="D28" s="34" t="s">
        <v>689</v>
      </c>
      <c r="E28" s="54"/>
      <c r="F28" s="32" t="s">
        <v>688</v>
      </c>
      <c r="G28" s="30"/>
      <c r="H28" s="30" t="s">
        <v>3</v>
      </c>
      <c r="I28" s="29"/>
      <c r="J28" s="29"/>
      <c r="K28" s="29">
        <f>SUM(I28*J28)</f>
        <v>0</v>
      </c>
      <c r="L28" s="35"/>
    </row>
    <row r="29" spans="2:12" ht="39.950000000000003" hidden="1" customHeight="1" outlineLevel="1" x14ac:dyDescent="0.25">
      <c r="B29" s="10">
        <f ca="1">DATE(YEAR(TODAY()),1,26)</f>
        <v>42030</v>
      </c>
      <c r="C29" s="55"/>
      <c r="D29" s="34" t="s">
        <v>687</v>
      </c>
      <c r="E29" s="54"/>
      <c r="F29" s="32" t="s">
        <v>686</v>
      </c>
      <c r="G29" s="30"/>
      <c r="H29" s="30" t="s">
        <v>0</v>
      </c>
      <c r="I29" s="29"/>
      <c r="J29" s="29"/>
      <c r="K29" s="29">
        <f>SUM(I29*J29)</f>
        <v>0</v>
      </c>
      <c r="L29" s="35"/>
    </row>
    <row r="30" spans="2:12" ht="39.950000000000003" hidden="1" customHeight="1" outlineLevel="1" x14ac:dyDescent="0.25">
      <c r="B30" s="10">
        <f ca="1">DATE(YEAR(TODAY()),1,27)</f>
        <v>42031</v>
      </c>
      <c r="C30" s="55"/>
      <c r="D30" s="34" t="s">
        <v>685</v>
      </c>
      <c r="E30" s="54"/>
      <c r="F30" s="32" t="s">
        <v>684</v>
      </c>
      <c r="G30" s="30"/>
      <c r="H30" s="30" t="s">
        <v>6</v>
      </c>
      <c r="I30" s="29"/>
      <c r="J30" s="29"/>
      <c r="K30" s="29">
        <f>SUM(I30*J30)</f>
        <v>0</v>
      </c>
      <c r="L30" s="35"/>
    </row>
    <row r="31" spans="2:12" ht="39.950000000000003" hidden="1" customHeight="1" outlineLevel="1" x14ac:dyDescent="0.25">
      <c r="B31" s="14">
        <f ca="1">DATE(YEAR(TODAY()),1,28)</f>
        <v>42032</v>
      </c>
      <c r="C31" s="56"/>
      <c r="D31" s="34" t="s">
        <v>683</v>
      </c>
      <c r="E31" s="54"/>
      <c r="F31" s="32" t="s">
        <v>682</v>
      </c>
      <c r="G31" s="30"/>
      <c r="H31" s="30" t="s">
        <v>3</v>
      </c>
      <c r="I31" s="29"/>
      <c r="J31" s="29"/>
      <c r="K31" s="29">
        <f>SUM(I31*J31)</f>
        <v>0</v>
      </c>
      <c r="L31" s="35"/>
    </row>
    <row r="32" spans="2:12" ht="39.950000000000003" hidden="1" customHeight="1" outlineLevel="1" x14ac:dyDescent="0.25">
      <c r="B32" s="12">
        <f ca="1">DATE(YEAR(TODAY()),1,29)</f>
        <v>42033</v>
      </c>
      <c r="C32" s="57"/>
      <c r="D32" s="34" t="s">
        <v>681</v>
      </c>
      <c r="E32" s="54"/>
      <c r="F32" s="32" t="s">
        <v>474</v>
      </c>
      <c r="G32" s="30"/>
      <c r="H32" s="30" t="s">
        <v>3</v>
      </c>
      <c r="I32" s="29"/>
      <c r="J32" s="29"/>
      <c r="K32" s="29">
        <f>SUM(I32*J32)</f>
        <v>0</v>
      </c>
      <c r="L32" s="35"/>
    </row>
    <row r="33" spans="2:14" ht="39.950000000000003" hidden="1" customHeight="1" outlineLevel="1" x14ac:dyDescent="0.25">
      <c r="B33" s="14">
        <f ca="1">DATE(YEAR(TODAY()),1,30)</f>
        <v>42034</v>
      </c>
      <c r="C33" s="56"/>
      <c r="D33" s="34" t="s">
        <v>680</v>
      </c>
      <c r="E33" s="54"/>
      <c r="F33" s="32" t="s">
        <v>679</v>
      </c>
      <c r="G33" s="30"/>
      <c r="H33" s="30" t="s">
        <v>3</v>
      </c>
      <c r="I33" s="29"/>
      <c r="J33" s="29"/>
      <c r="K33" s="29">
        <f>SUM(I33*J33)</f>
        <v>0</v>
      </c>
      <c r="L33" s="35"/>
    </row>
    <row r="34" spans="2:14" ht="39.950000000000003" hidden="1" customHeight="1" outlineLevel="1" x14ac:dyDescent="0.25">
      <c r="B34" s="10">
        <f ca="1">DATE(YEAR(TODAY()),1,0)</f>
        <v>42004</v>
      </c>
      <c r="C34" s="55"/>
      <c r="D34" s="34" t="s">
        <v>678</v>
      </c>
      <c r="E34" s="54"/>
      <c r="F34" s="32" t="s">
        <v>295</v>
      </c>
      <c r="G34" s="30"/>
      <c r="H34" s="30" t="s">
        <v>6</v>
      </c>
      <c r="I34" s="29"/>
      <c r="J34" s="29"/>
      <c r="K34" s="29">
        <f>SUM(I34*J34)</f>
        <v>0</v>
      </c>
      <c r="L34" s="35"/>
    </row>
    <row r="35" spans="2:14" ht="21" customHeight="1" collapsed="1" x14ac:dyDescent="0.35">
      <c r="B35" s="28" t="s">
        <v>677</v>
      </c>
      <c r="C35" s="28"/>
      <c r="D35" s="28"/>
      <c r="E35" s="28"/>
      <c r="F35" s="28"/>
      <c r="G35" s="28"/>
      <c r="H35" s="28"/>
      <c r="I35" s="28"/>
      <c r="J35" s="28"/>
      <c r="K35" s="28"/>
    </row>
    <row r="36" spans="2:14" ht="15" hidden="1" customHeight="1" outlineLevel="1" x14ac:dyDescent="0.25">
      <c r="B36" s="53" t="s">
        <v>77</v>
      </c>
      <c r="C36" s="52"/>
      <c r="D36" s="51" t="s">
        <v>76</v>
      </c>
      <c r="E36" s="51"/>
      <c r="F36" s="50" t="s">
        <v>75</v>
      </c>
      <c r="G36" s="49"/>
      <c r="H36" s="49" t="s">
        <v>74</v>
      </c>
      <c r="I36" s="48" t="s">
        <v>73</v>
      </c>
      <c r="J36" s="48" t="s">
        <v>72</v>
      </c>
      <c r="K36" s="48" t="s">
        <v>71</v>
      </c>
    </row>
    <row r="37" spans="2:14" ht="39.950000000000003" hidden="1" customHeight="1" outlineLevel="1" x14ac:dyDescent="0.25">
      <c r="B37" s="36">
        <f ca="1">DATE(YEAR(TODAY()),2,1)</f>
        <v>42036</v>
      </c>
      <c r="C37" s="35"/>
      <c r="D37" s="34" t="s">
        <v>676</v>
      </c>
      <c r="E37" s="33"/>
      <c r="F37" s="44" t="s">
        <v>675</v>
      </c>
      <c r="G37" s="31"/>
      <c r="H37" s="30" t="s">
        <v>0</v>
      </c>
      <c r="I37" s="29"/>
      <c r="J37" s="29"/>
      <c r="K37" s="29">
        <f>SUM(I37*J37)</f>
        <v>0</v>
      </c>
    </row>
    <row r="38" spans="2:14" ht="39.950000000000003" hidden="1" customHeight="1" outlineLevel="1" x14ac:dyDescent="0.25">
      <c r="B38" s="14">
        <f ca="1">DATE(YEAR(TODAY()),2,2)</f>
        <v>42037</v>
      </c>
      <c r="C38" s="13"/>
      <c r="D38" s="34" t="s">
        <v>674</v>
      </c>
      <c r="E38" s="33"/>
      <c r="F38" s="44" t="s">
        <v>673</v>
      </c>
      <c r="G38" s="31"/>
      <c r="H38" s="30" t="s">
        <v>0</v>
      </c>
      <c r="I38" s="29"/>
      <c r="J38" s="29"/>
      <c r="K38" s="29">
        <f>SUM(I38*J38)</f>
        <v>0</v>
      </c>
      <c r="L38" s="35"/>
      <c r="N38" s="21" t="s">
        <v>66</v>
      </c>
    </row>
    <row r="39" spans="2:14" ht="39.950000000000003" hidden="1" customHeight="1" outlineLevel="1" x14ac:dyDescent="0.25">
      <c r="B39" s="10">
        <f ca="1">DATE(YEAR(TODAY()),2,3)</f>
        <v>42038</v>
      </c>
      <c r="C39" s="9"/>
      <c r="D39" s="34" t="s">
        <v>672</v>
      </c>
      <c r="E39" s="33"/>
      <c r="F39" s="44" t="s">
        <v>671</v>
      </c>
      <c r="G39" s="31"/>
      <c r="H39" s="30" t="s">
        <v>0</v>
      </c>
      <c r="I39" s="29"/>
      <c r="J39" s="29"/>
      <c r="K39" s="29">
        <f>SUM(I39*J39)</f>
        <v>0</v>
      </c>
      <c r="L39" s="35"/>
      <c r="N39" s="21" t="s">
        <v>63</v>
      </c>
    </row>
    <row r="40" spans="2:14" ht="39.950000000000003" hidden="1" customHeight="1" outlineLevel="1" x14ac:dyDescent="0.25">
      <c r="B40" s="16">
        <f ca="1">DATE(YEAR(TODAY()),2,4)</f>
        <v>42039</v>
      </c>
      <c r="C40" s="15"/>
      <c r="D40" s="34" t="s">
        <v>670</v>
      </c>
      <c r="E40" s="33"/>
      <c r="F40" s="44" t="s">
        <v>669</v>
      </c>
      <c r="G40" s="31"/>
      <c r="H40" s="30" t="s">
        <v>3</v>
      </c>
      <c r="I40" s="29"/>
      <c r="J40" s="29"/>
      <c r="K40" s="29">
        <f>SUM(I40*J40)</f>
        <v>0</v>
      </c>
      <c r="L40" s="35"/>
      <c r="N40" s="21" t="s">
        <v>60</v>
      </c>
    </row>
    <row r="41" spans="2:14" ht="39.950000000000003" hidden="1" customHeight="1" outlineLevel="1" x14ac:dyDescent="0.25">
      <c r="B41" s="12">
        <f ca="1">DATE(YEAR(TODAY()),2,5)</f>
        <v>42040</v>
      </c>
      <c r="C41" s="11"/>
      <c r="D41" s="34" t="s">
        <v>668</v>
      </c>
      <c r="E41" s="33"/>
      <c r="F41" s="44" t="s">
        <v>667</v>
      </c>
      <c r="G41" s="31"/>
      <c r="H41" s="30" t="s">
        <v>3</v>
      </c>
      <c r="I41" s="29"/>
      <c r="J41" s="29"/>
      <c r="K41" s="29">
        <f>SUM(I41*J41)</f>
        <v>0</v>
      </c>
      <c r="L41" s="35"/>
      <c r="N41" s="21" t="s">
        <v>57</v>
      </c>
    </row>
    <row r="42" spans="2:14" ht="39.950000000000003" hidden="1" customHeight="1" outlineLevel="1" x14ac:dyDescent="0.25">
      <c r="B42" s="10">
        <f ca="1">DATE(YEAR(TODAY()),2,6)</f>
        <v>42041</v>
      </c>
      <c r="C42" s="9"/>
      <c r="D42" s="34" t="s">
        <v>666</v>
      </c>
      <c r="E42" s="33"/>
      <c r="F42" s="44" t="s">
        <v>665</v>
      </c>
      <c r="G42" s="31"/>
      <c r="H42" s="30" t="s">
        <v>0</v>
      </c>
      <c r="I42" s="29"/>
      <c r="J42" s="29"/>
      <c r="K42" s="29">
        <f>SUM(I42*J42)</f>
        <v>0</v>
      </c>
      <c r="L42" s="35"/>
      <c r="N42" s="21" t="s">
        <v>54</v>
      </c>
    </row>
    <row r="43" spans="2:14" ht="39.950000000000003" hidden="1" customHeight="1" outlineLevel="1" x14ac:dyDescent="0.25">
      <c r="B43" s="14">
        <f ca="1">DATE(YEAR(TODAY()),2,7)</f>
        <v>42042</v>
      </c>
      <c r="C43" s="13"/>
      <c r="D43" s="34" t="s">
        <v>664</v>
      </c>
      <c r="E43" s="33"/>
      <c r="F43" s="44" t="s">
        <v>663</v>
      </c>
      <c r="G43" s="31"/>
      <c r="H43" s="30" t="s">
        <v>3</v>
      </c>
      <c r="I43" s="29"/>
      <c r="J43" s="29"/>
      <c r="K43" s="29">
        <f>SUM(I43*J43)</f>
        <v>0</v>
      </c>
      <c r="L43" s="35"/>
      <c r="N43" s="21" t="s">
        <v>51</v>
      </c>
    </row>
    <row r="44" spans="2:14" ht="39.950000000000003" hidden="1" customHeight="1" outlineLevel="1" x14ac:dyDescent="0.25">
      <c r="B44" s="10">
        <f ca="1">DATE(YEAR(TODAY()),2,8)</f>
        <v>42043</v>
      </c>
      <c r="C44" s="9"/>
      <c r="D44" s="34" t="s">
        <v>662</v>
      </c>
      <c r="E44" s="33"/>
      <c r="F44" s="44" t="s">
        <v>661</v>
      </c>
      <c r="G44" s="31"/>
      <c r="H44" s="30" t="s">
        <v>6</v>
      </c>
      <c r="I44" s="29"/>
      <c r="J44" s="29"/>
      <c r="K44" s="29">
        <f>SUM(I44*J44)</f>
        <v>0</v>
      </c>
      <c r="L44" s="35"/>
    </row>
    <row r="45" spans="2:14" ht="39.950000000000003" hidden="1" customHeight="1" outlineLevel="1" x14ac:dyDescent="0.25">
      <c r="B45" s="12">
        <f ca="1">DATE(YEAR(TODAY()),2,9)</f>
        <v>42044</v>
      </c>
      <c r="C45" s="11"/>
      <c r="D45" s="34" t="s">
        <v>660</v>
      </c>
      <c r="E45" s="33"/>
      <c r="F45" s="44" t="s">
        <v>659</v>
      </c>
      <c r="G45" s="31"/>
      <c r="H45" s="30" t="s">
        <v>0</v>
      </c>
      <c r="I45" s="29"/>
      <c r="J45" s="29"/>
      <c r="K45" s="29">
        <f>SUM(I45*J45)</f>
        <v>0</v>
      </c>
      <c r="L45" s="35"/>
    </row>
    <row r="46" spans="2:14" ht="39.950000000000003" hidden="1" customHeight="1" outlineLevel="1" x14ac:dyDescent="0.25">
      <c r="B46" s="47">
        <f ca="1">DATE(YEAR(TODAY()),2,10)</f>
        <v>42045</v>
      </c>
      <c r="C46" s="46"/>
      <c r="D46" s="34" t="s">
        <v>658</v>
      </c>
      <c r="E46" s="33"/>
      <c r="F46" s="44" t="s">
        <v>657</v>
      </c>
      <c r="G46" s="31"/>
      <c r="H46" s="30" t="s">
        <v>3</v>
      </c>
      <c r="I46" s="29"/>
      <c r="J46" s="29"/>
      <c r="K46" s="29">
        <f>SUM(I46*J46)</f>
        <v>0</v>
      </c>
      <c r="L46" s="35"/>
    </row>
    <row r="47" spans="2:14" ht="39.950000000000003" hidden="1" customHeight="1" outlineLevel="1" x14ac:dyDescent="0.25">
      <c r="B47" s="12">
        <f ca="1">DATE(YEAR(TODAY()),2,11)</f>
        <v>42046</v>
      </c>
      <c r="C47" s="11"/>
      <c r="D47" s="34" t="s">
        <v>656</v>
      </c>
      <c r="E47" s="33"/>
      <c r="F47" s="44" t="s">
        <v>655</v>
      </c>
      <c r="G47" s="31"/>
      <c r="H47" s="30" t="s">
        <v>3</v>
      </c>
      <c r="I47" s="29"/>
      <c r="J47" s="29"/>
      <c r="K47" s="29">
        <f>SUM(I47*J47)</f>
        <v>0</v>
      </c>
      <c r="L47" s="35"/>
    </row>
    <row r="48" spans="2:14" ht="39.950000000000003" hidden="1" customHeight="1" outlineLevel="1" x14ac:dyDescent="0.25">
      <c r="B48" s="12">
        <f ca="1">DATE(YEAR(TODAY()),2,12)</f>
        <v>42047</v>
      </c>
      <c r="C48" s="11"/>
      <c r="D48" s="34" t="s">
        <v>654</v>
      </c>
      <c r="E48" s="33"/>
      <c r="F48" s="44" t="s">
        <v>653</v>
      </c>
      <c r="G48" s="31"/>
      <c r="H48" s="30" t="s">
        <v>0</v>
      </c>
      <c r="I48" s="29"/>
      <c r="J48" s="29"/>
      <c r="K48" s="29">
        <f>SUM(I48*J48)</f>
        <v>0</v>
      </c>
      <c r="L48" s="35"/>
    </row>
    <row r="49" spans="2:12" ht="39.950000000000003" hidden="1" customHeight="1" outlineLevel="1" x14ac:dyDescent="0.25">
      <c r="B49" s="10">
        <f ca="1">DATE(YEAR(TODAY()),2,13)</f>
        <v>42048</v>
      </c>
      <c r="C49" s="9"/>
      <c r="D49" s="34" t="s">
        <v>652</v>
      </c>
      <c r="E49" s="33"/>
      <c r="F49" s="44" t="s">
        <v>39</v>
      </c>
      <c r="G49" s="31"/>
      <c r="H49" s="30" t="s">
        <v>6</v>
      </c>
      <c r="I49" s="29"/>
      <c r="J49" s="29"/>
      <c r="K49" s="29">
        <f>SUM(I49*J49)</f>
        <v>0</v>
      </c>
      <c r="L49" s="35"/>
    </row>
    <row r="50" spans="2:12" ht="39.950000000000003" hidden="1" customHeight="1" outlineLevel="1" x14ac:dyDescent="0.25">
      <c r="B50" s="16">
        <f ca="1">DATE(YEAR(TODAY()),2,14)</f>
        <v>42049</v>
      </c>
      <c r="C50" s="15"/>
      <c r="D50" s="34" t="s">
        <v>651</v>
      </c>
      <c r="E50" s="33"/>
      <c r="F50" s="44" t="s">
        <v>650</v>
      </c>
      <c r="G50" s="31"/>
      <c r="H50" s="30" t="s">
        <v>3</v>
      </c>
      <c r="I50" s="29"/>
      <c r="J50" s="29"/>
      <c r="K50" s="29">
        <f>SUM(I50*J50)</f>
        <v>0</v>
      </c>
      <c r="L50" s="35"/>
    </row>
    <row r="51" spans="2:12" ht="39.950000000000003" hidden="1" customHeight="1" outlineLevel="1" x14ac:dyDescent="0.25">
      <c r="B51" s="16">
        <f ca="1">DATE(YEAR(TODAY()),2,15)</f>
        <v>42050</v>
      </c>
      <c r="C51" s="15"/>
      <c r="D51" s="34" t="s">
        <v>649</v>
      </c>
      <c r="E51" s="33"/>
      <c r="F51" s="44" t="s">
        <v>648</v>
      </c>
      <c r="G51" s="31"/>
      <c r="H51" s="30" t="s">
        <v>3</v>
      </c>
      <c r="I51" s="29"/>
      <c r="J51" s="29"/>
      <c r="K51" s="29">
        <f>SUM(I51*J51)</f>
        <v>0</v>
      </c>
      <c r="L51" s="35"/>
    </row>
    <row r="52" spans="2:12" ht="39.950000000000003" hidden="1" customHeight="1" outlineLevel="1" x14ac:dyDescent="0.25">
      <c r="B52" s="10">
        <f ca="1">DATE(YEAR(TODAY()),2,16)</f>
        <v>42051</v>
      </c>
      <c r="C52" s="9"/>
      <c r="D52" s="34" t="s">
        <v>647</v>
      </c>
      <c r="E52" s="33"/>
      <c r="F52" s="44" t="s">
        <v>646</v>
      </c>
      <c r="G52" s="31"/>
      <c r="H52" s="30" t="s">
        <v>0</v>
      </c>
      <c r="I52" s="29"/>
      <c r="J52" s="29"/>
      <c r="K52" s="29">
        <f>SUM(I52*J52)</f>
        <v>0</v>
      </c>
      <c r="L52" s="35"/>
    </row>
    <row r="53" spans="2:12" ht="39.950000000000003" hidden="1" customHeight="1" outlineLevel="1" x14ac:dyDescent="0.25">
      <c r="B53" s="12">
        <f ca="1">DATE(YEAR(TODAY()),2,17)</f>
        <v>42052</v>
      </c>
      <c r="C53" s="11"/>
      <c r="D53" s="34" t="s">
        <v>645</v>
      </c>
      <c r="E53" s="33"/>
      <c r="F53" s="44" t="s">
        <v>644</v>
      </c>
      <c r="G53" s="31"/>
      <c r="H53" s="30" t="s">
        <v>3</v>
      </c>
      <c r="I53" s="29"/>
      <c r="J53" s="29"/>
      <c r="K53" s="29">
        <f>SUM(I53*J53)</f>
        <v>0</v>
      </c>
      <c r="L53" s="35"/>
    </row>
    <row r="54" spans="2:12" ht="39.950000000000003" hidden="1" customHeight="1" outlineLevel="1" x14ac:dyDescent="0.25">
      <c r="B54" s="14">
        <f ca="1">DATE(YEAR(TODAY()),2,18)</f>
        <v>42053</v>
      </c>
      <c r="C54" s="13"/>
      <c r="D54" s="34" t="s">
        <v>643</v>
      </c>
      <c r="E54" s="33"/>
      <c r="F54" s="44" t="s">
        <v>642</v>
      </c>
      <c r="G54" s="31"/>
      <c r="H54" s="30" t="s">
        <v>3</v>
      </c>
      <c r="I54" s="29"/>
      <c r="J54" s="29"/>
      <c r="K54" s="29">
        <f>SUM(I54*J54)</f>
        <v>0</v>
      </c>
      <c r="L54" s="35"/>
    </row>
    <row r="55" spans="2:12" ht="39.950000000000003" hidden="1" customHeight="1" outlineLevel="1" x14ac:dyDescent="0.25">
      <c r="B55" s="10">
        <f ca="1">DATE(YEAR(TODAY()),2,19)</f>
        <v>42054</v>
      </c>
      <c r="C55" s="9"/>
      <c r="D55" s="34" t="s">
        <v>641</v>
      </c>
      <c r="E55" s="33"/>
      <c r="F55" s="44" t="s">
        <v>640</v>
      </c>
      <c r="G55" s="31"/>
      <c r="H55" s="30" t="s">
        <v>6</v>
      </c>
      <c r="I55" s="29"/>
      <c r="J55" s="29"/>
      <c r="K55" s="29">
        <f>SUM(I55*J55)</f>
        <v>0</v>
      </c>
      <c r="L55" s="35"/>
    </row>
    <row r="56" spans="2:12" ht="39.950000000000003" hidden="1" customHeight="1" outlineLevel="1" x14ac:dyDescent="0.25">
      <c r="B56" s="14">
        <f ca="1">DATE(YEAR(TODAY()),2,20)</f>
        <v>42055</v>
      </c>
      <c r="C56" s="13"/>
      <c r="D56" s="34" t="s">
        <v>639</v>
      </c>
      <c r="E56" s="33"/>
      <c r="F56" s="44" t="s">
        <v>638</v>
      </c>
      <c r="G56" s="31"/>
      <c r="H56" s="30" t="s">
        <v>3</v>
      </c>
      <c r="I56" s="29"/>
      <c r="J56" s="29"/>
      <c r="K56" s="29">
        <f>SUM(I56*J56)</f>
        <v>0</v>
      </c>
      <c r="L56" s="35"/>
    </row>
    <row r="57" spans="2:12" ht="39.950000000000003" hidden="1" customHeight="1" outlineLevel="1" x14ac:dyDescent="0.25">
      <c r="B57" s="16">
        <f ca="1">DATE(YEAR(TODAY()),2,21)</f>
        <v>42056</v>
      </c>
      <c r="C57" s="15"/>
      <c r="D57" s="34" t="s">
        <v>637</v>
      </c>
      <c r="E57" s="33"/>
      <c r="F57" s="44" t="s">
        <v>636</v>
      </c>
      <c r="G57" s="31"/>
      <c r="H57" s="30" t="s">
        <v>3</v>
      </c>
      <c r="I57" s="29"/>
      <c r="J57" s="29"/>
      <c r="K57" s="29">
        <f>SUM(I57*J57)</f>
        <v>0</v>
      </c>
      <c r="L57" s="35"/>
    </row>
    <row r="58" spans="2:12" ht="39.950000000000003" hidden="1" customHeight="1" outlineLevel="1" x14ac:dyDescent="0.25">
      <c r="B58" s="12">
        <f ca="1">DATE(YEAR(TODAY()),2,22)</f>
        <v>42057</v>
      </c>
      <c r="C58" s="11"/>
      <c r="D58" s="34" t="s">
        <v>635</v>
      </c>
      <c r="E58" s="33"/>
      <c r="F58" s="44" t="s">
        <v>271</v>
      </c>
      <c r="G58" s="31"/>
      <c r="H58" s="30" t="s">
        <v>3</v>
      </c>
      <c r="I58" s="29"/>
      <c r="J58" s="29"/>
      <c r="K58" s="29">
        <f>SUM(I58*J58)</f>
        <v>0</v>
      </c>
      <c r="L58" s="35"/>
    </row>
    <row r="59" spans="2:12" ht="39.950000000000003" hidden="1" customHeight="1" outlineLevel="1" x14ac:dyDescent="0.25">
      <c r="B59" s="10">
        <f ca="1">DATE(YEAR(TODAY()),2,23)</f>
        <v>42058</v>
      </c>
      <c r="C59" s="9"/>
      <c r="D59" s="34" t="s">
        <v>634</v>
      </c>
      <c r="E59" s="33"/>
      <c r="F59" s="44" t="s">
        <v>91</v>
      </c>
      <c r="G59" s="31"/>
      <c r="H59" s="30" t="s">
        <v>6</v>
      </c>
      <c r="I59" s="29"/>
      <c r="J59" s="29"/>
      <c r="K59" s="29">
        <f>SUM(I59*J59)</f>
        <v>0</v>
      </c>
      <c r="L59" s="35"/>
    </row>
    <row r="60" spans="2:12" ht="39.950000000000003" hidden="1" customHeight="1" outlineLevel="1" x14ac:dyDescent="0.25">
      <c r="B60" s="14">
        <f ca="1">DATE(YEAR(TODAY()),2,24)</f>
        <v>42059</v>
      </c>
      <c r="C60" s="13"/>
      <c r="D60" s="34" t="s">
        <v>633</v>
      </c>
      <c r="E60" s="33"/>
      <c r="F60" s="44" t="s">
        <v>632</v>
      </c>
      <c r="G60" s="31"/>
      <c r="H60" s="30" t="s">
        <v>3</v>
      </c>
      <c r="I60" s="29"/>
      <c r="J60" s="29"/>
      <c r="K60" s="29">
        <f>SUM(I60*J60)</f>
        <v>0</v>
      </c>
      <c r="L60" s="35"/>
    </row>
    <row r="61" spans="2:12" ht="39.950000000000003" hidden="1" customHeight="1" outlineLevel="1" x14ac:dyDescent="0.25">
      <c r="B61" s="14">
        <f ca="1">DATE(YEAR(TODAY()),2,25)</f>
        <v>42060</v>
      </c>
      <c r="C61" s="13"/>
      <c r="D61" s="34" t="s">
        <v>631</v>
      </c>
      <c r="E61" s="33"/>
      <c r="F61" s="44" t="s">
        <v>630</v>
      </c>
      <c r="G61" s="31"/>
      <c r="H61" s="30" t="s">
        <v>3</v>
      </c>
      <c r="I61" s="29"/>
      <c r="J61" s="29"/>
      <c r="K61" s="29">
        <f>SUM(I61*J61)</f>
        <v>0</v>
      </c>
      <c r="L61" s="35"/>
    </row>
    <row r="62" spans="2:12" ht="39.950000000000003" hidden="1" customHeight="1" outlineLevel="1" x14ac:dyDescent="0.25">
      <c r="B62" s="16">
        <f ca="1">DATE(YEAR(TODAY()),2,26)</f>
        <v>42061</v>
      </c>
      <c r="C62" s="15"/>
      <c r="D62" s="34" t="s">
        <v>629</v>
      </c>
      <c r="E62" s="33"/>
      <c r="F62" s="44" t="s">
        <v>628</v>
      </c>
      <c r="G62" s="31"/>
      <c r="H62" s="30" t="s">
        <v>3</v>
      </c>
      <c r="I62" s="29"/>
      <c r="J62" s="29"/>
      <c r="K62" s="29">
        <f>SUM(I62*J62)</f>
        <v>0</v>
      </c>
      <c r="L62" s="35"/>
    </row>
    <row r="63" spans="2:12" ht="39.950000000000003" hidden="1" customHeight="1" outlineLevel="1" x14ac:dyDescent="0.25">
      <c r="B63" s="10">
        <f ca="1">DATE(YEAR(TODAY()),2,27)</f>
        <v>42062</v>
      </c>
      <c r="C63" s="9"/>
      <c r="D63" s="34" t="s">
        <v>627</v>
      </c>
      <c r="E63" s="33"/>
      <c r="F63" s="44" t="s">
        <v>626</v>
      </c>
      <c r="G63" s="31"/>
      <c r="H63" s="30" t="s">
        <v>0</v>
      </c>
      <c r="I63" s="29"/>
      <c r="J63" s="29"/>
      <c r="K63" s="29">
        <f>SUM(I63*J63)</f>
        <v>0</v>
      </c>
      <c r="L63" s="35"/>
    </row>
    <row r="64" spans="2:12" ht="39.950000000000003" hidden="1" customHeight="1" outlineLevel="1" x14ac:dyDescent="0.25">
      <c r="B64" s="12">
        <f ca="1">DATE(YEAR(TODAY()),2,28)</f>
        <v>42063</v>
      </c>
      <c r="C64" s="11"/>
      <c r="D64" s="34" t="s">
        <v>624</v>
      </c>
      <c r="E64" s="33"/>
      <c r="F64" s="44" t="s">
        <v>625</v>
      </c>
      <c r="G64" s="31"/>
      <c r="H64" s="30" t="s">
        <v>3</v>
      </c>
      <c r="I64" s="29"/>
      <c r="J64" s="29"/>
      <c r="K64" s="29">
        <f>SUM(I64*J64)</f>
        <v>0</v>
      </c>
      <c r="L64" s="35"/>
    </row>
    <row r="65" spans="2:14" ht="39.950000000000003" hidden="1" customHeight="1" outlineLevel="1" x14ac:dyDescent="0.25">
      <c r="B65" s="12">
        <f ca="1">DATE(YEAR(TODAY()),2,29)</f>
        <v>42064</v>
      </c>
      <c r="C65" s="11"/>
      <c r="D65" s="8" t="s">
        <v>624</v>
      </c>
      <c r="F65" s="4" t="s">
        <v>623</v>
      </c>
      <c r="H65" s="2" t="s">
        <v>3</v>
      </c>
      <c r="K65" s="1">
        <f>SUM(I65*J65)</f>
        <v>0</v>
      </c>
    </row>
    <row r="66" spans="2:14" ht="21" customHeight="1" collapsed="1" x14ac:dyDescent="0.35">
      <c r="B66" s="43" t="s">
        <v>622</v>
      </c>
      <c r="C66" s="43"/>
      <c r="D66" s="43"/>
      <c r="E66" s="43"/>
      <c r="F66" s="43"/>
      <c r="G66" s="43"/>
      <c r="H66" s="43"/>
      <c r="I66" s="43"/>
      <c r="J66" s="43"/>
      <c r="K66" s="43"/>
    </row>
    <row r="67" spans="2:14" ht="15" hidden="1" customHeight="1" outlineLevel="1" x14ac:dyDescent="0.25">
      <c r="B67" s="42" t="s">
        <v>77</v>
      </c>
      <c r="C67" s="41"/>
      <c r="D67" s="40" t="s">
        <v>76</v>
      </c>
      <c r="E67" s="40"/>
      <c r="F67" s="39" t="s">
        <v>75</v>
      </c>
      <c r="G67" s="38"/>
      <c r="H67" s="38" t="s">
        <v>74</v>
      </c>
      <c r="I67" s="37" t="s">
        <v>73</v>
      </c>
      <c r="J67" s="37" t="s">
        <v>72</v>
      </c>
      <c r="K67" s="37" t="s">
        <v>71</v>
      </c>
    </row>
    <row r="68" spans="2:14" ht="39.950000000000003" hidden="1" customHeight="1" outlineLevel="1" x14ac:dyDescent="0.25">
      <c r="B68" s="10">
        <f ca="1">DATE(YEAR(TODAY()),3,1)</f>
        <v>42064</v>
      </c>
      <c r="C68" s="9"/>
      <c r="D68" s="34" t="s">
        <v>621</v>
      </c>
      <c r="E68" s="33"/>
      <c r="F68" s="32" t="s">
        <v>620</v>
      </c>
      <c r="G68" s="32"/>
      <c r="H68" s="30" t="s">
        <v>0</v>
      </c>
      <c r="I68" s="29"/>
      <c r="J68" s="29"/>
      <c r="K68" s="29">
        <f>SUM(I68*J68)</f>
        <v>0</v>
      </c>
    </row>
    <row r="69" spans="2:14" ht="39.950000000000003" hidden="1" customHeight="1" outlineLevel="1" x14ac:dyDescent="0.25">
      <c r="B69" s="16">
        <f ca="1">DATE(YEAR(TODAY()),3,2)</f>
        <v>42065</v>
      </c>
      <c r="C69" s="15"/>
      <c r="D69" s="34" t="s">
        <v>619</v>
      </c>
      <c r="E69" s="33"/>
      <c r="F69" s="32" t="s">
        <v>618</v>
      </c>
      <c r="G69" s="32"/>
      <c r="H69" s="30" t="s">
        <v>3</v>
      </c>
      <c r="I69" s="29"/>
      <c r="J69" s="29"/>
      <c r="K69" s="29">
        <f>SUM(I69*J69)</f>
        <v>0</v>
      </c>
      <c r="N69" s="21" t="s">
        <v>66</v>
      </c>
    </row>
    <row r="70" spans="2:14" ht="39.950000000000003" hidden="1" customHeight="1" outlineLevel="1" x14ac:dyDescent="0.25">
      <c r="B70" s="10">
        <f ca="1">DATE(YEAR(TODAY()),3,3)</f>
        <v>42066</v>
      </c>
      <c r="C70" s="9"/>
      <c r="D70" s="34" t="s">
        <v>617</v>
      </c>
      <c r="E70" s="33"/>
      <c r="F70" s="32" t="s">
        <v>616</v>
      </c>
      <c r="G70" s="32"/>
      <c r="H70" s="30" t="s">
        <v>6</v>
      </c>
      <c r="I70" s="29"/>
      <c r="J70" s="29"/>
      <c r="K70" s="29">
        <f>SUM(I70*J70)</f>
        <v>0</v>
      </c>
      <c r="N70" s="21" t="s">
        <v>63</v>
      </c>
    </row>
    <row r="71" spans="2:14" ht="39.950000000000003" hidden="1" customHeight="1" outlineLevel="1" x14ac:dyDescent="0.25">
      <c r="B71" s="14">
        <f ca="1">DATE(YEAR(TODAY()),3,4)</f>
        <v>42067</v>
      </c>
      <c r="C71" s="13"/>
      <c r="D71" s="34" t="s">
        <v>615</v>
      </c>
      <c r="E71" s="33"/>
      <c r="F71" s="32" t="s">
        <v>614</v>
      </c>
      <c r="G71" s="32"/>
      <c r="H71" s="30" t="s">
        <v>3</v>
      </c>
      <c r="I71" s="29"/>
      <c r="J71" s="29"/>
      <c r="K71" s="29">
        <f>SUM(I71*J71)</f>
        <v>0</v>
      </c>
      <c r="N71" s="21" t="s">
        <v>60</v>
      </c>
    </row>
    <row r="72" spans="2:14" ht="39.950000000000003" hidden="1" customHeight="1" outlineLevel="1" x14ac:dyDescent="0.25">
      <c r="B72" s="14">
        <f ca="1">DATE(YEAR(TODAY()),3,5)</f>
        <v>42068</v>
      </c>
      <c r="C72" s="13"/>
      <c r="D72" s="34" t="s">
        <v>613</v>
      </c>
      <c r="E72" s="33"/>
      <c r="F72" s="32" t="s">
        <v>612</v>
      </c>
      <c r="G72" s="32"/>
      <c r="H72" s="30" t="s">
        <v>3</v>
      </c>
      <c r="I72" s="29"/>
      <c r="J72" s="29"/>
      <c r="K72" s="29">
        <f>SUM(I72*J72)</f>
        <v>0</v>
      </c>
      <c r="N72" s="21" t="s">
        <v>57</v>
      </c>
    </row>
    <row r="73" spans="2:14" ht="39.950000000000003" hidden="1" customHeight="1" outlineLevel="1" x14ac:dyDescent="0.25">
      <c r="B73" s="12">
        <f ca="1">DATE(YEAR(TODAY()),3,6)</f>
        <v>42069</v>
      </c>
      <c r="C73" s="11"/>
      <c r="D73" s="34" t="s">
        <v>611</v>
      </c>
      <c r="E73" s="33"/>
      <c r="F73" s="32" t="s">
        <v>610</v>
      </c>
      <c r="G73" s="32"/>
      <c r="H73" s="30" t="s">
        <v>3</v>
      </c>
      <c r="I73" s="29"/>
      <c r="J73" s="29"/>
      <c r="K73" s="29">
        <f>SUM(I73*J73)</f>
        <v>0</v>
      </c>
      <c r="N73" s="21" t="s">
        <v>54</v>
      </c>
    </row>
    <row r="74" spans="2:14" ht="39.950000000000003" hidden="1" customHeight="1" outlineLevel="1" x14ac:dyDescent="0.25">
      <c r="B74" s="16">
        <f ca="1">DATE(YEAR(TODAY()),3,7)</f>
        <v>42070</v>
      </c>
      <c r="C74" s="15"/>
      <c r="D74" s="34" t="s">
        <v>609</v>
      </c>
      <c r="E74" s="33"/>
      <c r="F74" s="32" t="s">
        <v>608</v>
      </c>
      <c r="G74" s="32"/>
      <c r="H74" s="30" t="s">
        <v>3</v>
      </c>
      <c r="I74" s="29"/>
      <c r="J74" s="29"/>
      <c r="K74" s="29">
        <f>SUM(I74*J74)</f>
        <v>0</v>
      </c>
      <c r="N74" s="21" t="s">
        <v>51</v>
      </c>
    </row>
    <row r="75" spans="2:14" ht="39.950000000000003" hidden="1" customHeight="1" outlineLevel="1" x14ac:dyDescent="0.25">
      <c r="B75" s="14">
        <f ca="1">DATE(YEAR(TODAY()),3,8)</f>
        <v>42071</v>
      </c>
      <c r="C75" s="13"/>
      <c r="D75" s="34" t="s">
        <v>607</v>
      </c>
      <c r="E75" s="33"/>
      <c r="F75" s="32" t="s">
        <v>606</v>
      </c>
      <c r="G75" s="32"/>
      <c r="H75" s="30" t="s">
        <v>3</v>
      </c>
      <c r="I75" s="29"/>
      <c r="J75" s="29"/>
      <c r="K75" s="29">
        <f>SUM(I75*J75)</f>
        <v>0</v>
      </c>
    </row>
    <row r="76" spans="2:14" ht="39.950000000000003" hidden="1" customHeight="1" outlineLevel="1" x14ac:dyDescent="0.25">
      <c r="B76" s="10">
        <f ca="1">DATE(YEAR(TODAY()),3,9)</f>
        <v>42072</v>
      </c>
      <c r="C76" s="9"/>
      <c r="D76" s="34" t="s">
        <v>605</v>
      </c>
      <c r="E76" s="33"/>
      <c r="F76" s="32" t="s">
        <v>285</v>
      </c>
      <c r="G76" s="32"/>
      <c r="H76" s="30" t="s">
        <v>6</v>
      </c>
      <c r="I76" s="29"/>
      <c r="J76" s="29"/>
      <c r="K76" s="29">
        <f>SUM(I76*J76)</f>
        <v>0</v>
      </c>
    </row>
    <row r="77" spans="2:14" ht="39.950000000000003" hidden="1" customHeight="1" outlineLevel="1" x14ac:dyDescent="0.25">
      <c r="B77" s="18">
        <f ca="1">DATE(YEAR(TODAY()),3,10)</f>
        <v>42073</v>
      </c>
      <c r="C77" s="17"/>
      <c r="D77" s="34" t="s">
        <v>604</v>
      </c>
      <c r="E77" s="33"/>
      <c r="F77" s="32" t="s">
        <v>603</v>
      </c>
      <c r="G77" s="32"/>
      <c r="H77" s="30" t="s">
        <v>3</v>
      </c>
      <c r="I77" s="29"/>
      <c r="J77" s="29"/>
      <c r="K77" s="29">
        <f>SUM(I77*J77)</f>
        <v>0</v>
      </c>
    </row>
    <row r="78" spans="2:14" ht="39.950000000000003" hidden="1" customHeight="1" outlineLevel="1" x14ac:dyDescent="0.25">
      <c r="B78" s="14">
        <f ca="1">DATE(YEAR(TODAY()),3,11)</f>
        <v>42074</v>
      </c>
      <c r="C78" s="13"/>
      <c r="D78" s="34" t="s">
        <v>602</v>
      </c>
      <c r="E78" s="33"/>
      <c r="F78" s="32" t="s">
        <v>601</v>
      </c>
      <c r="G78" s="32"/>
      <c r="H78" s="30" t="s">
        <v>3</v>
      </c>
      <c r="I78" s="29"/>
      <c r="J78" s="29"/>
      <c r="K78" s="29">
        <f>SUM(I78*J78)</f>
        <v>0</v>
      </c>
    </row>
    <row r="79" spans="2:14" ht="39.950000000000003" hidden="1" customHeight="1" outlineLevel="1" x14ac:dyDescent="0.25">
      <c r="B79" s="10">
        <f ca="1">DATE(YEAR(TODAY()),3,12)</f>
        <v>42075</v>
      </c>
      <c r="C79" s="9"/>
      <c r="D79" s="34" t="s">
        <v>600</v>
      </c>
      <c r="E79" s="33"/>
      <c r="F79" s="32" t="s">
        <v>599</v>
      </c>
      <c r="G79" s="32"/>
      <c r="H79" s="30" t="s">
        <v>0</v>
      </c>
      <c r="I79" s="29"/>
      <c r="J79" s="29"/>
      <c r="K79" s="29">
        <f>SUM(I79*J79)</f>
        <v>0</v>
      </c>
    </row>
    <row r="80" spans="2:14" ht="39.950000000000003" hidden="1" customHeight="1" outlineLevel="1" x14ac:dyDescent="0.25">
      <c r="B80" s="16">
        <f ca="1">DATE(YEAR(TODAY()),3,13)</f>
        <v>42076</v>
      </c>
      <c r="C80" s="15"/>
      <c r="D80" s="34" t="s">
        <v>598</v>
      </c>
      <c r="E80" s="33"/>
      <c r="F80" s="32" t="s">
        <v>597</v>
      </c>
      <c r="G80" s="32"/>
      <c r="H80" s="30" t="s">
        <v>0</v>
      </c>
      <c r="I80" s="29"/>
      <c r="J80" s="29"/>
      <c r="K80" s="29">
        <f>SUM(I80*J80)</f>
        <v>0</v>
      </c>
    </row>
    <row r="81" spans="2:11" ht="39.950000000000003" hidden="1" customHeight="1" outlineLevel="1" x14ac:dyDescent="0.25">
      <c r="B81" s="10">
        <f ca="1">DATE(YEAR(TODAY()),3,14)</f>
        <v>42077</v>
      </c>
      <c r="C81" s="9"/>
      <c r="D81" s="34" t="s">
        <v>596</v>
      </c>
      <c r="E81" s="33"/>
      <c r="F81" s="32" t="s">
        <v>595</v>
      </c>
      <c r="G81" s="32"/>
      <c r="H81" s="30" t="s">
        <v>3</v>
      </c>
      <c r="I81" s="29"/>
      <c r="J81" s="29"/>
      <c r="K81" s="29">
        <f>SUM(I81*J81)</f>
        <v>0</v>
      </c>
    </row>
    <row r="82" spans="2:11" ht="39.950000000000003" hidden="1" customHeight="1" outlineLevel="1" x14ac:dyDescent="0.25">
      <c r="B82" s="12">
        <f ca="1">DATE(YEAR(TODAY()),3,15)</f>
        <v>42078</v>
      </c>
      <c r="C82" s="11"/>
      <c r="D82" s="34" t="s">
        <v>594</v>
      </c>
      <c r="E82" s="33"/>
      <c r="F82" s="32" t="s">
        <v>593</v>
      </c>
      <c r="G82" s="32"/>
      <c r="H82" s="30" t="s">
        <v>3</v>
      </c>
      <c r="I82" s="29"/>
      <c r="J82" s="29"/>
      <c r="K82" s="29">
        <f>SUM(I82*J82)</f>
        <v>0</v>
      </c>
    </row>
    <row r="83" spans="2:11" ht="39.950000000000003" hidden="1" customHeight="1" outlineLevel="1" x14ac:dyDescent="0.25">
      <c r="B83" s="16">
        <f ca="1">DATE(YEAR(TODAY()),3,16)</f>
        <v>42079</v>
      </c>
      <c r="C83" s="15"/>
      <c r="D83" s="34" t="s">
        <v>592</v>
      </c>
      <c r="E83" s="33"/>
      <c r="F83" s="32" t="s">
        <v>591</v>
      </c>
      <c r="G83" s="32"/>
      <c r="H83" s="30" t="s">
        <v>3</v>
      </c>
      <c r="I83" s="29"/>
      <c r="J83" s="29"/>
      <c r="K83" s="29">
        <f>SUM(I83*J83)</f>
        <v>0</v>
      </c>
    </row>
    <row r="84" spans="2:11" ht="39.950000000000003" hidden="1" customHeight="1" outlineLevel="1" x14ac:dyDescent="0.25">
      <c r="B84" s="18">
        <f ca="1">DATE(YEAR(TODAY()),3,17)</f>
        <v>42080</v>
      </c>
      <c r="C84" s="17"/>
      <c r="D84" s="34" t="s">
        <v>590</v>
      </c>
      <c r="E84" s="33"/>
      <c r="F84" s="32" t="s">
        <v>589</v>
      </c>
      <c r="G84" s="32"/>
      <c r="H84" s="30" t="s">
        <v>3</v>
      </c>
      <c r="I84" s="29"/>
      <c r="J84" s="29"/>
      <c r="K84" s="29">
        <f>SUM(I84*J84)</f>
        <v>0</v>
      </c>
    </row>
    <row r="85" spans="2:11" ht="39.950000000000003" hidden="1" customHeight="1" outlineLevel="1" x14ac:dyDescent="0.25">
      <c r="B85" s="10">
        <f ca="1">DATE(YEAR(TODAY()),3,18)</f>
        <v>42081</v>
      </c>
      <c r="C85" s="9"/>
      <c r="D85" s="34" t="s">
        <v>588</v>
      </c>
      <c r="E85" s="33"/>
      <c r="F85" s="32" t="s">
        <v>587</v>
      </c>
      <c r="G85" s="32"/>
      <c r="H85" s="30" t="s">
        <v>0</v>
      </c>
      <c r="I85" s="29"/>
      <c r="J85" s="29"/>
      <c r="K85" s="29">
        <f>SUM(I85*J85)</f>
        <v>0</v>
      </c>
    </row>
    <row r="86" spans="2:11" ht="39.950000000000003" hidden="1" customHeight="1" outlineLevel="1" x14ac:dyDescent="0.25">
      <c r="B86" s="10">
        <f ca="1">DATE(YEAR(TODAY()),3,19)</f>
        <v>42082</v>
      </c>
      <c r="C86" s="9"/>
      <c r="D86" s="34" t="s">
        <v>586</v>
      </c>
      <c r="E86" s="33"/>
      <c r="F86" s="32" t="s">
        <v>585</v>
      </c>
      <c r="G86" s="32"/>
      <c r="H86" s="30" t="s">
        <v>6</v>
      </c>
      <c r="I86" s="29"/>
      <c r="J86" s="29"/>
      <c r="K86" s="29">
        <f>SUM(I86*J86)</f>
        <v>0</v>
      </c>
    </row>
    <row r="87" spans="2:11" ht="39.950000000000003" hidden="1" customHeight="1" outlineLevel="1" x14ac:dyDescent="0.25">
      <c r="B87" s="12">
        <f ca="1">DATE(YEAR(TODAY()),3,20)</f>
        <v>42083</v>
      </c>
      <c r="C87" s="11"/>
      <c r="D87" s="34" t="s">
        <v>584</v>
      </c>
      <c r="E87" s="33"/>
      <c r="F87" s="32" t="s">
        <v>583</v>
      </c>
      <c r="G87" s="32"/>
      <c r="H87" s="30" t="s">
        <v>3</v>
      </c>
      <c r="I87" s="29"/>
      <c r="J87" s="29"/>
      <c r="K87" s="29">
        <f>SUM(I87*J87)</f>
        <v>0</v>
      </c>
    </row>
    <row r="88" spans="2:11" ht="39.950000000000003" hidden="1" customHeight="1" outlineLevel="1" x14ac:dyDescent="0.25">
      <c r="B88" s="16">
        <f ca="1">DATE(YEAR(TODAY()),3,21)</f>
        <v>42084</v>
      </c>
      <c r="C88" s="15"/>
      <c r="D88" s="34" t="s">
        <v>582</v>
      </c>
      <c r="E88" s="33"/>
      <c r="F88" s="32" t="s">
        <v>581</v>
      </c>
      <c r="G88" s="32"/>
      <c r="H88" s="30" t="s">
        <v>3</v>
      </c>
      <c r="I88" s="29"/>
      <c r="J88" s="29"/>
      <c r="K88" s="29">
        <f>SUM(I88*J88)</f>
        <v>0</v>
      </c>
    </row>
    <row r="89" spans="2:11" ht="39.950000000000003" hidden="1" customHeight="1" outlineLevel="1" x14ac:dyDescent="0.25">
      <c r="B89" s="14">
        <f ca="1">DATE(YEAR(TODAY()),3,22)</f>
        <v>42085</v>
      </c>
      <c r="C89" s="13"/>
      <c r="D89" s="34" t="s">
        <v>580</v>
      </c>
      <c r="E89" s="33"/>
      <c r="F89" s="32" t="s">
        <v>579</v>
      </c>
      <c r="G89" s="32"/>
      <c r="H89" s="30" t="s">
        <v>3</v>
      </c>
      <c r="I89" s="29"/>
      <c r="J89" s="29"/>
      <c r="K89" s="29">
        <f>SUM(I89*J89)</f>
        <v>0</v>
      </c>
    </row>
    <row r="90" spans="2:11" ht="39.950000000000003" hidden="1" customHeight="1" outlineLevel="1" x14ac:dyDescent="0.25">
      <c r="B90" s="10">
        <f ca="1">DATE(YEAR(TODAY()),3,23)</f>
        <v>42086</v>
      </c>
      <c r="C90" s="9"/>
      <c r="D90" s="34" t="s">
        <v>578</v>
      </c>
      <c r="E90" s="33"/>
      <c r="F90" s="32" t="s">
        <v>126</v>
      </c>
      <c r="G90" s="32"/>
      <c r="H90" s="30" t="s">
        <v>6</v>
      </c>
      <c r="I90" s="29"/>
      <c r="J90" s="29"/>
      <c r="K90" s="29">
        <f>SUM(I90*J90)</f>
        <v>0</v>
      </c>
    </row>
    <row r="91" spans="2:11" ht="39.950000000000003" hidden="1" customHeight="1" outlineLevel="1" x14ac:dyDescent="0.25">
      <c r="B91" s="10">
        <f ca="1">DATE(YEAR(TODAY()),3,24)</f>
        <v>42087</v>
      </c>
      <c r="C91" s="9"/>
      <c r="D91" s="34" t="s">
        <v>577</v>
      </c>
      <c r="E91" s="33"/>
      <c r="F91" s="32" t="s">
        <v>548</v>
      </c>
      <c r="G91" s="32"/>
      <c r="H91" s="30" t="s">
        <v>6</v>
      </c>
      <c r="I91" s="29"/>
      <c r="J91" s="29"/>
      <c r="K91" s="29">
        <f>SUM(I91*J91)</f>
        <v>0</v>
      </c>
    </row>
    <row r="92" spans="2:11" ht="39.950000000000003" hidden="1" customHeight="1" outlineLevel="1" x14ac:dyDescent="0.25">
      <c r="B92" s="12">
        <f ca="1">DATE(YEAR(TODAY()),3,25)</f>
        <v>42088</v>
      </c>
      <c r="C92" s="11"/>
      <c r="D92" s="34" t="s">
        <v>576</v>
      </c>
      <c r="E92" s="33"/>
      <c r="F92" s="32" t="s">
        <v>575</v>
      </c>
      <c r="G92" s="32"/>
      <c r="H92" s="30" t="s">
        <v>3</v>
      </c>
      <c r="I92" s="29"/>
      <c r="J92" s="29"/>
      <c r="K92" s="29">
        <f>SUM(I92*J92)</f>
        <v>0</v>
      </c>
    </row>
    <row r="93" spans="2:11" ht="39.950000000000003" hidden="1" customHeight="1" outlineLevel="1" x14ac:dyDescent="0.25">
      <c r="B93" s="14">
        <f ca="1">DATE(YEAR(TODAY()),3,26)</f>
        <v>42089</v>
      </c>
      <c r="C93" s="13"/>
      <c r="D93" s="34" t="s">
        <v>574</v>
      </c>
      <c r="E93" s="33"/>
      <c r="F93" s="32" t="s">
        <v>573</v>
      </c>
      <c r="G93" s="32"/>
      <c r="H93" s="30" t="s">
        <v>3</v>
      </c>
      <c r="I93" s="29"/>
      <c r="J93" s="29"/>
      <c r="K93" s="29">
        <f>SUM(I93*J93)</f>
        <v>0</v>
      </c>
    </row>
    <row r="94" spans="2:11" ht="39.950000000000003" hidden="1" customHeight="1" outlineLevel="1" x14ac:dyDescent="0.25">
      <c r="B94" s="18">
        <f ca="1">DATE(YEAR(TODAY()),3,27)</f>
        <v>42090</v>
      </c>
      <c r="C94" s="17"/>
      <c r="D94" s="34" t="s">
        <v>572</v>
      </c>
      <c r="E94" s="33"/>
      <c r="F94" s="32" t="s">
        <v>571</v>
      </c>
      <c r="G94" s="32"/>
      <c r="H94" s="30" t="s">
        <v>6</v>
      </c>
      <c r="I94" s="29"/>
      <c r="J94" s="29"/>
      <c r="K94" s="29">
        <f>SUM(I94*J94)</f>
        <v>0</v>
      </c>
    </row>
    <row r="95" spans="2:11" ht="39.950000000000003" hidden="1" customHeight="1" outlineLevel="1" x14ac:dyDescent="0.25">
      <c r="B95" s="14">
        <f ca="1">DATE(YEAR(TODAY()),3,28)</f>
        <v>42091</v>
      </c>
      <c r="C95" s="13"/>
      <c r="D95" s="34" t="s">
        <v>570</v>
      </c>
      <c r="E95" s="33"/>
      <c r="F95" s="32" t="s">
        <v>569</v>
      </c>
      <c r="G95" s="32"/>
      <c r="H95" s="30" t="s">
        <v>3</v>
      </c>
      <c r="I95" s="29"/>
      <c r="J95" s="29"/>
      <c r="K95" s="29">
        <f>SUM(I95*J95)</f>
        <v>0</v>
      </c>
    </row>
    <row r="96" spans="2:11" ht="39.950000000000003" hidden="1" customHeight="1" outlineLevel="1" x14ac:dyDescent="0.25">
      <c r="B96" s="14">
        <f ca="1">DATE(YEAR(TODAY()),3,29)</f>
        <v>42092</v>
      </c>
      <c r="C96" s="13"/>
      <c r="D96" s="34" t="s">
        <v>568</v>
      </c>
      <c r="E96" s="33"/>
      <c r="F96" s="32" t="s">
        <v>567</v>
      </c>
      <c r="G96" s="32"/>
      <c r="H96" s="30" t="s">
        <v>3</v>
      </c>
      <c r="I96" s="29"/>
      <c r="J96" s="29"/>
      <c r="K96" s="29">
        <f>SUM(I96*J96)</f>
        <v>0</v>
      </c>
    </row>
    <row r="97" spans="2:14" ht="39.950000000000003" hidden="1" customHeight="1" outlineLevel="1" x14ac:dyDescent="0.25">
      <c r="B97" s="12">
        <f ca="1">DATE(YEAR(TODAY()),3,30)</f>
        <v>42093</v>
      </c>
      <c r="C97" s="11"/>
      <c r="D97" s="34" t="s">
        <v>566</v>
      </c>
      <c r="E97" s="33"/>
      <c r="F97" s="32" t="s">
        <v>565</v>
      </c>
      <c r="G97" s="32"/>
      <c r="H97" s="30" t="s">
        <v>3</v>
      </c>
      <c r="I97" s="29"/>
      <c r="J97" s="29"/>
      <c r="K97" s="29">
        <f>SUM(I97*J97)</f>
        <v>0</v>
      </c>
    </row>
    <row r="98" spans="2:14" ht="39.950000000000003" hidden="1" customHeight="1" outlineLevel="1" x14ac:dyDescent="0.25">
      <c r="B98" s="16">
        <f ca="1">DATE(YEAR(TODAY()),3,31)</f>
        <v>42094</v>
      </c>
      <c r="C98" s="15"/>
      <c r="D98" s="34" t="s">
        <v>564</v>
      </c>
      <c r="E98" s="33"/>
      <c r="F98" s="32" t="s">
        <v>563</v>
      </c>
      <c r="G98" s="32"/>
      <c r="H98" s="30" t="s">
        <v>3</v>
      </c>
      <c r="I98" s="29"/>
      <c r="J98" s="29"/>
      <c r="K98" s="29">
        <f>SUM(I98*J98)</f>
        <v>0</v>
      </c>
    </row>
    <row r="99" spans="2:14" ht="21" customHeight="1" collapsed="1" x14ac:dyDescent="0.35">
      <c r="B99" s="28" t="s">
        <v>562</v>
      </c>
      <c r="C99" s="28"/>
      <c r="D99" s="28"/>
      <c r="E99" s="28"/>
      <c r="F99" s="28"/>
      <c r="G99" s="28"/>
      <c r="H99" s="28"/>
      <c r="I99" s="28"/>
      <c r="J99" s="28"/>
      <c r="K99" s="28"/>
    </row>
    <row r="100" spans="2:14" ht="15" hidden="1" customHeight="1" outlineLevel="1" x14ac:dyDescent="0.25">
      <c r="B100" s="42" t="s">
        <v>77</v>
      </c>
      <c r="C100" s="41"/>
      <c r="D100" s="40" t="s">
        <v>76</v>
      </c>
      <c r="E100" s="40"/>
      <c r="F100" s="39" t="s">
        <v>75</v>
      </c>
      <c r="G100" s="38"/>
      <c r="H100" s="38" t="s">
        <v>74</v>
      </c>
      <c r="I100" s="37" t="s">
        <v>73</v>
      </c>
      <c r="J100" s="37" t="s">
        <v>72</v>
      </c>
      <c r="K100" s="37" t="s">
        <v>71</v>
      </c>
    </row>
    <row r="101" spans="2:14" ht="39.950000000000003" hidden="1" customHeight="1" outlineLevel="1" x14ac:dyDescent="0.25">
      <c r="B101" s="14">
        <f ca="1">DATE(YEAR(TODAY()),4,1)</f>
        <v>42095</v>
      </c>
      <c r="C101" s="13"/>
      <c r="D101" s="34" t="s">
        <v>561</v>
      </c>
      <c r="E101" s="33"/>
      <c r="F101" s="34" t="s">
        <v>560</v>
      </c>
      <c r="G101" s="31"/>
      <c r="H101" s="30" t="s">
        <v>3</v>
      </c>
      <c r="I101" s="45"/>
      <c r="J101" s="45"/>
      <c r="K101" s="45">
        <f>SUM(I101*J101)</f>
        <v>0</v>
      </c>
    </row>
    <row r="102" spans="2:14" ht="39.950000000000003" hidden="1" customHeight="1" outlineLevel="1" x14ac:dyDescent="0.25">
      <c r="B102" s="10">
        <f ca="1">DATE(YEAR(TODAY()),4,2)</f>
        <v>42096</v>
      </c>
      <c r="C102" s="9"/>
      <c r="D102" s="34" t="s">
        <v>559</v>
      </c>
      <c r="E102" s="33"/>
      <c r="F102" s="34" t="s">
        <v>558</v>
      </c>
      <c r="G102" s="31"/>
      <c r="H102" s="30" t="s">
        <v>6</v>
      </c>
      <c r="I102" s="45"/>
      <c r="J102" s="45"/>
      <c r="K102" s="45">
        <f>SUM(I102*J102)</f>
        <v>0</v>
      </c>
      <c r="N102" s="21" t="s">
        <v>66</v>
      </c>
    </row>
    <row r="103" spans="2:14" ht="39.950000000000003" hidden="1" customHeight="1" outlineLevel="1" x14ac:dyDescent="0.25">
      <c r="B103" s="16">
        <f ca="1">DATE(YEAR(TODAY()),4,3)</f>
        <v>42097</v>
      </c>
      <c r="C103" s="15"/>
      <c r="D103" s="34" t="s">
        <v>557</v>
      </c>
      <c r="E103" s="33"/>
      <c r="F103" s="34" t="s">
        <v>556</v>
      </c>
      <c r="G103" s="31"/>
      <c r="H103" s="30" t="s">
        <v>3</v>
      </c>
      <c r="I103" s="45"/>
      <c r="J103" s="45"/>
      <c r="K103" s="45">
        <f>SUM(I103*J103)</f>
        <v>0</v>
      </c>
      <c r="N103" s="21" t="s">
        <v>63</v>
      </c>
    </row>
    <row r="104" spans="2:14" ht="39.950000000000003" hidden="1" customHeight="1" outlineLevel="1" x14ac:dyDescent="0.25">
      <c r="B104" s="10">
        <f ca="1">DATE(YEAR(TODAY()),4,4)</f>
        <v>42098</v>
      </c>
      <c r="C104" s="9"/>
      <c r="D104" s="34" t="s">
        <v>555</v>
      </c>
      <c r="E104" s="33"/>
      <c r="F104" s="34" t="s">
        <v>554</v>
      </c>
      <c r="G104" s="31"/>
      <c r="H104" s="30" t="s">
        <v>0</v>
      </c>
      <c r="I104" s="45"/>
      <c r="J104" s="45"/>
      <c r="K104" s="45">
        <f>SUM(I104*J104)</f>
        <v>0</v>
      </c>
      <c r="N104" s="21" t="s">
        <v>60</v>
      </c>
    </row>
    <row r="105" spans="2:14" ht="39.950000000000003" hidden="1" customHeight="1" outlineLevel="1" x14ac:dyDescent="0.25">
      <c r="B105" s="16">
        <f ca="1">DATE(YEAR(TODAY()),4,5)</f>
        <v>42099</v>
      </c>
      <c r="C105" s="15"/>
      <c r="D105" s="34" t="s">
        <v>553</v>
      </c>
      <c r="E105" s="33"/>
      <c r="F105" s="34" t="s">
        <v>552</v>
      </c>
      <c r="G105" s="31"/>
      <c r="H105" s="30" t="s">
        <v>3</v>
      </c>
      <c r="I105" s="45"/>
      <c r="J105" s="45"/>
      <c r="K105" s="45">
        <f>SUM(I105*J105)</f>
        <v>0</v>
      </c>
      <c r="N105" s="21" t="s">
        <v>57</v>
      </c>
    </row>
    <row r="106" spans="2:14" ht="39.950000000000003" hidden="1" customHeight="1" outlineLevel="1" x14ac:dyDescent="0.25">
      <c r="B106" s="12">
        <f ca="1">DATE(YEAR(TODAY()),4,6)</f>
        <v>42100</v>
      </c>
      <c r="C106" s="11"/>
      <c r="D106" s="34" t="s">
        <v>551</v>
      </c>
      <c r="E106" s="33"/>
      <c r="F106" s="34" t="s">
        <v>550</v>
      </c>
      <c r="G106" s="31"/>
      <c r="H106" s="30" t="s">
        <v>3</v>
      </c>
      <c r="I106" s="45"/>
      <c r="J106" s="45"/>
      <c r="K106" s="45">
        <f>SUM(I106*J106)</f>
        <v>0</v>
      </c>
      <c r="N106" s="21" t="s">
        <v>54</v>
      </c>
    </row>
    <row r="107" spans="2:14" ht="39.950000000000003" hidden="1" customHeight="1" outlineLevel="1" x14ac:dyDescent="0.25">
      <c r="B107" s="10">
        <f ca="1">DATE(YEAR(TODAY()),4,7)</f>
        <v>42101</v>
      </c>
      <c r="C107" s="9"/>
      <c r="D107" s="34" t="s">
        <v>549</v>
      </c>
      <c r="E107" s="33"/>
      <c r="F107" s="34" t="s">
        <v>548</v>
      </c>
      <c r="G107" s="31"/>
      <c r="H107" s="30" t="s">
        <v>6</v>
      </c>
      <c r="I107" s="45"/>
      <c r="J107" s="45"/>
      <c r="K107" s="45">
        <f>SUM(I107*J107)</f>
        <v>0</v>
      </c>
      <c r="N107" s="21" t="s">
        <v>51</v>
      </c>
    </row>
    <row r="108" spans="2:14" ht="39.950000000000003" hidden="1" customHeight="1" outlineLevel="1" x14ac:dyDescent="0.25">
      <c r="B108" s="16">
        <f ca="1">DATE(YEAR(TODAY()),4,8)</f>
        <v>42102</v>
      </c>
      <c r="C108" s="15"/>
      <c r="D108" s="34" t="s">
        <v>547</v>
      </c>
      <c r="E108" s="33"/>
      <c r="F108" s="34" t="s">
        <v>546</v>
      </c>
      <c r="G108" s="31"/>
      <c r="H108" s="30" t="s">
        <v>3</v>
      </c>
      <c r="I108" s="45"/>
      <c r="J108" s="45"/>
      <c r="K108" s="45">
        <f>SUM(I108*J108)</f>
        <v>0</v>
      </c>
    </row>
    <row r="109" spans="2:14" ht="39.950000000000003" hidden="1" customHeight="1" outlineLevel="1" x14ac:dyDescent="0.25">
      <c r="B109" s="14">
        <f ca="1">DATE(YEAR(TODAY()),4,9)</f>
        <v>42103</v>
      </c>
      <c r="C109" s="13"/>
      <c r="D109" s="34" t="s">
        <v>545</v>
      </c>
      <c r="E109" s="33"/>
      <c r="F109" s="34" t="s">
        <v>544</v>
      </c>
      <c r="G109" s="31"/>
      <c r="H109" s="30" t="s">
        <v>3</v>
      </c>
      <c r="I109" s="45"/>
      <c r="J109" s="45"/>
      <c r="K109" s="45">
        <f>SUM(I109*J109)</f>
        <v>0</v>
      </c>
    </row>
    <row r="110" spans="2:14" ht="39.950000000000003" hidden="1" customHeight="1" outlineLevel="1" x14ac:dyDescent="0.25">
      <c r="B110" s="47">
        <f ca="1">DATE(YEAR(TODAY()),4,10)</f>
        <v>42104</v>
      </c>
      <c r="C110" s="46"/>
      <c r="D110" s="34" t="s">
        <v>543</v>
      </c>
      <c r="E110" s="33"/>
      <c r="F110" s="34" t="s">
        <v>542</v>
      </c>
      <c r="G110" s="31"/>
      <c r="H110" s="30" t="s">
        <v>0</v>
      </c>
      <c r="I110" s="45"/>
      <c r="J110" s="45"/>
      <c r="K110" s="45">
        <f>SUM(I110*J110)</f>
        <v>0</v>
      </c>
    </row>
    <row r="111" spans="2:14" ht="39.950000000000003" hidden="1" customHeight="1" outlineLevel="1" x14ac:dyDescent="0.25">
      <c r="B111" s="14">
        <f ca="1">DATE(YEAR(TODAY()),4,11)</f>
        <v>42105</v>
      </c>
      <c r="C111" s="13"/>
      <c r="D111" s="34" t="s">
        <v>541</v>
      </c>
      <c r="E111" s="33"/>
      <c r="F111" s="34" t="s">
        <v>540</v>
      </c>
      <c r="G111" s="31"/>
      <c r="H111" s="30" t="s">
        <v>3</v>
      </c>
      <c r="I111" s="45"/>
      <c r="J111" s="45"/>
      <c r="K111" s="45">
        <f>SUM(I111*J111)</f>
        <v>0</v>
      </c>
    </row>
    <row r="112" spans="2:14" ht="39.950000000000003" hidden="1" customHeight="1" outlineLevel="1" x14ac:dyDescent="0.25">
      <c r="B112" s="12">
        <f ca="1">DATE(YEAR(TODAY()),4,12)</f>
        <v>42106</v>
      </c>
      <c r="C112" s="11"/>
      <c r="D112" s="34" t="s">
        <v>539</v>
      </c>
      <c r="E112" s="33"/>
      <c r="F112" s="34" t="s">
        <v>538</v>
      </c>
      <c r="G112" s="31"/>
      <c r="H112" s="30" t="s">
        <v>3</v>
      </c>
      <c r="I112" s="45"/>
      <c r="J112" s="45"/>
      <c r="K112" s="45">
        <f>SUM(I112*J112)</f>
        <v>0</v>
      </c>
    </row>
    <row r="113" spans="2:11" ht="39.950000000000003" hidden="1" customHeight="1" outlineLevel="1" x14ac:dyDescent="0.25">
      <c r="B113" s="10">
        <f ca="1">DATE(YEAR(TODAY()),4,13)</f>
        <v>42107</v>
      </c>
      <c r="C113" s="9"/>
      <c r="D113" s="34" t="s">
        <v>537</v>
      </c>
      <c r="E113" s="33"/>
      <c r="F113" s="34" t="s">
        <v>536</v>
      </c>
      <c r="G113" s="31"/>
      <c r="H113" s="30" t="s">
        <v>6</v>
      </c>
      <c r="I113" s="45"/>
      <c r="J113" s="45"/>
      <c r="K113" s="45">
        <f>SUM(I113*J113)</f>
        <v>0</v>
      </c>
    </row>
    <row r="114" spans="2:11" ht="39.950000000000003" hidden="1" customHeight="1" outlineLevel="1" x14ac:dyDescent="0.25">
      <c r="B114" s="14">
        <f ca="1">DATE(YEAR(TODAY()),4,14)</f>
        <v>42108</v>
      </c>
      <c r="C114" s="13"/>
      <c r="D114" s="34" t="s">
        <v>535</v>
      </c>
      <c r="E114" s="33"/>
      <c r="F114" s="34" t="s">
        <v>534</v>
      </c>
      <c r="G114" s="31"/>
      <c r="H114" s="30" t="s">
        <v>3</v>
      </c>
      <c r="I114" s="45"/>
      <c r="J114" s="45"/>
      <c r="K114" s="45">
        <f>SUM(I114*J114)</f>
        <v>0</v>
      </c>
    </row>
    <row r="115" spans="2:11" ht="39.950000000000003" hidden="1" customHeight="1" outlineLevel="1" x14ac:dyDescent="0.25">
      <c r="B115" s="10">
        <f ca="1">DATE(YEAR(TODAY()),4,15)</f>
        <v>42109</v>
      </c>
      <c r="C115" s="9"/>
      <c r="D115" s="34" t="s">
        <v>533</v>
      </c>
      <c r="E115" s="33"/>
      <c r="F115" s="34" t="s">
        <v>532</v>
      </c>
      <c r="G115" s="31"/>
      <c r="H115" s="30" t="s">
        <v>0</v>
      </c>
      <c r="I115" s="45"/>
      <c r="J115" s="45"/>
      <c r="K115" s="45">
        <f>SUM(I115*J115)</f>
        <v>0</v>
      </c>
    </row>
    <row r="116" spans="2:11" ht="39.950000000000003" hidden="1" customHeight="1" outlineLevel="1" x14ac:dyDescent="0.25">
      <c r="B116" s="10">
        <f ca="1">DATE(YEAR(TODAY()),4,16)</f>
        <v>42110</v>
      </c>
      <c r="C116" s="9"/>
      <c r="D116" s="34" t="s">
        <v>531</v>
      </c>
      <c r="E116" s="33"/>
      <c r="F116" s="34" t="s">
        <v>530</v>
      </c>
      <c r="G116" s="31"/>
      <c r="H116" s="30" t="s">
        <v>0</v>
      </c>
      <c r="I116" s="45"/>
      <c r="J116" s="45"/>
      <c r="K116" s="45">
        <f>SUM(I116*J116)</f>
        <v>0</v>
      </c>
    </row>
    <row r="117" spans="2:11" ht="39.950000000000003" hidden="1" customHeight="1" outlineLevel="1" x14ac:dyDescent="0.25">
      <c r="B117" s="12">
        <f ca="1">DATE(YEAR(TODAY()),4,17)</f>
        <v>42111</v>
      </c>
      <c r="C117" s="11"/>
      <c r="D117" s="34" t="s">
        <v>529</v>
      </c>
      <c r="E117" s="33"/>
      <c r="F117" s="34" t="s">
        <v>528</v>
      </c>
      <c r="G117" s="31"/>
      <c r="H117" s="30" t="s">
        <v>3</v>
      </c>
      <c r="I117" s="45"/>
      <c r="J117" s="45"/>
      <c r="K117" s="45">
        <f>SUM(I117*J117)</f>
        <v>0</v>
      </c>
    </row>
    <row r="118" spans="2:11" ht="39.950000000000003" hidden="1" customHeight="1" outlineLevel="1" x14ac:dyDescent="0.25">
      <c r="B118" s="14">
        <f ca="1">DATE(YEAR(TODAY()),4,18)</f>
        <v>42112</v>
      </c>
      <c r="C118" s="13"/>
      <c r="D118" s="34" t="s">
        <v>527</v>
      </c>
      <c r="E118" s="33"/>
      <c r="F118" s="34" t="s">
        <v>526</v>
      </c>
      <c r="G118" s="31"/>
      <c r="H118" s="30" t="s">
        <v>3</v>
      </c>
      <c r="I118" s="45"/>
      <c r="J118" s="45"/>
      <c r="K118" s="45">
        <f>SUM(I118*J118)</f>
        <v>0</v>
      </c>
    </row>
    <row r="119" spans="2:11" ht="39.950000000000003" hidden="1" customHeight="1" outlineLevel="1" x14ac:dyDescent="0.25">
      <c r="B119" s="10">
        <f ca="1">DATE(YEAR(TODAY()),4,19)</f>
        <v>42113</v>
      </c>
      <c r="C119" s="9"/>
      <c r="D119" s="34" t="s">
        <v>525</v>
      </c>
      <c r="E119" s="33"/>
      <c r="F119" s="34" t="s">
        <v>434</v>
      </c>
      <c r="G119" s="31"/>
      <c r="H119" s="30" t="s">
        <v>6</v>
      </c>
      <c r="I119" s="45"/>
      <c r="J119" s="45"/>
      <c r="K119" s="45">
        <f>SUM(I119*J119)</f>
        <v>0</v>
      </c>
    </row>
    <row r="120" spans="2:11" ht="39.950000000000003" hidden="1" customHeight="1" outlineLevel="1" x14ac:dyDescent="0.25">
      <c r="B120" s="16">
        <f ca="1">DATE(YEAR(TODAY()),4,20)</f>
        <v>42114</v>
      </c>
      <c r="C120" s="15"/>
      <c r="D120" s="34" t="s">
        <v>524</v>
      </c>
      <c r="E120" s="33"/>
      <c r="F120" s="34" t="s">
        <v>523</v>
      </c>
      <c r="G120" s="31"/>
      <c r="H120" s="30" t="s">
        <v>3</v>
      </c>
      <c r="I120" s="45"/>
      <c r="J120" s="45"/>
      <c r="K120" s="45">
        <f>SUM(I120*J120)</f>
        <v>0</v>
      </c>
    </row>
    <row r="121" spans="2:11" ht="39.950000000000003" hidden="1" customHeight="1" outlineLevel="1" x14ac:dyDescent="0.25">
      <c r="B121" s="12">
        <f ca="1">DATE(YEAR(TODAY()),4,21)</f>
        <v>42115</v>
      </c>
      <c r="C121" s="11"/>
      <c r="D121" s="34" t="s">
        <v>522</v>
      </c>
      <c r="E121" s="33"/>
      <c r="F121" s="34" t="s">
        <v>287</v>
      </c>
      <c r="G121" s="31"/>
      <c r="H121" s="30" t="s">
        <v>3</v>
      </c>
      <c r="I121" s="45"/>
      <c r="J121" s="45"/>
      <c r="K121" s="45">
        <f>SUM(I121*J121)</f>
        <v>0</v>
      </c>
    </row>
    <row r="122" spans="2:11" ht="39.950000000000003" hidden="1" customHeight="1" outlineLevel="1" x14ac:dyDescent="0.25">
      <c r="B122" s="10">
        <f ca="1">DATE(YEAR(TODAY()),4,22)</f>
        <v>42116</v>
      </c>
      <c r="C122" s="9"/>
      <c r="D122" s="34" t="s">
        <v>521</v>
      </c>
      <c r="E122" s="33"/>
      <c r="F122" s="34" t="s">
        <v>520</v>
      </c>
      <c r="G122" s="31"/>
      <c r="H122" s="30" t="s">
        <v>6</v>
      </c>
      <c r="I122" s="45"/>
      <c r="J122" s="45"/>
      <c r="K122" s="45">
        <f>SUM(I122*J122)</f>
        <v>0</v>
      </c>
    </row>
    <row r="123" spans="2:11" ht="39.950000000000003" hidden="1" customHeight="1" outlineLevel="1" x14ac:dyDescent="0.25">
      <c r="B123" s="16">
        <f ca="1">DATE(YEAR(TODAY()),4,23)</f>
        <v>42117</v>
      </c>
      <c r="C123" s="15"/>
      <c r="D123" s="34" t="s">
        <v>519</v>
      </c>
      <c r="E123" s="33"/>
      <c r="F123" s="34" t="s">
        <v>518</v>
      </c>
      <c r="G123" s="31"/>
      <c r="H123" s="30" t="s">
        <v>3</v>
      </c>
      <c r="I123" s="45"/>
      <c r="J123" s="45"/>
      <c r="K123" s="45">
        <f>SUM(I123*J123)</f>
        <v>0</v>
      </c>
    </row>
    <row r="124" spans="2:11" ht="39.950000000000003" hidden="1" customHeight="1" outlineLevel="1" x14ac:dyDescent="0.25">
      <c r="B124" s="14">
        <f ca="1">DATE(YEAR(TODAY()),4,24)</f>
        <v>42118</v>
      </c>
      <c r="C124" s="13"/>
      <c r="D124" s="34" t="s">
        <v>517</v>
      </c>
      <c r="E124" s="33"/>
      <c r="F124" s="34" t="s">
        <v>516</v>
      </c>
      <c r="G124" s="31"/>
      <c r="H124" s="30" t="s">
        <v>3</v>
      </c>
      <c r="I124" s="45"/>
      <c r="J124" s="45"/>
      <c r="K124" s="45">
        <f>SUM(I124*J124)</f>
        <v>0</v>
      </c>
    </row>
    <row r="125" spans="2:11" ht="39.950000000000003" hidden="1" customHeight="1" outlineLevel="1" x14ac:dyDescent="0.25">
      <c r="B125" s="10">
        <f ca="1">DATE(YEAR(TODAY()),4,25)</f>
        <v>42119</v>
      </c>
      <c r="C125" s="9"/>
      <c r="D125" s="34" t="s">
        <v>515</v>
      </c>
      <c r="E125" s="33"/>
      <c r="F125" s="34" t="s">
        <v>514</v>
      </c>
      <c r="G125" s="31"/>
      <c r="H125" s="30" t="s">
        <v>6</v>
      </c>
      <c r="I125" s="45"/>
      <c r="J125" s="45"/>
      <c r="K125" s="45">
        <f>SUM(I125*J125)</f>
        <v>0</v>
      </c>
    </row>
    <row r="126" spans="2:11" ht="39.950000000000003" hidden="1" customHeight="1" outlineLevel="1" x14ac:dyDescent="0.25">
      <c r="B126" s="18">
        <f ca="1">DATE(YEAR(TODAY()),4,26)</f>
        <v>42120</v>
      </c>
      <c r="C126" s="17"/>
      <c r="D126" s="34" t="s">
        <v>513</v>
      </c>
      <c r="E126" s="33"/>
      <c r="F126" s="34" t="s">
        <v>512</v>
      </c>
      <c r="G126" s="31"/>
      <c r="H126" s="30" t="s">
        <v>3</v>
      </c>
      <c r="I126" s="45"/>
      <c r="J126" s="45"/>
      <c r="K126" s="45">
        <f>SUM(I126*J126)</f>
        <v>0</v>
      </c>
    </row>
    <row r="127" spans="2:11" ht="39.950000000000003" hidden="1" customHeight="1" outlineLevel="1" x14ac:dyDescent="0.25">
      <c r="B127" s="14">
        <f ca="1">DATE(YEAR(TODAY()),4,27)</f>
        <v>42121</v>
      </c>
      <c r="C127" s="13"/>
      <c r="D127" s="34" t="s">
        <v>511</v>
      </c>
      <c r="E127" s="33"/>
      <c r="F127" s="34" t="s">
        <v>510</v>
      </c>
      <c r="G127" s="31"/>
      <c r="H127" s="30" t="s">
        <v>3</v>
      </c>
      <c r="I127" s="45"/>
      <c r="J127" s="45"/>
      <c r="K127" s="45">
        <f>SUM(I127*J127)</f>
        <v>0</v>
      </c>
    </row>
    <row r="128" spans="2:11" ht="39.950000000000003" hidden="1" customHeight="1" outlineLevel="1" x14ac:dyDescent="0.25">
      <c r="B128" s="10">
        <f ca="1">DATE(YEAR(TODAY()),4,28)</f>
        <v>42122</v>
      </c>
      <c r="C128" s="9"/>
      <c r="D128" s="34" t="s">
        <v>509</v>
      </c>
      <c r="E128" s="33"/>
      <c r="F128" s="34" t="s">
        <v>508</v>
      </c>
      <c r="G128" s="31"/>
      <c r="H128" s="30" t="s">
        <v>0</v>
      </c>
      <c r="I128" s="45"/>
      <c r="J128" s="45"/>
      <c r="K128" s="45">
        <f>SUM(I128*J128)</f>
        <v>0</v>
      </c>
    </row>
    <row r="129" spans="2:14" ht="39.950000000000003" hidden="1" customHeight="1" outlineLevel="1" x14ac:dyDescent="0.25">
      <c r="B129" s="12">
        <f ca="1">DATE(YEAR(TODAY()),4,29)</f>
        <v>42123</v>
      </c>
      <c r="C129" s="11"/>
      <c r="D129" s="34" t="s">
        <v>507</v>
      </c>
      <c r="E129" s="33"/>
      <c r="F129" s="34" t="s">
        <v>506</v>
      </c>
      <c r="G129" s="31"/>
      <c r="H129" s="30" t="s">
        <v>3</v>
      </c>
      <c r="I129" s="45"/>
      <c r="J129" s="45"/>
      <c r="K129" s="45">
        <f>SUM(I129*J129)</f>
        <v>0</v>
      </c>
    </row>
    <row r="130" spans="2:14" ht="39.950000000000003" hidden="1" customHeight="1" outlineLevel="1" x14ac:dyDescent="0.25">
      <c r="B130" s="10">
        <f ca="1">DATE(YEAR(TODAY()),4,30)</f>
        <v>42124</v>
      </c>
      <c r="C130" s="9"/>
      <c r="D130" s="34" t="s">
        <v>505</v>
      </c>
      <c r="E130" s="33"/>
      <c r="F130" s="34" t="s">
        <v>171</v>
      </c>
      <c r="G130" s="31"/>
      <c r="H130" s="30" t="s">
        <v>6</v>
      </c>
      <c r="I130" s="45"/>
      <c r="J130" s="45"/>
      <c r="K130" s="45">
        <f>SUM(I130*J130)</f>
        <v>0</v>
      </c>
    </row>
    <row r="131" spans="2:14" ht="21" customHeight="1" collapsed="1" x14ac:dyDescent="0.35">
      <c r="B131" s="43" t="s">
        <v>504</v>
      </c>
      <c r="C131" s="43"/>
      <c r="D131" s="43"/>
      <c r="E131" s="43"/>
      <c r="F131" s="43"/>
      <c r="G131" s="43"/>
      <c r="H131" s="43"/>
      <c r="I131" s="43"/>
      <c r="J131" s="43"/>
      <c r="K131" s="43"/>
    </row>
    <row r="132" spans="2:14" ht="15" hidden="1" customHeight="1" outlineLevel="1" x14ac:dyDescent="0.25">
      <c r="B132" s="42" t="s">
        <v>77</v>
      </c>
      <c r="C132" s="41"/>
      <c r="D132" s="40" t="s">
        <v>76</v>
      </c>
      <c r="E132" s="40"/>
      <c r="F132" s="39" t="s">
        <v>75</v>
      </c>
      <c r="G132" s="38"/>
      <c r="H132" s="38" t="s">
        <v>74</v>
      </c>
      <c r="I132" s="37" t="s">
        <v>73</v>
      </c>
      <c r="J132" s="37" t="s">
        <v>72</v>
      </c>
      <c r="K132" s="37" t="s">
        <v>71</v>
      </c>
    </row>
    <row r="133" spans="2:14" ht="39.950000000000003" hidden="1" customHeight="1" outlineLevel="1" x14ac:dyDescent="0.25">
      <c r="B133" s="10">
        <f ca="1">DATE(YEAR(TODAY()),5,1)</f>
        <v>42125</v>
      </c>
      <c r="C133" s="9"/>
      <c r="D133" s="34" t="s">
        <v>503</v>
      </c>
      <c r="E133" s="33"/>
      <c r="F133" s="34" t="s">
        <v>502</v>
      </c>
      <c r="G133" s="31"/>
      <c r="H133" s="30" t="s">
        <v>3</v>
      </c>
      <c r="I133" s="29"/>
      <c r="J133" s="29"/>
      <c r="K133" s="29">
        <f>SUM(I133*J133)</f>
        <v>0</v>
      </c>
    </row>
    <row r="134" spans="2:14" ht="39.950000000000003" hidden="1" customHeight="1" outlineLevel="1" x14ac:dyDescent="0.25">
      <c r="B134" s="16">
        <f ca="1">DATE(YEAR(TODAY()),5,2)</f>
        <v>42126</v>
      </c>
      <c r="C134" s="15"/>
      <c r="D134" s="34" t="s">
        <v>501</v>
      </c>
      <c r="E134" s="33"/>
      <c r="F134" s="34" t="s">
        <v>500</v>
      </c>
      <c r="G134" s="31"/>
      <c r="H134" s="30" t="s">
        <v>3</v>
      </c>
      <c r="I134" s="29"/>
      <c r="J134" s="29"/>
      <c r="K134" s="29">
        <f>SUM(I134*J134)</f>
        <v>0</v>
      </c>
      <c r="N134" s="21" t="s">
        <v>66</v>
      </c>
    </row>
    <row r="135" spans="2:14" ht="39.950000000000003" hidden="1" customHeight="1" outlineLevel="1" x14ac:dyDescent="0.25">
      <c r="B135" s="12">
        <f ca="1">DATE(YEAR(TODAY()),5,3)</f>
        <v>42127</v>
      </c>
      <c r="C135" s="11"/>
      <c r="D135" s="34" t="s">
        <v>499</v>
      </c>
      <c r="E135" s="33"/>
      <c r="F135" s="34" t="s">
        <v>498</v>
      </c>
      <c r="G135" s="31"/>
      <c r="H135" s="30" t="s">
        <v>3</v>
      </c>
      <c r="I135" s="29"/>
      <c r="J135" s="29"/>
      <c r="K135" s="29">
        <f>SUM(I135*J135)</f>
        <v>0</v>
      </c>
      <c r="N135" s="21" t="s">
        <v>63</v>
      </c>
    </row>
    <row r="136" spans="2:14" ht="39.950000000000003" hidden="1" customHeight="1" outlineLevel="1" x14ac:dyDescent="0.25">
      <c r="B136" s="14">
        <f ca="1">DATE(YEAR(TODAY()),5,4)</f>
        <v>42128</v>
      </c>
      <c r="C136" s="13"/>
      <c r="D136" s="34" t="s">
        <v>497</v>
      </c>
      <c r="E136" s="33"/>
      <c r="F136" s="34" t="s">
        <v>496</v>
      </c>
      <c r="G136" s="31"/>
      <c r="H136" s="30" t="s">
        <v>3</v>
      </c>
      <c r="I136" s="29"/>
      <c r="J136" s="29"/>
      <c r="K136" s="29">
        <f>SUM(I136*J136)</f>
        <v>0</v>
      </c>
      <c r="N136" s="21" t="s">
        <v>60</v>
      </c>
    </row>
    <row r="137" spans="2:14" ht="39.950000000000003" hidden="1" customHeight="1" outlineLevel="1" x14ac:dyDescent="0.25">
      <c r="B137" s="36">
        <f ca="1">DATE(YEAR(TODAY()),5,5)</f>
        <v>42129</v>
      </c>
      <c r="C137" s="35"/>
      <c r="D137" s="34" t="s">
        <v>495</v>
      </c>
      <c r="E137" s="33"/>
      <c r="F137" s="34" t="s">
        <v>494</v>
      </c>
      <c r="G137" s="31"/>
      <c r="H137" s="30" t="s">
        <v>0</v>
      </c>
      <c r="I137" s="29"/>
      <c r="J137" s="29"/>
      <c r="K137" s="29">
        <f>SUM(I137*J137)</f>
        <v>0</v>
      </c>
      <c r="N137" s="21" t="s">
        <v>57</v>
      </c>
    </row>
    <row r="138" spans="2:14" ht="39.950000000000003" hidden="1" customHeight="1" outlineLevel="1" x14ac:dyDescent="0.25">
      <c r="B138" s="10">
        <f ca="1">DATE(YEAR(TODAY()),5,6)</f>
        <v>42130</v>
      </c>
      <c r="C138" s="9"/>
      <c r="D138" s="34" t="s">
        <v>493</v>
      </c>
      <c r="E138" s="33"/>
      <c r="F138" s="34" t="s">
        <v>492</v>
      </c>
      <c r="G138" s="31"/>
      <c r="H138" s="30" t="s">
        <v>6</v>
      </c>
      <c r="I138" s="29"/>
      <c r="J138" s="29"/>
      <c r="K138" s="29">
        <f>SUM(I138*J138)</f>
        <v>0</v>
      </c>
      <c r="N138" s="21" t="s">
        <v>54</v>
      </c>
    </row>
    <row r="139" spans="2:14" ht="39.950000000000003" hidden="1" customHeight="1" outlineLevel="1" x14ac:dyDescent="0.25">
      <c r="B139" s="10">
        <f ca="1">DATE(YEAR(TODAY()),5,7)</f>
        <v>42131</v>
      </c>
      <c r="C139" s="9"/>
      <c r="D139" s="34" t="s">
        <v>491</v>
      </c>
      <c r="E139" s="33"/>
      <c r="F139" s="34" t="s">
        <v>490</v>
      </c>
      <c r="G139" s="31"/>
      <c r="H139" s="30" t="s">
        <v>0</v>
      </c>
      <c r="I139" s="29"/>
      <c r="J139" s="29"/>
      <c r="K139" s="29">
        <f>SUM(I139*J139)</f>
        <v>0</v>
      </c>
      <c r="N139" s="21" t="s">
        <v>51</v>
      </c>
    </row>
    <row r="140" spans="2:14" ht="39.950000000000003" hidden="1" customHeight="1" outlineLevel="1" x14ac:dyDescent="0.25">
      <c r="B140" s="18">
        <f ca="1">DATE(YEAR(TODAY()),5,8)</f>
        <v>42132</v>
      </c>
      <c r="C140" s="17"/>
      <c r="D140" s="34" t="s">
        <v>489</v>
      </c>
      <c r="E140" s="33"/>
      <c r="F140" s="34" t="s">
        <v>488</v>
      </c>
      <c r="G140" s="31"/>
      <c r="H140" s="30" t="s">
        <v>6</v>
      </c>
      <c r="I140" s="29"/>
      <c r="J140" s="29"/>
      <c r="K140" s="29">
        <f>SUM(I140*J140)</f>
        <v>0</v>
      </c>
    </row>
    <row r="141" spans="2:14" ht="39.950000000000003" hidden="1" customHeight="1" outlineLevel="1" x14ac:dyDescent="0.25">
      <c r="B141" s="12">
        <f ca="1">DATE(YEAR(TODAY()),5,9)</f>
        <v>42133</v>
      </c>
      <c r="C141" s="11"/>
      <c r="D141" s="34" t="s">
        <v>487</v>
      </c>
      <c r="E141" s="33"/>
      <c r="F141" s="34" t="s">
        <v>486</v>
      </c>
      <c r="G141" s="31"/>
      <c r="H141" s="30" t="s">
        <v>3</v>
      </c>
      <c r="I141" s="29"/>
      <c r="J141" s="29"/>
      <c r="K141" s="29">
        <f>SUM(I141*J141)</f>
        <v>0</v>
      </c>
      <c r="N141" s="21"/>
    </row>
    <row r="142" spans="2:14" ht="39.950000000000003" hidden="1" customHeight="1" outlineLevel="1" x14ac:dyDescent="0.25">
      <c r="B142" s="20">
        <f ca="1">DATE(YEAR(TODAY()),5,10)</f>
        <v>42134</v>
      </c>
      <c r="C142" s="19"/>
      <c r="D142" s="34" t="s">
        <v>485</v>
      </c>
      <c r="E142" s="33"/>
      <c r="F142" s="34" t="s">
        <v>484</v>
      </c>
      <c r="G142" s="31"/>
      <c r="H142" s="30" t="s">
        <v>0</v>
      </c>
      <c r="I142" s="29"/>
      <c r="J142" s="29"/>
      <c r="K142" s="29">
        <f>SUM(I142*J142)</f>
        <v>0</v>
      </c>
      <c r="N142" s="21"/>
    </row>
    <row r="143" spans="2:14" ht="39.950000000000003" hidden="1" customHeight="1" outlineLevel="1" x14ac:dyDescent="0.25">
      <c r="B143" s="16">
        <f ca="1">DATE(YEAR(TODAY()),5,11)</f>
        <v>42135</v>
      </c>
      <c r="C143" s="15"/>
      <c r="D143" s="34" t="s">
        <v>483</v>
      </c>
      <c r="E143" s="33"/>
      <c r="F143" s="34" t="s">
        <v>482</v>
      </c>
      <c r="G143" s="31"/>
      <c r="H143" s="30" t="s">
        <v>3</v>
      </c>
      <c r="I143" s="29"/>
      <c r="J143" s="29"/>
      <c r="K143" s="29">
        <f>SUM(I143*J143)</f>
        <v>0</v>
      </c>
      <c r="N143" s="21"/>
    </row>
    <row r="144" spans="2:14" ht="39.950000000000003" hidden="1" customHeight="1" outlineLevel="1" x14ac:dyDescent="0.25">
      <c r="B144" s="10">
        <f ca="1">DATE(YEAR(TODAY()),5,12)</f>
        <v>42136</v>
      </c>
      <c r="C144" s="9"/>
      <c r="D144" s="34" t="s">
        <v>481</v>
      </c>
      <c r="E144" s="33"/>
      <c r="F144" s="34" t="s">
        <v>480</v>
      </c>
      <c r="G144" s="31"/>
      <c r="H144" s="30" t="s">
        <v>6</v>
      </c>
      <c r="I144" s="29"/>
      <c r="J144" s="29"/>
      <c r="K144" s="29">
        <f>SUM(I144*J144)</f>
        <v>0</v>
      </c>
      <c r="N144" s="21"/>
    </row>
    <row r="145" spans="2:14" ht="39.950000000000003" hidden="1" customHeight="1" outlineLevel="1" x14ac:dyDescent="0.25">
      <c r="B145" s="14">
        <f ca="1">DATE(YEAR(TODAY()),5,13)</f>
        <v>42137</v>
      </c>
      <c r="C145" s="13"/>
      <c r="D145" s="34" t="s">
        <v>479</v>
      </c>
      <c r="E145" s="33"/>
      <c r="F145" s="34" t="s">
        <v>478</v>
      </c>
      <c r="G145" s="31"/>
      <c r="H145" s="30" t="s">
        <v>3</v>
      </c>
      <c r="I145" s="29"/>
      <c r="J145" s="29"/>
      <c r="K145" s="29">
        <f>SUM(I145*J145)</f>
        <v>0</v>
      </c>
      <c r="N145" s="21"/>
    </row>
    <row r="146" spans="2:14" ht="39.950000000000003" hidden="1" customHeight="1" outlineLevel="1" x14ac:dyDescent="0.25">
      <c r="B146" s="10">
        <f ca="1">DATE(YEAR(TODAY()),5,14)</f>
        <v>42138</v>
      </c>
      <c r="C146" s="9"/>
      <c r="D146" s="34" t="s">
        <v>477</v>
      </c>
      <c r="E146" s="33"/>
      <c r="F146" s="34" t="s">
        <v>476</v>
      </c>
      <c r="G146" s="31"/>
      <c r="H146" s="30" t="s">
        <v>0</v>
      </c>
      <c r="I146" s="29"/>
      <c r="J146" s="29"/>
      <c r="K146" s="29">
        <f>SUM(I146*J146)</f>
        <v>0</v>
      </c>
      <c r="N146" s="21"/>
    </row>
    <row r="147" spans="2:14" ht="39.950000000000003" hidden="1" customHeight="1" outlineLevel="1" x14ac:dyDescent="0.25">
      <c r="B147" s="12">
        <f ca="1">DATE(YEAR(TODAY()),5,15)</f>
        <v>42139</v>
      </c>
      <c r="C147" s="11"/>
      <c r="D147" s="34" t="s">
        <v>475</v>
      </c>
      <c r="E147" s="33"/>
      <c r="F147" s="34" t="s">
        <v>474</v>
      </c>
      <c r="G147" s="31"/>
      <c r="H147" s="30" t="s">
        <v>3</v>
      </c>
      <c r="I147" s="29"/>
      <c r="J147" s="29"/>
      <c r="K147" s="29">
        <f>SUM(I147*J147)</f>
        <v>0</v>
      </c>
    </row>
    <row r="148" spans="2:14" ht="39.950000000000003" hidden="1" customHeight="1" outlineLevel="1" x14ac:dyDescent="0.25">
      <c r="B148" s="18">
        <f ca="1">DATE(YEAR(TODAY()),5,16)</f>
        <v>42140</v>
      </c>
      <c r="C148" s="17"/>
      <c r="D148" s="34" t="s">
        <v>473</v>
      </c>
      <c r="E148" s="33"/>
      <c r="F148" s="34" t="s">
        <v>472</v>
      </c>
      <c r="G148" s="31"/>
      <c r="H148" s="30" t="s">
        <v>3</v>
      </c>
      <c r="I148" s="29"/>
      <c r="J148" s="29"/>
      <c r="K148" s="29">
        <f>SUM(I148*J148)</f>
        <v>0</v>
      </c>
    </row>
    <row r="149" spans="2:14" ht="39.950000000000003" hidden="1" customHeight="1" outlineLevel="1" x14ac:dyDescent="0.25">
      <c r="B149" s="12">
        <f ca="1">DATE(YEAR(TODAY()),5,17)</f>
        <v>42141</v>
      </c>
      <c r="C149" s="11"/>
      <c r="D149" s="34" t="s">
        <v>471</v>
      </c>
      <c r="E149" s="33"/>
      <c r="F149" s="34" t="s">
        <v>470</v>
      </c>
      <c r="G149" s="31"/>
      <c r="H149" s="30" t="s">
        <v>3</v>
      </c>
      <c r="I149" s="29"/>
      <c r="J149" s="29"/>
      <c r="K149" s="29">
        <f>SUM(I149*J149)</f>
        <v>0</v>
      </c>
    </row>
    <row r="150" spans="2:14" ht="39.950000000000003" hidden="1" customHeight="1" outlineLevel="1" x14ac:dyDescent="0.25">
      <c r="B150" s="14">
        <f ca="1">DATE(YEAR(TODAY()),5,18)</f>
        <v>42142</v>
      </c>
      <c r="C150" s="13"/>
      <c r="D150" s="34" t="s">
        <v>469</v>
      </c>
      <c r="E150" s="33"/>
      <c r="F150" s="34" t="s">
        <v>468</v>
      </c>
      <c r="G150" s="31"/>
      <c r="H150" s="30" t="s">
        <v>3</v>
      </c>
      <c r="I150" s="29"/>
      <c r="J150" s="29"/>
      <c r="K150" s="29">
        <f>SUM(I150*J150)</f>
        <v>0</v>
      </c>
    </row>
    <row r="151" spans="2:14" ht="39.950000000000003" hidden="1" customHeight="1" outlineLevel="1" x14ac:dyDescent="0.25">
      <c r="B151" s="10">
        <f ca="1">DATE(YEAR(TODAY()),5,19)</f>
        <v>42143</v>
      </c>
      <c r="C151" s="9"/>
      <c r="D151" s="34" t="s">
        <v>467</v>
      </c>
      <c r="E151" s="33"/>
      <c r="F151" s="34" t="s">
        <v>466</v>
      </c>
      <c r="G151" s="31"/>
      <c r="H151" s="30" t="s">
        <v>6</v>
      </c>
      <c r="I151" s="29"/>
      <c r="J151" s="29"/>
      <c r="K151" s="29">
        <f>SUM(I151*J151)</f>
        <v>0</v>
      </c>
    </row>
    <row r="152" spans="2:14" ht="39.950000000000003" hidden="1" customHeight="1" outlineLevel="1" x14ac:dyDescent="0.25">
      <c r="B152" s="16">
        <f ca="1">DATE(YEAR(TODAY()),5,20)</f>
        <v>42144</v>
      </c>
      <c r="C152" s="15"/>
      <c r="D152" s="34" t="s">
        <v>465</v>
      </c>
      <c r="E152" s="33"/>
      <c r="F152" s="34" t="s">
        <v>464</v>
      </c>
      <c r="G152" s="31"/>
      <c r="H152" s="30" t="s">
        <v>3</v>
      </c>
      <c r="I152" s="29"/>
      <c r="J152" s="29"/>
      <c r="K152" s="29">
        <f>SUM(I152*J152)</f>
        <v>0</v>
      </c>
    </row>
    <row r="153" spans="2:14" ht="39.950000000000003" hidden="1" customHeight="1" outlineLevel="1" x14ac:dyDescent="0.25">
      <c r="B153" s="10">
        <f ca="1">DATE(YEAR(TODAY()),5,21)</f>
        <v>42145</v>
      </c>
      <c r="C153" s="9"/>
      <c r="D153" s="34" t="s">
        <v>463</v>
      </c>
      <c r="E153" s="33"/>
      <c r="F153" s="34" t="s">
        <v>462</v>
      </c>
      <c r="G153" s="31"/>
      <c r="H153" s="30" t="s">
        <v>0</v>
      </c>
      <c r="I153" s="29"/>
      <c r="J153" s="29"/>
      <c r="K153" s="29">
        <f>SUM(I153*J153)</f>
        <v>0</v>
      </c>
    </row>
    <row r="154" spans="2:14" ht="39.950000000000003" hidden="1" customHeight="1" outlineLevel="1" x14ac:dyDescent="0.25">
      <c r="B154" s="14">
        <f ca="1">DATE(YEAR(TODAY()),5,22)</f>
        <v>42146</v>
      </c>
      <c r="C154" s="13"/>
      <c r="D154" s="34" t="s">
        <v>461</v>
      </c>
      <c r="E154" s="33"/>
      <c r="F154" s="34" t="s">
        <v>460</v>
      </c>
      <c r="G154" s="31"/>
      <c r="H154" s="30" t="s">
        <v>3</v>
      </c>
      <c r="I154" s="29"/>
      <c r="J154" s="29"/>
      <c r="K154" s="29">
        <f>SUM(I154*J154)</f>
        <v>0</v>
      </c>
    </row>
    <row r="155" spans="2:14" ht="39.950000000000003" hidden="1" customHeight="1" outlineLevel="1" x14ac:dyDescent="0.25">
      <c r="B155" s="10">
        <f ca="1">DATE(YEAR(TODAY()),5,23)</f>
        <v>42147</v>
      </c>
      <c r="C155" s="9"/>
      <c r="D155" s="34" t="s">
        <v>459</v>
      </c>
      <c r="E155" s="33"/>
      <c r="F155" s="34" t="s">
        <v>458</v>
      </c>
      <c r="G155" s="31"/>
      <c r="H155" s="30" t="s">
        <v>6</v>
      </c>
      <c r="I155" s="29"/>
      <c r="J155" s="29"/>
      <c r="K155" s="29">
        <f>SUM(I155*J155)</f>
        <v>0</v>
      </c>
    </row>
    <row r="156" spans="2:14" ht="39.950000000000003" hidden="1" customHeight="1" outlineLevel="1" x14ac:dyDescent="0.25">
      <c r="B156" s="12">
        <f ca="1">DATE(YEAR(TODAY()),5,24)</f>
        <v>42148</v>
      </c>
      <c r="C156" s="11"/>
      <c r="D156" s="34" t="s">
        <v>457</v>
      </c>
      <c r="E156" s="33"/>
      <c r="F156" s="34" t="s">
        <v>456</v>
      </c>
      <c r="G156" s="31"/>
      <c r="H156" s="30" t="s">
        <v>3</v>
      </c>
      <c r="I156" s="29"/>
      <c r="J156" s="29"/>
      <c r="K156" s="29">
        <f>SUM(I156*J156)</f>
        <v>0</v>
      </c>
    </row>
    <row r="157" spans="2:14" ht="39.950000000000003" hidden="1" customHeight="1" outlineLevel="1" x14ac:dyDescent="0.25">
      <c r="B157" s="16">
        <f ca="1">DATE(YEAR(TODAY()),5,25)</f>
        <v>42149</v>
      </c>
      <c r="C157" s="15"/>
      <c r="D157" s="34" t="s">
        <v>455</v>
      </c>
      <c r="E157" s="33"/>
      <c r="F157" s="34" t="s">
        <v>399</v>
      </c>
      <c r="G157" s="31"/>
      <c r="H157" s="30" t="s">
        <v>3</v>
      </c>
      <c r="I157" s="29"/>
      <c r="J157" s="29"/>
      <c r="K157" s="29">
        <f>SUM(I157*J157)</f>
        <v>0</v>
      </c>
    </row>
    <row r="158" spans="2:14" ht="39.950000000000003" hidden="1" customHeight="1" outlineLevel="1" x14ac:dyDescent="0.25">
      <c r="B158" s="14">
        <f ca="1">DATE(YEAR(TODAY()),5,26)</f>
        <v>42150</v>
      </c>
      <c r="C158" s="13"/>
      <c r="D158" s="34" t="s">
        <v>454</v>
      </c>
      <c r="E158" s="33"/>
      <c r="F158" s="34" t="s">
        <v>453</v>
      </c>
      <c r="G158" s="31"/>
      <c r="H158" s="30" t="s">
        <v>3</v>
      </c>
      <c r="I158" s="29"/>
      <c r="J158" s="29"/>
      <c r="K158" s="29">
        <f>SUM(I158*J158)</f>
        <v>0</v>
      </c>
    </row>
    <row r="159" spans="2:14" ht="39.950000000000003" hidden="1" customHeight="1" outlineLevel="1" x14ac:dyDescent="0.25">
      <c r="B159" s="10">
        <f ca="1">DATE(YEAR(TODAY()),5,27)</f>
        <v>42151</v>
      </c>
      <c r="C159" s="9"/>
      <c r="D159" s="34" t="s">
        <v>452</v>
      </c>
      <c r="E159" s="33"/>
      <c r="F159" s="34" t="s">
        <v>451</v>
      </c>
      <c r="G159" s="31"/>
      <c r="H159" s="30" t="s">
        <v>0</v>
      </c>
      <c r="I159" s="29"/>
      <c r="J159" s="29"/>
      <c r="K159" s="29">
        <f>SUM(I159*J159)</f>
        <v>0</v>
      </c>
    </row>
    <row r="160" spans="2:14" ht="39.950000000000003" hidden="1" customHeight="1" outlineLevel="1" x14ac:dyDescent="0.25">
      <c r="B160" s="10">
        <f ca="1">DATE(YEAR(TODAY()),5,28)</f>
        <v>42152</v>
      </c>
      <c r="C160" s="9"/>
      <c r="D160" s="34" t="s">
        <v>450</v>
      </c>
      <c r="E160" s="33"/>
      <c r="F160" s="34" t="s">
        <v>449</v>
      </c>
      <c r="G160" s="31"/>
      <c r="H160" s="30" t="s">
        <v>0</v>
      </c>
      <c r="I160" s="29"/>
      <c r="J160" s="29"/>
      <c r="K160" s="29">
        <f>SUM(I160*J160)</f>
        <v>0</v>
      </c>
    </row>
    <row r="161" spans="2:14" ht="39.950000000000003" hidden="1" customHeight="1" outlineLevel="1" x14ac:dyDescent="0.25">
      <c r="B161" s="14">
        <f ca="1">DATE(YEAR(TODAY()),5,29)</f>
        <v>42153</v>
      </c>
      <c r="C161" s="13"/>
      <c r="D161" s="34" t="s">
        <v>448</v>
      </c>
      <c r="E161" s="33"/>
      <c r="F161" s="34" t="s">
        <v>447</v>
      </c>
      <c r="G161" s="31"/>
      <c r="H161" s="30" t="s">
        <v>3</v>
      </c>
      <c r="I161" s="29"/>
      <c r="J161" s="29"/>
      <c r="K161" s="29">
        <f>SUM(I161*J161)</f>
        <v>0</v>
      </c>
    </row>
    <row r="162" spans="2:14" ht="39.950000000000003" hidden="1" customHeight="1" outlineLevel="1" x14ac:dyDescent="0.25">
      <c r="B162" s="16">
        <f ca="1">DATE(YEAR(TODAY()),5,30)</f>
        <v>42154</v>
      </c>
      <c r="C162" s="15"/>
      <c r="D162" s="34" t="s">
        <v>446</v>
      </c>
      <c r="E162" s="33"/>
      <c r="F162" s="34" t="s">
        <v>445</v>
      </c>
      <c r="G162" s="31"/>
      <c r="H162" s="30" t="s">
        <v>3</v>
      </c>
      <c r="I162" s="29"/>
      <c r="J162" s="29"/>
      <c r="K162" s="29">
        <f>SUM(I162*J162)</f>
        <v>0</v>
      </c>
    </row>
    <row r="163" spans="2:14" ht="39.950000000000003" hidden="1" customHeight="1" outlineLevel="1" x14ac:dyDescent="0.25">
      <c r="B163" s="12">
        <f ca="1">DATE(YEAR(TODAY()),5,31)</f>
        <v>42155</v>
      </c>
      <c r="C163" s="11"/>
      <c r="D163" s="34" t="s">
        <v>444</v>
      </c>
      <c r="E163" s="33"/>
      <c r="F163" s="44" t="s">
        <v>443</v>
      </c>
      <c r="G163" s="31"/>
      <c r="H163" s="30" t="s">
        <v>3</v>
      </c>
      <c r="I163" s="29"/>
      <c r="J163" s="29"/>
      <c r="K163" s="29">
        <f>SUM(I163*J163)</f>
        <v>0</v>
      </c>
    </row>
    <row r="164" spans="2:14" ht="21" customHeight="1" x14ac:dyDescent="0.35">
      <c r="B164" s="28" t="s">
        <v>442</v>
      </c>
      <c r="C164" s="28"/>
      <c r="D164" s="28"/>
      <c r="E164" s="28"/>
      <c r="F164" s="28"/>
      <c r="G164" s="28"/>
      <c r="H164" s="28"/>
      <c r="I164" s="28"/>
      <c r="J164" s="28"/>
      <c r="K164" s="28"/>
    </row>
    <row r="165" spans="2:14" ht="15" customHeight="1" outlineLevel="1" x14ac:dyDescent="0.25">
      <c r="B165" s="42" t="s">
        <v>77</v>
      </c>
      <c r="C165" s="41"/>
      <c r="D165" s="40" t="s">
        <v>76</v>
      </c>
      <c r="E165" s="40"/>
      <c r="F165" s="39" t="s">
        <v>75</v>
      </c>
      <c r="G165" s="38"/>
      <c r="H165" s="38" t="s">
        <v>74</v>
      </c>
      <c r="I165" s="37" t="s">
        <v>73</v>
      </c>
      <c r="J165" s="37" t="s">
        <v>72</v>
      </c>
      <c r="K165" s="37" t="s">
        <v>71</v>
      </c>
    </row>
    <row r="166" spans="2:14" ht="39.950000000000003" customHeight="1" outlineLevel="1" x14ac:dyDescent="0.25">
      <c r="B166" s="14">
        <f ca="1">DATE(YEAR(TODAY()),6,1)</f>
        <v>42156</v>
      </c>
      <c r="C166" s="13"/>
      <c r="D166" s="34" t="s">
        <v>441</v>
      </c>
      <c r="E166" s="33"/>
      <c r="F166" s="34" t="s">
        <v>440</v>
      </c>
      <c r="G166" s="31"/>
      <c r="H166" s="30" t="s">
        <v>3</v>
      </c>
      <c r="I166" s="29"/>
      <c r="J166" s="29"/>
      <c r="K166" s="29">
        <f>SUM(I166*J166)</f>
        <v>0</v>
      </c>
    </row>
    <row r="167" spans="2:14" ht="39.950000000000003" customHeight="1" outlineLevel="1" x14ac:dyDescent="0.25">
      <c r="B167" s="10">
        <f ca="1">DATE(YEAR(TODAY()),6,2)</f>
        <v>42157</v>
      </c>
      <c r="C167" s="9"/>
      <c r="D167" s="34" t="s">
        <v>439</v>
      </c>
      <c r="E167" s="33"/>
      <c r="F167" s="34" t="s">
        <v>245</v>
      </c>
      <c r="G167" s="31"/>
      <c r="H167" s="30" t="s">
        <v>0</v>
      </c>
      <c r="I167" s="29"/>
      <c r="J167" s="29"/>
      <c r="K167" s="29">
        <f>SUM(I167*J167)</f>
        <v>0</v>
      </c>
      <c r="N167" s="21" t="s">
        <v>66</v>
      </c>
    </row>
    <row r="168" spans="2:14" ht="39.950000000000003" customHeight="1" outlineLevel="1" x14ac:dyDescent="0.25">
      <c r="B168" s="14">
        <f ca="1">DATE(YEAR(TODAY()),6,3)</f>
        <v>42158</v>
      </c>
      <c r="C168" s="13"/>
      <c r="D168" s="34" t="s">
        <v>438</v>
      </c>
      <c r="E168" s="33"/>
      <c r="F168" s="34" t="s">
        <v>437</v>
      </c>
      <c r="G168" s="31"/>
      <c r="H168" s="30" t="s">
        <v>3</v>
      </c>
      <c r="I168" s="29"/>
      <c r="J168" s="29"/>
      <c r="K168" s="29">
        <f>SUM(I168*J168)</f>
        <v>0</v>
      </c>
      <c r="N168" s="21" t="s">
        <v>63</v>
      </c>
    </row>
    <row r="169" spans="2:14" ht="39.950000000000003" customHeight="1" outlineLevel="1" x14ac:dyDescent="0.25">
      <c r="B169" s="12">
        <f ca="1">DATE(YEAR(TODAY()),6,4)</f>
        <v>42159</v>
      </c>
      <c r="C169" s="11"/>
      <c r="D169" s="34" t="s">
        <v>436</v>
      </c>
      <c r="E169" s="33"/>
      <c r="F169" s="34" t="s">
        <v>130</v>
      </c>
      <c r="G169" s="31"/>
      <c r="H169" s="30" t="s">
        <v>3</v>
      </c>
      <c r="I169" s="29"/>
      <c r="J169" s="29"/>
      <c r="K169" s="29">
        <f>SUM(I169*J169)</f>
        <v>0</v>
      </c>
      <c r="N169" s="21" t="s">
        <v>60</v>
      </c>
    </row>
    <row r="170" spans="2:14" ht="39.950000000000003" customHeight="1" outlineLevel="1" x14ac:dyDescent="0.25">
      <c r="B170" s="10">
        <f ca="1">DATE(YEAR(TODAY()),6,5)</f>
        <v>42160</v>
      </c>
      <c r="C170" s="9"/>
      <c r="D170" s="34" t="s">
        <v>435</v>
      </c>
      <c r="E170" s="33"/>
      <c r="F170" s="34" t="s">
        <v>434</v>
      </c>
      <c r="G170" s="31"/>
      <c r="H170" s="30" t="s">
        <v>0</v>
      </c>
      <c r="I170" s="29"/>
      <c r="J170" s="29"/>
      <c r="K170" s="29">
        <f>SUM(I170*J170)</f>
        <v>0</v>
      </c>
      <c r="N170" s="21" t="s">
        <v>57</v>
      </c>
    </row>
    <row r="171" spans="2:14" ht="39.950000000000003" customHeight="1" outlineLevel="1" x14ac:dyDescent="0.25">
      <c r="B171" s="12">
        <f ca="1">DATE(YEAR(TODAY()),6,6)</f>
        <v>42161</v>
      </c>
      <c r="C171" s="11"/>
      <c r="D171" s="34" t="s">
        <v>433</v>
      </c>
      <c r="E171" s="33"/>
      <c r="F171" s="34" t="s">
        <v>432</v>
      </c>
      <c r="G171" s="31"/>
      <c r="H171" s="30" t="s">
        <v>3</v>
      </c>
      <c r="I171" s="29"/>
      <c r="J171" s="29"/>
      <c r="K171" s="29">
        <f>SUM(I171*J171)</f>
        <v>0</v>
      </c>
      <c r="N171" s="21" t="s">
        <v>54</v>
      </c>
    </row>
    <row r="172" spans="2:14" ht="39.950000000000003" customHeight="1" outlineLevel="1" x14ac:dyDescent="0.25">
      <c r="B172" s="16">
        <f ca="1">DATE(YEAR(TODAY()),6,7)</f>
        <v>42162</v>
      </c>
      <c r="C172" s="15"/>
      <c r="D172" s="34" t="s">
        <v>431</v>
      </c>
      <c r="E172" s="33"/>
      <c r="F172" s="34" t="s">
        <v>430</v>
      </c>
      <c r="G172" s="31"/>
      <c r="H172" s="30" t="s">
        <v>3</v>
      </c>
      <c r="I172" s="29"/>
      <c r="J172" s="29"/>
      <c r="K172" s="29">
        <f>SUM(I172*J172)</f>
        <v>0</v>
      </c>
      <c r="N172" s="21" t="s">
        <v>51</v>
      </c>
    </row>
    <row r="173" spans="2:14" ht="39.950000000000003" customHeight="1" outlineLevel="1" x14ac:dyDescent="0.25">
      <c r="B173" s="14">
        <f ca="1">DATE(YEAR(TODAY()),6,8)</f>
        <v>42163</v>
      </c>
      <c r="C173" s="13"/>
      <c r="D173" s="34" t="s">
        <v>429</v>
      </c>
      <c r="E173" s="33"/>
      <c r="F173" s="34" t="s">
        <v>428</v>
      </c>
      <c r="G173" s="31"/>
      <c r="H173" s="30" t="s">
        <v>3</v>
      </c>
      <c r="I173" s="29"/>
      <c r="J173" s="29"/>
      <c r="K173" s="29">
        <f>SUM(I173*J173)</f>
        <v>0</v>
      </c>
    </row>
    <row r="174" spans="2:14" ht="39.950000000000003" customHeight="1" outlineLevel="1" x14ac:dyDescent="0.25">
      <c r="B174" s="10">
        <f ca="1">DATE(YEAR(TODAY()),6,9)</f>
        <v>42164</v>
      </c>
      <c r="C174" s="9"/>
      <c r="D174" s="34" t="s">
        <v>427</v>
      </c>
      <c r="E174" s="33"/>
      <c r="F174" s="34" t="s">
        <v>426</v>
      </c>
      <c r="G174" s="31"/>
      <c r="H174" s="30" t="s">
        <v>6</v>
      </c>
      <c r="I174" s="29"/>
      <c r="J174" s="29"/>
      <c r="K174" s="29">
        <f>SUM(I174*J174)</f>
        <v>0</v>
      </c>
    </row>
    <row r="175" spans="2:14" ht="39.950000000000003" customHeight="1" outlineLevel="1" x14ac:dyDescent="0.25">
      <c r="B175" s="20">
        <f ca="1">DATE(YEAR(TODAY()),6,10)</f>
        <v>42165</v>
      </c>
      <c r="C175" s="19"/>
      <c r="D175" s="34" t="s">
        <v>425</v>
      </c>
      <c r="E175" s="33"/>
      <c r="F175" s="34" t="s">
        <v>424</v>
      </c>
      <c r="G175" s="31"/>
      <c r="H175" s="30" t="s">
        <v>3</v>
      </c>
      <c r="I175" s="29"/>
      <c r="J175" s="29"/>
      <c r="K175" s="29">
        <f>SUM(I175*J175)</f>
        <v>0</v>
      </c>
    </row>
    <row r="176" spans="2:14" ht="39.950000000000003" customHeight="1" outlineLevel="1" x14ac:dyDescent="0.25">
      <c r="B176" s="12">
        <f ca="1">DATE(YEAR(TODAY()),6,11)</f>
        <v>42166</v>
      </c>
      <c r="C176" s="11"/>
      <c r="D176" s="34" t="s">
        <v>423</v>
      </c>
      <c r="E176" s="33"/>
      <c r="F176" s="34" t="s">
        <v>422</v>
      </c>
      <c r="G176" s="31"/>
      <c r="H176" s="30" t="s">
        <v>3</v>
      </c>
      <c r="I176" s="29"/>
      <c r="J176" s="29"/>
      <c r="K176" s="29">
        <f>SUM(I176*J176)</f>
        <v>0</v>
      </c>
    </row>
    <row r="177" spans="2:11" ht="39.950000000000003" customHeight="1" outlineLevel="1" x14ac:dyDescent="0.25">
      <c r="B177" s="10">
        <f ca="1">DATE(YEAR(TODAY()),6,12)</f>
        <v>42167</v>
      </c>
      <c r="C177" s="9"/>
      <c r="D177" s="34" t="s">
        <v>421</v>
      </c>
      <c r="E177" s="33"/>
      <c r="F177" s="34" t="s">
        <v>420</v>
      </c>
      <c r="G177" s="31"/>
      <c r="H177" s="30" t="s">
        <v>0</v>
      </c>
      <c r="I177" s="29"/>
      <c r="J177" s="29"/>
      <c r="K177" s="29">
        <f>SUM(I177*J177)</f>
        <v>0</v>
      </c>
    </row>
    <row r="178" spans="2:11" ht="39.950000000000003" customHeight="1" outlineLevel="1" x14ac:dyDescent="0.25">
      <c r="B178" s="16">
        <f ca="1">DATE(YEAR(TODAY()),6,13)</f>
        <v>42168</v>
      </c>
      <c r="C178" s="15"/>
      <c r="D178" s="34" t="s">
        <v>419</v>
      </c>
      <c r="E178" s="33"/>
      <c r="F178" s="34" t="s">
        <v>418</v>
      </c>
      <c r="G178" s="31"/>
      <c r="H178" s="30" t="s">
        <v>3</v>
      </c>
      <c r="I178" s="29"/>
      <c r="J178" s="29"/>
      <c r="K178" s="29">
        <f>SUM(I178*J178)</f>
        <v>0</v>
      </c>
    </row>
    <row r="179" spans="2:11" ht="39.950000000000003" customHeight="1" outlineLevel="1" x14ac:dyDescent="0.25">
      <c r="B179" s="10">
        <f ca="1">DATE(YEAR(TODAY()),6,14)</f>
        <v>42169</v>
      </c>
      <c r="C179" s="9"/>
      <c r="D179" s="34" t="s">
        <v>417</v>
      </c>
      <c r="E179" s="33"/>
      <c r="F179" s="34" t="s">
        <v>416</v>
      </c>
      <c r="G179" s="31"/>
      <c r="H179" s="30" t="s">
        <v>0</v>
      </c>
      <c r="I179" s="29"/>
      <c r="J179" s="29"/>
      <c r="K179" s="29">
        <f>SUM(I179*J179)</f>
        <v>0</v>
      </c>
    </row>
    <row r="180" spans="2:11" ht="39.950000000000003" customHeight="1" outlineLevel="1" x14ac:dyDescent="0.25">
      <c r="B180" s="10">
        <f ca="1">DATE(YEAR(TODAY()),6,15)</f>
        <v>42170</v>
      </c>
      <c r="C180" s="9"/>
      <c r="D180" s="34" t="s">
        <v>415</v>
      </c>
      <c r="E180" s="33"/>
      <c r="F180" s="34" t="s">
        <v>414</v>
      </c>
      <c r="G180" s="31"/>
      <c r="H180" s="30" t="s">
        <v>6</v>
      </c>
      <c r="I180" s="29"/>
      <c r="J180" s="29"/>
      <c r="K180" s="29">
        <f>SUM(I180*J180)</f>
        <v>0</v>
      </c>
    </row>
    <row r="181" spans="2:11" ht="39.950000000000003" customHeight="1" outlineLevel="1" x14ac:dyDescent="0.25">
      <c r="B181" s="14">
        <f ca="1">DATE(YEAR(TODAY()),6,16)</f>
        <v>42171</v>
      </c>
      <c r="C181" s="13"/>
      <c r="D181" s="34" t="s">
        <v>413</v>
      </c>
      <c r="E181" s="33"/>
      <c r="F181" s="34" t="s">
        <v>412</v>
      </c>
      <c r="G181" s="31"/>
      <c r="H181" s="30" t="s">
        <v>3</v>
      </c>
      <c r="I181" s="29"/>
      <c r="J181" s="29"/>
      <c r="K181" s="29">
        <f>SUM(I181*J181)</f>
        <v>0</v>
      </c>
    </row>
    <row r="182" spans="2:11" ht="39.950000000000003" customHeight="1" outlineLevel="1" x14ac:dyDescent="0.25">
      <c r="B182" s="12">
        <f ca="1">DATE(YEAR(TODAY()),6,17)</f>
        <v>42172</v>
      </c>
      <c r="C182" s="11"/>
      <c r="D182" s="34" t="s">
        <v>411</v>
      </c>
      <c r="E182" s="33"/>
      <c r="F182" s="34" t="s">
        <v>410</v>
      </c>
      <c r="G182" s="31"/>
      <c r="H182" s="30" t="s">
        <v>3</v>
      </c>
      <c r="I182" s="29"/>
      <c r="J182" s="29"/>
      <c r="K182" s="29">
        <f>SUM(I182*J182)</f>
        <v>0</v>
      </c>
    </row>
    <row r="183" spans="2:11" ht="39.950000000000003" customHeight="1" outlineLevel="1" x14ac:dyDescent="0.25">
      <c r="B183" s="16">
        <f ca="1">DATE(YEAR(TODAY()),6,18)</f>
        <v>42173</v>
      </c>
      <c r="C183" s="15"/>
      <c r="D183" s="34" t="s">
        <v>409</v>
      </c>
      <c r="E183" s="33"/>
      <c r="F183" s="34" t="s">
        <v>408</v>
      </c>
      <c r="G183" s="31"/>
      <c r="H183" s="30" t="s">
        <v>3</v>
      </c>
      <c r="I183" s="29"/>
      <c r="J183" s="29"/>
      <c r="K183" s="29">
        <f>SUM(I183*J183)</f>
        <v>0</v>
      </c>
    </row>
    <row r="184" spans="2:11" ht="39.950000000000003" customHeight="1" outlineLevel="1" x14ac:dyDescent="0.25">
      <c r="B184" s="14">
        <f ca="1">DATE(YEAR(TODAY()),6,19)</f>
        <v>42174</v>
      </c>
      <c r="C184" s="13"/>
      <c r="D184" s="34" t="s">
        <v>407</v>
      </c>
      <c r="E184" s="33"/>
      <c r="F184" s="34" t="s">
        <v>406</v>
      </c>
      <c r="G184" s="31"/>
      <c r="H184" s="30" t="s">
        <v>3</v>
      </c>
      <c r="I184" s="29"/>
      <c r="J184" s="29"/>
      <c r="K184" s="29">
        <f>SUM(I184*J184)</f>
        <v>0</v>
      </c>
    </row>
    <row r="185" spans="2:11" ht="39.950000000000003" customHeight="1" outlineLevel="1" x14ac:dyDescent="0.25">
      <c r="B185" s="10">
        <f ca="1">DATE(YEAR(TODAY()),6,20)</f>
        <v>42175</v>
      </c>
      <c r="C185" s="9"/>
      <c r="D185" s="34" t="s">
        <v>405</v>
      </c>
      <c r="E185" s="33"/>
      <c r="F185" s="34" t="s">
        <v>305</v>
      </c>
      <c r="G185" s="31"/>
      <c r="H185" s="30" t="s">
        <v>6</v>
      </c>
      <c r="I185" s="29"/>
      <c r="J185" s="29"/>
      <c r="K185" s="29">
        <f>SUM(I185*J185)</f>
        <v>0</v>
      </c>
    </row>
    <row r="186" spans="2:11" ht="39.950000000000003" customHeight="1" outlineLevel="1" x14ac:dyDescent="0.25">
      <c r="B186" s="18">
        <f ca="1">DATE(YEAR(TODAY()),6,21)</f>
        <v>42176</v>
      </c>
      <c r="C186" s="17"/>
      <c r="D186" s="34" t="s">
        <v>404</v>
      </c>
      <c r="E186" s="33"/>
      <c r="F186" s="34" t="s">
        <v>403</v>
      </c>
      <c r="G186" s="31"/>
      <c r="H186" s="30" t="s">
        <v>3</v>
      </c>
      <c r="I186" s="29"/>
      <c r="J186" s="29"/>
      <c r="K186" s="29">
        <f>SUM(I186*J186)</f>
        <v>0</v>
      </c>
    </row>
    <row r="187" spans="2:11" ht="39.950000000000003" customHeight="1" outlineLevel="1" x14ac:dyDescent="0.25">
      <c r="B187" s="14">
        <f ca="1">DATE(YEAR(TODAY()),6,22)</f>
        <v>42177</v>
      </c>
      <c r="C187" s="13"/>
      <c r="D187" s="34" t="s">
        <v>402</v>
      </c>
      <c r="E187" s="33"/>
      <c r="F187" s="34" t="s">
        <v>401</v>
      </c>
      <c r="G187" s="31"/>
      <c r="H187" s="30" t="s">
        <v>3</v>
      </c>
      <c r="I187" s="29"/>
      <c r="J187" s="29"/>
      <c r="K187" s="29">
        <f>SUM(I187*J187)</f>
        <v>0</v>
      </c>
    </row>
    <row r="188" spans="2:11" ht="39.950000000000003" customHeight="1" outlineLevel="1" x14ac:dyDescent="0.25">
      <c r="B188" s="12">
        <f ca="1">DATE(YEAR(TODAY()),6,23)</f>
        <v>42178</v>
      </c>
      <c r="C188" s="11"/>
      <c r="D188" s="34" t="s">
        <v>400</v>
      </c>
      <c r="E188" s="33"/>
      <c r="F188" s="34" t="s">
        <v>399</v>
      </c>
      <c r="G188" s="31"/>
      <c r="H188" s="30" t="s">
        <v>3</v>
      </c>
      <c r="I188" s="29"/>
      <c r="J188" s="29"/>
      <c r="K188" s="29">
        <f>SUM(I188*J188)</f>
        <v>0</v>
      </c>
    </row>
    <row r="189" spans="2:11" ht="39.950000000000003" customHeight="1" outlineLevel="1" x14ac:dyDescent="0.25">
      <c r="B189" s="16">
        <f ca="1">DATE(YEAR(TODAY()),6,24)</f>
        <v>42179</v>
      </c>
      <c r="C189" s="15"/>
      <c r="D189" s="34" t="s">
        <v>398</v>
      </c>
      <c r="E189" s="33"/>
      <c r="F189" s="34" t="s">
        <v>397</v>
      </c>
      <c r="G189" s="31"/>
      <c r="H189" s="30" t="s">
        <v>3</v>
      </c>
      <c r="I189" s="29"/>
      <c r="J189" s="29"/>
      <c r="K189" s="29">
        <f>SUM(I189*J189)</f>
        <v>0</v>
      </c>
    </row>
    <row r="190" spans="2:11" ht="39.950000000000003" customHeight="1" outlineLevel="1" x14ac:dyDescent="0.25">
      <c r="B190" s="10">
        <f ca="1">DATE(YEAR(TODAY()),6,25)</f>
        <v>42180</v>
      </c>
      <c r="C190" s="9"/>
      <c r="D190" s="34" t="s">
        <v>396</v>
      </c>
      <c r="E190" s="33"/>
      <c r="F190" s="34" t="s">
        <v>153</v>
      </c>
      <c r="G190" s="31"/>
      <c r="H190" s="30" t="s">
        <v>6</v>
      </c>
      <c r="I190" s="29"/>
      <c r="J190" s="29"/>
      <c r="K190" s="29">
        <f>SUM(I190*J190)</f>
        <v>0</v>
      </c>
    </row>
    <row r="191" spans="2:11" ht="39.950000000000003" customHeight="1" outlineLevel="1" x14ac:dyDescent="0.25">
      <c r="B191" s="10">
        <f ca="1">DATE(YEAR(TODAY()),6,26)</f>
        <v>42181</v>
      </c>
      <c r="C191" s="9"/>
      <c r="D191" s="34" t="s">
        <v>395</v>
      </c>
      <c r="E191" s="33"/>
      <c r="F191" s="34" t="s">
        <v>394</v>
      </c>
      <c r="G191" s="31"/>
      <c r="H191" s="30" t="s">
        <v>0</v>
      </c>
      <c r="I191" s="29"/>
      <c r="J191" s="29"/>
      <c r="K191" s="29">
        <f>SUM(I191*J191)</f>
        <v>0</v>
      </c>
    </row>
    <row r="192" spans="2:11" ht="39.950000000000003" customHeight="1" outlineLevel="1" x14ac:dyDescent="0.25">
      <c r="B192" s="12">
        <f ca="1">DATE(YEAR(TODAY()),6,27)</f>
        <v>42182</v>
      </c>
      <c r="C192" s="11"/>
      <c r="D192" s="34" t="s">
        <v>393</v>
      </c>
      <c r="E192" s="33"/>
      <c r="F192" s="34" t="s">
        <v>392</v>
      </c>
      <c r="G192" s="31"/>
      <c r="H192" s="30" t="s">
        <v>3</v>
      </c>
      <c r="I192" s="29"/>
      <c r="J192" s="29"/>
      <c r="K192" s="29">
        <f>SUM(I192*J192)</f>
        <v>0</v>
      </c>
    </row>
    <row r="193" spans="2:14" ht="39.950000000000003" customHeight="1" outlineLevel="1" x14ac:dyDescent="0.25">
      <c r="B193" s="14">
        <f ca="1">DATE(YEAR(TODAY()),6,28)</f>
        <v>42183</v>
      </c>
      <c r="C193" s="13"/>
      <c r="D193" s="34" t="s">
        <v>391</v>
      </c>
      <c r="E193" s="33"/>
      <c r="F193" s="34" t="s">
        <v>390</v>
      </c>
      <c r="G193" s="31"/>
      <c r="H193" s="30" t="s">
        <v>3</v>
      </c>
      <c r="I193" s="29">
        <v>19</v>
      </c>
      <c r="J193" s="29">
        <v>750</v>
      </c>
      <c r="K193" s="29">
        <f>SUM(I193*J193)</f>
        <v>14250</v>
      </c>
    </row>
    <row r="194" spans="2:14" ht="39.950000000000003" customHeight="1" outlineLevel="1" x14ac:dyDescent="0.25">
      <c r="B194" s="10">
        <f ca="1">DATE(YEAR(TODAY()),6,29)</f>
        <v>42184</v>
      </c>
      <c r="C194" s="9"/>
      <c r="D194" s="34" t="s">
        <v>389</v>
      </c>
      <c r="E194" s="33"/>
      <c r="F194" s="34" t="s">
        <v>388</v>
      </c>
      <c r="G194" s="31"/>
      <c r="H194" s="30" t="s">
        <v>6</v>
      </c>
      <c r="I194" s="29"/>
      <c r="J194" s="29"/>
      <c r="K194" s="29">
        <f>SUM(I194*J194)</f>
        <v>0</v>
      </c>
    </row>
    <row r="195" spans="2:14" ht="39.950000000000003" customHeight="1" outlineLevel="1" x14ac:dyDescent="0.25">
      <c r="B195" s="16">
        <f ca="1">DATE(YEAR(TODAY()),6,30)</f>
        <v>42185</v>
      </c>
      <c r="C195" s="15"/>
      <c r="D195" s="34" t="s">
        <v>387</v>
      </c>
      <c r="E195" s="33"/>
      <c r="F195" s="34" t="s">
        <v>386</v>
      </c>
      <c r="G195" s="31"/>
      <c r="H195" s="30" t="s">
        <v>3</v>
      </c>
      <c r="I195" s="29">
        <v>134</v>
      </c>
      <c r="J195" s="29">
        <v>2450</v>
      </c>
      <c r="K195" s="29">
        <f>SUM(I195*J195)</f>
        <v>328300</v>
      </c>
    </row>
    <row r="196" spans="2:14" ht="21" customHeight="1" x14ac:dyDescent="0.35">
      <c r="B196" s="43" t="s">
        <v>385</v>
      </c>
      <c r="C196" s="43"/>
      <c r="D196" s="43"/>
      <c r="E196" s="43"/>
      <c r="F196" s="43"/>
      <c r="G196" s="43"/>
      <c r="H196" s="43"/>
      <c r="I196" s="43"/>
      <c r="J196" s="43"/>
      <c r="K196" s="43"/>
    </row>
    <row r="197" spans="2:14" ht="15" customHeight="1" outlineLevel="1" x14ac:dyDescent="0.25">
      <c r="B197" s="42" t="s">
        <v>77</v>
      </c>
      <c r="C197" s="41"/>
      <c r="D197" s="40" t="s">
        <v>76</v>
      </c>
      <c r="E197" s="40"/>
      <c r="F197" s="39" t="s">
        <v>75</v>
      </c>
      <c r="G197" s="38"/>
      <c r="H197" s="38" t="s">
        <v>74</v>
      </c>
      <c r="I197" s="37" t="s">
        <v>73</v>
      </c>
      <c r="J197" s="37" t="s">
        <v>72</v>
      </c>
      <c r="K197" s="37" t="s">
        <v>71</v>
      </c>
    </row>
    <row r="198" spans="2:14" ht="39.950000000000003" customHeight="1" outlineLevel="1" x14ac:dyDescent="0.25">
      <c r="B198" s="12">
        <f ca="1">DATE(YEAR(TODAY()),7,1)</f>
        <v>42186</v>
      </c>
      <c r="C198" s="11"/>
      <c r="D198" s="34" t="s">
        <v>384</v>
      </c>
      <c r="E198" s="33"/>
      <c r="F198" s="32" t="s">
        <v>383</v>
      </c>
      <c r="G198" s="31"/>
      <c r="H198" s="30" t="s">
        <v>3</v>
      </c>
      <c r="I198" s="29"/>
      <c r="J198" s="29"/>
      <c r="K198" s="29">
        <f>SUM(I198*J198)</f>
        <v>0</v>
      </c>
    </row>
    <row r="199" spans="2:14" ht="39.950000000000003" customHeight="1" outlineLevel="1" x14ac:dyDescent="0.25">
      <c r="B199" s="14">
        <f ca="1">DATE(YEAR(TODAY()),7,2)</f>
        <v>42187</v>
      </c>
      <c r="C199" s="13"/>
      <c r="D199" s="34" t="s">
        <v>382</v>
      </c>
      <c r="E199" s="33"/>
      <c r="F199" s="32" t="s">
        <v>381</v>
      </c>
      <c r="G199" s="31"/>
      <c r="H199" s="30" t="s">
        <v>3</v>
      </c>
      <c r="I199" s="29">
        <v>58</v>
      </c>
      <c r="J199" s="29"/>
      <c r="K199" s="29">
        <f>SUM(I199*J199)</f>
        <v>0</v>
      </c>
      <c r="N199" s="21" t="s">
        <v>66</v>
      </c>
    </row>
    <row r="200" spans="2:14" ht="39.950000000000003" customHeight="1" outlineLevel="1" x14ac:dyDescent="0.25">
      <c r="B200" s="10">
        <f ca="1">DATE(YEAR(TODAY()),7,3)</f>
        <v>42188</v>
      </c>
      <c r="C200" s="9"/>
      <c r="D200" s="34" t="s">
        <v>380</v>
      </c>
      <c r="E200" s="33"/>
      <c r="F200" s="32" t="s">
        <v>379</v>
      </c>
      <c r="G200" s="31"/>
      <c r="H200" s="30" t="s">
        <v>0</v>
      </c>
      <c r="I200" s="29"/>
      <c r="J200" s="29"/>
      <c r="K200" s="29">
        <f>SUM(I200*J200)</f>
        <v>0</v>
      </c>
      <c r="N200" s="21" t="s">
        <v>63</v>
      </c>
    </row>
    <row r="201" spans="2:14" ht="39.950000000000003" customHeight="1" outlineLevel="1" x14ac:dyDescent="0.25">
      <c r="B201" s="10">
        <f ca="1">DATE(YEAR(TODAY()),7,4)</f>
        <v>42189</v>
      </c>
      <c r="C201" s="9"/>
      <c r="D201" s="34" t="s">
        <v>378</v>
      </c>
      <c r="E201" s="33"/>
      <c r="F201" s="32" t="s">
        <v>377</v>
      </c>
      <c r="G201" s="31"/>
      <c r="H201" s="30" t="s">
        <v>0</v>
      </c>
      <c r="I201" s="29"/>
      <c r="J201" s="29"/>
      <c r="K201" s="29">
        <f>SUM(I201*J201)</f>
        <v>0</v>
      </c>
      <c r="N201" s="21" t="s">
        <v>60</v>
      </c>
    </row>
    <row r="202" spans="2:14" ht="39.950000000000003" customHeight="1" outlineLevel="1" x14ac:dyDescent="0.25">
      <c r="B202" s="14">
        <f ca="1">DATE(YEAR(TODAY()),7,5)</f>
        <v>42190</v>
      </c>
      <c r="C202" s="13"/>
      <c r="D202" s="34" t="s">
        <v>376</v>
      </c>
      <c r="E202" s="33"/>
      <c r="F202" s="32" t="s">
        <v>375</v>
      </c>
      <c r="G202" s="31"/>
      <c r="H202" s="30" t="s">
        <v>3</v>
      </c>
      <c r="I202" s="29"/>
      <c r="J202" s="29"/>
      <c r="K202" s="29">
        <f>SUM(I202*J202)</f>
        <v>0</v>
      </c>
      <c r="N202" s="21" t="s">
        <v>57</v>
      </c>
    </row>
    <row r="203" spans="2:14" ht="39.950000000000003" customHeight="1" outlineLevel="1" x14ac:dyDescent="0.25">
      <c r="B203" s="10">
        <f ca="1">DATE(YEAR(TODAY()),7,6)</f>
        <v>42191</v>
      </c>
      <c r="C203" s="9"/>
      <c r="D203" s="34" t="s">
        <v>374</v>
      </c>
      <c r="E203" s="33"/>
      <c r="F203" s="32" t="s">
        <v>373</v>
      </c>
      <c r="G203" s="31"/>
      <c r="H203" s="30" t="s">
        <v>6</v>
      </c>
      <c r="I203" s="29"/>
      <c r="J203" s="29"/>
      <c r="K203" s="29">
        <f>SUM(I203*J203)</f>
        <v>0</v>
      </c>
      <c r="N203" s="21" t="s">
        <v>54</v>
      </c>
    </row>
    <row r="204" spans="2:14" ht="39.950000000000003" customHeight="1" outlineLevel="1" x14ac:dyDescent="0.25">
      <c r="B204" s="12">
        <f ca="1">DATE(YEAR(TODAY()),7,7)</f>
        <v>42192</v>
      </c>
      <c r="C204" s="11"/>
      <c r="D204" s="34" t="s">
        <v>372</v>
      </c>
      <c r="E204" s="33"/>
      <c r="F204" s="32" t="s">
        <v>179</v>
      </c>
      <c r="G204" s="31"/>
      <c r="H204" s="30" t="s">
        <v>3</v>
      </c>
      <c r="I204" s="29"/>
      <c r="J204" s="29"/>
      <c r="K204" s="29">
        <f>SUM(I204*J204)</f>
        <v>0</v>
      </c>
      <c r="N204" s="21" t="s">
        <v>51</v>
      </c>
    </row>
    <row r="205" spans="2:14" ht="39.950000000000003" customHeight="1" outlineLevel="1" x14ac:dyDescent="0.25">
      <c r="B205" s="16">
        <f ca="1">DATE(YEAR(TODAY()),7,8)</f>
        <v>42193</v>
      </c>
      <c r="C205" s="15"/>
      <c r="D205" s="34" t="s">
        <v>371</v>
      </c>
      <c r="E205" s="33"/>
      <c r="F205" s="32" t="s">
        <v>370</v>
      </c>
      <c r="G205" s="31"/>
      <c r="H205" s="30" t="s">
        <v>3</v>
      </c>
      <c r="I205" s="29"/>
      <c r="J205" s="29"/>
      <c r="K205" s="29">
        <f>SUM(I205*J205)</f>
        <v>0</v>
      </c>
    </row>
    <row r="206" spans="2:14" ht="39.950000000000003" customHeight="1" outlineLevel="1" x14ac:dyDescent="0.25">
      <c r="B206" s="10">
        <f ca="1">DATE(YEAR(TODAY()),7,9)</f>
        <v>42194</v>
      </c>
      <c r="C206" s="9"/>
      <c r="D206" s="34" t="s">
        <v>369</v>
      </c>
      <c r="E206" s="33"/>
      <c r="F206" s="32" t="s">
        <v>368</v>
      </c>
      <c r="G206" s="31"/>
      <c r="H206" s="30" t="s">
        <v>0</v>
      </c>
      <c r="I206" s="29"/>
      <c r="J206" s="29"/>
      <c r="K206" s="29">
        <f>SUM(I206*J206)</f>
        <v>0</v>
      </c>
    </row>
    <row r="207" spans="2:14" ht="39.950000000000003" customHeight="1" outlineLevel="1" x14ac:dyDescent="0.25">
      <c r="B207" s="20">
        <f ca="1">DATE(YEAR(TODAY()),7,10)</f>
        <v>42195</v>
      </c>
      <c r="C207" s="19"/>
      <c r="D207" s="34" t="s">
        <v>367</v>
      </c>
      <c r="E207" s="33"/>
      <c r="F207" s="32" t="s">
        <v>366</v>
      </c>
      <c r="G207" s="31"/>
      <c r="H207" s="30" t="s">
        <v>0</v>
      </c>
      <c r="I207" s="29"/>
      <c r="J207" s="29"/>
      <c r="K207" s="29">
        <f>SUM(I207*J207)</f>
        <v>0</v>
      </c>
    </row>
    <row r="208" spans="2:14" ht="39.950000000000003" customHeight="1" outlineLevel="1" x14ac:dyDescent="0.25">
      <c r="B208" s="10">
        <f ca="1">DATE(YEAR(TODAY()),7,11)</f>
        <v>42196</v>
      </c>
      <c r="C208" s="9"/>
      <c r="D208" s="34" t="s">
        <v>365</v>
      </c>
      <c r="E208" s="33"/>
      <c r="F208" s="32" t="s">
        <v>364</v>
      </c>
      <c r="G208" s="31"/>
      <c r="H208" s="30" t="s">
        <v>6</v>
      </c>
      <c r="I208" s="29"/>
      <c r="J208" s="29"/>
      <c r="K208" s="29">
        <f>SUM(I208*J208)</f>
        <v>0</v>
      </c>
    </row>
    <row r="209" spans="2:11" ht="39.950000000000003" customHeight="1" outlineLevel="1" x14ac:dyDescent="0.25">
      <c r="B209" s="14">
        <f ca="1">DATE(YEAR(TODAY()),7,12)</f>
        <v>42197</v>
      </c>
      <c r="C209" s="13"/>
      <c r="D209" s="34" t="s">
        <v>363</v>
      </c>
      <c r="E209" s="33"/>
      <c r="F209" s="32" t="s">
        <v>362</v>
      </c>
      <c r="G209" s="31"/>
      <c r="H209" s="30" t="s">
        <v>3</v>
      </c>
      <c r="I209" s="29"/>
      <c r="J209" s="29"/>
      <c r="K209" s="29">
        <f>SUM(I209*J209)</f>
        <v>0</v>
      </c>
    </row>
    <row r="210" spans="2:11" ht="39.950000000000003" customHeight="1" outlineLevel="1" x14ac:dyDescent="0.25">
      <c r="B210" s="16">
        <f ca="1">DATE(YEAR(TODAY()),7,13)</f>
        <v>42198</v>
      </c>
      <c r="C210" s="15"/>
      <c r="D210" s="34" t="s">
        <v>361</v>
      </c>
      <c r="E210" s="33"/>
      <c r="F210" s="32" t="s">
        <v>360</v>
      </c>
      <c r="G210" s="31"/>
      <c r="H210" s="30" t="s">
        <v>3</v>
      </c>
      <c r="I210" s="29"/>
      <c r="J210" s="29"/>
      <c r="K210" s="29">
        <f>SUM(I210*J210)</f>
        <v>0</v>
      </c>
    </row>
    <row r="211" spans="2:11" ht="39.950000000000003" customHeight="1" outlineLevel="1" x14ac:dyDescent="0.25">
      <c r="B211" s="16">
        <f ca="1">DATE(YEAR(TODAY()),7,14)</f>
        <v>42199</v>
      </c>
      <c r="C211" s="15"/>
      <c r="D211" s="34" t="s">
        <v>359</v>
      </c>
      <c r="E211" s="33"/>
      <c r="F211" s="32" t="s">
        <v>358</v>
      </c>
      <c r="G211" s="31"/>
      <c r="H211" s="30" t="s">
        <v>3</v>
      </c>
      <c r="I211" s="29"/>
      <c r="J211" s="29"/>
      <c r="K211" s="29">
        <f>SUM(I211*J211)</f>
        <v>0</v>
      </c>
    </row>
    <row r="212" spans="2:11" ht="39.950000000000003" customHeight="1" outlineLevel="1" x14ac:dyDescent="0.25">
      <c r="B212" s="10">
        <f ca="1">DATE(YEAR(TODAY()),7,15)</f>
        <v>42200</v>
      </c>
      <c r="C212" s="9"/>
      <c r="D212" s="34" t="s">
        <v>357</v>
      </c>
      <c r="E212" s="33"/>
      <c r="F212" s="32" t="s">
        <v>356</v>
      </c>
      <c r="G212" s="31"/>
      <c r="H212" s="30" t="s">
        <v>6</v>
      </c>
      <c r="I212" s="29"/>
      <c r="J212" s="29"/>
      <c r="K212" s="29">
        <f>SUM(I212*J212)</f>
        <v>0</v>
      </c>
    </row>
    <row r="213" spans="2:11" ht="39.950000000000003" customHeight="1" outlineLevel="1" x14ac:dyDescent="0.25">
      <c r="B213" s="12">
        <f ca="1">DATE(YEAR(TODAY()),7,16)</f>
        <v>42201</v>
      </c>
      <c r="C213" s="11"/>
      <c r="D213" s="34" t="s">
        <v>355</v>
      </c>
      <c r="E213" s="33"/>
      <c r="F213" s="32" t="s">
        <v>354</v>
      </c>
      <c r="G213" s="31"/>
      <c r="H213" s="30" t="s">
        <v>3</v>
      </c>
      <c r="I213" s="29"/>
      <c r="J213" s="29"/>
      <c r="K213" s="29">
        <f>SUM(I213*J213)</f>
        <v>0</v>
      </c>
    </row>
    <row r="214" spans="2:11" ht="39.950000000000003" customHeight="1" outlineLevel="1" x14ac:dyDescent="0.25">
      <c r="B214" s="14">
        <f ca="1">DATE(YEAR(TODAY()),7,17)</f>
        <v>42202</v>
      </c>
      <c r="C214" s="13"/>
      <c r="D214" s="34" t="s">
        <v>353</v>
      </c>
      <c r="E214" s="33"/>
      <c r="F214" s="32" t="s">
        <v>352</v>
      </c>
      <c r="G214" s="31"/>
      <c r="H214" s="30" t="s">
        <v>3</v>
      </c>
      <c r="I214" s="29"/>
      <c r="J214" s="29"/>
      <c r="K214" s="29">
        <f>SUM(I214*J214)</f>
        <v>0</v>
      </c>
    </row>
    <row r="215" spans="2:11" ht="39.950000000000003" customHeight="1" outlineLevel="1" x14ac:dyDescent="0.25">
      <c r="B215" s="10">
        <f ca="1">DATE(YEAR(TODAY()),7,18)</f>
        <v>42203</v>
      </c>
      <c r="C215" s="9"/>
      <c r="D215" s="34" t="s">
        <v>351</v>
      </c>
      <c r="E215" s="33"/>
      <c r="F215" s="32" t="s">
        <v>350</v>
      </c>
      <c r="G215" s="31"/>
      <c r="H215" s="30" t="s">
        <v>0</v>
      </c>
      <c r="I215" s="29"/>
      <c r="J215" s="29"/>
      <c r="K215" s="29">
        <f>SUM(I215*J215)</f>
        <v>0</v>
      </c>
    </row>
    <row r="216" spans="2:11" ht="39.950000000000003" customHeight="1" outlineLevel="1" x14ac:dyDescent="0.25">
      <c r="B216" s="16">
        <f ca="1">DATE(YEAR(TODAY()),7,19)</f>
        <v>42204</v>
      </c>
      <c r="C216" s="15"/>
      <c r="D216" s="34" t="s">
        <v>349</v>
      </c>
      <c r="E216" s="33"/>
      <c r="F216" s="32" t="s">
        <v>348</v>
      </c>
      <c r="G216" s="31"/>
      <c r="H216" s="30" t="s">
        <v>3</v>
      </c>
      <c r="I216" s="29"/>
      <c r="J216" s="29"/>
      <c r="K216" s="29">
        <f>SUM(I216*J216)</f>
        <v>0</v>
      </c>
    </row>
    <row r="217" spans="2:11" ht="39.950000000000003" customHeight="1" outlineLevel="1" x14ac:dyDescent="0.25">
      <c r="B217" s="10">
        <f ca="1">DATE(YEAR(TODAY()),7,20)</f>
        <v>42205</v>
      </c>
      <c r="C217" s="9"/>
      <c r="D217" s="34" t="s">
        <v>347</v>
      </c>
      <c r="E217" s="33"/>
      <c r="F217" s="32" t="s">
        <v>346</v>
      </c>
      <c r="G217" s="31"/>
      <c r="H217" s="30" t="s">
        <v>0</v>
      </c>
      <c r="I217" s="29"/>
      <c r="J217" s="29"/>
      <c r="K217" s="29">
        <f>SUM(I217*J217)</f>
        <v>0</v>
      </c>
    </row>
    <row r="218" spans="2:11" ht="39.950000000000003" customHeight="1" outlineLevel="1" x14ac:dyDescent="0.25">
      <c r="B218" s="12">
        <f ca="1">DATE(YEAR(TODAY()),7,21)</f>
        <v>42206</v>
      </c>
      <c r="C218" s="11"/>
      <c r="D218" s="34" t="s">
        <v>345</v>
      </c>
      <c r="E218" s="33"/>
      <c r="F218" s="32" t="s">
        <v>344</v>
      </c>
      <c r="G218" s="31"/>
      <c r="H218" s="30" t="s">
        <v>3</v>
      </c>
      <c r="I218" s="29"/>
      <c r="J218" s="29"/>
      <c r="K218" s="29">
        <f>SUM(I218*J218)</f>
        <v>0</v>
      </c>
    </row>
    <row r="219" spans="2:11" ht="39.950000000000003" customHeight="1" outlineLevel="1" x14ac:dyDescent="0.25">
      <c r="B219" s="14">
        <f ca="1">DATE(YEAR(TODAY()),7,22)</f>
        <v>42207</v>
      </c>
      <c r="C219" s="13"/>
      <c r="D219" s="34" t="s">
        <v>343</v>
      </c>
      <c r="E219" s="33"/>
      <c r="F219" s="32" t="s">
        <v>342</v>
      </c>
      <c r="G219" s="31"/>
      <c r="H219" s="30" t="s">
        <v>3</v>
      </c>
      <c r="I219" s="29"/>
      <c r="J219" s="29"/>
      <c r="K219" s="29">
        <f>SUM(I219*J219)</f>
        <v>0</v>
      </c>
    </row>
    <row r="220" spans="2:11" ht="39.950000000000003" customHeight="1" outlineLevel="1" x14ac:dyDescent="0.25">
      <c r="B220" s="36">
        <f ca="1">DATE(YEAR(TODAY()),7,23)</f>
        <v>42208</v>
      </c>
      <c r="C220" s="35"/>
      <c r="D220" s="34" t="s">
        <v>341</v>
      </c>
      <c r="E220" s="33"/>
      <c r="F220" s="32" t="s">
        <v>340</v>
      </c>
      <c r="G220" s="31"/>
      <c r="H220" s="30" t="s">
        <v>6</v>
      </c>
      <c r="I220" s="29"/>
      <c r="J220" s="29"/>
      <c r="K220" s="29">
        <f>SUM(I220*J220)</f>
        <v>0</v>
      </c>
    </row>
    <row r="221" spans="2:11" ht="39.950000000000003" customHeight="1" outlineLevel="1" x14ac:dyDescent="0.25">
      <c r="B221" s="10">
        <f ca="1">DATE(YEAR(TODAY()),7,24)</f>
        <v>42209</v>
      </c>
      <c r="C221" s="9"/>
      <c r="D221" s="34" t="s">
        <v>339</v>
      </c>
      <c r="E221" s="33"/>
      <c r="F221" s="32" t="s">
        <v>338</v>
      </c>
      <c r="G221" s="31"/>
      <c r="H221" s="30" t="s">
        <v>6</v>
      </c>
      <c r="I221" s="29"/>
      <c r="J221" s="29"/>
      <c r="K221" s="29">
        <f>SUM(I221*J221)</f>
        <v>0</v>
      </c>
    </row>
    <row r="222" spans="2:11" ht="39.950000000000003" customHeight="1" outlineLevel="1" x14ac:dyDescent="0.25">
      <c r="B222" s="14">
        <f ca="1">DATE(YEAR(TODAY()),7,25)</f>
        <v>42210</v>
      </c>
      <c r="C222" s="13"/>
      <c r="D222" s="34" t="s">
        <v>337</v>
      </c>
      <c r="E222" s="33"/>
      <c r="F222" s="32" t="s">
        <v>336</v>
      </c>
      <c r="G222" s="31"/>
      <c r="H222" s="30" t="s">
        <v>3</v>
      </c>
      <c r="I222" s="29"/>
      <c r="J222" s="29"/>
      <c r="K222" s="29">
        <f>SUM(I222*J222)</f>
        <v>0</v>
      </c>
    </row>
    <row r="223" spans="2:11" ht="39.950000000000003" customHeight="1" outlineLevel="1" x14ac:dyDescent="0.25">
      <c r="B223" s="16">
        <f ca="1">DATE(YEAR(TODAY()),7,26)</f>
        <v>42211</v>
      </c>
      <c r="C223" s="15"/>
      <c r="D223" s="34" t="s">
        <v>335</v>
      </c>
      <c r="E223" s="33"/>
      <c r="F223" s="32" t="s">
        <v>334</v>
      </c>
      <c r="G223" s="31"/>
      <c r="H223" s="30" t="s">
        <v>3</v>
      </c>
      <c r="I223" s="29"/>
      <c r="J223" s="29"/>
      <c r="K223" s="29">
        <f>SUM(I223*J223)</f>
        <v>0</v>
      </c>
    </row>
    <row r="224" spans="2:11" ht="39.950000000000003" customHeight="1" outlineLevel="1" x14ac:dyDescent="0.25">
      <c r="B224" s="10">
        <f ca="1">DATE(YEAR(TODAY()),7,27)</f>
        <v>42212</v>
      </c>
      <c r="C224" s="9"/>
      <c r="D224" s="34" t="s">
        <v>333</v>
      </c>
      <c r="E224" s="33"/>
      <c r="F224" s="32" t="s">
        <v>332</v>
      </c>
      <c r="G224" s="31"/>
      <c r="H224" s="30" t="s">
        <v>0</v>
      </c>
      <c r="I224" s="29"/>
      <c r="J224" s="29"/>
      <c r="K224" s="29">
        <f>SUM(I224*J224)</f>
        <v>0</v>
      </c>
    </row>
    <row r="225" spans="2:14" ht="39.950000000000003" customHeight="1" outlineLevel="1" x14ac:dyDescent="0.25">
      <c r="B225" s="14">
        <f ca="1">DATE(YEAR(TODAY()),7,28)</f>
        <v>42213</v>
      </c>
      <c r="C225" s="13"/>
      <c r="D225" s="34" t="s">
        <v>331</v>
      </c>
      <c r="E225" s="33"/>
      <c r="F225" s="32" t="s">
        <v>330</v>
      </c>
      <c r="G225" s="31"/>
      <c r="H225" s="30" t="s">
        <v>3</v>
      </c>
      <c r="I225" s="29"/>
      <c r="J225" s="29"/>
      <c r="K225" s="29">
        <f>SUM(I225*J225)</f>
        <v>0</v>
      </c>
    </row>
    <row r="226" spans="2:14" ht="39.950000000000003" customHeight="1" outlineLevel="1" x14ac:dyDescent="0.25">
      <c r="B226" s="12">
        <f ca="1">DATE(YEAR(TODAY()),7,29)</f>
        <v>42214</v>
      </c>
      <c r="C226" s="11"/>
      <c r="D226" s="34" t="s">
        <v>329</v>
      </c>
      <c r="E226" s="33"/>
      <c r="F226" s="32" t="s">
        <v>328</v>
      </c>
      <c r="G226" s="31"/>
      <c r="H226" s="30" t="s">
        <v>3</v>
      </c>
      <c r="I226" s="29"/>
      <c r="J226" s="29"/>
      <c r="K226" s="29">
        <f>SUM(I226*J226)</f>
        <v>0</v>
      </c>
    </row>
    <row r="227" spans="2:14" ht="39.950000000000003" customHeight="1" outlineLevel="1" x14ac:dyDescent="0.25">
      <c r="B227" s="14">
        <f ca="1">DATE(YEAR(TODAY()),7,30)</f>
        <v>42215</v>
      </c>
      <c r="C227" s="13"/>
      <c r="D227" s="34" t="s">
        <v>327</v>
      </c>
      <c r="E227" s="33"/>
      <c r="F227" s="32" t="s">
        <v>326</v>
      </c>
      <c r="G227" s="31"/>
      <c r="H227" s="30" t="s">
        <v>3</v>
      </c>
      <c r="I227" s="29"/>
      <c r="J227" s="29"/>
      <c r="K227" s="29">
        <f>SUM(I227*J227)</f>
        <v>0</v>
      </c>
    </row>
    <row r="228" spans="2:14" ht="39.950000000000003" customHeight="1" outlineLevel="1" x14ac:dyDescent="0.25">
      <c r="B228" s="16">
        <f ca="1">DATE(YEAR(TODAY()),7,31)</f>
        <v>42216</v>
      </c>
      <c r="C228" s="15"/>
      <c r="D228" s="34" t="s">
        <v>325</v>
      </c>
      <c r="E228" s="33"/>
      <c r="F228" s="32" t="s">
        <v>324</v>
      </c>
      <c r="G228" s="31"/>
      <c r="H228" s="30" t="s">
        <v>3</v>
      </c>
      <c r="I228" s="29"/>
      <c r="J228" s="29"/>
      <c r="K228" s="29">
        <f>SUM(I228*J228)</f>
        <v>0</v>
      </c>
    </row>
    <row r="229" spans="2:14" ht="21" customHeight="1" collapsed="1" x14ac:dyDescent="0.35">
      <c r="B229" s="28" t="s">
        <v>323</v>
      </c>
      <c r="C229" s="28"/>
      <c r="D229" s="28"/>
      <c r="E229" s="28"/>
      <c r="F229" s="28"/>
      <c r="G229" s="28"/>
      <c r="H229" s="28"/>
      <c r="I229" s="28"/>
      <c r="J229" s="28"/>
      <c r="K229" s="28"/>
    </row>
    <row r="230" spans="2:14" ht="15" hidden="1" customHeight="1" outlineLevel="1" x14ac:dyDescent="0.25">
      <c r="B230" s="42" t="s">
        <v>77</v>
      </c>
      <c r="C230" s="41"/>
      <c r="D230" s="40" t="s">
        <v>76</v>
      </c>
      <c r="E230" s="40"/>
      <c r="F230" s="39" t="s">
        <v>75</v>
      </c>
      <c r="G230" s="38"/>
      <c r="H230" s="38" t="s">
        <v>74</v>
      </c>
      <c r="I230" s="37" t="s">
        <v>73</v>
      </c>
      <c r="J230" s="37" t="s">
        <v>72</v>
      </c>
      <c r="K230" s="37" t="s">
        <v>71</v>
      </c>
    </row>
    <row r="231" spans="2:14" ht="39.950000000000003" hidden="1" customHeight="1" outlineLevel="1" x14ac:dyDescent="0.25">
      <c r="B231" s="10">
        <f ca="1">DATE(YEAR(TODAY()),8,1)</f>
        <v>42217</v>
      </c>
      <c r="C231" s="9"/>
      <c r="D231" s="34" t="s">
        <v>322</v>
      </c>
      <c r="E231" s="33"/>
      <c r="F231" s="32" t="s">
        <v>321</v>
      </c>
      <c r="G231" s="31"/>
      <c r="H231" s="30" t="s">
        <v>6</v>
      </c>
      <c r="I231" s="29"/>
      <c r="J231" s="29"/>
      <c r="K231" s="29">
        <f>SUM(I231*J231)</f>
        <v>0</v>
      </c>
    </row>
    <row r="232" spans="2:14" ht="39.950000000000003" hidden="1" customHeight="1" outlineLevel="1" x14ac:dyDescent="0.25">
      <c r="B232" s="12">
        <f ca="1">DATE(YEAR(TODAY()),8,2)</f>
        <v>42218</v>
      </c>
      <c r="C232" s="11"/>
      <c r="D232" s="34" t="s">
        <v>320</v>
      </c>
      <c r="E232" s="33"/>
      <c r="F232" s="32" t="s">
        <v>319</v>
      </c>
      <c r="G232" s="31"/>
      <c r="H232" s="30" t="s">
        <v>3</v>
      </c>
      <c r="I232" s="29"/>
      <c r="J232" s="29"/>
      <c r="K232" s="29">
        <f>SUM(I232*J232)</f>
        <v>0</v>
      </c>
      <c r="N232" s="21" t="s">
        <v>66</v>
      </c>
    </row>
    <row r="233" spans="2:14" ht="39.950000000000003" hidden="1" customHeight="1" outlineLevel="1" x14ac:dyDescent="0.25">
      <c r="B233" s="18">
        <f ca="1">DATE(YEAR(TODAY()),8,3)</f>
        <v>42219</v>
      </c>
      <c r="C233" s="17"/>
      <c r="D233" s="34" t="s">
        <v>318</v>
      </c>
      <c r="E233" s="33"/>
      <c r="F233" s="32" t="s">
        <v>317</v>
      </c>
      <c r="G233" s="31"/>
      <c r="H233" s="30" t="s">
        <v>0</v>
      </c>
      <c r="I233" s="29"/>
      <c r="J233" s="29"/>
      <c r="K233" s="29">
        <f>SUM(I233*J233)</f>
        <v>0</v>
      </c>
      <c r="N233" s="21" t="s">
        <v>63</v>
      </c>
    </row>
    <row r="234" spans="2:14" ht="39.950000000000003" hidden="1" customHeight="1" outlineLevel="1" x14ac:dyDescent="0.25">
      <c r="B234" s="14">
        <f ca="1">DATE(YEAR(TODAY()),8,4)</f>
        <v>42220</v>
      </c>
      <c r="C234" s="13"/>
      <c r="D234" s="34" t="s">
        <v>316</v>
      </c>
      <c r="E234" s="33"/>
      <c r="F234" s="32" t="s">
        <v>315</v>
      </c>
      <c r="G234" s="31"/>
      <c r="H234" s="30" t="s">
        <v>3</v>
      </c>
      <c r="I234" s="29"/>
      <c r="J234" s="29"/>
      <c r="K234" s="29">
        <f>SUM(I234*J234)</f>
        <v>0</v>
      </c>
      <c r="N234" s="21" t="s">
        <v>60</v>
      </c>
    </row>
    <row r="235" spans="2:14" ht="39.950000000000003" hidden="1" customHeight="1" outlineLevel="1" x14ac:dyDescent="0.25">
      <c r="B235" s="10">
        <f ca="1">DATE(YEAR(TODAY()),8,5)</f>
        <v>42221</v>
      </c>
      <c r="C235" s="9"/>
      <c r="D235" s="34" t="s">
        <v>314</v>
      </c>
      <c r="E235" s="33"/>
      <c r="F235" s="32" t="s">
        <v>313</v>
      </c>
      <c r="G235" s="31"/>
      <c r="H235" s="30" t="s">
        <v>6</v>
      </c>
      <c r="I235" s="29"/>
      <c r="J235" s="29"/>
      <c r="K235" s="29">
        <f>SUM(I235*J235)</f>
        <v>0</v>
      </c>
      <c r="N235" s="21" t="s">
        <v>57</v>
      </c>
    </row>
    <row r="236" spans="2:14" ht="39.950000000000003" hidden="1" customHeight="1" outlineLevel="1" x14ac:dyDescent="0.25">
      <c r="B236" s="16">
        <f ca="1">DATE(YEAR(TODAY()),8,6)</f>
        <v>42222</v>
      </c>
      <c r="C236" s="15"/>
      <c r="D236" s="34" t="s">
        <v>312</v>
      </c>
      <c r="E236" s="33"/>
      <c r="F236" s="32" t="s">
        <v>311</v>
      </c>
      <c r="G236" s="31"/>
      <c r="H236" s="30" t="s">
        <v>3</v>
      </c>
      <c r="I236" s="29"/>
      <c r="J236" s="29"/>
      <c r="K236" s="29">
        <f>SUM(I236*J236)</f>
        <v>0</v>
      </c>
      <c r="N236" s="21" t="s">
        <v>54</v>
      </c>
    </row>
    <row r="237" spans="2:14" ht="39.950000000000003" hidden="1" customHeight="1" outlineLevel="1" x14ac:dyDescent="0.25">
      <c r="B237" s="14">
        <f ca="1">DATE(YEAR(TODAY()),8,7)</f>
        <v>42223</v>
      </c>
      <c r="C237" s="13"/>
      <c r="D237" s="34" t="s">
        <v>310</v>
      </c>
      <c r="E237" s="33"/>
      <c r="F237" s="32" t="s">
        <v>309</v>
      </c>
      <c r="G237" s="31"/>
      <c r="H237" s="30" t="s">
        <v>3</v>
      </c>
      <c r="I237" s="29"/>
      <c r="J237" s="29"/>
      <c r="K237" s="29">
        <f>SUM(I237*J237)</f>
        <v>0</v>
      </c>
      <c r="N237" s="21" t="s">
        <v>51</v>
      </c>
    </row>
    <row r="238" spans="2:14" ht="39.950000000000003" hidden="1" customHeight="1" outlineLevel="1" x14ac:dyDescent="0.25">
      <c r="B238" s="10">
        <f ca="1">DATE(YEAR(TODAY()),8,8)</f>
        <v>42224</v>
      </c>
      <c r="C238" s="9"/>
      <c r="D238" s="34" t="s">
        <v>308</v>
      </c>
      <c r="E238" s="33"/>
      <c r="F238" s="32" t="s">
        <v>307</v>
      </c>
      <c r="G238" s="31"/>
      <c r="H238" s="30" t="s">
        <v>0</v>
      </c>
      <c r="I238" s="29"/>
      <c r="J238" s="29"/>
      <c r="K238" s="29">
        <f>SUM(I238*J238)</f>
        <v>0</v>
      </c>
    </row>
    <row r="239" spans="2:14" ht="39.950000000000003" hidden="1" customHeight="1" outlineLevel="1" x14ac:dyDescent="0.25">
      <c r="B239" s="10">
        <f ca="1">DATE(YEAR(TODAY()),8,9)</f>
        <v>42225</v>
      </c>
      <c r="C239" s="9"/>
      <c r="D239" s="34" t="s">
        <v>306</v>
      </c>
      <c r="E239" s="33"/>
      <c r="F239" s="32" t="s">
        <v>305</v>
      </c>
      <c r="G239" s="31"/>
      <c r="H239" s="30" t="s">
        <v>6</v>
      </c>
      <c r="I239" s="29"/>
      <c r="J239" s="29"/>
      <c r="K239" s="29">
        <f>SUM(I239*J239)</f>
        <v>0</v>
      </c>
    </row>
    <row r="240" spans="2:14" ht="39.950000000000003" hidden="1" customHeight="1" outlineLevel="1" x14ac:dyDescent="0.25">
      <c r="B240" s="20">
        <f ca="1">DATE(YEAR(TODAY()),8,10)</f>
        <v>42226</v>
      </c>
      <c r="C240" s="19"/>
      <c r="D240" s="34" t="s">
        <v>304</v>
      </c>
      <c r="E240" s="33"/>
      <c r="F240" s="32" t="s">
        <v>303</v>
      </c>
      <c r="G240" s="31"/>
      <c r="H240" s="30" t="s">
        <v>3</v>
      </c>
      <c r="I240" s="29"/>
      <c r="J240" s="29"/>
      <c r="K240" s="29">
        <f>SUM(I240*J240)</f>
        <v>0</v>
      </c>
    </row>
    <row r="241" spans="1:11" ht="39.950000000000003" hidden="1" customHeight="1" outlineLevel="1" x14ac:dyDescent="0.25">
      <c r="B241" s="12">
        <f ca="1">DATE(YEAR(TODAY()),8,11)</f>
        <v>42227</v>
      </c>
      <c r="C241" s="11"/>
      <c r="D241" s="34" t="s">
        <v>302</v>
      </c>
      <c r="E241" s="33"/>
      <c r="F241" s="32" t="s">
        <v>301</v>
      </c>
      <c r="G241" s="31"/>
      <c r="H241" s="30" t="s">
        <v>3</v>
      </c>
      <c r="I241" s="29"/>
      <c r="J241" s="29"/>
      <c r="K241" s="29">
        <f>SUM(I241*J241)</f>
        <v>0</v>
      </c>
    </row>
    <row r="242" spans="1:11" ht="39.950000000000003" hidden="1" customHeight="1" outlineLevel="1" x14ac:dyDescent="0.25">
      <c r="B242" s="16">
        <f ca="1">DATE(YEAR(TODAY()),8,12)</f>
        <v>42228</v>
      </c>
      <c r="C242" s="15"/>
      <c r="D242" s="34" t="s">
        <v>300</v>
      </c>
      <c r="E242" s="33"/>
      <c r="F242" s="32" t="s">
        <v>299</v>
      </c>
      <c r="G242" s="31"/>
      <c r="H242" s="30" t="s">
        <v>3</v>
      </c>
      <c r="I242" s="29"/>
      <c r="J242" s="29"/>
      <c r="K242" s="29">
        <f>SUM(I242*J242)</f>
        <v>0</v>
      </c>
    </row>
    <row r="243" spans="1:11" ht="39.950000000000003" hidden="1" customHeight="1" outlineLevel="1" x14ac:dyDescent="0.25">
      <c r="B243" s="14">
        <f ca="1">DATE(YEAR(TODAY()),8,13)</f>
        <v>42229</v>
      </c>
      <c r="C243" s="13"/>
      <c r="D243" s="34" t="s">
        <v>298</v>
      </c>
      <c r="E243" s="33"/>
      <c r="F243" s="32" t="s">
        <v>297</v>
      </c>
      <c r="G243" s="31"/>
      <c r="H243" s="30" t="s">
        <v>3</v>
      </c>
      <c r="I243" s="29"/>
      <c r="J243" s="29"/>
      <c r="K243" s="29">
        <f>SUM(I243*J243)</f>
        <v>0</v>
      </c>
    </row>
    <row r="244" spans="1:11" ht="39.950000000000003" hidden="1" customHeight="1" outlineLevel="1" x14ac:dyDescent="0.25">
      <c r="A244" s="35"/>
      <c r="B244" s="14">
        <f ca="1">DATE(YEAR(TODAY()),8,14)</f>
        <v>42230</v>
      </c>
      <c r="C244" s="13"/>
      <c r="D244" s="34" t="s">
        <v>296</v>
      </c>
      <c r="E244" s="33"/>
      <c r="F244" s="32" t="s">
        <v>295</v>
      </c>
      <c r="G244" s="31"/>
      <c r="H244" s="30" t="s">
        <v>6</v>
      </c>
      <c r="I244" s="29"/>
      <c r="J244" s="29"/>
      <c r="K244" s="29">
        <f>SUM(I244*J244)</f>
        <v>0</v>
      </c>
    </row>
    <row r="245" spans="1:11" ht="39.950000000000003" hidden="1" customHeight="1" outlineLevel="1" x14ac:dyDescent="0.25">
      <c r="A245" s="35"/>
      <c r="B245" s="14">
        <f ca="1">DATE(YEAR(TODAY()),8,15)</f>
        <v>42231</v>
      </c>
      <c r="C245" s="13"/>
      <c r="D245" s="34" t="s">
        <v>294</v>
      </c>
      <c r="E245" s="33"/>
      <c r="F245" s="32" t="s">
        <v>293</v>
      </c>
      <c r="G245" s="31"/>
      <c r="H245" s="30" t="s">
        <v>3</v>
      </c>
      <c r="I245" s="29"/>
      <c r="J245" s="29"/>
      <c r="K245" s="29">
        <f>SUM(I245*J245)</f>
        <v>0</v>
      </c>
    </row>
    <row r="246" spans="1:11" ht="39.950000000000003" hidden="1" customHeight="1" outlineLevel="1" x14ac:dyDescent="0.25">
      <c r="B246" s="16">
        <f ca="1">DATE(YEAR(TODAY()),8,16)</f>
        <v>42232</v>
      </c>
      <c r="C246" s="15"/>
      <c r="D246" s="34" t="s">
        <v>292</v>
      </c>
      <c r="E246" s="33"/>
      <c r="F246" s="32" t="s">
        <v>291</v>
      </c>
      <c r="G246" s="31"/>
      <c r="H246" s="30" t="s">
        <v>3</v>
      </c>
      <c r="I246" s="29"/>
      <c r="J246" s="29"/>
      <c r="K246" s="29">
        <f>SUM(I246*J246)</f>
        <v>0</v>
      </c>
    </row>
    <row r="247" spans="1:11" ht="39.950000000000003" hidden="1" customHeight="1" outlineLevel="1" x14ac:dyDescent="0.25">
      <c r="B247" s="10">
        <f ca="1">DATE(YEAR(TODAY()),8,17)</f>
        <v>42233</v>
      </c>
      <c r="C247" s="9"/>
      <c r="D247" s="34" t="s">
        <v>290</v>
      </c>
      <c r="E247" s="33"/>
      <c r="F247" s="32" t="s">
        <v>289</v>
      </c>
      <c r="G247" s="31"/>
      <c r="H247" s="30" t="s">
        <v>6</v>
      </c>
      <c r="I247" s="29"/>
      <c r="J247" s="29"/>
      <c r="K247" s="29">
        <f>SUM(I247*J247)</f>
        <v>0</v>
      </c>
    </row>
    <row r="248" spans="1:11" ht="39.950000000000003" hidden="1" customHeight="1" outlineLevel="1" x14ac:dyDescent="0.25">
      <c r="B248" s="12">
        <f ca="1">DATE(YEAR(TODAY()),8,18)</f>
        <v>42234</v>
      </c>
      <c r="C248" s="11"/>
      <c r="D248" s="34" t="s">
        <v>288</v>
      </c>
      <c r="E248" s="33"/>
      <c r="F248" s="32" t="s">
        <v>287</v>
      </c>
      <c r="G248" s="31"/>
      <c r="H248" s="30" t="s">
        <v>3</v>
      </c>
      <c r="I248" s="29"/>
      <c r="J248" s="29"/>
      <c r="K248" s="29">
        <f>SUM(I248*J248)</f>
        <v>0</v>
      </c>
    </row>
    <row r="249" spans="1:11" ht="39.950000000000003" hidden="1" customHeight="1" outlineLevel="1" x14ac:dyDescent="0.25">
      <c r="B249" s="10">
        <f ca="1">DATE(YEAR(TODAY()),8,19)</f>
        <v>42235</v>
      </c>
      <c r="C249" s="9"/>
      <c r="D249" s="34" t="s">
        <v>286</v>
      </c>
      <c r="E249" s="33"/>
      <c r="F249" s="32" t="s">
        <v>285</v>
      </c>
      <c r="G249" s="31"/>
      <c r="H249" s="30" t="s">
        <v>0</v>
      </c>
      <c r="I249" s="29"/>
      <c r="J249" s="29"/>
      <c r="K249" s="29">
        <f>SUM(I249*J249)</f>
        <v>0</v>
      </c>
    </row>
    <row r="250" spans="1:11" ht="39.950000000000003" hidden="1" customHeight="1" outlineLevel="1" x14ac:dyDescent="0.25">
      <c r="B250" s="14">
        <f ca="1">DATE(YEAR(TODAY()),8,20)</f>
        <v>42236</v>
      </c>
      <c r="C250" s="13"/>
      <c r="D250" s="34" t="s">
        <v>284</v>
      </c>
      <c r="E250" s="33"/>
      <c r="F250" s="32" t="s">
        <v>283</v>
      </c>
      <c r="G250" s="31"/>
      <c r="H250" s="30" t="s">
        <v>3</v>
      </c>
      <c r="I250" s="29"/>
      <c r="J250" s="29"/>
      <c r="K250" s="29">
        <f>SUM(I250*J250)</f>
        <v>0</v>
      </c>
    </row>
    <row r="251" spans="1:11" ht="39.950000000000003" hidden="1" customHeight="1" outlineLevel="1" x14ac:dyDescent="0.25">
      <c r="B251" s="14">
        <f ca="1">DATE(YEAR(TODAY()),8,21)</f>
        <v>42237</v>
      </c>
      <c r="C251" s="13"/>
      <c r="D251" s="34" t="s">
        <v>282</v>
      </c>
      <c r="E251" s="33"/>
      <c r="F251" s="32" t="s">
        <v>281</v>
      </c>
      <c r="G251" s="31"/>
      <c r="H251" s="30" t="s">
        <v>3</v>
      </c>
      <c r="I251" s="29"/>
      <c r="J251" s="29"/>
      <c r="K251" s="29">
        <f>SUM(I251*J251)</f>
        <v>0</v>
      </c>
    </row>
    <row r="252" spans="1:11" ht="39.950000000000003" hidden="1" customHeight="1" outlineLevel="1" x14ac:dyDescent="0.25">
      <c r="B252" s="10">
        <f ca="1">DATE(YEAR(TODAY()),8,22)</f>
        <v>42238</v>
      </c>
      <c r="C252" s="9"/>
      <c r="D252" s="34" t="s">
        <v>280</v>
      </c>
      <c r="E252" s="33"/>
      <c r="F252" s="32" t="s">
        <v>279</v>
      </c>
      <c r="G252" s="31"/>
      <c r="H252" s="30" t="s">
        <v>0</v>
      </c>
      <c r="I252" s="29"/>
      <c r="J252" s="29"/>
      <c r="K252" s="29">
        <f>SUM(I252*J252)</f>
        <v>0</v>
      </c>
    </row>
    <row r="253" spans="1:11" ht="39.950000000000003" hidden="1" customHeight="1" outlineLevel="1" x14ac:dyDescent="0.25">
      <c r="B253" s="12">
        <f ca="1">DATE(YEAR(TODAY()),8,23)</f>
        <v>42239</v>
      </c>
      <c r="C253" s="11"/>
      <c r="D253" s="34" t="s">
        <v>278</v>
      </c>
      <c r="E253" s="33"/>
      <c r="F253" s="32" t="s">
        <v>277</v>
      </c>
      <c r="G253" s="31"/>
      <c r="H253" s="30" t="s">
        <v>3</v>
      </c>
      <c r="I253" s="29"/>
      <c r="J253" s="29"/>
      <c r="K253" s="29">
        <f>SUM(I253*J253)</f>
        <v>0</v>
      </c>
    </row>
    <row r="254" spans="1:11" ht="39.950000000000003" hidden="1" customHeight="1" outlineLevel="1" x14ac:dyDescent="0.25">
      <c r="B254" s="16">
        <f ca="1">DATE(YEAR(TODAY()),8,24)</f>
        <v>42240</v>
      </c>
      <c r="C254" s="15"/>
      <c r="D254" s="34" t="s">
        <v>276</v>
      </c>
      <c r="E254" s="33"/>
      <c r="F254" s="32" t="s">
        <v>275</v>
      </c>
      <c r="G254" s="31"/>
      <c r="H254" s="30" t="s">
        <v>3</v>
      </c>
      <c r="I254" s="29"/>
      <c r="J254" s="29"/>
      <c r="K254" s="29">
        <f>SUM(I254*J254)</f>
        <v>0</v>
      </c>
    </row>
    <row r="255" spans="1:11" ht="39.950000000000003" hidden="1" customHeight="1" outlineLevel="1" x14ac:dyDescent="0.25">
      <c r="B255" s="14">
        <f ca="1">DATE(YEAR(TODAY()),8,25)</f>
        <v>42241</v>
      </c>
      <c r="C255" s="13"/>
      <c r="D255" s="34" t="s">
        <v>274</v>
      </c>
      <c r="E255" s="33"/>
      <c r="F255" s="32" t="s">
        <v>273</v>
      </c>
      <c r="G255" s="31"/>
      <c r="H255" s="30" t="s">
        <v>3</v>
      </c>
      <c r="I255" s="29"/>
      <c r="J255" s="29"/>
      <c r="K255" s="29">
        <f>SUM(I255*J255)</f>
        <v>0</v>
      </c>
    </row>
    <row r="256" spans="1:11" ht="39.950000000000003" hidden="1" customHeight="1" outlineLevel="1" x14ac:dyDescent="0.25">
      <c r="B256" s="12">
        <f ca="1">DATE(YEAR(TODAY()),8,26)</f>
        <v>42242</v>
      </c>
      <c r="C256" s="11"/>
      <c r="D256" s="34" t="s">
        <v>272</v>
      </c>
      <c r="E256" s="33"/>
      <c r="F256" s="32" t="s">
        <v>271</v>
      </c>
      <c r="G256" s="31"/>
      <c r="H256" s="30" t="s">
        <v>3</v>
      </c>
      <c r="I256" s="29"/>
      <c r="J256" s="29"/>
      <c r="K256" s="29">
        <f>SUM(I256*J256)</f>
        <v>0</v>
      </c>
    </row>
    <row r="257" spans="2:14" ht="39.950000000000003" hidden="1" customHeight="1" outlineLevel="1" x14ac:dyDescent="0.25">
      <c r="B257" s="16">
        <f ca="1">DATE(YEAR(TODAY()),8,27)</f>
        <v>42243</v>
      </c>
      <c r="C257" s="15"/>
      <c r="D257" s="34" t="s">
        <v>270</v>
      </c>
      <c r="E257" s="33"/>
      <c r="F257" s="32" t="s">
        <v>269</v>
      </c>
      <c r="G257" s="31"/>
      <c r="H257" s="30" t="s">
        <v>3</v>
      </c>
      <c r="I257" s="29"/>
      <c r="J257" s="29"/>
      <c r="K257" s="29">
        <f>SUM(I257*J257)</f>
        <v>0</v>
      </c>
    </row>
    <row r="258" spans="2:14" ht="39.950000000000003" hidden="1" customHeight="1" outlineLevel="1" x14ac:dyDescent="0.25">
      <c r="B258" s="10">
        <f ca="1">DATE(YEAR(TODAY()),8,28)</f>
        <v>42244</v>
      </c>
      <c r="C258" s="9"/>
      <c r="D258" s="34" t="s">
        <v>268</v>
      </c>
      <c r="E258" s="33"/>
      <c r="F258" s="32" t="s">
        <v>223</v>
      </c>
      <c r="G258" s="31"/>
      <c r="H258" s="30" t="s">
        <v>6</v>
      </c>
      <c r="I258" s="29"/>
      <c r="J258" s="29"/>
      <c r="K258" s="29">
        <f>SUM(I258*J258)</f>
        <v>0</v>
      </c>
    </row>
    <row r="259" spans="2:14" ht="39.950000000000003" hidden="1" customHeight="1" outlineLevel="1" x14ac:dyDescent="0.25">
      <c r="B259" s="12">
        <f ca="1">DATE(YEAR(TODAY()),8,29)</f>
        <v>42245</v>
      </c>
      <c r="C259" s="11"/>
      <c r="D259" s="34" t="s">
        <v>267</v>
      </c>
      <c r="E259" s="33"/>
      <c r="F259" s="32" t="s">
        <v>266</v>
      </c>
      <c r="G259" s="31"/>
      <c r="H259" s="30" t="s">
        <v>3</v>
      </c>
      <c r="I259" s="29"/>
      <c r="J259" s="29"/>
      <c r="K259" s="29">
        <f>SUM(I259*J259)</f>
        <v>0</v>
      </c>
    </row>
    <row r="260" spans="2:14" ht="39.950000000000003" hidden="1" customHeight="1" outlineLevel="1" x14ac:dyDescent="0.25">
      <c r="B260" s="14">
        <f ca="1">DATE(YEAR(TODAY()),8,30)</f>
        <v>42246</v>
      </c>
      <c r="C260" s="13"/>
      <c r="D260" s="34" t="s">
        <v>265</v>
      </c>
      <c r="E260" s="33"/>
      <c r="F260" s="32" t="s">
        <v>264</v>
      </c>
      <c r="G260" s="31"/>
      <c r="H260" s="30" t="s">
        <v>3</v>
      </c>
      <c r="I260" s="29"/>
      <c r="J260" s="29"/>
      <c r="K260" s="29">
        <f>SUM(I260*J260)</f>
        <v>0</v>
      </c>
    </row>
    <row r="261" spans="2:14" ht="39.950000000000003" hidden="1" customHeight="1" outlineLevel="1" x14ac:dyDescent="0.25">
      <c r="B261" s="10">
        <f ca="1">DATE(YEAR(TODAY()),8,31)</f>
        <v>42247</v>
      </c>
      <c r="C261" s="9"/>
      <c r="D261" s="34" t="s">
        <v>263</v>
      </c>
      <c r="E261" s="33"/>
      <c r="F261" s="32" t="s">
        <v>262</v>
      </c>
      <c r="G261" s="31"/>
      <c r="H261" s="30" t="s">
        <v>0</v>
      </c>
      <c r="I261" s="29"/>
      <c r="J261" s="29"/>
      <c r="K261" s="29">
        <f>SUM(I261*J261)</f>
        <v>0</v>
      </c>
    </row>
    <row r="262" spans="2:14" ht="21" customHeight="1" collapsed="1" x14ac:dyDescent="0.35">
      <c r="B262" s="43" t="s">
        <v>261</v>
      </c>
      <c r="C262" s="43"/>
      <c r="D262" s="43"/>
      <c r="E262" s="43"/>
      <c r="F262" s="43"/>
      <c r="G262" s="43"/>
      <c r="H262" s="43"/>
      <c r="I262" s="43"/>
      <c r="J262" s="43"/>
      <c r="K262" s="43"/>
    </row>
    <row r="263" spans="2:14" ht="15" hidden="1" customHeight="1" outlineLevel="1" x14ac:dyDescent="0.25">
      <c r="B263" s="42" t="s">
        <v>77</v>
      </c>
      <c r="C263" s="41"/>
      <c r="D263" s="40" t="s">
        <v>76</v>
      </c>
      <c r="E263" s="40"/>
      <c r="F263" s="39" t="s">
        <v>75</v>
      </c>
      <c r="G263" s="38"/>
      <c r="H263" s="38" t="s">
        <v>74</v>
      </c>
      <c r="I263" s="37" t="s">
        <v>73</v>
      </c>
      <c r="J263" s="37" t="s">
        <v>72</v>
      </c>
      <c r="K263" s="37" t="s">
        <v>71</v>
      </c>
    </row>
    <row r="264" spans="2:14" ht="39.950000000000003" hidden="1" customHeight="1" outlineLevel="1" x14ac:dyDescent="0.25">
      <c r="B264" s="16">
        <f ca="1">DATE(YEAR(TODAY()),9,1)</f>
        <v>42248</v>
      </c>
      <c r="C264" s="15"/>
      <c r="D264" s="34" t="s">
        <v>260</v>
      </c>
      <c r="E264" s="33"/>
      <c r="F264" s="32" t="s">
        <v>259</v>
      </c>
      <c r="G264" s="31"/>
      <c r="H264" s="30" t="s">
        <v>3</v>
      </c>
      <c r="I264" s="29"/>
      <c r="J264" s="29"/>
      <c r="K264" s="29">
        <f>SUM(I264*J264)</f>
        <v>0</v>
      </c>
    </row>
    <row r="265" spans="2:14" ht="39.950000000000003" hidden="1" customHeight="1" outlineLevel="1" x14ac:dyDescent="0.25">
      <c r="B265" s="10">
        <f ca="1">DATE(YEAR(TODAY()),9,2)</f>
        <v>42249</v>
      </c>
      <c r="C265" s="9"/>
      <c r="D265" s="34" t="s">
        <v>258</v>
      </c>
      <c r="E265" s="33"/>
      <c r="F265" s="32" t="s">
        <v>257</v>
      </c>
      <c r="G265" s="31"/>
      <c r="H265" s="30" t="s">
        <v>0</v>
      </c>
      <c r="I265" s="29"/>
      <c r="J265" s="29"/>
      <c r="K265" s="29">
        <f>SUM(I265*J265)</f>
        <v>0</v>
      </c>
      <c r="N265" s="21" t="s">
        <v>66</v>
      </c>
    </row>
    <row r="266" spans="2:14" ht="39.950000000000003" hidden="1" customHeight="1" outlineLevel="1" x14ac:dyDescent="0.25">
      <c r="B266" s="10">
        <f ca="1">DATE(YEAR(TODAY()),9,3)</f>
        <v>42250</v>
      </c>
      <c r="C266" s="9"/>
      <c r="D266" s="34" t="s">
        <v>256</v>
      </c>
      <c r="E266" s="33"/>
      <c r="F266" s="32" t="s">
        <v>255</v>
      </c>
      <c r="G266" s="31"/>
      <c r="H266" s="30" t="s">
        <v>6</v>
      </c>
      <c r="I266" s="29"/>
      <c r="J266" s="29"/>
      <c r="K266" s="29">
        <f>SUM(I266*J266)</f>
        <v>0</v>
      </c>
      <c r="N266" s="21" t="s">
        <v>63</v>
      </c>
    </row>
    <row r="267" spans="2:14" ht="39.950000000000003" hidden="1" customHeight="1" outlineLevel="1" x14ac:dyDescent="0.25">
      <c r="B267" s="14">
        <f ca="1">DATE(YEAR(TODAY()),9,4)</f>
        <v>42251</v>
      </c>
      <c r="C267" s="13"/>
      <c r="D267" s="34" t="s">
        <v>254</v>
      </c>
      <c r="E267" s="33"/>
      <c r="F267" s="32" t="s">
        <v>253</v>
      </c>
      <c r="G267" s="31"/>
      <c r="H267" s="30" t="s">
        <v>3</v>
      </c>
      <c r="I267" s="29"/>
      <c r="J267" s="29"/>
      <c r="K267" s="29">
        <f>SUM(I267*J267)</f>
        <v>0</v>
      </c>
      <c r="N267" s="21" t="s">
        <v>60</v>
      </c>
    </row>
    <row r="268" spans="2:14" ht="39.950000000000003" hidden="1" customHeight="1" outlineLevel="1" x14ac:dyDescent="0.25">
      <c r="B268" s="12">
        <f ca="1">DATE(YEAR(TODAY()),9,5)</f>
        <v>42252</v>
      </c>
      <c r="C268" s="11"/>
      <c r="D268" s="34" t="s">
        <v>252</v>
      </c>
      <c r="E268" s="33"/>
      <c r="F268" s="32" t="s">
        <v>251</v>
      </c>
      <c r="G268" s="31"/>
      <c r="H268" s="30" t="s">
        <v>3</v>
      </c>
      <c r="I268" s="29"/>
      <c r="J268" s="29"/>
      <c r="K268" s="29">
        <f>SUM(I268*J268)</f>
        <v>0</v>
      </c>
      <c r="N268" s="21" t="s">
        <v>57</v>
      </c>
    </row>
    <row r="269" spans="2:14" ht="39.950000000000003" hidden="1" customHeight="1" outlineLevel="1" x14ac:dyDescent="0.25">
      <c r="B269" s="16">
        <f ca="1">DATE(YEAR(TODAY()),9,6)</f>
        <v>42253</v>
      </c>
      <c r="C269" s="15"/>
      <c r="D269" s="34" t="s">
        <v>250</v>
      </c>
      <c r="E269" s="33"/>
      <c r="F269" s="32" t="s">
        <v>249</v>
      </c>
      <c r="G269" s="31"/>
      <c r="H269" s="30" t="s">
        <v>3</v>
      </c>
      <c r="I269" s="29"/>
      <c r="J269" s="29"/>
      <c r="K269" s="29">
        <f>SUM(I269*J269)</f>
        <v>0</v>
      </c>
      <c r="N269" s="21" t="s">
        <v>54</v>
      </c>
    </row>
    <row r="270" spans="2:14" ht="39.950000000000003" hidden="1" customHeight="1" outlineLevel="1" x14ac:dyDescent="0.25">
      <c r="B270" s="14">
        <f ca="1">DATE(YEAR(TODAY()),9,7)</f>
        <v>42254</v>
      </c>
      <c r="C270" s="13"/>
      <c r="D270" s="34" t="s">
        <v>248</v>
      </c>
      <c r="E270" s="33"/>
      <c r="F270" s="32" t="s">
        <v>247</v>
      </c>
      <c r="G270" s="31"/>
      <c r="H270" s="30" t="s">
        <v>3</v>
      </c>
      <c r="I270" s="29"/>
      <c r="J270" s="29"/>
      <c r="K270" s="29">
        <f>SUM(I270*J270)</f>
        <v>0</v>
      </c>
      <c r="N270" s="21" t="s">
        <v>51</v>
      </c>
    </row>
    <row r="271" spans="2:14" ht="39.950000000000003" hidden="1" customHeight="1" outlineLevel="1" x14ac:dyDescent="0.25">
      <c r="B271" s="10">
        <f ca="1">DATE(YEAR(TODAY()),9,8)</f>
        <v>42255</v>
      </c>
      <c r="C271" s="9"/>
      <c r="D271" s="34" t="s">
        <v>246</v>
      </c>
      <c r="E271" s="33"/>
      <c r="F271" s="32" t="s">
        <v>245</v>
      </c>
      <c r="G271" s="31"/>
      <c r="H271" s="30" t="s">
        <v>6</v>
      </c>
      <c r="I271" s="29"/>
      <c r="J271" s="29"/>
      <c r="K271" s="29">
        <f>SUM(I271*J271)</f>
        <v>0</v>
      </c>
    </row>
    <row r="272" spans="2:14" ht="39.950000000000003" hidden="1" customHeight="1" outlineLevel="1" x14ac:dyDescent="0.25">
      <c r="B272" s="12">
        <f ca="1">DATE(YEAR(TODAY()),9,9)</f>
        <v>42256</v>
      </c>
      <c r="C272" s="11"/>
      <c r="D272" s="34" t="s">
        <v>244</v>
      </c>
      <c r="E272" s="33"/>
      <c r="F272" s="32" t="s">
        <v>243</v>
      </c>
      <c r="G272" s="31"/>
      <c r="H272" s="30" t="s">
        <v>3</v>
      </c>
      <c r="I272" s="29"/>
      <c r="J272" s="29"/>
      <c r="K272" s="29">
        <f>SUM(I272*J272)</f>
        <v>0</v>
      </c>
    </row>
    <row r="273" spans="2:11" ht="39.950000000000003" hidden="1" customHeight="1" outlineLevel="1" x14ac:dyDescent="0.25">
      <c r="B273" s="20">
        <f ca="1">DATE(YEAR(TODAY()),9,10)</f>
        <v>42257</v>
      </c>
      <c r="C273" s="19"/>
      <c r="D273" s="34" t="s">
        <v>242</v>
      </c>
      <c r="E273" s="33"/>
      <c r="F273" s="32" t="s">
        <v>241</v>
      </c>
      <c r="G273" s="31"/>
      <c r="H273" s="30" t="s">
        <v>3</v>
      </c>
      <c r="I273" s="29"/>
      <c r="J273" s="29"/>
      <c r="K273" s="29">
        <f>SUM(I273*J273)</f>
        <v>0</v>
      </c>
    </row>
    <row r="274" spans="2:11" ht="39.950000000000003" hidden="1" customHeight="1" outlineLevel="1" x14ac:dyDescent="0.25">
      <c r="B274" s="14">
        <f ca="1">DATE(YEAR(TODAY()),9,11)</f>
        <v>42258</v>
      </c>
      <c r="C274" s="13"/>
      <c r="D274" s="34" t="s">
        <v>240</v>
      </c>
      <c r="E274" s="33"/>
      <c r="F274" s="32" t="s">
        <v>239</v>
      </c>
      <c r="G274" s="31"/>
      <c r="H274" s="30" t="s">
        <v>3</v>
      </c>
      <c r="I274" s="29"/>
      <c r="J274" s="29"/>
      <c r="K274" s="29">
        <f>SUM(I274*J274)</f>
        <v>0</v>
      </c>
    </row>
    <row r="275" spans="2:11" ht="39.950000000000003" hidden="1" customHeight="1" outlineLevel="1" x14ac:dyDescent="0.25">
      <c r="B275" s="18">
        <f ca="1">DATE(YEAR(TODAY()),9,12)</f>
        <v>42259</v>
      </c>
      <c r="C275" s="17"/>
      <c r="D275" s="34" t="s">
        <v>238</v>
      </c>
      <c r="E275" s="33"/>
      <c r="F275" s="32" t="s">
        <v>237</v>
      </c>
      <c r="G275" s="31"/>
      <c r="H275" s="30" t="s">
        <v>3</v>
      </c>
      <c r="I275" s="29"/>
      <c r="J275" s="29"/>
      <c r="K275" s="29">
        <f>SUM(I275*J275)</f>
        <v>0</v>
      </c>
    </row>
    <row r="276" spans="2:11" ht="39.950000000000003" hidden="1" customHeight="1" outlineLevel="1" x14ac:dyDescent="0.25">
      <c r="B276" s="10">
        <f ca="1">DATE(YEAR(TODAY()),9,13)</f>
        <v>42260</v>
      </c>
      <c r="C276" s="9"/>
      <c r="D276" s="34" t="s">
        <v>236</v>
      </c>
      <c r="E276" s="33"/>
      <c r="F276" s="32" t="s">
        <v>235</v>
      </c>
      <c r="G276" s="31"/>
      <c r="H276" s="30" t="s">
        <v>6</v>
      </c>
      <c r="I276" s="29"/>
      <c r="J276" s="29"/>
      <c r="K276" s="29">
        <f>SUM(I276*J276)</f>
        <v>0</v>
      </c>
    </row>
    <row r="277" spans="2:11" ht="39.950000000000003" hidden="1" customHeight="1" outlineLevel="1" x14ac:dyDescent="0.25">
      <c r="B277" s="16">
        <f ca="1">DATE(YEAR(TODAY()),9,14)</f>
        <v>42261</v>
      </c>
      <c r="C277" s="15"/>
      <c r="D277" s="34" t="s">
        <v>234</v>
      </c>
      <c r="E277" s="33"/>
      <c r="F277" s="32" t="s">
        <v>233</v>
      </c>
      <c r="G277" s="31"/>
      <c r="H277" s="30" t="s">
        <v>3</v>
      </c>
      <c r="I277" s="29"/>
      <c r="J277" s="29"/>
      <c r="K277" s="29">
        <f>SUM(I277*J277)</f>
        <v>0</v>
      </c>
    </row>
    <row r="278" spans="2:11" ht="39.950000000000003" hidden="1" customHeight="1" outlineLevel="1" x14ac:dyDescent="0.25">
      <c r="B278" s="10">
        <f ca="1">DATE(YEAR(TODAY()),9,15)</f>
        <v>42262</v>
      </c>
      <c r="C278" s="9"/>
      <c r="D278" s="34" t="s">
        <v>232</v>
      </c>
      <c r="E278" s="33"/>
      <c r="F278" s="32" t="s">
        <v>231</v>
      </c>
      <c r="G278" s="31"/>
      <c r="H278" s="30" t="s">
        <v>0</v>
      </c>
      <c r="I278" s="29"/>
      <c r="J278" s="29"/>
      <c r="K278" s="29">
        <f>SUM(I278*J278)</f>
        <v>0</v>
      </c>
    </row>
    <row r="279" spans="2:11" ht="39.950000000000003" hidden="1" customHeight="1" outlineLevel="1" x14ac:dyDescent="0.25">
      <c r="B279" s="12">
        <f ca="1">DATE(YEAR(TODAY()),9,16)</f>
        <v>42263</v>
      </c>
      <c r="C279" s="11"/>
      <c r="D279" s="34" t="s">
        <v>230</v>
      </c>
      <c r="E279" s="33"/>
      <c r="F279" s="32" t="s">
        <v>229</v>
      </c>
      <c r="G279" s="31"/>
      <c r="H279" s="30" t="s">
        <v>3</v>
      </c>
      <c r="I279" s="29"/>
      <c r="J279" s="29"/>
      <c r="K279" s="29">
        <f>SUM(I279*J279)</f>
        <v>0</v>
      </c>
    </row>
    <row r="280" spans="2:11" ht="39.950000000000003" hidden="1" customHeight="1" outlineLevel="1" x14ac:dyDescent="0.25">
      <c r="B280" s="16">
        <f ca="1">DATE(YEAR(TODAY()),9,17)</f>
        <v>42264</v>
      </c>
      <c r="C280" s="15"/>
      <c r="D280" s="34" t="s">
        <v>228</v>
      </c>
      <c r="E280" s="33"/>
      <c r="F280" s="32" t="s">
        <v>227</v>
      </c>
      <c r="G280" s="31"/>
      <c r="H280" s="30" t="s">
        <v>3</v>
      </c>
      <c r="I280" s="29"/>
      <c r="J280" s="29"/>
      <c r="K280" s="29">
        <f>SUM(I280*J280)</f>
        <v>0</v>
      </c>
    </row>
    <row r="281" spans="2:11" ht="39.950000000000003" hidden="1" customHeight="1" outlineLevel="1" x14ac:dyDescent="0.25">
      <c r="B281" s="14">
        <f ca="1">DATE(YEAR(TODAY()),9,18)</f>
        <v>42265</v>
      </c>
      <c r="C281" s="13"/>
      <c r="D281" s="34" t="s">
        <v>226</v>
      </c>
      <c r="E281" s="33"/>
      <c r="F281" s="32" t="s">
        <v>225</v>
      </c>
      <c r="G281" s="31"/>
      <c r="H281" s="30" t="s">
        <v>3</v>
      </c>
      <c r="I281" s="29"/>
      <c r="J281" s="29"/>
      <c r="K281" s="29">
        <f>SUM(I281*J281)</f>
        <v>0</v>
      </c>
    </row>
    <row r="282" spans="2:11" ht="39.950000000000003" hidden="1" customHeight="1" outlineLevel="1" x14ac:dyDescent="0.25">
      <c r="B282" s="14">
        <f ca="1">DATE(YEAR(TODAY()),9,19)</f>
        <v>42266</v>
      </c>
      <c r="C282" s="13"/>
      <c r="D282" s="34" t="s">
        <v>224</v>
      </c>
      <c r="E282" s="33"/>
      <c r="F282" s="32" t="s">
        <v>223</v>
      </c>
      <c r="G282" s="31"/>
      <c r="H282" s="30" t="s">
        <v>3</v>
      </c>
      <c r="I282" s="29"/>
      <c r="J282" s="29"/>
      <c r="K282" s="29">
        <f>SUM(I282*J282)</f>
        <v>0</v>
      </c>
    </row>
    <row r="283" spans="2:11" ht="39.950000000000003" hidden="1" customHeight="1" outlineLevel="1" x14ac:dyDescent="0.25">
      <c r="B283" s="10">
        <f ca="1">DATE(YEAR(TODAY()),9,20)</f>
        <v>42267</v>
      </c>
      <c r="C283" s="9"/>
      <c r="D283" s="34" t="s">
        <v>222</v>
      </c>
      <c r="E283" s="33"/>
      <c r="F283" s="32" t="s">
        <v>221</v>
      </c>
      <c r="G283" s="31"/>
      <c r="H283" s="30" t="s">
        <v>6</v>
      </c>
      <c r="I283" s="29"/>
      <c r="J283" s="29"/>
      <c r="K283" s="29">
        <f>SUM(I283*J283)</f>
        <v>0</v>
      </c>
    </row>
    <row r="284" spans="2:11" ht="39.950000000000003" hidden="1" customHeight="1" outlineLevel="1" x14ac:dyDescent="0.25">
      <c r="B284" s="10">
        <f ca="1">DATE(YEAR(TODAY()),9,21)</f>
        <v>42268</v>
      </c>
      <c r="C284" s="9"/>
      <c r="D284" s="34" t="s">
        <v>220</v>
      </c>
      <c r="E284" s="33"/>
      <c r="F284" s="32" t="s">
        <v>219</v>
      </c>
      <c r="G284" s="31"/>
      <c r="H284" s="30" t="s">
        <v>0</v>
      </c>
      <c r="I284" s="29"/>
      <c r="J284" s="29"/>
      <c r="K284" s="29">
        <f>SUM(I284*J284)</f>
        <v>0</v>
      </c>
    </row>
    <row r="285" spans="2:11" ht="39.950000000000003" hidden="1" customHeight="1" outlineLevel="1" x14ac:dyDescent="0.25">
      <c r="B285" s="14">
        <f ca="1">DATE(YEAR(TODAY()),9,22)</f>
        <v>42269</v>
      </c>
      <c r="C285" s="13"/>
      <c r="D285" s="34" t="s">
        <v>218</v>
      </c>
      <c r="E285" s="33"/>
      <c r="F285" s="32" t="s">
        <v>217</v>
      </c>
      <c r="G285" s="31"/>
      <c r="H285" s="30" t="s">
        <v>3</v>
      </c>
      <c r="I285" s="29"/>
      <c r="J285" s="29"/>
      <c r="K285" s="29">
        <f>SUM(I285*J285)</f>
        <v>0</v>
      </c>
    </row>
    <row r="286" spans="2:11" ht="39.950000000000003" hidden="1" customHeight="1" outlineLevel="1" x14ac:dyDescent="0.25">
      <c r="B286" s="12">
        <f ca="1">DATE(YEAR(TODAY()),9,23)</f>
        <v>42270</v>
      </c>
      <c r="C286" s="11"/>
      <c r="D286" s="34" t="s">
        <v>216</v>
      </c>
      <c r="E286" s="33"/>
      <c r="F286" s="32" t="s">
        <v>215</v>
      </c>
      <c r="G286" s="31"/>
      <c r="H286" s="30" t="s">
        <v>3</v>
      </c>
      <c r="I286" s="29"/>
      <c r="J286" s="29"/>
      <c r="K286" s="29">
        <f>SUM(I286*J286)</f>
        <v>0</v>
      </c>
    </row>
    <row r="287" spans="2:11" ht="39.950000000000003" hidden="1" customHeight="1" outlineLevel="1" x14ac:dyDescent="0.25">
      <c r="B287" s="10">
        <f ca="1">DATE(YEAR(TODAY()),9,24)</f>
        <v>42271</v>
      </c>
      <c r="C287" s="9"/>
      <c r="D287" s="34" t="s">
        <v>214</v>
      </c>
      <c r="E287" s="33"/>
      <c r="F287" s="32" t="s">
        <v>213</v>
      </c>
      <c r="G287" s="31"/>
      <c r="H287" s="30" t="s">
        <v>0</v>
      </c>
      <c r="I287" s="29"/>
      <c r="J287" s="29"/>
      <c r="K287" s="29">
        <f>SUM(I287*J287)</f>
        <v>0</v>
      </c>
    </row>
    <row r="288" spans="2:11" ht="39.950000000000003" hidden="1" customHeight="1" outlineLevel="1" x14ac:dyDescent="0.25">
      <c r="B288" s="16">
        <f ca="1">DATE(YEAR(TODAY()),9,25)</f>
        <v>42272</v>
      </c>
      <c r="C288" s="15"/>
      <c r="D288" s="34" t="s">
        <v>212</v>
      </c>
      <c r="E288" s="33"/>
      <c r="F288" s="32" t="s">
        <v>211</v>
      </c>
      <c r="G288" s="31"/>
      <c r="H288" s="30" t="s">
        <v>3</v>
      </c>
      <c r="I288" s="29"/>
      <c r="J288" s="29"/>
      <c r="K288" s="29">
        <f>SUM(I288*J288)</f>
        <v>0</v>
      </c>
    </row>
    <row r="289" spans="2:14" ht="39.950000000000003" hidden="1" customHeight="1" outlineLevel="1" x14ac:dyDescent="0.25">
      <c r="B289" s="10">
        <f ca="1">DATE(YEAR(TODAY()),9,26)</f>
        <v>42273</v>
      </c>
      <c r="C289" s="9"/>
      <c r="D289" s="34" t="s">
        <v>210</v>
      </c>
      <c r="E289" s="33"/>
      <c r="F289" s="32" t="s">
        <v>209</v>
      </c>
      <c r="G289" s="31"/>
      <c r="H289" s="30" t="s">
        <v>6</v>
      </c>
      <c r="I289" s="29"/>
      <c r="J289" s="29"/>
      <c r="K289" s="29">
        <f>SUM(I289*J289)</f>
        <v>0</v>
      </c>
    </row>
    <row r="290" spans="2:14" ht="39.950000000000003" hidden="1" customHeight="1" outlineLevel="1" x14ac:dyDescent="0.25">
      <c r="B290" s="12">
        <f ca="1">DATE(YEAR(TODAY()),9,27)</f>
        <v>42274</v>
      </c>
      <c r="C290" s="11"/>
      <c r="D290" s="34" t="s">
        <v>208</v>
      </c>
      <c r="E290" s="33"/>
      <c r="F290" s="32" t="s">
        <v>207</v>
      </c>
      <c r="G290" s="31"/>
      <c r="H290" s="30" t="s">
        <v>3</v>
      </c>
      <c r="I290" s="29"/>
      <c r="J290" s="29"/>
      <c r="K290" s="29">
        <f>SUM(I290*J290)</f>
        <v>0</v>
      </c>
    </row>
    <row r="291" spans="2:14" ht="39.950000000000003" hidden="1" customHeight="1" outlineLevel="1" x14ac:dyDescent="0.25">
      <c r="B291" s="14">
        <f ca="1">DATE(YEAR(TODAY()),9,28)</f>
        <v>42275</v>
      </c>
      <c r="C291" s="13"/>
      <c r="D291" s="34" t="s">
        <v>206</v>
      </c>
      <c r="E291" s="33"/>
      <c r="F291" s="32" t="s">
        <v>205</v>
      </c>
      <c r="G291" s="31"/>
      <c r="H291" s="30" t="s">
        <v>3</v>
      </c>
      <c r="I291" s="29"/>
      <c r="J291" s="29"/>
      <c r="K291" s="29">
        <f>SUM(I291*J291)</f>
        <v>0</v>
      </c>
    </row>
    <row r="292" spans="2:14" ht="39.950000000000003" hidden="1" customHeight="1" outlineLevel="1" x14ac:dyDescent="0.25">
      <c r="B292" s="14">
        <f ca="1">DATE(YEAR(TODAY()),9,29)</f>
        <v>42276</v>
      </c>
      <c r="C292" s="13"/>
      <c r="D292" s="34" t="s">
        <v>204</v>
      </c>
      <c r="E292" s="33"/>
      <c r="F292" s="32" t="s">
        <v>203</v>
      </c>
      <c r="G292" s="31"/>
      <c r="H292" s="30" t="s">
        <v>3</v>
      </c>
      <c r="I292" s="29"/>
      <c r="J292" s="29"/>
      <c r="K292" s="29">
        <f>SUM(I292*J292)</f>
        <v>0</v>
      </c>
    </row>
    <row r="293" spans="2:14" ht="39.950000000000003" hidden="1" customHeight="1" outlineLevel="1" x14ac:dyDescent="0.25">
      <c r="B293" s="12">
        <f ca="1">DATE(YEAR(TODAY()),9,30)</f>
        <v>42277</v>
      </c>
      <c r="C293" s="11"/>
      <c r="D293" s="34" t="s">
        <v>202</v>
      </c>
      <c r="E293" s="33"/>
      <c r="F293" s="32" t="s">
        <v>201</v>
      </c>
      <c r="G293" s="31"/>
      <c r="H293" s="30" t="s">
        <v>3</v>
      </c>
      <c r="I293" s="29"/>
      <c r="J293" s="29"/>
      <c r="K293" s="29">
        <f>SUM(I293*J293)</f>
        <v>0</v>
      </c>
    </row>
    <row r="294" spans="2:14" ht="21" customHeight="1" collapsed="1" x14ac:dyDescent="0.35">
      <c r="B294" s="28" t="s">
        <v>200</v>
      </c>
      <c r="C294" s="28"/>
      <c r="D294" s="28"/>
      <c r="E294" s="28"/>
      <c r="F294" s="28"/>
      <c r="G294" s="28"/>
      <c r="H294" s="28"/>
      <c r="I294" s="28"/>
      <c r="J294" s="28"/>
      <c r="K294" s="28"/>
    </row>
    <row r="295" spans="2:14" ht="15" hidden="1" customHeight="1" outlineLevel="1" x14ac:dyDescent="0.25">
      <c r="B295" s="42" t="s">
        <v>77</v>
      </c>
      <c r="C295" s="41"/>
      <c r="D295" s="40" t="s">
        <v>76</v>
      </c>
      <c r="E295" s="40"/>
      <c r="F295" s="39" t="s">
        <v>75</v>
      </c>
      <c r="G295" s="38"/>
      <c r="H295" s="38" t="s">
        <v>74</v>
      </c>
      <c r="I295" s="37" t="s">
        <v>73</v>
      </c>
      <c r="J295" s="37" t="s">
        <v>72</v>
      </c>
      <c r="K295" s="37" t="s">
        <v>71</v>
      </c>
    </row>
    <row r="296" spans="2:14" ht="39.950000000000003" hidden="1" customHeight="1" outlineLevel="1" x14ac:dyDescent="0.25">
      <c r="B296" s="16">
        <f ca="1">DATE(YEAR(TODAY()),10,1)</f>
        <v>42278</v>
      </c>
      <c r="C296" s="15"/>
      <c r="D296" s="34" t="s">
        <v>199</v>
      </c>
      <c r="E296" s="33"/>
      <c r="F296" s="32" t="s">
        <v>198</v>
      </c>
      <c r="G296" s="31"/>
      <c r="H296" s="30" t="s">
        <v>3</v>
      </c>
      <c r="I296" s="29"/>
      <c r="J296" s="29"/>
      <c r="K296" s="29">
        <f>SUM(I296*J296)</f>
        <v>0</v>
      </c>
    </row>
    <row r="297" spans="2:14" ht="39.950000000000003" hidden="1" customHeight="1" outlineLevel="1" x14ac:dyDescent="0.25">
      <c r="B297" s="10">
        <f ca="1">DATE(YEAR(TODAY()),10,2)</f>
        <v>42279</v>
      </c>
      <c r="C297" s="9"/>
      <c r="D297" s="34" t="s">
        <v>197</v>
      </c>
      <c r="E297" s="33"/>
      <c r="F297" s="32" t="s">
        <v>61</v>
      </c>
      <c r="G297" s="31"/>
      <c r="H297" s="30" t="s">
        <v>6</v>
      </c>
      <c r="I297" s="29"/>
      <c r="J297" s="29"/>
      <c r="K297" s="29">
        <f>SUM(I297*J297)</f>
        <v>0</v>
      </c>
      <c r="N297" s="21" t="s">
        <v>66</v>
      </c>
    </row>
    <row r="298" spans="2:14" ht="39.950000000000003" hidden="1" customHeight="1" outlineLevel="1" x14ac:dyDescent="0.25">
      <c r="B298" s="18">
        <f ca="1">DATE(YEAR(TODAY()),10,3)</f>
        <v>42280</v>
      </c>
      <c r="C298" s="17"/>
      <c r="D298" s="34" t="s">
        <v>196</v>
      </c>
      <c r="E298" s="33"/>
      <c r="F298" s="32" t="s">
        <v>195</v>
      </c>
      <c r="G298" s="31"/>
      <c r="H298" s="30" t="s">
        <v>0</v>
      </c>
      <c r="I298" s="29"/>
      <c r="J298" s="29"/>
      <c r="K298" s="29">
        <f>SUM(I298*J298)</f>
        <v>0</v>
      </c>
      <c r="N298" s="21" t="s">
        <v>63</v>
      </c>
    </row>
    <row r="299" spans="2:14" ht="39.950000000000003" hidden="1" customHeight="1" outlineLevel="1" x14ac:dyDescent="0.25">
      <c r="B299" s="12">
        <f ca="1">DATE(YEAR(TODAY()),10,4)</f>
        <v>42281</v>
      </c>
      <c r="C299" s="11"/>
      <c r="D299" s="34" t="s">
        <v>194</v>
      </c>
      <c r="E299" s="33"/>
      <c r="F299" s="32" t="s">
        <v>193</v>
      </c>
      <c r="G299" s="31"/>
      <c r="H299" s="30" t="s">
        <v>3</v>
      </c>
      <c r="I299" s="29"/>
      <c r="J299" s="29"/>
      <c r="K299" s="29">
        <f>SUM(I299*J299)</f>
        <v>0</v>
      </c>
      <c r="N299" s="21" t="s">
        <v>60</v>
      </c>
    </row>
    <row r="300" spans="2:14" ht="39.950000000000003" hidden="1" customHeight="1" outlineLevel="1" x14ac:dyDescent="0.25">
      <c r="B300" s="10">
        <f ca="1">DATE(YEAR(TODAY()),10,5)</f>
        <v>42282</v>
      </c>
      <c r="C300" s="9"/>
      <c r="D300" s="34" t="s">
        <v>192</v>
      </c>
      <c r="E300" s="33"/>
      <c r="F300" s="32" t="s">
        <v>191</v>
      </c>
      <c r="G300" s="31"/>
      <c r="H300" s="30" t="s">
        <v>0</v>
      </c>
      <c r="I300" s="29"/>
      <c r="J300" s="29"/>
      <c r="K300" s="29">
        <f>SUM(I300*J300)</f>
        <v>0</v>
      </c>
      <c r="N300" s="21" t="s">
        <v>57</v>
      </c>
    </row>
    <row r="301" spans="2:14" ht="39.950000000000003" hidden="1" customHeight="1" outlineLevel="1" x14ac:dyDescent="0.25">
      <c r="B301" s="14">
        <f ca="1">DATE(YEAR(TODAY()),10,6)</f>
        <v>42283</v>
      </c>
      <c r="C301" s="13"/>
      <c r="D301" s="34" t="s">
        <v>190</v>
      </c>
      <c r="E301" s="33"/>
      <c r="F301" s="32" t="s">
        <v>189</v>
      </c>
      <c r="G301" s="31"/>
      <c r="H301" s="30" t="s">
        <v>3</v>
      </c>
      <c r="I301" s="29"/>
      <c r="J301" s="29"/>
      <c r="K301" s="29">
        <f>SUM(I301*J301)</f>
        <v>0</v>
      </c>
      <c r="N301" s="21" t="s">
        <v>54</v>
      </c>
    </row>
    <row r="302" spans="2:14" ht="39.950000000000003" hidden="1" customHeight="1" outlineLevel="1" x14ac:dyDescent="0.25">
      <c r="B302" s="16">
        <f ca="1">DATE(YEAR(TODAY()),10,7)</f>
        <v>42284</v>
      </c>
      <c r="C302" s="15"/>
      <c r="D302" s="34" t="s">
        <v>188</v>
      </c>
      <c r="E302" s="33"/>
      <c r="F302" s="32" t="s">
        <v>187</v>
      </c>
      <c r="G302" s="31"/>
      <c r="H302" s="30" t="s">
        <v>3</v>
      </c>
      <c r="I302" s="29"/>
      <c r="J302" s="29"/>
      <c r="K302" s="29">
        <f>SUM(I302*J302)</f>
        <v>0</v>
      </c>
      <c r="N302" s="21" t="s">
        <v>51</v>
      </c>
    </row>
    <row r="303" spans="2:14" ht="39.950000000000003" hidden="1" customHeight="1" outlineLevel="1" x14ac:dyDescent="0.25">
      <c r="B303" s="10">
        <f ca="1">DATE(YEAR(TODAY()),10,8)</f>
        <v>42285</v>
      </c>
      <c r="C303" s="9"/>
      <c r="D303" s="34" t="s">
        <v>186</v>
      </c>
      <c r="E303" s="33"/>
      <c r="F303" s="32" t="s">
        <v>185</v>
      </c>
      <c r="G303" s="31"/>
      <c r="H303" s="30" t="s">
        <v>0</v>
      </c>
      <c r="I303" s="29"/>
      <c r="J303" s="29"/>
      <c r="K303" s="29">
        <f>SUM(I303*J303)</f>
        <v>0</v>
      </c>
    </row>
    <row r="304" spans="2:14" ht="39.950000000000003" hidden="1" customHeight="1" outlineLevel="1" x14ac:dyDescent="0.25">
      <c r="B304" s="14">
        <f ca="1">DATE(YEAR(TODAY()),10,9)</f>
        <v>42286</v>
      </c>
      <c r="C304" s="13"/>
      <c r="D304" s="34" t="s">
        <v>184</v>
      </c>
      <c r="E304" s="33"/>
      <c r="F304" s="32" t="s">
        <v>183</v>
      </c>
      <c r="G304" s="31"/>
      <c r="H304" s="30" t="s">
        <v>3</v>
      </c>
      <c r="I304" s="29"/>
      <c r="J304" s="29"/>
      <c r="K304" s="29">
        <f>SUM(I304*J304)</f>
        <v>0</v>
      </c>
    </row>
    <row r="305" spans="2:11" ht="39.950000000000003" hidden="1" customHeight="1" outlineLevel="1" x14ac:dyDescent="0.25">
      <c r="B305" s="20">
        <f ca="1">DATE(YEAR(TODAY()),10,10)</f>
        <v>42287</v>
      </c>
      <c r="C305" s="19"/>
      <c r="D305" s="34" t="s">
        <v>182</v>
      </c>
      <c r="E305" s="33"/>
      <c r="F305" s="32" t="s">
        <v>181</v>
      </c>
      <c r="G305" s="31"/>
      <c r="H305" s="30" t="s">
        <v>0</v>
      </c>
      <c r="I305" s="29"/>
      <c r="J305" s="29"/>
      <c r="K305" s="29">
        <f>SUM(I305*J305)</f>
        <v>0</v>
      </c>
    </row>
    <row r="306" spans="2:11" ht="39.950000000000003" hidden="1" customHeight="1" outlineLevel="1" x14ac:dyDescent="0.25">
      <c r="B306" s="12">
        <f ca="1">DATE(YEAR(TODAY()),10,11)</f>
        <v>42288</v>
      </c>
      <c r="C306" s="11"/>
      <c r="D306" s="34" t="s">
        <v>180</v>
      </c>
      <c r="E306" s="33"/>
      <c r="F306" s="32" t="s">
        <v>179</v>
      </c>
      <c r="G306" s="31"/>
      <c r="H306" s="30" t="s">
        <v>3</v>
      </c>
      <c r="I306" s="29"/>
      <c r="J306" s="29"/>
      <c r="K306" s="29">
        <f>SUM(I306*J306)</f>
        <v>0</v>
      </c>
    </row>
    <row r="307" spans="2:11" ht="39.950000000000003" hidden="1" customHeight="1" outlineLevel="1" x14ac:dyDescent="0.25">
      <c r="B307" s="18">
        <f ca="1">DATE(YEAR(TODAY()),10,12)</f>
        <v>42289</v>
      </c>
      <c r="C307" s="17"/>
      <c r="D307" s="34" t="s">
        <v>178</v>
      </c>
      <c r="E307" s="33"/>
      <c r="F307" s="32" t="s">
        <v>177</v>
      </c>
      <c r="G307" s="31"/>
      <c r="H307" s="30" t="s">
        <v>3</v>
      </c>
      <c r="I307" s="29"/>
      <c r="J307" s="29"/>
      <c r="K307" s="29">
        <f>SUM(I307*J307)</f>
        <v>0</v>
      </c>
    </row>
    <row r="308" spans="2:11" ht="39.950000000000003" hidden="1" customHeight="1" outlineLevel="1" x14ac:dyDescent="0.25">
      <c r="B308" s="14">
        <f ca="1">DATE(YEAR(TODAY()),10,13)</f>
        <v>42290</v>
      </c>
      <c r="C308" s="13"/>
      <c r="D308" s="34" t="s">
        <v>176</v>
      </c>
      <c r="E308" s="33"/>
      <c r="F308" s="32" t="s">
        <v>175</v>
      </c>
      <c r="G308" s="31"/>
      <c r="H308" s="30" t="s">
        <v>3</v>
      </c>
      <c r="I308" s="29"/>
      <c r="J308" s="29"/>
      <c r="K308" s="29">
        <f>SUM(I308*J308)</f>
        <v>0</v>
      </c>
    </row>
    <row r="309" spans="2:11" ht="39.950000000000003" hidden="1" customHeight="1" outlineLevel="1" x14ac:dyDescent="0.25">
      <c r="B309" s="14">
        <f ca="1">DATE(YEAR(TODAY()),10,14)</f>
        <v>42291</v>
      </c>
      <c r="C309" s="13"/>
      <c r="D309" s="34" t="s">
        <v>174</v>
      </c>
      <c r="E309" s="33"/>
      <c r="F309" s="32" t="s">
        <v>173</v>
      </c>
      <c r="G309" s="31"/>
      <c r="H309" s="30" t="s">
        <v>3</v>
      </c>
      <c r="I309" s="29"/>
      <c r="J309" s="29"/>
      <c r="K309" s="29">
        <f>SUM(I309*J309)</f>
        <v>0</v>
      </c>
    </row>
    <row r="310" spans="2:11" ht="39.950000000000003" hidden="1" customHeight="1" outlineLevel="1" x14ac:dyDescent="0.25">
      <c r="B310" s="10">
        <f ca="1">DATE(YEAR(TODAY()),10,15)</f>
        <v>42292</v>
      </c>
      <c r="C310" s="9"/>
      <c r="D310" s="34" t="s">
        <v>172</v>
      </c>
      <c r="E310" s="33"/>
      <c r="F310" s="32" t="s">
        <v>171</v>
      </c>
      <c r="G310" s="31"/>
      <c r="H310" s="30" t="s">
        <v>6</v>
      </c>
      <c r="I310" s="29"/>
      <c r="J310" s="29"/>
      <c r="K310" s="29">
        <f>SUM(I310*J310)</f>
        <v>0</v>
      </c>
    </row>
    <row r="311" spans="2:11" ht="39.950000000000003" hidden="1" customHeight="1" outlineLevel="1" x14ac:dyDescent="0.25">
      <c r="B311" s="12">
        <f ca="1">DATE(YEAR(TODAY()),10,16)</f>
        <v>42293</v>
      </c>
      <c r="C311" s="11"/>
      <c r="D311" s="34" t="s">
        <v>170</v>
      </c>
      <c r="E311" s="33"/>
      <c r="F311" s="32" t="s">
        <v>169</v>
      </c>
      <c r="G311" s="31"/>
      <c r="H311" s="30" t="s">
        <v>3</v>
      </c>
      <c r="I311" s="29"/>
      <c r="J311" s="29"/>
      <c r="K311" s="29">
        <f>SUM(I311*J311)</f>
        <v>0</v>
      </c>
    </row>
    <row r="312" spans="2:11" ht="39.950000000000003" hidden="1" customHeight="1" outlineLevel="1" x14ac:dyDescent="0.25">
      <c r="B312" s="10">
        <f ca="1">DATE(YEAR(TODAY()),10,17)</f>
        <v>42294</v>
      </c>
      <c r="C312" s="9"/>
      <c r="D312" s="34" t="s">
        <v>168</v>
      </c>
      <c r="E312" s="33"/>
      <c r="F312" s="32" t="s">
        <v>167</v>
      </c>
      <c r="G312" s="31"/>
      <c r="H312" s="30" t="s">
        <v>0</v>
      </c>
      <c r="I312" s="29"/>
      <c r="J312" s="29"/>
      <c r="K312" s="29">
        <f>SUM(I312*J312)</f>
        <v>0</v>
      </c>
    </row>
    <row r="313" spans="2:11" ht="39.950000000000003" hidden="1" customHeight="1" outlineLevel="1" x14ac:dyDescent="0.25">
      <c r="B313" s="16">
        <f ca="1">DATE(YEAR(TODAY()),10,18)</f>
        <v>42295</v>
      </c>
      <c r="C313" s="15"/>
      <c r="D313" s="34" t="s">
        <v>166</v>
      </c>
      <c r="E313" s="33"/>
      <c r="F313" s="32" t="s">
        <v>165</v>
      </c>
      <c r="G313" s="31"/>
      <c r="H313" s="30" t="s">
        <v>3</v>
      </c>
      <c r="I313" s="29"/>
      <c r="J313" s="29"/>
      <c r="K313" s="29">
        <f>SUM(I313*J313)</f>
        <v>0</v>
      </c>
    </row>
    <row r="314" spans="2:11" ht="39.950000000000003" hidden="1" customHeight="1" outlineLevel="1" x14ac:dyDescent="0.25">
      <c r="B314" s="10">
        <f ca="1">DATE(YEAR(TODAY()),10,19)</f>
        <v>42296</v>
      </c>
      <c r="C314" s="9"/>
      <c r="D314" s="34" t="s">
        <v>164</v>
      </c>
      <c r="E314" s="33"/>
      <c r="F314" s="32" t="s">
        <v>163</v>
      </c>
      <c r="G314" s="31"/>
      <c r="H314" s="30" t="s">
        <v>6</v>
      </c>
      <c r="I314" s="29"/>
      <c r="J314" s="29"/>
      <c r="K314" s="29">
        <f>SUM(I314*J314)</f>
        <v>0</v>
      </c>
    </row>
    <row r="315" spans="2:11" ht="39.950000000000003" hidden="1" customHeight="1" outlineLevel="1" x14ac:dyDescent="0.25">
      <c r="B315" s="12">
        <f ca="1">DATE(YEAR(TODAY()),10,20)</f>
        <v>42297</v>
      </c>
      <c r="C315" s="11"/>
      <c r="D315" s="34" t="s">
        <v>162</v>
      </c>
      <c r="E315" s="33"/>
      <c r="F315" s="32" t="s">
        <v>161</v>
      </c>
      <c r="G315" s="31"/>
      <c r="H315" s="30" t="s">
        <v>3</v>
      </c>
      <c r="I315" s="29"/>
      <c r="J315" s="29"/>
      <c r="K315" s="29">
        <f>SUM(I315*J315)</f>
        <v>0</v>
      </c>
    </row>
    <row r="316" spans="2:11" ht="39.950000000000003" hidden="1" customHeight="1" outlineLevel="1" x14ac:dyDescent="0.25">
      <c r="B316" s="10">
        <f ca="1">DATE(YEAR(TODAY()),10,21)</f>
        <v>42298</v>
      </c>
      <c r="C316" s="9"/>
      <c r="D316" s="34" t="s">
        <v>160</v>
      </c>
      <c r="E316" s="33"/>
      <c r="F316" s="32" t="s">
        <v>159</v>
      </c>
      <c r="G316" s="31"/>
      <c r="H316" s="30" t="s">
        <v>0</v>
      </c>
      <c r="I316" s="29"/>
      <c r="J316" s="29"/>
      <c r="K316" s="29">
        <f>SUM(I316*J316)</f>
        <v>0</v>
      </c>
    </row>
    <row r="317" spans="2:11" ht="39.950000000000003" hidden="1" customHeight="1" outlineLevel="1" x14ac:dyDescent="0.25">
      <c r="B317" s="16">
        <f ca="1">DATE(YEAR(TODAY()),10,22)</f>
        <v>42299</v>
      </c>
      <c r="C317" s="15"/>
      <c r="D317" s="34" t="s">
        <v>158</v>
      </c>
      <c r="E317" s="33"/>
      <c r="F317" s="32" t="s">
        <v>157</v>
      </c>
      <c r="G317" s="31"/>
      <c r="H317" s="30" t="s">
        <v>3</v>
      </c>
      <c r="I317" s="29"/>
      <c r="J317" s="29"/>
      <c r="K317" s="29">
        <f>SUM(I317*J317)</f>
        <v>0</v>
      </c>
    </row>
    <row r="318" spans="2:11" ht="39.950000000000003" hidden="1" customHeight="1" outlineLevel="1" x14ac:dyDescent="0.25">
      <c r="B318" s="14">
        <f ca="1">DATE(YEAR(TODAY()),10,23)</f>
        <v>42300</v>
      </c>
      <c r="C318" s="13"/>
      <c r="D318" s="34" t="s">
        <v>156</v>
      </c>
      <c r="E318" s="33"/>
      <c r="F318" s="32" t="s">
        <v>155</v>
      </c>
      <c r="G318" s="31"/>
      <c r="H318" s="30" t="s">
        <v>3</v>
      </c>
      <c r="I318" s="29"/>
      <c r="J318" s="29"/>
      <c r="K318" s="29">
        <f>SUM(I318*J318)</f>
        <v>0</v>
      </c>
    </row>
    <row r="319" spans="2:11" ht="39.950000000000003" hidden="1" customHeight="1" outlineLevel="1" x14ac:dyDescent="0.25">
      <c r="B319" s="10">
        <f ca="1">DATE(YEAR(TODAY()),10,24)</f>
        <v>42301</v>
      </c>
      <c r="C319" s="9"/>
      <c r="D319" s="34" t="s">
        <v>154</v>
      </c>
      <c r="E319" s="33"/>
      <c r="F319" s="32" t="s">
        <v>153</v>
      </c>
      <c r="G319" s="31"/>
      <c r="H319" s="30" t="s">
        <v>6</v>
      </c>
      <c r="I319" s="29"/>
      <c r="J319" s="29"/>
      <c r="K319" s="29">
        <f>SUM(I319*J319)</f>
        <v>0</v>
      </c>
    </row>
    <row r="320" spans="2:11" ht="39.950000000000003" hidden="1" customHeight="1" outlineLevel="1" x14ac:dyDescent="0.25">
      <c r="B320" s="12">
        <f ca="1">DATE(YEAR(TODAY()),10,25)</f>
        <v>42302</v>
      </c>
      <c r="C320" s="11"/>
      <c r="D320" s="34" t="s">
        <v>152</v>
      </c>
      <c r="E320" s="33"/>
      <c r="F320" s="32" t="s">
        <v>151</v>
      </c>
      <c r="G320" s="31"/>
      <c r="H320" s="30" t="s">
        <v>3</v>
      </c>
      <c r="I320" s="29"/>
      <c r="J320" s="29"/>
      <c r="K320" s="29">
        <f>SUM(I320*J320)</f>
        <v>0</v>
      </c>
    </row>
    <row r="321" spans="2:14" ht="39.950000000000003" hidden="1" customHeight="1" outlineLevel="1" x14ac:dyDescent="0.25">
      <c r="B321" s="16">
        <f ca="1">DATE(YEAR(TODAY()),10,26)</f>
        <v>42303</v>
      </c>
      <c r="C321" s="15"/>
      <c r="D321" s="34" t="s">
        <v>150</v>
      </c>
      <c r="E321" s="33"/>
      <c r="F321" s="32" t="s">
        <v>149</v>
      </c>
      <c r="G321" s="31"/>
      <c r="H321" s="30" t="s">
        <v>3</v>
      </c>
      <c r="I321" s="29"/>
      <c r="J321" s="29"/>
      <c r="K321" s="29">
        <f>SUM(I321*J321)</f>
        <v>0</v>
      </c>
    </row>
    <row r="322" spans="2:14" ht="39.950000000000003" hidden="1" customHeight="1" outlineLevel="1" x14ac:dyDescent="0.25">
      <c r="B322" s="10">
        <f ca="1">DATE(YEAR(TODAY()),10,27)</f>
        <v>42304</v>
      </c>
      <c r="C322" s="9"/>
      <c r="D322" s="34" t="s">
        <v>148</v>
      </c>
      <c r="E322" s="33"/>
      <c r="F322" s="32" t="s">
        <v>147</v>
      </c>
      <c r="G322" s="31"/>
      <c r="H322" s="30" t="s">
        <v>0</v>
      </c>
      <c r="I322" s="29"/>
      <c r="J322" s="29"/>
      <c r="K322" s="29">
        <f>SUM(I322*J322)</f>
        <v>0</v>
      </c>
    </row>
    <row r="323" spans="2:14" ht="39.950000000000003" hidden="1" customHeight="1" outlineLevel="1" x14ac:dyDescent="0.25">
      <c r="B323" s="10">
        <f ca="1">DATE(YEAR(TODAY()),10,28)</f>
        <v>42305</v>
      </c>
      <c r="C323" s="9"/>
      <c r="D323" s="34" t="s">
        <v>146</v>
      </c>
      <c r="E323" s="33"/>
      <c r="F323" s="32" t="s">
        <v>145</v>
      </c>
      <c r="G323" s="31"/>
      <c r="H323" s="30" t="s">
        <v>6</v>
      </c>
      <c r="I323" s="29"/>
      <c r="J323" s="29"/>
      <c r="K323" s="29">
        <f>SUM(I323*J323)</f>
        <v>0</v>
      </c>
    </row>
    <row r="324" spans="2:14" ht="39.950000000000003" hidden="1" customHeight="1" outlineLevel="1" x14ac:dyDescent="0.25">
      <c r="B324" s="14">
        <f ca="1">DATE(YEAR(TODAY()),10,29)</f>
        <v>42306</v>
      </c>
      <c r="C324" s="13"/>
      <c r="D324" s="34" t="s">
        <v>144</v>
      </c>
      <c r="E324" s="33"/>
      <c r="F324" s="32" t="s">
        <v>143</v>
      </c>
      <c r="G324" s="31"/>
      <c r="H324" s="30" t="s">
        <v>3</v>
      </c>
      <c r="I324" s="29"/>
      <c r="J324" s="29"/>
      <c r="K324" s="29">
        <f>SUM(I324*J324)</f>
        <v>0</v>
      </c>
    </row>
    <row r="325" spans="2:14" ht="39.950000000000003" hidden="1" customHeight="1" outlineLevel="1" x14ac:dyDescent="0.25">
      <c r="B325" s="14">
        <f ca="1">DATE(YEAR(TODAY()),10,30)</f>
        <v>42307</v>
      </c>
      <c r="C325" s="13"/>
      <c r="D325" s="34" t="s">
        <v>142</v>
      </c>
      <c r="E325" s="33"/>
      <c r="F325" s="32" t="s">
        <v>141</v>
      </c>
      <c r="G325" s="31"/>
      <c r="H325" s="30" t="s">
        <v>3</v>
      </c>
      <c r="I325" s="29"/>
      <c r="J325" s="29"/>
      <c r="K325" s="29">
        <f>SUM(I325*J325)</f>
        <v>0</v>
      </c>
    </row>
    <row r="326" spans="2:14" ht="39.950000000000003" hidden="1" customHeight="1" outlineLevel="1" x14ac:dyDescent="0.25">
      <c r="B326" s="36">
        <f ca="1">DATE(YEAR(TODAY()),10,31)</f>
        <v>42308</v>
      </c>
      <c r="C326" s="35"/>
      <c r="D326" s="34" t="s">
        <v>140</v>
      </c>
      <c r="E326" s="33"/>
      <c r="F326" s="32" t="s">
        <v>139</v>
      </c>
      <c r="G326" s="31"/>
      <c r="H326" s="30" t="s">
        <v>3</v>
      </c>
      <c r="I326" s="29"/>
      <c r="J326" s="29"/>
      <c r="K326" s="29">
        <f>SUM(I326*J326)</f>
        <v>0</v>
      </c>
    </row>
    <row r="327" spans="2:14" ht="21" customHeight="1" collapsed="1" x14ac:dyDescent="0.35">
      <c r="B327" s="43" t="s">
        <v>138</v>
      </c>
      <c r="C327" s="43"/>
      <c r="D327" s="43"/>
      <c r="E327" s="43"/>
      <c r="F327" s="43"/>
      <c r="G327" s="43"/>
      <c r="H327" s="43"/>
      <c r="I327" s="43"/>
      <c r="J327" s="43"/>
      <c r="K327" s="43"/>
    </row>
    <row r="328" spans="2:14" ht="15" hidden="1" customHeight="1" outlineLevel="1" x14ac:dyDescent="0.25">
      <c r="B328" s="42" t="s">
        <v>77</v>
      </c>
      <c r="C328" s="41"/>
      <c r="D328" s="40" t="s">
        <v>76</v>
      </c>
      <c r="E328" s="40"/>
      <c r="F328" s="39" t="s">
        <v>75</v>
      </c>
      <c r="G328" s="38"/>
      <c r="H328" s="38" t="s">
        <v>74</v>
      </c>
      <c r="I328" s="37" t="s">
        <v>73</v>
      </c>
      <c r="J328" s="37" t="s">
        <v>72</v>
      </c>
      <c r="K328" s="37" t="s">
        <v>71</v>
      </c>
    </row>
    <row r="329" spans="2:14" ht="39.950000000000003" hidden="1" customHeight="1" outlineLevel="1" x14ac:dyDescent="0.25">
      <c r="B329" s="14">
        <f ca="1">DATE(YEAR(TODAY()),11,1)</f>
        <v>42309</v>
      </c>
      <c r="C329" s="13"/>
      <c r="D329" s="34" t="s">
        <v>137</v>
      </c>
      <c r="E329" s="33"/>
      <c r="F329" s="32" t="s">
        <v>136</v>
      </c>
      <c r="G329" s="31"/>
      <c r="H329" s="30" t="s">
        <v>3</v>
      </c>
      <c r="I329" s="29"/>
      <c r="J329" s="29"/>
      <c r="K329" s="29">
        <f>SUM(I329*J329)</f>
        <v>0</v>
      </c>
    </row>
    <row r="330" spans="2:14" ht="39.950000000000003" hidden="1" customHeight="1" outlineLevel="1" x14ac:dyDescent="0.25">
      <c r="B330" s="12">
        <f ca="1">DATE(YEAR(TODAY()),11,2)</f>
        <v>42310</v>
      </c>
      <c r="C330" s="11"/>
      <c r="D330" s="34" t="s">
        <v>135</v>
      </c>
      <c r="E330" s="33"/>
      <c r="F330" s="32" t="s">
        <v>134</v>
      </c>
      <c r="G330" s="31"/>
      <c r="H330" s="30" t="s">
        <v>3</v>
      </c>
      <c r="I330" s="29"/>
      <c r="J330" s="29"/>
      <c r="K330" s="29">
        <f>SUM(I330*J330)</f>
        <v>0</v>
      </c>
      <c r="N330" s="21" t="s">
        <v>66</v>
      </c>
    </row>
    <row r="331" spans="2:14" ht="39.950000000000003" hidden="1" customHeight="1" outlineLevel="1" x14ac:dyDescent="0.25">
      <c r="B331" s="10">
        <f ca="1">DATE(YEAR(TODAY()),11,3)</f>
        <v>42311</v>
      </c>
      <c r="C331" s="9"/>
      <c r="D331" s="34" t="s">
        <v>133</v>
      </c>
      <c r="E331" s="33"/>
      <c r="F331" s="32" t="s">
        <v>132</v>
      </c>
      <c r="G331" s="31"/>
      <c r="H331" s="30" t="s">
        <v>0</v>
      </c>
      <c r="I331" s="29"/>
      <c r="J331" s="29"/>
      <c r="K331" s="29">
        <f>SUM(I331*J331)</f>
        <v>0</v>
      </c>
      <c r="N331" s="21" t="s">
        <v>63</v>
      </c>
    </row>
    <row r="332" spans="2:14" ht="39.950000000000003" hidden="1" customHeight="1" outlineLevel="1" x14ac:dyDescent="0.25">
      <c r="B332" s="16">
        <f ca="1">DATE(YEAR(TODAY()),11,4)</f>
        <v>42312</v>
      </c>
      <c r="C332" s="15"/>
      <c r="D332" s="34" t="s">
        <v>131</v>
      </c>
      <c r="E332" s="33"/>
      <c r="F332" s="32" t="s">
        <v>130</v>
      </c>
      <c r="G332" s="31"/>
      <c r="H332" s="30" t="s">
        <v>3</v>
      </c>
      <c r="I332" s="29"/>
      <c r="J332" s="29"/>
      <c r="K332" s="29">
        <f>SUM(I332*J332)</f>
        <v>0</v>
      </c>
      <c r="N332" s="21" t="s">
        <v>60</v>
      </c>
    </row>
    <row r="333" spans="2:14" ht="39.950000000000003" hidden="1" customHeight="1" outlineLevel="1" x14ac:dyDescent="0.25">
      <c r="B333" s="14">
        <f ca="1">DATE(YEAR(TODAY()),11,5)</f>
        <v>42313</v>
      </c>
      <c r="C333" s="13"/>
      <c r="D333" s="34" t="s">
        <v>129</v>
      </c>
      <c r="E333" s="33"/>
      <c r="F333" s="32" t="s">
        <v>128</v>
      </c>
      <c r="G333" s="31"/>
      <c r="H333" s="30" t="s">
        <v>3</v>
      </c>
      <c r="I333" s="29"/>
      <c r="J333" s="29"/>
      <c r="K333" s="29">
        <f>SUM(I333*J333)</f>
        <v>0</v>
      </c>
      <c r="N333" s="21" t="s">
        <v>57</v>
      </c>
    </row>
    <row r="334" spans="2:14" ht="39.950000000000003" hidden="1" customHeight="1" outlineLevel="1" x14ac:dyDescent="0.25">
      <c r="B334" s="10">
        <f ca="1">DATE(YEAR(TODAY()),11,6)</f>
        <v>42314</v>
      </c>
      <c r="C334" s="9"/>
      <c r="D334" s="34" t="s">
        <v>127</v>
      </c>
      <c r="E334" s="33"/>
      <c r="F334" s="32" t="s">
        <v>126</v>
      </c>
      <c r="G334" s="31"/>
      <c r="H334" s="30" t="s">
        <v>6</v>
      </c>
      <c r="I334" s="29"/>
      <c r="J334" s="29"/>
      <c r="K334" s="29">
        <f>SUM(I334*J334)</f>
        <v>0</v>
      </c>
      <c r="N334" s="21" t="s">
        <v>54</v>
      </c>
    </row>
    <row r="335" spans="2:14" ht="39.950000000000003" hidden="1" customHeight="1" outlineLevel="1" x14ac:dyDescent="0.25">
      <c r="B335" s="16">
        <f ca="1">DATE(YEAR(TODAY()),11,7)</f>
        <v>42315</v>
      </c>
      <c r="C335" s="15"/>
      <c r="D335" s="34" t="s">
        <v>125</v>
      </c>
      <c r="E335" s="33"/>
      <c r="F335" s="32" t="s">
        <v>124</v>
      </c>
      <c r="G335" s="31"/>
      <c r="H335" s="30" t="s">
        <v>3</v>
      </c>
      <c r="I335" s="29"/>
      <c r="J335" s="29"/>
      <c r="K335" s="29">
        <f>SUM(I335*J335)</f>
        <v>0</v>
      </c>
      <c r="N335" s="21" t="s">
        <v>51</v>
      </c>
    </row>
    <row r="336" spans="2:14" ht="39.950000000000003" hidden="1" customHeight="1" outlineLevel="1" x14ac:dyDescent="0.25">
      <c r="B336" s="14">
        <f ca="1">DATE(YEAR(TODAY()),11,8)</f>
        <v>42316</v>
      </c>
      <c r="C336" s="13"/>
      <c r="D336" s="34" t="s">
        <v>123</v>
      </c>
      <c r="E336" s="33"/>
      <c r="F336" s="32" t="s">
        <v>122</v>
      </c>
      <c r="G336" s="31"/>
      <c r="H336" s="30" t="s">
        <v>3</v>
      </c>
      <c r="I336" s="29"/>
      <c r="J336" s="29"/>
      <c r="K336" s="29">
        <f>SUM(I336*J336)</f>
        <v>0</v>
      </c>
    </row>
    <row r="337" spans="2:11" ht="39.950000000000003" hidden="1" customHeight="1" outlineLevel="1" x14ac:dyDescent="0.25">
      <c r="B337" s="12">
        <f ca="1">DATE(YEAR(TODAY()),11,9)</f>
        <v>42317</v>
      </c>
      <c r="C337" s="11"/>
      <c r="D337" s="34" t="s">
        <v>121</v>
      </c>
      <c r="E337" s="33"/>
      <c r="F337" s="32" t="s">
        <v>120</v>
      </c>
      <c r="G337" s="31"/>
      <c r="H337" s="30" t="s">
        <v>3</v>
      </c>
      <c r="I337" s="29"/>
      <c r="J337" s="29"/>
      <c r="K337" s="29">
        <f>SUM(I337*J337)</f>
        <v>0</v>
      </c>
    </row>
    <row r="338" spans="2:11" ht="39.950000000000003" hidden="1" customHeight="1" outlineLevel="1" x14ac:dyDescent="0.25">
      <c r="B338" s="20">
        <f ca="1">DATE(YEAR(TODAY()),11,10)</f>
        <v>42318</v>
      </c>
      <c r="C338" s="19"/>
      <c r="D338" s="34" t="s">
        <v>119</v>
      </c>
      <c r="E338" s="33"/>
      <c r="F338" s="32" t="s">
        <v>118</v>
      </c>
      <c r="G338" s="31"/>
      <c r="H338" s="30" t="s">
        <v>0</v>
      </c>
      <c r="I338" s="29"/>
      <c r="J338" s="29"/>
      <c r="K338" s="29">
        <f>SUM(I338*J338)</f>
        <v>0</v>
      </c>
    </row>
    <row r="339" spans="2:11" ht="39.950000000000003" hidden="1" customHeight="1" outlineLevel="1" x14ac:dyDescent="0.25">
      <c r="B339" s="36">
        <f ca="1">DATE(YEAR(TODAY()),11,11)</f>
        <v>42319</v>
      </c>
      <c r="C339" s="35"/>
      <c r="D339" s="34" t="s">
        <v>117</v>
      </c>
      <c r="E339" s="33"/>
      <c r="F339" s="32" t="s">
        <v>116</v>
      </c>
      <c r="G339" s="31"/>
      <c r="H339" s="30" t="s">
        <v>3</v>
      </c>
      <c r="I339" s="29"/>
      <c r="J339" s="29"/>
      <c r="K339" s="29">
        <f>SUM(I339*J339)</f>
        <v>0</v>
      </c>
    </row>
    <row r="340" spans="2:11" ht="39.950000000000003" hidden="1" customHeight="1" outlineLevel="1" x14ac:dyDescent="0.25">
      <c r="B340" s="10">
        <f ca="1">DATE(YEAR(TODAY()),11,12)</f>
        <v>42320</v>
      </c>
      <c r="C340" s="9"/>
      <c r="D340" s="34" t="s">
        <v>115</v>
      </c>
      <c r="E340" s="33"/>
      <c r="F340" s="32" t="s">
        <v>114</v>
      </c>
      <c r="G340" s="31"/>
      <c r="H340" s="30" t="s">
        <v>6</v>
      </c>
      <c r="I340" s="29"/>
      <c r="J340" s="29"/>
      <c r="K340" s="29">
        <f>SUM(I340*J340)</f>
        <v>0</v>
      </c>
    </row>
    <row r="341" spans="2:11" ht="39.950000000000003" hidden="1" customHeight="1" outlineLevel="1" x14ac:dyDescent="0.25">
      <c r="B341" s="14">
        <f ca="1">DATE(YEAR(TODAY()),11,13)</f>
        <v>42321</v>
      </c>
      <c r="C341" s="13"/>
      <c r="D341" s="34" t="s">
        <v>113</v>
      </c>
      <c r="E341" s="33"/>
      <c r="F341" s="32" t="s">
        <v>112</v>
      </c>
      <c r="G341" s="31"/>
      <c r="H341" s="30" t="s">
        <v>3</v>
      </c>
      <c r="I341" s="29"/>
      <c r="J341" s="29"/>
      <c r="K341" s="29">
        <f>SUM(I341*J341)</f>
        <v>0</v>
      </c>
    </row>
    <row r="342" spans="2:11" ht="39.950000000000003" hidden="1" customHeight="1" outlineLevel="1" x14ac:dyDescent="0.25">
      <c r="B342" s="12">
        <f ca="1">DATE(YEAR(TODAY()),11,14)</f>
        <v>42322</v>
      </c>
      <c r="C342" s="11"/>
      <c r="D342" s="34" t="s">
        <v>111</v>
      </c>
      <c r="E342" s="33"/>
      <c r="F342" s="32" t="s">
        <v>110</v>
      </c>
      <c r="G342" s="31"/>
      <c r="H342" s="30" t="s">
        <v>3</v>
      </c>
      <c r="I342" s="29"/>
      <c r="J342" s="29"/>
      <c r="K342" s="29">
        <f>SUM(I342*J342)</f>
        <v>0</v>
      </c>
    </row>
    <row r="343" spans="2:11" ht="39.950000000000003" hidden="1" customHeight="1" outlineLevel="1" x14ac:dyDescent="0.25">
      <c r="B343" s="18">
        <f ca="1">DATE(YEAR(TODAY()),11,15)</f>
        <v>42323</v>
      </c>
      <c r="C343" s="17"/>
      <c r="D343" s="34" t="s">
        <v>109</v>
      </c>
      <c r="E343" s="33"/>
      <c r="F343" s="32" t="s">
        <v>108</v>
      </c>
      <c r="G343" s="31"/>
      <c r="H343" s="30" t="s">
        <v>0</v>
      </c>
      <c r="I343" s="29"/>
      <c r="J343" s="29"/>
      <c r="K343" s="29">
        <f>SUM(I343*J343)</f>
        <v>0</v>
      </c>
    </row>
    <row r="344" spans="2:11" ht="39.950000000000003" hidden="1" customHeight="1" outlineLevel="1" x14ac:dyDescent="0.25">
      <c r="B344" s="16">
        <f ca="1">DATE(YEAR(TODAY()),11,16)</f>
        <v>42324</v>
      </c>
      <c r="C344" s="15"/>
      <c r="D344" s="34" t="s">
        <v>107</v>
      </c>
      <c r="E344" s="33"/>
      <c r="F344" s="32" t="s">
        <v>106</v>
      </c>
      <c r="G344" s="31"/>
      <c r="H344" s="30" t="s">
        <v>3</v>
      </c>
      <c r="I344" s="29"/>
      <c r="J344" s="29"/>
      <c r="K344" s="29">
        <f>SUM(I344*J344)</f>
        <v>0</v>
      </c>
    </row>
    <row r="345" spans="2:11" ht="39.950000000000003" hidden="1" customHeight="1" outlineLevel="1" x14ac:dyDescent="0.25">
      <c r="B345" s="10">
        <f ca="1">DATE(YEAR(TODAY()),11,17)</f>
        <v>42325</v>
      </c>
      <c r="C345" s="9"/>
      <c r="D345" s="34" t="s">
        <v>105</v>
      </c>
      <c r="E345" s="33"/>
      <c r="F345" s="32" t="s">
        <v>104</v>
      </c>
      <c r="G345" s="31"/>
      <c r="H345" s="30" t="s">
        <v>6</v>
      </c>
      <c r="I345" s="29"/>
      <c r="J345" s="29"/>
      <c r="K345" s="29">
        <f>SUM(I345*J345)</f>
        <v>0</v>
      </c>
    </row>
    <row r="346" spans="2:11" ht="39.950000000000003" hidden="1" customHeight="1" outlineLevel="1" x14ac:dyDescent="0.25">
      <c r="B346" s="14">
        <f ca="1">DATE(YEAR(TODAY()),11,18)</f>
        <v>42326</v>
      </c>
      <c r="C346" s="13"/>
      <c r="D346" s="34" t="s">
        <v>103</v>
      </c>
      <c r="E346" s="33"/>
      <c r="F346" s="32" t="s">
        <v>102</v>
      </c>
      <c r="G346" s="31"/>
      <c r="H346" s="30" t="s">
        <v>3</v>
      </c>
      <c r="I346" s="29"/>
      <c r="J346" s="29"/>
      <c r="K346" s="29">
        <f>SUM(I346*J346)</f>
        <v>0</v>
      </c>
    </row>
    <row r="347" spans="2:11" ht="39.950000000000003" hidden="1" customHeight="1" outlineLevel="1" x14ac:dyDescent="0.25">
      <c r="B347" s="10">
        <f ca="1">DATE(YEAR(TODAY()),11,19)</f>
        <v>42327</v>
      </c>
      <c r="C347" s="9"/>
      <c r="D347" s="34" t="s">
        <v>101</v>
      </c>
      <c r="E347" s="33"/>
      <c r="F347" s="32" t="s">
        <v>100</v>
      </c>
      <c r="G347" s="31"/>
      <c r="H347" s="30" t="s">
        <v>0</v>
      </c>
      <c r="I347" s="29"/>
      <c r="J347" s="29"/>
      <c r="K347" s="29">
        <f>SUM(I347*J347)</f>
        <v>0</v>
      </c>
    </row>
    <row r="348" spans="2:11" ht="39.950000000000003" hidden="1" customHeight="1" outlineLevel="1" x14ac:dyDescent="0.25">
      <c r="B348" s="14">
        <f ca="1">DATE(YEAR(TODAY()),11,20)</f>
        <v>42328</v>
      </c>
      <c r="C348" s="13"/>
      <c r="D348" s="34" t="s">
        <v>99</v>
      </c>
      <c r="E348" s="33"/>
      <c r="F348" s="32" t="s">
        <v>98</v>
      </c>
      <c r="G348" s="31"/>
      <c r="H348" s="30" t="s">
        <v>3</v>
      </c>
      <c r="I348" s="29"/>
      <c r="J348" s="29"/>
      <c r="K348" s="29">
        <f>SUM(I348*J348)</f>
        <v>0</v>
      </c>
    </row>
    <row r="349" spans="2:11" ht="39.950000000000003" hidden="1" customHeight="1" outlineLevel="1" x14ac:dyDescent="0.25">
      <c r="B349" s="14">
        <f ca="1">DATE(YEAR(TODAY()),11,21)</f>
        <v>42329</v>
      </c>
      <c r="C349" s="13"/>
      <c r="D349" s="34" t="s">
        <v>97</v>
      </c>
      <c r="E349" s="33"/>
      <c r="F349" s="32" t="s">
        <v>96</v>
      </c>
      <c r="G349" s="31"/>
      <c r="H349" s="30" t="s">
        <v>3</v>
      </c>
      <c r="I349" s="29"/>
      <c r="J349" s="29"/>
      <c r="K349" s="29">
        <f>SUM(I349*J349)</f>
        <v>0</v>
      </c>
    </row>
    <row r="350" spans="2:11" ht="39.950000000000003" hidden="1" customHeight="1" outlineLevel="1" x14ac:dyDescent="0.25">
      <c r="B350" s="14">
        <f ca="1">DATE(YEAR(TODAY()),11,22)</f>
        <v>42330</v>
      </c>
      <c r="C350" s="13"/>
      <c r="D350" s="34" t="s">
        <v>88</v>
      </c>
      <c r="E350" s="33"/>
      <c r="F350" s="32" t="s">
        <v>95</v>
      </c>
      <c r="G350" s="31"/>
      <c r="H350" s="30" t="s">
        <v>6</v>
      </c>
      <c r="I350" s="29"/>
      <c r="J350" s="29"/>
      <c r="K350" s="29">
        <f>SUM(I350*J350)</f>
        <v>0</v>
      </c>
    </row>
    <row r="351" spans="2:11" ht="39.950000000000003" hidden="1" customHeight="1" outlineLevel="1" x14ac:dyDescent="0.25">
      <c r="B351" s="16">
        <f ca="1">DATE(YEAR(TODAY()),11,23)</f>
        <v>42331</v>
      </c>
      <c r="C351" s="15"/>
      <c r="D351" s="34" t="s">
        <v>94</v>
      </c>
      <c r="E351" s="33"/>
      <c r="F351" s="32" t="s">
        <v>93</v>
      </c>
      <c r="G351" s="31"/>
      <c r="H351" s="30" t="s">
        <v>3</v>
      </c>
      <c r="I351" s="29"/>
      <c r="J351" s="29"/>
      <c r="K351" s="29">
        <f>SUM(I351*J351)</f>
        <v>0</v>
      </c>
    </row>
    <row r="352" spans="2:11" ht="39.950000000000003" hidden="1" customHeight="1" outlineLevel="1" x14ac:dyDescent="0.25">
      <c r="B352" s="10">
        <f ca="1">DATE(YEAR(TODAY()),11,24)</f>
        <v>42332</v>
      </c>
      <c r="C352" s="9"/>
      <c r="D352" s="34" t="s">
        <v>92</v>
      </c>
      <c r="E352" s="33"/>
      <c r="F352" s="32" t="s">
        <v>91</v>
      </c>
      <c r="G352" s="31"/>
      <c r="H352" s="30" t="s">
        <v>6</v>
      </c>
      <c r="I352" s="29"/>
      <c r="J352" s="29"/>
      <c r="K352" s="29">
        <f>SUM(I352*J352)</f>
        <v>0</v>
      </c>
    </row>
    <row r="353" spans="2:14" ht="39.950000000000003" hidden="1" customHeight="1" outlineLevel="1" x14ac:dyDescent="0.25">
      <c r="B353" s="12">
        <f ca="1">DATE(YEAR(TODAY()),11,25)</f>
        <v>42333</v>
      </c>
      <c r="C353" s="11"/>
      <c r="D353" s="34" t="s">
        <v>90</v>
      </c>
      <c r="E353" s="33"/>
      <c r="F353" s="32" t="s">
        <v>89</v>
      </c>
      <c r="G353" s="31"/>
      <c r="H353" s="30" t="s">
        <v>3</v>
      </c>
      <c r="I353" s="29"/>
      <c r="J353" s="29"/>
      <c r="K353" s="29">
        <f>SUM(I353*J353)</f>
        <v>0</v>
      </c>
    </row>
    <row r="354" spans="2:14" ht="39.950000000000003" hidden="1" customHeight="1" outlineLevel="1" x14ac:dyDescent="0.25">
      <c r="B354" s="36">
        <f ca="1">DATE(YEAR(TODAY()),11,26)</f>
        <v>42334</v>
      </c>
      <c r="C354" s="35"/>
      <c r="D354" s="34" t="s">
        <v>88</v>
      </c>
      <c r="E354" s="33"/>
      <c r="F354" s="32" t="s">
        <v>87</v>
      </c>
      <c r="G354" s="31"/>
      <c r="H354" s="30" t="s">
        <v>3</v>
      </c>
      <c r="I354" s="29"/>
      <c r="J354" s="29"/>
      <c r="K354" s="29">
        <f>SUM(I354*J354)</f>
        <v>0</v>
      </c>
    </row>
    <row r="355" spans="2:14" ht="39.950000000000003" hidden="1" customHeight="1" outlineLevel="1" x14ac:dyDescent="0.25">
      <c r="B355" s="16">
        <f ca="1">DATE(YEAR(TODAY()),11,27)</f>
        <v>42335</v>
      </c>
      <c r="C355" s="15"/>
      <c r="D355" s="34" t="s">
        <v>86</v>
      </c>
      <c r="E355" s="33"/>
      <c r="F355" s="32" t="s">
        <v>85</v>
      </c>
      <c r="G355" s="31"/>
      <c r="H355" s="30" t="s">
        <v>3</v>
      </c>
      <c r="I355" s="29"/>
      <c r="J355" s="29"/>
      <c r="K355" s="29">
        <f>SUM(I355*J355)</f>
        <v>0</v>
      </c>
    </row>
    <row r="356" spans="2:14" ht="39.950000000000003" hidden="1" customHeight="1" outlineLevel="1" x14ac:dyDescent="0.25">
      <c r="B356" s="14">
        <f ca="1">DATE(YEAR(TODAY()),11,28)</f>
        <v>42336</v>
      </c>
      <c r="C356" s="13"/>
      <c r="D356" s="34" t="s">
        <v>84</v>
      </c>
      <c r="E356" s="33"/>
      <c r="F356" s="32" t="s">
        <v>83</v>
      </c>
      <c r="G356" s="31"/>
      <c r="H356" s="30" t="s">
        <v>3</v>
      </c>
      <c r="I356" s="29"/>
      <c r="J356" s="29"/>
      <c r="K356" s="29">
        <f>SUM(I356*J356)</f>
        <v>0</v>
      </c>
    </row>
    <row r="357" spans="2:14" ht="39.950000000000003" hidden="1" customHeight="1" outlineLevel="1" x14ac:dyDescent="0.25">
      <c r="B357" s="10">
        <f ca="1">DATE(YEAR(TODAY()),11,29)</f>
        <v>42337</v>
      </c>
      <c r="C357" s="9"/>
      <c r="D357" s="34" t="s">
        <v>82</v>
      </c>
      <c r="E357" s="33"/>
      <c r="F357" s="32" t="s">
        <v>81</v>
      </c>
      <c r="G357" s="31"/>
      <c r="H357" s="30" t="s">
        <v>6</v>
      </c>
      <c r="I357" s="29"/>
      <c r="J357" s="29"/>
      <c r="K357" s="29">
        <f>SUM(I357*J357)</f>
        <v>0</v>
      </c>
    </row>
    <row r="358" spans="2:14" ht="39.950000000000003" hidden="1" customHeight="1" outlineLevel="1" x14ac:dyDescent="0.25">
      <c r="B358" s="12">
        <f ca="1">DATE(YEAR(TODAY()),11,30)</f>
        <v>42338</v>
      </c>
      <c r="C358" s="11"/>
      <c r="D358" s="34" t="s">
        <v>80</v>
      </c>
      <c r="E358" s="33"/>
      <c r="F358" s="32" t="s">
        <v>79</v>
      </c>
      <c r="G358" s="31"/>
      <c r="H358" s="30" t="s">
        <v>3</v>
      </c>
      <c r="I358" s="29"/>
      <c r="J358" s="29"/>
      <c r="K358" s="29">
        <f>SUM(I358*J358)</f>
        <v>0</v>
      </c>
    </row>
    <row r="359" spans="2:14" ht="21" customHeight="1" collapsed="1" x14ac:dyDescent="0.35">
      <c r="B359" s="28" t="s">
        <v>78</v>
      </c>
      <c r="C359" s="28"/>
      <c r="D359" s="28"/>
      <c r="E359" s="28"/>
      <c r="F359" s="28"/>
      <c r="G359" s="28"/>
      <c r="H359" s="28"/>
      <c r="I359" s="28"/>
      <c r="J359" s="28"/>
      <c r="K359" s="28"/>
    </row>
    <row r="360" spans="2:14" ht="15" hidden="1" customHeight="1" outlineLevel="1" x14ac:dyDescent="0.25">
      <c r="B360" s="27" t="s">
        <v>77</v>
      </c>
      <c r="C360" s="26"/>
      <c r="D360" s="25" t="s">
        <v>76</v>
      </c>
      <c r="E360" s="25"/>
      <c r="F360" s="24" t="s">
        <v>75</v>
      </c>
      <c r="G360" s="23"/>
      <c r="H360" s="23" t="s">
        <v>74</v>
      </c>
      <c r="I360" s="22" t="s">
        <v>73</v>
      </c>
      <c r="J360" s="22" t="s">
        <v>72</v>
      </c>
      <c r="K360" s="22" t="s">
        <v>71</v>
      </c>
    </row>
    <row r="361" spans="2:14" ht="39.950000000000003" hidden="1" customHeight="1" outlineLevel="1" x14ac:dyDescent="0.25">
      <c r="B361" s="14">
        <f ca="1">DATE(YEAR(TODAY()),12,1)</f>
        <v>42339</v>
      </c>
      <c r="C361" s="13"/>
      <c r="D361" s="8" t="s">
        <v>70</v>
      </c>
      <c r="F361" s="7" t="s">
        <v>69</v>
      </c>
      <c r="H361" s="2" t="s">
        <v>3</v>
      </c>
      <c r="K361" s="1">
        <f>SUM(I361*J361)</f>
        <v>0</v>
      </c>
    </row>
    <row r="362" spans="2:14" ht="39.950000000000003" hidden="1" customHeight="1" outlineLevel="1" x14ac:dyDescent="0.25">
      <c r="B362" s="10">
        <f ca="1">DATE(YEAR(TODAY()),12,2)</f>
        <v>42340</v>
      </c>
      <c r="C362" s="9"/>
      <c r="D362" s="8" t="s">
        <v>68</v>
      </c>
      <c r="F362" s="7" t="s">
        <v>67</v>
      </c>
      <c r="H362" s="2" t="s">
        <v>0</v>
      </c>
      <c r="K362" s="1">
        <f>SUM(I362*J362)</f>
        <v>0</v>
      </c>
      <c r="N362" s="21" t="s">
        <v>66</v>
      </c>
    </row>
    <row r="363" spans="2:14" ht="39.950000000000003" hidden="1" customHeight="1" outlineLevel="1" x14ac:dyDescent="0.25">
      <c r="B363" s="16">
        <f ca="1">DATE(YEAR(TODAY()),12,3)</f>
        <v>42341</v>
      </c>
      <c r="C363" s="15"/>
      <c r="D363" s="8" t="s">
        <v>65</v>
      </c>
      <c r="F363" s="7" t="s">
        <v>64</v>
      </c>
      <c r="H363" s="2" t="s">
        <v>3</v>
      </c>
      <c r="K363" s="1">
        <f>SUM(I363*J363)</f>
        <v>0</v>
      </c>
      <c r="N363" s="21" t="s">
        <v>63</v>
      </c>
    </row>
    <row r="364" spans="2:14" ht="39.950000000000003" hidden="1" customHeight="1" outlineLevel="1" x14ac:dyDescent="0.25">
      <c r="B364" s="10">
        <f ca="1">DATE(YEAR(TODAY()),12,4)</f>
        <v>42342</v>
      </c>
      <c r="C364" s="9"/>
      <c r="D364" s="8" t="s">
        <v>62</v>
      </c>
      <c r="F364" s="7" t="s">
        <v>61</v>
      </c>
      <c r="H364" s="2" t="s">
        <v>0</v>
      </c>
      <c r="K364" s="1">
        <f>SUM(I364*J364)</f>
        <v>0</v>
      </c>
      <c r="N364" s="21" t="s">
        <v>60</v>
      </c>
    </row>
    <row r="365" spans="2:14" ht="39.950000000000003" hidden="1" customHeight="1" outlineLevel="1" x14ac:dyDescent="0.25">
      <c r="B365" s="14">
        <f ca="1">DATE(YEAR(TODAY()),12,5)</f>
        <v>42343</v>
      </c>
      <c r="C365" s="13"/>
      <c r="D365" s="8" t="s">
        <v>59</v>
      </c>
      <c r="F365" s="7" t="s">
        <v>58</v>
      </c>
      <c r="H365" s="2" t="s">
        <v>3</v>
      </c>
      <c r="K365" s="1">
        <f>SUM(I365*J365)</f>
        <v>0</v>
      </c>
      <c r="N365" s="21" t="s">
        <v>57</v>
      </c>
    </row>
    <row r="366" spans="2:14" ht="39.950000000000003" hidden="1" customHeight="1" outlineLevel="1" x14ac:dyDescent="0.25">
      <c r="B366" s="12">
        <f ca="1">DATE(YEAR(TODAY()),12,6)</f>
        <v>42344</v>
      </c>
      <c r="C366" s="11"/>
      <c r="D366" s="8" t="s">
        <v>56</v>
      </c>
      <c r="F366" s="7" t="s">
        <v>55</v>
      </c>
      <c r="H366" s="2" t="s">
        <v>0</v>
      </c>
      <c r="K366" s="1">
        <f>SUM(I366*J366)</f>
        <v>0</v>
      </c>
      <c r="N366" s="21" t="s">
        <v>54</v>
      </c>
    </row>
    <row r="367" spans="2:14" ht="39.950000000000003" hidden="1" customHeight="1" outlineLevel="1" x14ac:dyDescent="0.25">
      <c r="B367" s="12">
        <f ca="1">DATE(YEAR(TODAY()),12,7)</f>
        <v>42345</v>
      </c>
      <c r="C367" s="11"/>
      <c r="D367" s="8" t="s">
        <v>53</v>
      </c>
      <c r="F367" s="7" t="s">
        <v>52</v>
      </c>
      <c r="H367" s="2" t="s">
        <v>3</v>
      </c>
      <c r="K367" s="1">
        <f>SUM(I367*J367)</f>
        <v>0</v>
      </c>
      <c r="N367" s="21" t="s">
        <v>51</v>
      </c>
    </row>
    <row r="368" spans="2:14" ht="39.950000000000003" hidden="1" customHeight="1" outlineLevel="1" x14ac:dyDescent="0.25">
      <c r="B368" s="16">
        <f ca="1">DATE(YEAR(TODAY()),12,8)</f>
        <v>42346</v>
      </c>
      <c r="C368" s="15"/>
      <c r="D368" s="8" t="s">
        <v>50</v>
      </c>
      <c r="F368" s="7" t="s">
        <v>49</v>
      </c>
      <c r="H368" s="2" t="s">
        <v>3</v>
      </c>
      <c r="K368" s="1">
        <f>SUM(I368*J368)</f>
        <v>0</v>
      </c>
    </row>
    <row r="369" spans="2:11" ht="39.950000000000003" hidden="1" customHeight="1" outlineLevel="1" x14ac:dyDescent="0.25">
      <c r="B369" s="10">
        <f ca="1">DATE(YEAR(TODAY()),12,9)</f>
        <v>42347</v>
      </c>
      <c r="C369" s="9"/>
      <c r="D369" s="8" t="s">
        <v>48</v>
      </c>
      <c r="F369" s="7" t="s">
        <v>47</v>
      </c>
      <c r="H369" s="2" t="s">
        <v>6</v>
      </c>
      <c r="K369" s="1">
        <f>SUM(I369*J369)</f>
        <v>0</v>
      </c>
    </row>
    <row r="370" spans="2:11" ht="39.950000000000003" hidden="1" customHeight="1" outlineLevel="1" x14ac:dyDescent="0.25">
      <c r="B370" s="20">
        <f ca="1">DATE(YEAR(TODAY()),12,10)</f>
        <v>42348</v>
      </c>
      <c r="C370" s="19"/>
      <c r="D370" s="8" t="s">
        <v>46</v>
      </c>
      <c r="F370" s="7" t="s">
        <v>45</v>
      </c>
      <c r="H370" s="2" t="s">
        <v>3</v>
      </c>
      <c r="K370" s="1">
        <f>SUM(I370*J370)</f>
        <v>0</v>
      </c>
    </row>
    <row r="371" spans="2:11" ht="39.950000000000003" hidden="1" customHeight="1" outlineLevel="1" x14ac:dyDescent="0.25">
      <c r="B371" s="10">
        <f ca="1">DATE(YEAR(TODAY()),12,11)</f>
        <v>42349</v>
      </c>
      <c r="C371" s="9"/>
      <c r="D371" s="8" t="s">
        <v>44</v>
      </c>
      <c r="F371" s="7" t="s">
        <v>43</v>
      </c>
      <c r="H371" s="2" t="s">
        <v>0</v>
      </c>
      <c r="K371" s="1">
        <f>SUM(I371*J371)</f>
        <v>0</v>
      </c>
    </row>
    <row r="372" spans="2:11" ht="39.950000000000003" hidden="1" customHeight="1" outlineLevel="1" x14ac:dyDescent="0.25">
      <c r="B372" s="18">
        <f ca="1">DATE(YEAR(TODAY()),12,12)</f>
        <v>42350</v>
      </c>
      <c r="C372" s="17"/>
      <c r="D372" s="8" t="s">
        <v>42</v>
      </c>
      <c r="F372" s="7" t="s">
        <v>41</v>
      </c>
      <c r="H372" s="2" t="s">
        <v>0</v>
      </c>
      <c r="K372" s="1">
        <f>SUM(I372*J372)</f>
        <v>0</v>
      </c>
    </row>
    <row r="373" spans="2:11" ht="39.950000000000003" hidden="1" customHeight="1" outlineLevel="1" x14ac:dyDescent="0.25">
      <c r="B373" s="10">
        <f ca="1">DATE(YEAR(TODAY()),12,13)</f>
        <v>42351</v>
      </c>
      <c r="C373" s="9"/>
      <c r="D373" s="8" t="s">
        <v>40</v>
      </c>
      <c r="F373" s="7" t="s">
        <v>39</v>
      </c>
      <c r="H373" s="2" t="s">
        <v>6</v>
      </c>
      <c r="K373" s="1">
        <f>SUM(I373*J373)</f>
        <v>0</v>
      </c>
    </row>
    <row r="374" spans="2:11" ht="39.950000000000003" hidden="1" customHeight="1" outlineLevel="1" x14ac:dyDescent="0.25">
      <c r="B374" s="16">
        <f ca="1">DATE(YEAR(TODAY()),12,14)</f>
        <v>42352</v>
      </c>
      <c r="C374" s="15"/>
      <c r="D374" s="8" t="s">
        <v>38</v>
      </c>
      <c r="F374" s="7" t="s">
        <v>37</v>
      </c>
      <c r="H374" s="2" t="s">
        <v>3</v>
      </c>
      <c r="K374" s="1">
        <f>SUM(I374*J374)</f>
        <v>0</v>
      </c>
    </row>
    <row r="375" spans="2:11" ht="39.950000000000003" hidden="1" customHeight="1" outlineLevel="1" x14ac:dyDescent="0.25">
      <c r="B375" s="12">
        <f ca="1">DATE(YEAR(TODAY()),12,15)</f>
        <v>42353</v>
      </c>
      <c r="C375" s="11"/>
      <c r="D375" s="8" t="s">
        <v>36</v>
      </c>
      <c r="F375" s="7" t="s">
        <v>35</v>
      </c>
      <c r="H375" s="2" t="s">
        <v>3</v>
      </c>
      <c r="K375" s="1">
        <f>SUM(I375*J375)</f>
        <v>0</v>
      </c>
    </row>
    <row r="376" spans="2:11" ht="39.950000000000003" hidden="1" customHeight="1" outlineLevel="1" x14ac:dyDescent="0.25">
      <c r="B376" s="14">
        <f ca="1">DATE(YEAR(TODAY()),12,16)</f>
        <v>42354</v>
      </c>
      <c r="C376" s="13"/>
      <c r="D376" s="8" t="s">
        <v>34</v>
      </c>
      <c r="F376" s="7" t="s">
        <v>33</v>
      </c>
      <c r="H376" s="2" t="s">
        <v>11</v>
      </c>
      <c r="K376" s="1">
        <f>SUM(I376*J376)</f>
        <v>0</v>
      </c>
    </row>
    <row r="377" spans="2:11" ht="39.950000000000003" hidden="1" customHeight="1" outlineLevel="1" x14ac:dyDescent="0.25">
      <c r="B377" s="10">
        <f ca="1">DATE(YEAR(TODAY()),12,17)</f>
        <v>42355</v>
      </c>
      <c r="C377" s="9"/>
      <c r="D377" s="8" t="s">
        <v>32</v>
      </c>
      <c r="F377" s="7" t="s">
        <v>31</v>
      </c>
      <c r="H377" s="2" t="s">
        <v>6</v>
      </c>
      <c r="K377" s="1">
        <f>SUM(I377*J377)</f>
        <v>0</v>
      </c>
    </row>
    <row r="378" spans="2:11" ht="39.950000000000003" hidden="1" customHeight="1" outlineLevel="1" x14ac:dyDescent="0.25">
      <c r="B378" s="14">
        <f ca="1">DATE(YEAR(TODAY()),12,18)</f>
        <v>42356</v>
      </c>
      <c r="C378" s="13"/>
      <c r="D378" s="8" t="s">
        <v>30</v>
      </c>
      <c r="F378" s="7" t="s">
        <v>29</v>
      </c>
      <c r="H378" s="2" t="s">
        <v>0</v>
      </c>
      <c r="K378" s="1">
        <f>SUM(I378*J378)</f>
        <v>0</v>
      </c>
    </row>
    <row r="379" spans="2:11" ht="39.950000000000003" hidden="1" customHeight="1" outlineLevel="1" x14ac:dyDescent="0.25">
      <c r="B379" s="12">
        <f ca="1">DATE(YEAR(TODAY()),12,19)</f>
        <v>42357</v>
      </c>
      <c r="C379" s="11"/>
      <c r="D379" s="8" t="s">
        <v>28</v>
      </c>
      <c r="F379" s="7" t="s">
        <v>27</v>
      </c>
      <c r="H379" s="2" t="s">
        <v>11</v>
      </c>
      <c r="K379" s="1">
        <f>SUM(I379*J379)</f>
        <v>0</v>
      </c>
    </row>
    <row r="380" spans="2:11" ht="39.950000000000003" hidden="1" customHeight="1" outlineLevel="1" x14ac:dyDescent="0.25">
      <c r="B380" s="10">
        <f ca="1">DATE(YEAR(TODAY()),12,20)</f>
        <v>42358</v>
      </c>
      <c r="C380" s="9"/>
      <c r="D380" s="8" t="s">
        <v>26</v>
      </c>
      <c r="F380" s="7" t="s">
        <v>25</v>
      </c>
      <c r="H380" s="2" t="s">
        <v>0</v>
      </c>
      <c r="K380" s="1">
        <f>SUM(I380*J380)</f>
        <v>0</v>
      </c>
    </row>
    <row r="381" spans="2:11" ht="39.950000000000003" hidden="1" customHeight="1" outlineLevel="1" x14ac:dyDescent="0.25">
      <c r="B381" s="16">
        <f ca="1">DATE(YEAR(TODAY()),12,21)</f>
        <v>42359</v>
      </c>
      <c r="C381" s="15"/>
      <c r="D381" s="8" t="s">
        <v>24</v>
      </c>
      <c r="F381" s="7" t="s">
        <v>23</v>
      </c>
      <c r="H381" s="2" t="s">
        <v>3</v>
      </c>
      <c r="K381" s="1">
        <f>SUM(I381*J381)</f>
        <v>0</v>
      </c>
    </row>
    <row r="382" spans="2:11" ht="39.950000000000003" hidden="1" customHeight="1" outlineLevel="1" x14ac:dyDescent="0.25">
      <c r="B382" s="14">
        <f ca="1">DATE(YEAR(TODAY()),12,22)</f>
        <v>42360</v>
      </c>
      <c r="C382" s="13"/>
      <c r="D382" s="8" t="s">
        <v>22</v>
      </c>
      <c r="F382" s="7" t="s">
        <v>21</v>
      </c>
      <c r="H382" s="2" t="s">
        <v>3</v>
      </c>
      <c r="K382" s="1">
        <f>SUM(I382*J382)</f>
        <v>0</v>
      </c>
    </row>
    <row r="383" spans="2:11" ht="39.950000000000003" hidden="1" customHeight="1" outlineLevel="1" x14ac:dyDescent="0.25">
      <c r="B383" s="10">
        <f ca="1">DATE(YEAR(TODAY()),12,23)</f>
        <v>42361</v>
      </c>
      <c r="C383" s="9"/>
      <c r="D383" s="8" t="s">
        <v>20</v>
      </c>
      <c r="F383" s="7" t="s">
        <v>19</v>
      </c>
      <c r="H383" s="2" t="s">
        <v>6</v>
      </c>
      <c r="K383" s="1">
        <f>SUM(I383*J383)</f>
        <v>0</v>
      </c>
    </row>
    <row r="384" spans="2:11" ht="39.950000000000003" hidden="1" customHeight="1" outlineLevel="1" x14ac:dyDescent="0.25">
      <c r="B384" s="14">
        <f ca="1">DATE(YEAR(TODAY()),12,24)</f>
        <v>42362</v>
      </c>
      <c r="C384" s="13"/>
      <c r="D384" s="8" t="s">
        <v>18</v>
      </c>
      <c r="F384" s="7" t="s">
        <v>17</v>
      </c>
      <c r="H384" s="2" t="s">
        <v>11</v>
      </c>
      <c r="K384" s="1">
        <f>SUM(I384*J384)</f>
        <v>0</v>
      </c>
    </row>
    <row r="385" spans="2:11" ht="39.950000000000003" hidden="1" customHeight="1" outlineLevel="1" x14ac:dyDescent="0.25">
      <c r="B385" s="12">
        <f ca="1">DATE(YEAR(TODAY()),12,25)</f>
        <v>42363</v>
      </c>
      <c r="C385" s="11"/>
      <c r="D385" s="8" t="s">
        <v>16</v>
      </c>
      <c r="F385" s="7" t="s">
        <v>9</v>
      </c>
      <c r="H385" s="2" t="s">
        <v>3</v>
      </c>
      <c r="K385" s="1">
        <f>SUM(I385*J385)</f>
        <v>0</v>
      </c>
    </row>
    <row r="386" spans="2:11" ht="39.950000000000003" hidden="1" customHeight="1" outlineLevel="1" x14ac:dyDescent="0.25">
      <c r="B386" s="12">
        <f ca="1">DATE(YEAR(TODAY()),12,26)</f>
        <v>42364</v>
      </c>
      <c r="C386" s="11"/>
      <c r="D386" s="8" t="s">
        <v>15</v>
      </c>
      <c r="F386" s="7" t="s">
        <v>14</v>
      </c>
      <c r="H386" s="2" t="s">
        <v>3</v>
      </c>
      <c r="K386" s="1">
        <f>SUM(I386*J386)</f>
        <v>0</v>
      </c>
    </row>
    <row r="387" spans="2:11" ht="39.950000000000003" hidden="1" customHeight="1" outlineLevel="1" x14ac:dyDescent="0.25">
      <c r="B387" s="16">
        <f ca="1">DATE(YEAR(TODAY()),12,27)</f>
        <v>42365</v>
      </c>
      <c r="C387" s="15"/>
      <c r="D387" s="8" t="s">
        <v>13</v>
      </c>
      <c r="F387" s="7" t="s">
        <v>12</v>
      </c>
      <c r="H387" s="2" t="s">
        <v>11</v>
      </c>
      <c r="K387" s="1">
        <f>SUM(I387*J387)</f>
        <v>0</v>
      </c>
    </row>
    <row r="388" spans="2:11" ht="39.950000000000003" hidden="1" customHeight="1" outlineLevel="1" x14ac:dyDescent="0.25">
      <c r="B388" s="14">
        <f ca="1">DATE(YEAR(TODAY()),12,28)</f>
        <v>42366</v>
      </c>
      <c r="C388" s="13"/>
      <c r="D388" s="8" t="s">
        <v>10</v>
      </c>
      <c r="F388" s="7" t="s">
        <v>9</v>
      </c>
      <c r="H388" s="2" t="s">
        <v>3</v>
      </c>
      <c r="K388" s="1">
        <f>SUM(I388*J388)</f>
        <v>0</v>
      </c>
    </row>
    <row r="389" spans="2:11" ht="39.950000000000003" hidden="1" customHeight="1" outlineLevel="1" x14ac:dyDescent="0.25">
      <c r="B389" s="10">
        <f ca="1">DATE(YEAR(TODAY()),12,29)</f>
        <v>42367</v>
      </c>
      <c r="C389" s="9"/>
      <c r="D389" s="8" t="s">
        <v>8</v>
      </c>
      <c r="F389" s="7" t="s">
        <v>7</v>
      </c>
      <c r="H389" s="2" t="s">
        <v>6</v>
      </c>
      <c r="K389" s="1">
        <f>SUM(I389*J389)</f>
        <v>0</v>
      </c>
    </row>
    <row r="390" spans="2:11" ht="39.950000000000003" hidden="1" customHeight="1" outlineLevel="1" x14ac:dyDescent="0.25">
      <c r="B390" s="12">
        <f ca="1">DATE(YEAR(TODAY()),12,30)</f>
        <v>42368</v>
      </c>
      <c r="C390" s="11"/>
      <c r="D390" s="8" t="s">
        <v>5</v>
      </c>
      <c r="F390" s="7" t="s">
        <v>4</v>
      </c>
      <c r="H390" s="2" t="s">
        <v>3</v>
      </c>
      <c r="K390" s="1">
        <f>SUM(I390*J390)</f>
        <v>0</v>
      </c>
    </row>
    <row r="391" spans="2:11" ht="39.950000000000003" hidden="1" customHeight="1" outlineLevel="1" x14ac:dyDescent="0.25">
      <c r="B391" s="10">
        <f ca="1">DATE(YEAR(TODAY()),12,31)</f>
        <v>42369</v>
      </c>
      <c r="C391" s="9"/>
      <c r="D391" s="8" t="s">
        <v>2</v>
      </c>
      <c r="F391" s="7" t="s">
        <v>1</v>
      </c>
      <c r="H391" s="2" t="s">
        <v>0</v>
      </c>
      <c r="K391" s="1">
        <f>SUM(I391*J391)</f>
        <v>0</v>
      </c>
    </row>
  </sheetData>
  <mergeCells count="12">
    <mergeCell ref="B2:K2"/>
    <mergeCell ref="B35:K35"/>
    <mergeCell ref="B66:K66"/>
    <mergeCell ref="B99:K99"/>
    <mergeCell ref="B131:K131"/>
    <mergeCell ref="B164:K164"/>
    <mergeCell ref="B196:K196"/>
    <mergeCell ref="B229:K229"/>
    <mergeCell ref="B262:K262"/>
    <mergeCell ref="B294:K294"/>
    <mergeCell ref="B327:K327"/>
    <mergeCell ref="B359:K359"/>
  </mergeCells>
  <conditionalFormatting sqref="B4:K391">
    <cfRule type="expression" dxfId="0" priority="1">
      <formula>$B4=TODAY()</formula>
    </cfRule>
  </conditionalFormatting>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Almanax (2)</vt:lpstr>
      <vt:lpstr>'Almanax (2)'!Criteres</vt:lpstr>
      <vt:lpstr>'Almanax (2)'!Zone_d_impression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Stéphanie AMIOT</dc:creator>
  <cp:lastModifiedBy>Stéphanie AMIOT</cp:lastModifiedBy>
  <dcterms:created xsi:type="dcterms:W3CDTF">2015-06-27T18:46:03Z</dcterms:created>
  <dcterms:modified xsi:type="dcterms:W3CDTF">2015-06-27T18:46:17Z</dcterms:modified>
</cp:coreProperties>
</file>