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90" windowHeight="7755" tabRatio="963" activeTab="5"/>
  </bookViews>
  <sheets>
    <sheet name="Fiche nouvelle" sheetId="24" r:id="rId1"/>
    <sheet name="Fiche" sheetId="20" r:id="rId2"/>
    <sheet name="Subventions" sheetId="1" r:id="rId3"/>
    <sheet name="Analytique" sheetId="25" r:id="rId4"/>
    <sheet name="Rapports" sheetId="23" r:id="rId5"/>
    <sheet name="Echéancier" sheetId="15" r:id="rId6"/>
    <sheet name="Paramètres" sheetId="12" r:id="rId7"/>
  </sheets>
  <definedNames>
    <definedName name="_xlnm._FilterDatabase" localSheetId="5" hidden="1">Echéancier!$A$5:$L$17</definedName>
    <definedName name="_xlnm._FilterDatabase" localSheetId="4" hidden="1">Rapports!$A$3:$E$6</definedName>
    <definedName name="Analytique">Analytique!$A$4:$G$13</definedName>
    <definedName name="Comptes_Recettes">Analytique</definedName>
    <definedName name="Critères">Fiche!$A$3:$A$4</definedName>
    <definedName name="Echéanciers">Echéancier!$A$5:$L$17</definedName>
    <definedName name="Echéanciers_Trouvés">Fiche!$A$19:$D$20</definedName>
    <definedName name="Encaissements">#REF!</definedName>
    <definedName name="Extraction_Echéanciers">Echéancier!#REF!</definedName>
    <definedName name="Extraction_Encaissements">#REF!</definedName>
    <definedName name="Extraction_Rapports">Rapports!$A$2007:$E$2007</definedName>
    <definedName name="_xlnm.Extract" localSheetId="5">Echéancier!#REF!</definedName>
    <definedName name="_xlnm.Extract" localSheetId="4">Rapports!$A$2007:$E$2007</definedName>
    <definedName name="Liste_Comptes_Recette">#REF!</definedName>
    <definedName name="Liste_des_subventions">Subventions!$A$4:$A$1000</definedName>
    <definedName name="Liste_Echéanciers">Echéancier!#REF!</definedName>
    <definedName name="Liste_Responsables">Paramètres!#REF!</definedName>
    <definedName name="Liste_Statuts">Paramètres!#REF!</definedName>
    <definedName name="Liste_Subventions">Subventions!#REF!</definedName>
    <definedName name="Liste_Types_Financement">Paramètres!#REF!</definedName>
    <definedName name="Rapports">Rapports!$A$3:$E$6</definedName>
    <definedName name="Responsables">Paramètres!#REF!</definedName>
    <definedName name="Statuts">Paramètres!#REF!</definedName>
    <definedName name="Subventions">Subventions!$A$5:$U$1000</definedName>
    <definedName name="Types_Financement">Paramètres!#REF!</definedName>
    <definedName name="_xlnm.Print_Area" localSheetId="1">Fiche!$A$1:$G$17</definedName>
    <definedName name="_xlnm.Print_Area" localSheetId="0">'Fiche nouvelle'!$A$1:$J$68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1" l="1"/>
  <c r="V1" i="1"/>
  <c r="U1" i="1"/>
  <c r="T1" i="1"/>
  <c r="F7" i="24"/>
  <c r="F6" i="24"/>
  <c r="I10" i="15"/>
  <c r="J10" i="15"/>
  <c r="L10" i="15"/>
  <c r="I9" i="15"/>
  <c r="J9" i="15"/>
  <c r="L9" i="15"/>
  <c r="I6" i="15"/>
  <c r="C6" i="15"/>
  <c r="C7" i="15"/>
  <c r="C8" i="15"/>
  <c r="C11" i="15"/>
  <c r="C12" i="15"/>
  <c r="C13" i="15"/>
  <c r="C14" i="15"/>
  <c r="C15" i="15"/>
  <c r="C16" i="15"/>
  <c r="C17" i="15"/>
  <c r="I17" i="15"/>
  <c r="J7" i="15"/>
  <c r="J8" i="15"/>
  <c r="J11" i="15"/>
  <c r="J12" i="15"/>
  <c r="J13" i="15"/>
  <c r="J14" i="15"/>
  <c r="J15" i="15"/>
  <c r="J16" i="15"/>
  <c r="J17" i="15"/>
  <c r="I7" i="15"/>
  <c r="I8" i="15"/>
  <c r="I11" i="15"/>
  <c r="I12" i="15"/>
  <c r="I13" i="15"/>
  <c r="I14" i="15"/>
  <c r="I15" i="15"/>
  <c r="I16" i="15"/>
  <c r="L8" i="15"/>
  <c r="L11" i="15"/>
  <c r="L12" i="15"/>
  <c r="L13" i="15"/>
  <c r="L14" i="15"/>
  <c r="L15" i="15"/>
  <c r="L16" i="15"/>
  <c r="L17" i="15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X6" i="1"/>
  <c r="H16" i="24"/>
  <c r="F16" i="24"/>
  <c r="E16" i="24"/>
  <c r="J16" i="24"/>
  <c r="I16" i="24"/>
  <c r="C16" i="24"/>
  <c r="I5" i="24"/>
  <c r="B16" i="24"/>
  <c r="H7" i="24"/>
  <c r="I4" i="24"/>
  <c r="F9" i="24"/>
  <c r="F3" i="24"/>
  <c r="D3" i="20"/>
  <c r="F4" i="20"/>
  <c r="F5" i="20"/>
  <c r="D6" i="20"/>
  <c r="D7" i="20"/>
  <c r="E7" i="20"/>
  <c r="D9" i="20"/>
  <c r="C15" i="20"/>
  <c r="F15" i="20"/>
  <c r="G15" i="20"/>
  <c r="A20" i="20"/>
  <c r="B20" i="20"/>
  <c r="B26" i="20" s="1"/>
  <c r="C20" i="20"/>
  <c r="C26" i="20" s="1"/>
  <c r="D20" i="20"/>
  <c r="A21" i="20"/>
  <c r="B21" i="20"/>
  <c r="C21" i="20"/>
  <c r="D21" i="20"/>
  <c r="A22" i="20"/>
  <c r="B22" i="20"/>
  <c r="C22" i="20"/>
  <c r="D22" i="20"/>
  <c r="A23" i="20"/>
  <c r="B23" i="20"/>
  <c r="C23" i="20"/>
  <c r="D23" i="20"/>
  <c r="A24" i="20"/>
  <c r="B24" i="20"/>
  <c r="C24" i="20"/>
  <c r="D24" i="20"/>
  <c r="A25" i="20"/>
  <c r="B25" i="20"/>
  <c r="C25" i="20"/>
  <c r="D25" i="20"/>
  <c r="E43" i="24"/>
  <c r="C43" i="24"/>
  <c r="H26" i="24"/>
  <c r="F26" i="24"/>
  <c r="L7" i="15"/>
  <c r="L6" i="15"/>
  <c r="S6" i="1" s="1"/>
  <c r="J6" i="15"/>
  <c r="X5" i="1"/>
  <c r="E2" i="15"/>
  <c r="S5" i="1" l="1"/>
  <c r="K15" i="15"/>
  <c r="K13" i="15"/>
  <c r="K11" i="15"/>
  <c r="K7" i="15"/>
  <c r="K10" i="15"/>
  <c r="K9" i="15"/>
  <c r="K16" i="15"/>
  <c r="K14" i="15"/>
  <c r="K12" i="15"/>
  <c r="K8" i="15"/>
  <c r="K17" i="15"/>
  <c r="J1" i="15"/>
  <c r="Q6" i="1"/>
  <c r="U6" i="1"/>
  <c r="V6" i="1"/>
  <c r="T6" i="1"/>
  <c r="K6" i="15"/>
  <c r="P5" i="1"/>
  <c r="U5" i="1"/>
  <c r="Q5" i="1"/>
  <c r="R5" i="1" l="1"/>
  <c r="F5" i="23" l="1"/>
  <c r="F6" i="23"/>
  <c r="F7" i="23"/>
  <c r="F8" i="23"/>
  <c r="F4" i="23"/>
  <c r="K5" i="1" s="1"/>
  <c r="E41" i="20"/>
  <c r="E42" i="20"/>
  <c r="E43" i="20"/>
  <c r="E44" i="20"/>
  <c r="E45" i="20"/>
  <c r="E46" i="20"/>
  <c r="E47" i="20"/>
  <c r="E48" i="20"/>
  <c r="E49" i="20"/>
  <c r="E50" i="20"/>
  <c r="E40" i="20"/>
  <c r="B40" i="20"/>
  <c r="D41" i="20"/>
  <c r="D42" i="20"/>
  <c r="D43" i="20"/>
  <c r="D44" i="20"/>
  <c r="D45" i="20"/>
  <c r="D46" i="20"/>
  <c r="D47" i="20"/>
  <c r="D48" i="20"/>
  <c r="D49" i="20"/>
  <c r="D50" i="20"/>
  <c r="D40" i="20"/>
  <c r="B41" i="20"/>
  <c r="B42" i="20"/>
  <c r="B43" i="20"/>
  <c r="B44" i="20"/>
  <c r="B45" i="20"/>
  <c r="B46" i="20"/>
  <c r="B47" i="20"/>
  <c r="B48" i="20"/>
  <c r="B49" i="20"/>
  <c r="B50" i="20"/>
  <c r="A43" i="20"/>
  <c r="A44" i="20"/>
  <c r="A45" i="20"/>
  <c r="A46" i="20"/>
  <c r="A47" i="20"/>
  <c r="A48" i="20"/>
  <c r="A49" i="20"/>
  <c r="A50" i="20"/>
  <c r="A41" i="20"/>
  <c r="A42" i="20"/>
  <c r="A40" i="20"/>
  <c r="D31" i="20"/>
  <c r="D32" i="20"/>
  <c r="D33" i="20"/>
  <c r="D34" i="20"/>
  <c r="D35" i="20"/>
  <c r="D30" i="20"/>
  <c r="C31" i="20"/>
  <c r="C32" i="20"/>
  <c r="C33" i="20"/>
  <c r="C34" i="20"/>
  <c r="C35" i="20"/>
  <c r="C30" i="20"/>
  <c r="B31" i="20"/>
  <c r="B32" i="20"/>
  <c r="B33" i="20"/>
  <c r="B34" i="20"/>
  <c r="B35" i="20"/>
  <c r="B30" i="20"/>
  <c r="A31" i="20"/>
  <c r="A32" i="20"/>
  <c r="A33" i="20"/>
  <c r="A34" i="20"/>
  <c r="A35" i="20"/>
  <c r="A30" i="20"/>
  <c r="K6" i="1" l="1"/>
  <c r="D15" i="20" s="1"/>
  <c r="B36" i="20"/>
  <c r="V5" i="1" l="1"/>
  <c r="O1" i="1"/>
  <c r="T5" i="1"/>
  <c r="P6" i="1" l="1"/>
  <c r="D2" i="15"/>
  <c r="I1" i="15" l="1"/>
  <c r="R6" i="1"/>
  <c r="P1" i="1"/>
  <c r="K1" i="15"/>
</calcChain>
</file>

<file path=xl/sharedStrings.xml><?xml version="1.0" encoding="utf-8"?>
<sst xmlns="http://schemas.openxmlformats.org/spreadsheetml/2006/main" count="274" uniqueCount="188">
  <si>
    <t xml:space="preserve">Statut du dossier </t>
  </si>
  <si>
    <t>Responsable Projet</t>
  </si>
  <si>
    <t>Bailleur</t>
  </si>
  <si>
    <t>Type Bailleur</t>
  </si>
  <si>
    <t>Nom</t>
  </si>
  <si>
    <t>Sollicité</t>
  </si>
  <si>
    <t>OPS-COO</t>
  </si>
  <si>
    <t>Nom du bailleur</t>
  </si>
  <si>
    <t>Statut</t>
  </si>
  <si>
    <t>Comptabilité</t>
  </si>
  <si>
    <t>Accord du bailleur</t>
  </si>
  <si>
    <t>Référence du contrat</t>
  </si>
  <si>
    <t>Date d'accord</t>
  </si>
  <si>
    <t>Montant accordé</t>
  </si>
  <si>
    <t>Date de début</t>
  </si>
  <si>
    <t>Date de fin</t>
  </si>
  <si>
    <t>Echéancier</t>
  </si>
  <si>
    <t>Montant Prévu</t>
  </si>
  <si>
    <t>Date Prévu</t>
  </si>
  <si>
    <t>Montant Versé</t>
  </si>
  <si>
    <t>Date Compta</t>
  </si>
  <si>
    <t>Facture n°</t>
  </si>
  <si>
    <t>Observations</t>
  </si>
  <si>
    <t>Montant Total</t>
  </si>
  <si>
    <t>Rapports au bailleur</t>
  </si>
  <si>
    <t>Échéance</t>
  </si>
  <si>
    <t>Type de rapport</t>
  </si>
  <si>
    <t>Date d'envoi</t>
  </si>
  <si>
    <t>Cpte Tiers</t>
  </si>
  <si>
    <t>Cpte Recette</t>
  </si>
  <si>
    <t>Libellé Bailleur</t>
  </si>
  <si>
    <t>0</t>
  </si>
  <si>
    <t>NF</t>
  </si>
  <si>
    <t>Convention Non Financière</t>
  </si>
  <si>
    <t>44103000</t>
  </si>
  <si>
    <t>CONSEILS GENERAUX DEPARTEMENTS</t>
  </si>
  <si>
    <t>Départements</t>
  </si>
  <si>
    <t>44103100</t>
  </si>
  <si>
    <t>CONSEIL GENERAL du Rhône</t>
  </si>
  <si>
    <t>44104000</t>
  </si>
  <si>
    <t>EUROPE</t>
  </si>
  <si>
    <t>International</t>
  </si>
  <si>
    <t>INTERNATIONAL Hors Europe</t>
  </si>
  <si>
    <t>Privé</t>
  </si>
  <si>
    <t>44152000</t>
  </si>
  <si>
    <t>ENTREPRISE</t>
  </si>
  <si>
    <t>44159000</t>
  </si>
  <si>
    <t>PRIVE AUTRE</t>
  </si>
  <si>
    <t>Compte tiers</t>
  </si>
  <si>
    <t>Compte recette</t>
  </si>
  <si>
    <t>N° compte tiers</t>
  </si>
  <si>
    <t>N° compte recette</t>
  </si>
  <si>
    <t>Type de financement</t>
  </si>
  <si>
    <t>DOP-PDL</t>
  </si>
  <si>
    <t>DOPPAM</t>
  </si>
  <si>
    <t>OPS-FCA</t>
  </si>
  <si>
    <t>DIR-DGL</t>
  </si>
  <si>
    <t>DIR-DOC</t>
  </si>
  <si>
    <t>DEF-HPM</t>
  </si>
  <si>
    <t>SGX-INF</t>
  </si>
  <si>
    <t>DOP-DEF</t>
  </si>
  <si>
    <t>PDC-COO</t>
  </si>
  <si>
    <t>DIR-COM</t>
  </si>
  <si>
    <t>DEF-COO</t>
  </si>
  <si>
    <t>OPS-CRB</t>
  </si>
  <si>
    <t>OPS-FCR</t>
  </si>
  <si>
    <t>DEF-WAS</t>
  </si>
  <si>
    <t>DEF-IEP</t>
  </si>
  <si>
    <t>Affectations du financement</t>
  </si>
  <si>
    <t>Année</t>
  </si>
  <si>
    <t>Action</t>
  </si>
  <si>
    <t>Code Analytique</t>
  </si>
  <si>
    <t>Responsable</t>
  </si>
  <si>
    <t>Plan de rédaction du rapport + facture</t>
  </si>
  <si>
    <t>Remise du document projet et annexe</t>
  </si>
  <si>
    <t>ASICOURT00</t>
  </si>
  <si>
    <t>ASILONG00</t>
  </si>
  <si>
    <t>Objet de la subvention</t>
  </si>
  <si>
    <t>Dossier affecté, payé, pointé et rapporté</t>
  </si>
  <si>
    <t>Archivé par le Service Administratif et Financier le</t>
  </si>
  <si>
    <t>Signature</t>
  </si>
  <si>
    <t>Montant demandé</t>
  </si>
  <si>
    <t>XXXX</t>
  </si>
  <si>
    <t>Montant révisé</t>
  </si>
  <si>
    <t>Montant Révisé</t>
  </si>
  <si>
    <t>Retard
Nbre d'envoi</t>
  </si>
  <si>
    <t>MACHIN</t>
  </si>
  <si>
    <t>N° OP</t>
  </si>
  <si>
    <t>Dossier créé le</t>
  </si>
  <si>
    <t>Etat</t>
  </si>
  <si>
    <t>Suivi opérationnel des subventions</t>
  </si>
  <si>
    <t>TRUC</t>
  </si>
  <si>
    <t>Projet numéro 1</t>
  </si>
  <si>
    <t>Projet numéro 2</t>
  </si>
  <si>
    <t>Commune</t>
  </si>
  <si>
    <t>Département</t>
  </si>
  <si>
    <t>Région Rhône Alpes</t>
  </si>
  <si>
    <t>Région</t>
  </si>
  <si>
    <t>Reste à encaisser</t>
  </si>
  <si>
    <t>Fichier des échéanciers</t>
  </si>
  <si>
    <t>Total échéancier</t>
  </si>
  <si>
    <t>Montant échéance</t>
  </si>
  <si>
    <t>Montant encaissement</t>
  </si>
  <si>
    <t>Alerte</t>
  </si>
  <si>
    <t>Objet de la subvention :</t>
  </si>
  <si>
    <t>Date facture</t>
  </si>
  <si>
    <t>Numéro de facture</t>
  </si>
  <si>
    <t>Encaissements</t>
  </si>
  <si>
    <t>Fichier des rapports au bailleur</t>
  </si>
  <si>
    <t>Contenu du rapport</t>
  </si>
  <si>
    <t>Fiche de suivi d'opération</t>
  </si>
  <si>
    <t>Totaux</t>
  </si>
  <si>
    <t>Rapports</t>
  </si>
  <si>
    <t>N° Chrono SAF</t>
  </si>
  <si>
    <t>Date de début de la convention</t>
  </si>
  <si>
    <t>Date de fin 
de la convention</t>
  </si>
  <si>
    <t>Montant total accordé en €</t>
  </si>
  <si>
    <t>Encaissé Avt 2015</t>
  </si>
  <si>
    <t>Prévu 
2015</t>
  </si>
  <si>
    <t>Perçu 
2015</t>
  </si>
  <si>
    <t>Ecart
2015</t>
  </si>
  <si>
    <t>Prévu 
2016</t>
  </si>
  <si>
    <t>Prévu 
2017</t>
  </si>
  <si>
    <t>Date compta</t>
  </si>
  <si>
    <t>Prévu 2018</t>
  </si>
  <si>
    <t>Montant Perçu</t>
  </si>
  <si>
    <t>44101000</t>
  </si>
  <si>
    <t>RRA DEFC</t>
  </si>
  <si>
    <t>Région Rhône-Alpes</t>
  </si>
  <si>
    <t>44101100</t>
  </si>
  <si>
    <t>RRA DERIC</t>
  </si>
  <si>
    <t>44101200</t>
  </si>
  <si>
    <t>RRA AUTRE</t>
  </si>
  <si>
    <t>44102000</t>
  </si>
  <si>
    <t>DIRECCTE</t>
  </si>
  <si>
    <t>ETAT</t>
  </si>
  <si>
    <t>44105000</t>
  </si>
  <si>
    <t>Type MAE AFD</t>
  </si>
  <si>
    <t>44106000</t>
  </si>
  <si>
    <t>COMMUNE</t>
  </si>
  <si>
    <t>Communes</t>
  </si>
  <si>
    <t>44106100</t>
  </si>
  <si>
    <t>GRAND LYON</t>
  </si>
  <si>
    <t>44106200</t>
  </si>
  <si>
    <t>VILLE DE VENISSIEUX</t>
  </si>
  <si>
    <t>44107000</t>
  </si>
  <si>
    <t>CONSEILS REGIONAUX AUTRES</t>
  </si>
  <si>
    <t>Régions</t>
  </si>
  <si>
    <t>44109000</t>
  </si>
  <si>
    <t>PUBLIC AUTRE</t>
  </si>
  <si>
    <t>44151000</t>
  </si>
  <si>
    <t>MERIEUX</t>
  </si>
  <si>
    <t>DAF-CPT</t>
  </si>
  <si>
    <t>DAF-FCP</t>
  </si>
  <si>
    <t>DAF-FIN</t>
  </si>
  <si>
    <t>DOP-INF</t>
  </si>
  <si>
    <t>DEF-CSG</t>
  </si>
  <si>
    <t>DEF-FCA</t>
  </si>
  <si>
    <t>DEF-FLP</t>
  </si>
  <si>
    <t>DOP-ACC</t>
  </si>
  <si>
    <t>DEF-FCP</t>
  </si>
  <si>
    <t>DEFFIR</t>
  </si>
  <si>
    <t xml:space="preserve">Détail Responsable </t>
  </si>
  <si>
    <t>Type de Financement</t>
  </si>
  <si>
    <t>Statut du dossier</t>
  </si>
  <si>
    <t>Acquis</t>
  </si>
  <si>
    <t>Clôturé</t>
  </si>
  <si>
    <t>Refusé</t>
  </si>
  <si>
    <t>DOSSIER CHRONO ORIGINAL A RETOURNER AU SAF</t>
  </si>
  <si>
    <t>Code Chrono</t>
  </si>
  <si>
    <t>Dossier SAF créé le</t>
  </si>
  <si>
    <t>Référence du bailleur</t>
  </si>
  <si>
    <t>Date de l'accord</t>
  </si>
  <si>
    <t>Montant révisé en €</t>
  </si>
  <si>
    <t>OX2015IIIDJEAN</t>
  </si>
  <si>
    <t>EXSDOOOEIE</t>
  </si>
  <si>
    <t>Bilan Final</t>
  </si>
  <si>
    <t>Demande d'acompte</t>
  </si>
  <si>
    <t>15/XX</t>
  </si>
  <si>
    <t>A facturer</t>
  </si>
  <si>
    <t>Fichier affectation analytique</t>
  </si>
  <si>
    <t>Exercice</t>
  </si>
  <si>
    <t>FCT</t>
  </si>
  <si>
    <t>CFT</t>
  </si>
  <si>
    <t xml:space="preserve"> DOIT REPRENDRE LES LIGNES DE l'ONGLET ECHEANCIER SELON LE CODE CHRONO</t>
  </si>
  <si>
    <t xml:space="preserve"> DOIT REPRENDRE LES LIGNES DE l'ONGLET ANALYTIQUE SELON LE CODE CHRONO</t>
  </si>
  <si>
    <t xml:space="preserve"> DOIT REPRENDRE LES LIGNES DE l'ONGLET RAPPORT SELON LE CODE CHRONO</t>
  </si>
  <si>
    <t>Retard
Nbre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</si>
</sst>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dd/mm/yy;@"/>
    <numFmt numFmtId="166" formatCode="[Red]&quot;en retard&quot;;&quot;&quot;;&quot;&quot;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220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/>
    <xf numFmtId="0" fontId="2" fillId="0" borderId="0" xfId="0" applyFont="1" applyFill="1"/>
    <xf numFmtId="0" fontId="5" fillId="0" borderId="0" xfId="0" applyFont="1" applyFill="1"/>
    <xf numFmtId="0" fontId="5" fillId="0" borderId="3" xfId="0" applyFont="1" applyBorder="1"/>
    <xf numFmtId="0" fontId="5" fillId="0" borderId="10" xfId="0" applyFont="1" applyBorder="1"/>
    <xf numFmtId="0" fontId="6" fillId="0" borderId="0" xfId="0" applyFont="1"/>
    <xf numFmtId="0" fontId="6" fillId="0" borderId="0" xfId="0" applyFont="1" applyBorder="1"/>
    <xf numFmtId="0" fontId="2" fillId="0" borderId="0" xfId="0" applyFont="1" applyBorder="1"/>
    <xf numFmtId="0" fontId="7" fillId="0" borderId="11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0" fontId="7" fillId="0" borderId="0" xfId="0" applyFont="1" applyBorder="1"/>
    <xf numFmtId="0" fontId="6" fillId="0" borderId="6" xfId="0" applyFont="1" applyBorder="1"/>
    <xf numFmtId="0" fontId="7" fillId="0" borderId="7" xfId="0" applyFont="1" applyBorder="1" applyAlignment="1">
      <alignment horizontal="left"/>
    </xf>
    <xf numFmtId="0" fontId="6" fillId="0" borderId="5" xfId="0" applyFont="1" applyBorder="1"/>
    <xf numFmtId="0" fontId="6" fillId="0" borderId="7" xfId="0" applyFont="1" applyBorder="1"/>
    <xf numFmtId="0" fontId="6" fillId="0" borderId="8" xfId="0" applyFont="1" applyBorder="1"/>
    <xf numFmtId="14" fontId="2" fillId="0" borderId="8" xfId="0" applyNumberFormat="1" applyFont="1" applyBorder="1"/>
    <xf numFmtId="165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/>
    <xf numFmtId="0" fontId="2" fillId="0" borderId="9" xfId="0" applyFont="1" applyBorder="1"/>
    <xf numFmtId="14" fontId="2" fillId="0" borderId="0" xfId="0" applyNumberFormat="1" applyFont="1" applyBorder="1"/>
    <xf numFmtId="165" fontId="2" fillId="0" borderId="0" xfId="0" applyNumberFormat="1" applyFont="1" applyBorder="1"/>
    <xf numFmtId="164" fontId="2" fillId="0" borderId="0" xfId="0" applyNumberFormat="1" applyFont="1" applyBorder="1"/>
    <xf numFmtId="0" fontId="7" fillId="0" borderId="0" xfId="0" applyFont="1" applyFill="1" applyBorder="1"/>
    <xf numFmtId="164" fontId="1" fillId="0" borderId="4" xfId="0" applyNumberFormat="1" applyFont="1" applyFill="1" applyBorder="1"/>
    <xf numFmtId="0" fontId="2" fillId="0" borderId="0" xfId="0" applyFont="1" applyFill="1" applyBorder="1"/>
    <xf numFmtId="0" fontId="7" fillId="0" borderId="7" xfId="0" applyFont="1" applyFill="1" applyBorder="1"/>
    <xf numFmtId="165" fontId="7" fillId="0" borderId="8" xfId="0" applyNumberFormat="1" applyFont="1" applyBorder="1" applyAlignment="1">
      <alignment horizontal="center"/>
    </xf>
    <xf numFmtId="0" fontId="7" fillId="0" borderId="1" xfId="0" applyFont="1" applyBorder="1"/>
    <xf numFmtId="165" fontId="7" fillId="0" borderId="1" xfId="0" applyNumberFormat="1" applyFont="1" applyBorder="1" applyAlignment="1">
      <alignment horizontal="center"/>
    </xf>
    <xf numFmtId="0" fontId="7" fillId="0" borderId="9" xfId="0" applyFont="1" applyBorder="1"/>
    <xf numFmtId="0" fontId="2" fillId="0" borderId="7" xfId="0" applyFont="1" applyBorder="1"/>
    <xf numFmtId="0" fontId="1" fillId="0" borderId="8" xfId="0" applyFont="1" applyBorder="1"/>
    <xf numFmtId="164" fontId="1" fillId="0" borderId="1" xfId="0" applyNumberFormat="1" applyFont="1" applyBorder="1"/>
    <xf numFmtId="164" fontId="1" fillId="0" borderId="0" xfId="0" applyNumberFormat="1" applyFont="1"/>
    <xf numFmtId="0" fontId="2" fillId="0" borderId="0" xfId="0" applyFont="1" applyAlignment="1">
      <alignment vertical="center"/>
    </xf>
    <xf numFmtId="165" fontId="7" fillId="0" borderId="6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65" fontId="7" fillId="3" borderId="6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164" fontId="7" fillId="3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65" fontId="7" fillId="0" borderId="6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49" fontId="7" fillId="0" borderId="6" xfId="0" applyNumberFormat="1" applyFont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11" xfId="0" applyNumberFormat="1" applyFont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" fillId="0" borderId="6" xfId="0" applyFont="1" applyBorder="1"/>
    <xf numFmtId="0" fontId="2" fillId="0" borderId="6" xfId="0" applyFont="1" applyBorder="1"/>
    <xf numFmtId="0" fontId="1" fillId="0" borderId="6" xfId="0" applyFont="1" applyBorder="1" applyAlignment="1">
      <alignment horizontal="left"/>
    </xf>
    <xf numFmtId="165" fontId="7" fillId="0" borderId="7" xfId="0" applyNumberFormat="1" applyFont="1" applyBorder="1" applyAlignment="1">
      <alignment horizontal="center"/>
    </xf>
    <xf numFmtId="0" fontId="2" fillId="0" borderId="8" xfId="0" applyFont="1" applyBorder="1"/>
    <xf numFmtId="164" fontId="1" fillId="0" borderId="4" xfId="0" applyNumberFormat="1" applyFont="1" applyBorder="1"/>
    <xf numFmtId="165" fontId="7" fillId="7" borderId="0" xfId="0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/>
    <xf numFmtId="0" fontId="12" fillId="0" borderId="0" xfId="0" applyFont="1" applyAlignment="1">
      <alignment vertical="top" wrapText="1"/>
    </xf>
    <xf numFmtId="0" fontId="13" fillId="0" borderId="0" xfId="0" applyFont="1" applyFill="1" applyBorder="1"/>
    <xf numFmtId="14" fontId="0" fillId="0" borderId="0" xfId="0" applyNumberFormat="1" applyFill="1" applyBorder="1" applyAlignment="1">
      <alignment horizontal="center"/>
    </xf>
    <xf numFmtId="44" fontId="0" fillId="0" borderId="0" xfId="2" applyFont="1" applyAlignment="1">
      <alignment horizontal="center"/>
    </xf>
    <xf numFmtId="0" fontId="11" fillId="0" borderId="0" xfId="0" applyFont="1" applyAlignment="1">
      <alignment horizontal="left" vertical="top"/>
    </xf>
    <xf numFmtId="0" fontId="12" fillId="8" borderId="0" xfId="0" applyFont="1" applyFill="1" applyBorder="1" applyAlignment="1">
      <alignment horizontal="center" vertical="top" wrapText="1"/>
    </xf>
    <xf numFmtId="14" fontId="12" fillId="8" borderId="0" xfId="0" applyNumberFormat="1" applyFont="1" applyFill="1" applyBorder="1" applyAlignment="1">
      <alignment horizontal="center" vertical="top" wrapText="1"/>
    </xf>
    <xf numFmtId="166" fontId="10" fillId="0" borderId="0" xfId="2" applyNumberFormat="1" applyFont="1" applyAlignment="1">
      <alignment horizontal="center"/>
    </xf>
    <xf numFmtId="165" fontId="7" fillId="3" borderId="0" xfId="0" applyNumberFormat="1" applyFont="1" applyFill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5" fontId="7" fillId="9" borderId="11" xfId="0" applyNumberFormat="1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left"/>
    </xf>
    <xf numFmtId="14" fontId="7" fillId="9" borderId="6" xfId="0" applyNumberFormat="1" applyFont="1" applyFill="1" applyBorder="1" applyAlignment="1">
      <alignment horizontal="center" vertical="center"/>
    </xf>
    <xf numFmtId="165" fontId="7" fillId="9" borderId="0" xfId="0" applyNumberFormat="1" applyFont="1" applyFill="1" applyBorder="1" applyAlignment="1">
      <alignment horizontal="center" vertical="center"/>
    </xf>
    <xf numFmtId="164" fontId="7" fillId="6" borderId="0" xfId="0" applyNumberFormat="1" applyFont="1" applyFill="1" applyBorder="1" applyAlignment="1">
      <alignment horizontal="center" vertical="center"/>
    </xf>
    <xf numFmtId="165" fontId="7" fillId="6" borderId="0" xfId="0" applyNumberFormat="1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14" fontId="0" fillId="0" borderId="0" xfId="0" applyNumberFormat="1"/>
    <xf numFmtId="14" fontId="11" fillId="0" borderId="0" xfId="0" applyNumberFormat="1" applyFont="1"/>
    <xf numFmtId="0" fontId="5" fillId="0" borderId="10" xfId="0" applyFont="1" applyBorder="1" applyAlignment="1">
      <alignment horizontal="center"/>
    </xf>
    <xf numFmtId="0" fontId="7" fillId="10" borderId="11" xfId="0" applyFont="1" applyFill="1" applyBorder="1" applyAlignment="1">
      <alignment horizontal="center"/>
    </xf>
    <xf numFmtId="1" fontId="2" fillId="8" borderId="0" xfId="0" applyNumberFormat="1" applyFont="1" applyFill="1"/>
    <xf numFmtId="0" fontId="2" fillId="8" borderId="0" xfId="0" applyFont="1" applyFill="1"/>
    <xf numFmtId="44" fontId="2" fillId="8" borderId="0" xfId="2" applyFont="1" applyFill="1"/>
    <xf numFmtId="0" fontId="2" fillId="8" borderId="0" xfId="0" applyFont="1" applyFill="1" applyAlignment="1"/>
    <xf numFmtId="0" fontId="12" fillId="8" borderId="0" xfId="0" applyFont="1" applyFill="1" applyBorder="1" applyAlignment="1">
      <alignment horizontal="center" vertical="top" wrapText="1"/>
    </xf>
    <xf numFmtId="44" fontId="12" fillId="8" borderId="0" xfId="2" applyFont="1" applyFill="1" applyBorder="1" applyAlignment="1">
      <alignment horizontal="center" vertical="top" wrapText="1"/>
    </xf>
    <xf numFmtId="166" fontId="14" fillId="8" borderId="0" xfId="2" applyNumberFormat="1" applyFont="1" applyFill="1" applyBorder="1" applyAlignment="1">
      <alignment horizontal="center" vertical="top" wrapText="1"/>
    </xf>
    <xf numFmtId="166" fontId="14" fillId="8" borderId="0" xfId="2" applyNumberFormat="1" applyFont="1" applyFill="1" applyBorder="1" applyAlignment="1">
      <alignment vertical="top" wrapText="1"/>
    </xf>
    <xf numFmtId="1" fontId="2" fillId="6" borderId="2" xfId="0" applyNumberFormat="1" applyFont="1" applyFill="1" applyBorder="1"/>
    <xf numFmtId="44" fontId="2" fillId="6" borderId="2" xfId="2" applyFont="1" applyFill="1" applyBorder="1"/>
    <xf numFmtId="166" fontId="10" fillId="6" borderId="2" xfId="2" applyNumberFormat="1" applyFont="1" applyFill="1" applyBorder="1" applyAlignment="1">
      <alignment horizontal="center"/>
    </xf>
    <xf numFmtId="0" fontId="2" fillId="6" borderId="2" xfId="0" applyFont="1" applyFill="1" applyBorder="1"/>
    <xf numFmtId="14" fontId="2" fillId="6" borderId="2" xfId="0" applyNumberFormat="1" applyFont="1" applyFill="1" applyBorder="1"/>
    <xf numFmtId="14" fontId="2" fillId="6" borderId="2" xfId="0" applyNumberFormat="1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44" fontId="0" fillId="6" borderId="0" xfId="2" applyFont="1" applyFill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12" fillId="8" borderId="0" xfId="0" applyFont="1" applyFill="1" applyBorder="1" applyAlignment="1">
      <alignment horizontal="left" vertical="top" wrapText="1"/>
    </xf>
    <xf numFmtId="0" fontId="12" fillId="8" borderId="0" xfId="0" applyFont="1" applyFill="1" applyBorder="1" applyAlignment="1">
      <alignment horizontal="center" vertical="top" wrapText="1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164" fontId="7" fillId="3" borderId="7" xfId="0" applyNumberFormat="1" applyFont="1" applyFill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5" fontId="7" fillId="3" borderId="0" xfId="0" applyNumberFormat="1" applyFont="1" applyFill="1" applyBorder="1" applyAlignment="1">
      <alignment horizontal="center" vertical="center"/>
    </xf>
    <xf numFmtId="165" fontId="7" fillId="3" borderId="7" xfId="0" applyNumberFormat="1" applyFont="1" applyFill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11" borderId="16" xfId="0" applyFill="1" applyBorder="1" applyAlignment="1">
      <alignment horizontal="center" vertical="center" wrapText="1"/>
    </xf>
    <xf numFmtId="0" fontId="0" fillId="11" borderId="14" xfId="0" applyFill="1" applyBorder="1" applyAlignment="1">
      <alignment horizontal="center" vertical="center" wrapText="1"/>
    </xf>
    <xf numFmtId="0" fontId="0" fillId="11" borderId="15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/>
    </xf>
    <xf numFmtId="44" fontId="0" fillId="0" borderId="0" xfId="2" applyFont="1" applyFill="1" applyAlignment="1">
      <alignment horizontal="center"/>
    </xf>
    <xf numFmtId="0" fontId="0" fillId="2" borderId="16" xfId="0" applyFill="1" applyBorder="1" applyAlignment="1">
      <alignment horizontal="center" vertical="center" wrapText="1"/>
    </xf>
    <xf numFmtId="43" fontId="0" fillId="0" borderId="0" xfId="3" applyFont="1" applyAlignment="1">
      <alignment horizontal="center"/>
    </xf>
    <xf numFmtId="44" fontId="0" fillId="0" borderId="17" xfId="2" applyFont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4" fillId="0" borderId="18" xfId="1" applyFont="1" applyFill="1" applyBorder="1" applyAlignment="1"/>
    <xf numFmtId="0" fontId="4" fillId="0" borderId="19" xfId="1" applyFont="1" applyFill="1" applyBorder="1" applyAlignment="1"/>
    <xf numFmtId="0" fontId="0" fillId="0" borderId="20" xfId="0" applyBorder="1"/>
    <xf numFmtId="0" fontId="4" fillId="0" borderId="21" xfId="1" applyFont="1" applyFill="1" applyBorder="1" applyAlignment="1"/>
    <xf numFmtId="0" fontId="0" fillId="0" borderId="22" xfId="0" applyBorder="1"/>
    <xf numFmtId="0" fontId="4" fillId="0" borderId="18" xfId="1" applyFont="1" applyFill="1" applyBorder="1" applyAlignment="1">
      <alignment horizontal="right"/>
    </xf>
    <xf numFmtId="0" fontId="4" fillId="0" borderId="20" xfId="1" applyFont="1" applyFill="1" applyBorder="1" applyAlignment="1"/>
    <xf numFmtId="0" fontId="4" fillId="0" borderId="19" xfId="1" applyFont="1" applyFill="1" applyBorder="1" applyAlignment="1">
      <alignment horizontal="left"/>
    </xf>
    <xf numFmtId="0" fontId="4" fillId="0" borderId="24" xfId="1" applyFont="1" applyFill="1" applyBorder="1" applyAlignment="1">
      <alignment horizontal="right"/>
    </xf>
    <xf numFmtId="0" fontId="4" fillId="0" borderId="24" xfId="1" applyFont="1" applyFill="1" applyBorder="1" applyAlignment="1"/>
    <xf numFmtId="0" fontId="4" fillId="0" borderId="22" xfId="1" applyFont="1" applyFill="1" applyBorder="1" applyAlignment="1"/>
    <xf numFmtId="0" fontId="4" fillId="0" borderId="25" xfId="1" applyFont="1" applyFill="1" applyBorder="1" applyAlignment="1"/>
    <xf numFmtId="0" fontId="4" fillId="0" borderId="26" xfId="1" applyFont="1" applyFill="1" applyBorder="1" applyAlignment="1">
      <alignment horizontal="right"/>
    </xf>
    <xf numFmtId="0" fontId="4" fillId="0" borderId="26" xfId="1" applyFont="1" applyFill="1" applyBorder="1" applyAlignment="1"/>
    <xf numFmtId="0" fontId="4" fillId="0" borderId="27" xfId="1" applyFont="1" applyFill="1" applyBorder="1" applyAlignment="1"/>
    <xf numFmtId="0" fontId="4" fillId="5" borderId="12" xfId="1" applyFont="1" applyFill="1" applyBorder="1" applyAlignment="1">
      <alignment horizontal="center"/>
    </xf>
    <xf numFmtId="0" fontId="4" fillId="5" borderId="28" xfId="1" applyFont="1" applyFill="1" applyBorder="1" applyAlignment="1">
      <alignment horizontal="center"/>
    </xf>
    <xf numFmtId="0" fontId="4" fillId="5" borderId="29" xfId="1" applyFont="1" applyFill="1" applyBorder="1" applyAlignment="1">
      <alignment horizontal="center"/>
    </xf>
    <xf numFmtId="0" fontId="0" fillId="0" borderId="27" xfId="0" applyBorder="1"/>
    <xf numFmtId="0" fontId="4" fillId="5" borderId="30" xfId="1" applyFont="1" applyFill="1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2" fillId="8" borderId="33" xfId="0" applyFont="1" applyFill="1" applyBorder="1" applyAlignment="1">
      <alignment horizontal="center"/>
    </xf>
    <xf numFmtId="166" fontId="14" fillId="8" borderId="34" xfId="2" applyNumberFormat="1" applyFont="1" applyFill="1" applyBorder="1" applyAlignment="1">
      <alignment horizontal="center" vertical="top" wrapText="1"/>
    </xf>
    <xf numFmtId="0" fontId="0" fillId="2" borderId="23" xfId="0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/>
    </xf>
    <xf numFmtId="0" fontId="7" fillId="7" borderId="9" xfId="0" applyFont="1" applyFill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14" fontId="0" fillId="0" borderId="17" xfId="0" applyNumberFormat="1" applyFill="1" applyBorder="1" applyAlignment="1">
      <alignment horizontal="center"/>
    </xf>
    <xf numFmtId="0" fontId="0" fillId="0" borderId="17" xfId="0" applyFill="1" applyBorder="1"/>
    <xf numFmtId="0" fontId="10" fillId="0" borderId="17" xfId="0" applyFont="1" applyBorder="1" applyAlignment="1">
      <alignment horizontal="center"/>
    </xf>
    <xf numFmtId="14" fontId="0" fillId="0" borderId="17" xfId="0" applyNumberFormat="1" applyBorder="1"/>
    <xf numFmtId="0" fontId="0" fillId="0" borderId="17" xfId="0" applyBorder="1"/>
    <xf numFmtId="0" fontId="10" fillId="7" borderId="17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44" fontId="0" fillId="6" borderId="0" xfId="0" applyNumberFormat="1" applyFill="1" applyBorder="1"/>
    <xf numFmtId="164" fontId="0" fillId="0" borderId="17" xfId="0" applyNumberFormat="1" applyFill="1" applyBorder="1"/>
    <xf numFmtId="0" fontId="0" fillId="0" borderId="26" xfId="0" applyBorder="1"/>
    <xf numFmtId="164" fontId="0" fillId="0" borderId="26" xfId="0" applyNumberFormat="1" applyFill="1" applyBorder="1"/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/>
    <xf numFmtId="0" fontId="0" fillId="0" borderId="38" xfId="0" applyBorder="1" applyAlignment="1">
      <alignment horizontal="center"/>
    </xf>
    <xf numFmtId="0" fontId="0" fillId="0" borderId="39" xfId="0" applyBorder="1"/>
    <xf numFmtId="164" fontId="0" fillId="0" borderId="39" xfId="0" applyNumberFormat="1" applyFill="1" applyBorder="1"/>
    <xf numFmtId="0" fontId="0" fillId="0" borderId="40" xfId="0" applyBorder="1"/>
    <xf numFmtId="49" fontId="7" fillId="7" borderId="6" xfId="0" applyNumberFormat="1" applyFont="1" applyFill="1" applyBorder="1" applyAlignment="1">
      <alignment horizontal="center" vertical="center"/>
    </xf>
    <xf numFmtId="0" fontId="7" fillId="7" borderId="0" xfId="0" applyFont="1" applyFill="1" applyBorder="1" applyAlignment="1">
      <alignment vertical="center"/>
    </xf>
    <xf numFmtId="164" fontId="7" fillId="7" borderId="0" xfId="0" applyNumberFormat="1" applyFont="1" applyFill="1" applyBorder="1" applyAlignment="1">
      <alignment horizontal="center" vertical="center"/>
    </xf>
    <xf numFmtId="164" fontId="7" fillId="7" borderId="0" xfId="0" applyNumberFormat="1" applyFont="1" applyFill="1" applyBorder="1" applyAlignment="1">
      <alignment vertical="center"/>
    </xf>
    <xf numFmtId="164" fontId="7" fillId="7" borderId="0" xfId="0" applyNumberFormat="1" applyFont="1" applyFill="1" applyBorder="1" applyAlignment="1">
      <alignment horizontal="center" vertical="center"/>
    </xf>
    <xf numFmtId="164" fontId="7" fillId="7" borderId="7" xfId="0" applyNumberFormat="1" applyFont="1" applyFill="1" applyBorder="1" applyAlignment="1">
      <alignment horizontal="center" vertical="center"/>
    </xf>
    <xf numFmtId="49" fontId="7" fillId="7" borderId="6" xfId="0" applyNumberFormat="1" applyFont="1" applyFill="1" applyBorder="1" applyAlignment="1">
      <alignment horizontal="left" vertical="center"/>
    </xf>
    <xf numFmtId="165" fontId="7" fillId="7" borderId="6" xfId="0" applyNumberFormat="1" applyFont="1" applyFill="1" applyBorder="1" applyAlignment="1">
      <alignment horizontal="left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</cellXfs>
  <cellStyles count="4">
    <cellStyle name="Milliers" xfId="3" builtinId="3"/>
    <cellStyle name="Monétaire" xfId="2" builtinId="4"/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6</xdr:row>
      <xdr:rowOff>9525</xdr:rowOff>
    </xdr:from>
    <xdr:to>
      <xdr:col>0</xdr:col>
      <xdr:colOff>1333500</xdr:colOff>
      <xdr:row>8</xdr:row>
      <xdr:rowOff>95250</xdr:rowOff>
    </xdr:to>
    <xdr:sp macro="[0]!Extraction_Fiche" textlink="">
      <xdr:nvSpPr>
        <xdr:cNvPr id="2" name="Rectangle à coins arrondis 1"/>
        <xdr:cNvSpPr/>
      </xdr:nvSpPr>
      <xdr:spPr>
        <a:xfrm>
          <a:off x="457200" y="1247775"/>
          <a:ext cx="1028700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Mettre à jour la fiche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8"/>
  <sheetViews>
    <sheetView view="pageBreakPreview" zoomScale="85" zoomScaleNormal="80" zoomScaleSheetLayoutView="85" workbookViewId="0">
      <selection activeCell="C10" sqref="C10"/>
    </sheetView>
  </sheetViews>
  <sheetFormatPr baseColWidth="10" defaultRowHeight="15.75" x14ac:dyDescent="0.25"/>
  <cols>
    <col min="1" max="1" width="2.42578125" style="3" customWidth="1"/>
    <col min="2" max="2" width="22.28515625" style="3" customWidth="1"/>
    <col min="3" max="3" width="15.42578125" style="3" bestFit="1" customWidth="1"/>
    <col min="4" max="4" width="2.42578125" style="3" customWidth="1"/>
    <col min="5" max="5" width="20.7109375" style="3" customWidth="1"/>
    <col min="6" max="6" width="20.85546875" style="3" customWidth="1"/>
    <col min="7" max="7" width="2.42578125" style="3" customWidth="1"/>
    <col min="8" max="8" width="21.5703125" style="3" customWidth="1"/>
    <col min="9" max="9" width="20.7109375" style="3" customWidth="1"/>
    <col min="10" max="10" width="19.42578125" style="3" customWidth="1"/>
    <col min="11" max="11" width="2.28515625" style="3" customWidth="1"/>
    <col min="12" max="16384" width="11.42578125" style="3"/>
  </cols>
  <sheetData>
    <row r="1" spans="2:11" ht="18.75" x14ac:dyDescent="0.3">
      <c r="B1" s="126" t="s">
        <v>168</v>
      </c>
      <c r="C1" s="126"/>
      <c r="D1" s="126"/>
      <c r="E1" s="126"/>
      <c r="F1" s="126"/>
      <c r="G1" s="126"/>
      <c r="H1" s="126"/>
      <c r="I1" s="126"/>
      <c r="J1" s="126"/>
    </row>
    <row r="3" spans="2:11" x14ac:dyDescent="0.25">
      <c r="B3" s="7" t="s">
        <v>169</v>
      </c>
      <c r="C3" s="11">
        <v>15001</v>
      </c>
      <c r="D3" s="5"/>
      <c r="E3" s="7" t="s">
        <v>8</v>
      </c>
      <c r="F3" s="11" t="str">
        <f>VLOOKUP(C3,Subventions,2,FALSE)</f>
        <v>Sollicité</v>
      </c>
      <c r="G3" s="9"/>
      <c r="H3" s="6" t="s">
        <v>2</v>
      </c>
      <c r="I3" s="12"/>
      <c r="K3" s="10"/>
    </row>
    <row r="4" spans="2:11" x14ac:dyDescent="0.25">
      <c r="B4" s="8"/>
      <c r="C4" s="8"/>
      <c r="D4" s="8"/>
      <c r="E4" s="13"/>
      <c r="F4" s="8"/>
      <c r="G4" s="9"/>
      <c r="H4" s="14" t="s">
        <v>4</v>
      </c>
      <c r="I4" s="15" t="str">
        <f>VLOOKUP(C3,Subventions,4,FALSE)</f>
        <v>MACHIN</v>
      </c>
      <c r="K4" s="10"/>
    </row>
    <row r="5" spans="2:11" x14ac:dyDescent="0.25">
      <c r="B5" s="8"/>
      <c r="C5" s="8"/>
      <c r="D5" s="8"/>
      <c r="E5" s="6" t="s">
        <v>9</v>
      </c>
      <c r="F5" s="16"/>
      <c r="G5" s="9"/>
      <c r="H5" s="14" t="s">
        <v>52</v>
      </c>
      <c r="I5" s="15" t="str">
        <f>VLOOKUP(C3,Subventions,7,FALSE)</f>
        <v>International</v>
      </c>
      <c r="K5" s="10"/>
    </row>
    <row r="6" spans="2:11" x14ac:dyDescent="0.25">
      <c r="B6" s="8"/>
      <c r="C6" s="8"/>
      <c r="D6" s="8"/>
      <c r="E6" s="14" t="s">
        <v>48</v>
      </c>
      <c r="F6" s="184" t="e">
        <f>VLOOKUP(C3,Subventions,23,FALSE)</f>
        <v>#REF!</v>
      </c>
      <c r="G6" s="9"/>
      <c r="H6" s="14" t="s">
        <v>77</v>
      </c>
      <c r="I6" s="17"/>
      <c r="K6" s="10"/>
    </row>
    <row r="7" spans="2:11" ht="15.75" customHeight="1" x14ac:dyDescent="0.25">
      <c r="B7" s="8"/>
      <c r="C7" s="8"/>
      <c r="D7" s="8"/>
      <c r="E7" s="18" t="s">
        <v>49</v>
      </c>
      <c r="F7" s="185" t="e">
        <f>VLOOKUP(C3,Subventions,24,FALSE)</f>
        <v>#REF!</v>
      </c>
      <c r="G7" s="9"/>
      <c r="H7" s="186" t="str">
        <f>VLOOKUP(C3,Subventions,5,FALSE)</f>
        <v>Projet numéro 1</v>
      </c>
      <c r="I7" s="130"/>
      <c r="K7" s="10"/>
    </row>
    <row r="8" spans="2:11" x14ac:dyDescent="0.25">
      <c r="B8" s="8"/>
      <c r="C8" s="8"/>
      <c r="D8" s="8"/>
      <c r="G8" s="9"/>
      <c r="H8" s="186"/>
      <c r="I8" s="130"/>
      <c r="K8" s="10"/>
    </row>
    <row r="9" spans="2:11" x14ac:dyDescent="0.25">
      <c r="B9" s="8"/>
      <c r="C9" s="8"/>
      <c r="D9" s="8"/>
      <c r="E9" s="7" t="s">
        <v>72</v>
      </c>
      <c r="F9" s="11" t="str">
        <f>VLOOKUP(C3,Subventions,3,FALSE)</f>
        <v>OPS-COO</v>
      </c>
      <c r="G9" s="9"/>
      <c r="H9" s="186"/>
      <c r="I9" s="130"/>
      <c r="K9" s="10"/>
    </row>
    <row r="10" spans="2:11" x14ac:dyDescent="0.25">
      <c r="B10" s="8"/>
      <c r="C10" s="8"/>
      <c r="D10" s="8"/>
      <c r="G10" s="9"/>
      <c r="H10" s="186"/>
      <c r="I10" s="130"/>
      <c r="K10" s="10"/>
    </row>
    <row r="11" spans="2:11" x14ac:dyDescent="0.25">
      <c r="B11" s="8"/>
      <c r="C11" s="8"/>
      <c r="D11" s="8"/>
      <c r="E11" s="7" t="s">
        <v>170</v>
      </c>
      <c r="F11" s="59"/>
      <c r="G11" s="8"/>
      <c r="H11" s="187"/>
      <c r="I11" s="188"/>
    </row>
    <row r="12" spans="2:11" x14ac:dyDescent="0.25">
      <c r="B12" s="8"/>
      <c r="C12" s="8"/>
      <c r="D12" s="8"/>
      <c r="E12" s="8"/>
      <c r="F12" s="9"/>
      <c r="G12" s="8"/>
      <c r="H12" s="8"/>
      <c r="I12" s="8"/>
      <c r="J12" s="8"/>
    </row>
    <row r="13" spans="2:11" x14ac:dyDescent="0.25">
      <c r="B13" s="1" t="s">
        <v>10</v>
      </c>
    </row>
    <row r="14" spans="2:11" ht="8.25" customHeight="1" x14ac:dyDescent="0.25">
      <c r="B14" s="1"/>
    </row>
    <row r="15" spans="2:11" s="39" customFormat="1" ht="20.25" customHeight="1" x14ac:dyDescent="0.25">
      <c r="B15" s="53" t="s">
        <v>11</v>
      </c>
      <c r="C15" s="85" t="s">
        <v>12</v>
      </c>
      <c r="D15" s="85"/>
      <c r="E15" s="85" t="s">
        <v>81</v>
      </c>
      <c r="F15" s="85" t="s">
        <v>13</v>
      </c>
      <c r="G15" s="85"/>
      <c r="H15" s="85" t="s">
        <v>83</v>
      </c>
      <c r="I15" s="85" t="s">
        <v>14</v>
      </c>
      <c r="J15" s="85" t="s">
        <v>15</v>
      </c>
    </row>
    <row r="16" spans="2:11" s="39" customFormat="1" ht="18" customHeight="1" x14ac:dyDescent="0.25">
      <c r="B16" s="56" t="str">
        <f>VLOOKUP(C3,Subventions,6,FALSE)</f>
        <v>OX2015IIIDJEAN</v>
      </c>
      <c r="C16" s="84">
        <f>VLOOKUP(C3,Subventions,8,FALSE)</f>
        <v>0</v>
      </c>
      <c r="D16" s="88"/>
      <c r="E16" s="87">
        <f>VLOOKUP(C3,Subventions,12,FALSE)</f>
        <v>1000000</v>
      </c>
      <c r="F16" s="87">
        <f>VLOOKUP(C3,Subventions,13,FALSE)</f>
        <v>800000</v>
      </c>
      <c r="G16" s="88"/>
      <c r="H16" s="87">
        <f>VLOOKUP(C3,Subventions,14,FALSE)</f>
        <v>0</v>
      </c>
      <c r="I16" s="84">
        <f>VLOOKUP(C3,Subventions,9,FALSE)</f>
        <v>42069</v>
      </c>
      <c r="J16" s="84">
        <f>VLOOKUP(C3,Subventions,10,FALSE)</f>
        <v>42861</v>
      </c>
    </row>
    <row r="17" spans="2:10" ht="18" customHeight="1" x14ac:dyDescent="0.25">
      <c r="B17" s="19"/>
      <c r="C17" s="20"/>
      <c r="D17" s="21"/>
      <c r="E17" s="22"/>
      <c r="F17" s="20"/>
      <c r="G17" s="21"/>
      <c r="H17" s="21"/>
      <c r="I17" s="20"/>
      <c r="J17" s="23"/>
    </row>
    <row r="18" spans="2:10" x14ac:dyDescent="0.25">
      <c r="B18" s="24"/>
      <c r="C18" s="25"/>
      <c r="D18" s="10"/>
      <c r="E18" s="26"/>
      <c r="F18" s="25"/>
      <c r="G18" s="10"/>
      <c r="H18" s="10"/>
      <c r="I18" s="25"/>
      <c r="J18" s="10"/>
    </row>
    <row r="19" spans="2:10" x14ac:dyDescent="0.25">
      <c r="B19" s="1" t="s">
        <v>68</v>
      </c>
      <c r="C19" s="25"/>
      <c r="D19" s="10"/>
      <c r="E19" s="26"/>
      <c r="F19" s="25"/>
      <c r="G19" s="10"/>
      <c r="H19" s="10"/>
      <c r="I19" s="25"/>
      <c r="J19" s="10"/>
    </row>
    <row r="20" spans="2:10" x14ac:dyDescent="0.25">
      <c r="B20" s="24"/>
      <c r="C20" s="25"/>
      <c r="D20" s="10"/>
      <c r="E20" s="26"/>
      <c r="F20" s="25"/>
      <c r="G20" s="10"/>
      <c r="H20" s="10"/>
      <c r="I20" s="25"/>
      <c r="J20" s="10"/>
    </row>
    <row r="21" spans="2:10" s="39" customFormat="1" ht="20.25" customHeight="1" x14ac:dyDescent="0.25">
      <c r="B21" s="53" t="s">
        <v>69</v>
      </c>
      <c r="C21" s="85" t="s">
        <v>70</v>
      </c>
      <c r="D21" s="85"/>
      <c r="E21" s="85" t="s">
        <v>71</v>
      </c>
      <c r="F21" s="85" t="s">
        <v>17</v>
      </c>
      <c r="G21" s="85"/>
      <c r="H21" s="85" t="s">
        <v>84</v>
      </c>
      <c r="I21" s="127" t="s">
        <v>22</v>
      </c>
      <c r="J21" s="131"/>
    </row>
    <row r="22" spans="2:10" s="39" customFormat="1" ht="18" customHeight="1" x14ac:dyDescent="0.25">
      <c r="B22" s="216" t="s">
        <v>185</v>
      </c>
      <c r="C22" s="211"/>
      <c r="D22" s="211"/>
      <c r="E22" s="211"/>
      <c r="F22" s="212"/>
      <c r="G22" s="213"/>
      <c r="H22" s="213"/>
      <c r="I22" s="214"/>
      <c r="J22" s="215"/>
    </row>
    <row r="23" spans="2:10" s="39" customFormat="1" ht="18" customHeight="1" x14ac:dyDescent="0.25">
      <c r="B23" s="210"/>
      <c r="C23" s="211"/>
      <c r="D23" s="211"/>
      <c r="E23" s="211"/>
      <c r="F23" s="212"/>
      <c r="G23" s="213"/>
      <c r="H23" s="213"/>
      <c r="I23" s="214"/>
      <c r="J23" s="215"/>
    </row>
    <row r="24" spans="2:10" s="39" customFormat="1" ht="18" customHeight="1" x14ac:dyDescent="0.25">
      <c r="B24" s="56"/>
      <c r="C24" s="41"/>
      <c r="D24" s="41"/>
      <c r="E24" s="41"/>
      <c r="F24" s="87"/>
      <c r="G24" s="46"/>
      <c r="H24" s="46"/>
      <c r="I24" s="135"/>
      <c r="J24" s="136"/>
    </row>
    <row r="25" spans="2:10" s="39" customFormat="1" ht="18" customHeight="1" x14ac:dyDescent="0.25">
      <c r="B25" s="57"/>
      <c r="C25" s="43"/>
      <c r="D25" s="43"/>
      <c r="E25" s="43"/>
      <c r="F25" s="86"/>
      <c r="G25" s="47"/>
      <c r="H25" s="47"/>
      <c r="I25" s="133"/>
      <c r="J25" s="134"/>
    </row>
    <row r="26" spans="2:10" ht="18" customHeight="1" x14ac:dyDescent="0.25">
      <c r="B26" s="58"/>
      <c r="C26" s="27"/>
      <c r="D26" s="27"/>
      <c r="E26" s="55" t="s">
        <v>23</v>
      </c>
      <c r="F26" s="28">
        <f>SUM(F22:F25)</f>
        <v>0</v>
      </c>
      <c r="G26" s="29"/>
      <c r="H26" s="28">
        <f>SUM(H22:H25)</f>
        <v>0</v>
      </c>
      <c r="J26" s="30"/>
    </row>
    <row r="27" spans="2:10" x14ac:dyDescent="0.25">
      <c r="B27" s="31"/>
      <c r="C27" s="32"/>
      <c r="D27" s="32"/>
      <c r="E27" s="32"/>
      <c r="F27" s="33"/>
      <c r="G27" s="32"/>
      <c r="H27" s="32"/>
      <c r="I27" s="32"/>
      <c r="J27" s="34"/>
    </row>
    <row r="29" spans="2:10" x14ac:dyDescent="0.25">
      <c r="B29" s="1" t="s">
        <v>16</v>
      </c>
    </row>
    <row r="30" spans="2:10" s="4" customFormat="1" ht="7.5" customHeight="1" x14ac:dyDescent="0.25">
      <c r="B30" s="2"/>
    </row>
    <row r="31" spans="2:10" s="39" customFormat="1" ht="20.25" customHeight="1" x14ac:dyDescent="0.25">
      <c r="B31" s="53" t="s">
        <v>18</v>
      </c>
      <c r="C31" s="85" t="s">
        <v>17</v>
      </c>
      <c r="D31" s="85"/>
      <c r="E31" s="85" t="s">
        <v>19</v>
      </c>
      <c r="F31" s="85" t="s">
        <v>20</v>
      </c>
      <c r="G31" s="85"/>
      <c r="H31" s="85" t="s">
        <v>21</v>
      </c>
      <c r="I31" s="127" t="s">
        <v>22</v>
      </c>
      <c r="J31" s="131"/>
    </row>
    <row r="32" spans="2:10" s="39" customFormat="1" ht="18" customHeight="1" x14ac:dyDescent="0.25">
      <c r="B32" s="217" t="s">
        <v>184</v>
      </c>
      <c r="C32" s="213"/>
      <c r="D32" s="211"/>
      <c r="E32" s="213"/>
      <c r="F32" s="69"/>
      <c r="G32" s="211"/>
      <c r="H32" s="211"/>
      <c r="I32" s="218"/>
      <c r="J32" s="219"/>
    </row>
    <row r="33" spans="2:10" s="39" customFormat="1" ht="18" customHeight="1" x14ac:dyDescent="0.25">
      <c r="B33" s="42"/>
      <c r="C33" s="47"/>
      <c r="D33" s="43"/>
      <c r="E33" s="47"/>
      <c r="F33" s="83"/>
      <c r="G33" s="43"/>
      <c r="H33" s="43"/>
      <c r="I33" s="129"/>
      <c r="J33" s="137"/>
    </row>
    <row r="34" spans="2:10" s="39" customFormat="1" ht="18" customHeight="1" x14ac:dyDescent="0.25">
      <c r="B34" s="40"/>
      <c r="C34" s="46"/>
      <c r="D34" s="41"/>
      <c r="E34" s="46"/>
      <c r="F34" s="84"/>
      <c r="G34" s="41"/>
      <c r="H34" s="41"/>
      <c r="I34" s="138"/>
      <c r="J34" s="139"/>
    </row>
    <row r="35" spans="2:10" s="39" customFormat="1" ht="18" customHeight="1" x14ac:dyDescent="0.25">
      <c r="B35" s="42"/>
      <c r="C35" s="47"/>
      <c r="D35" s="43"/>
      <c r="E35" s="47"/>
      <c r="F35" s="83"/>
      <c r="G35" s="43"/>
      <c r="H35" s="43"/>
      <c r="I35" s="129"/>
      <c r="J35" s="137"/>
    </row>
    <row r="36" spans="2:10" s="39" customFormat="1" ht="18" customHeight="1" x14ac:dyDescent="0.25">
      <c r="B36" s="40"/>
      <c r="C36" s="46"/>
      <c r="D36" s="41"/>
      <c r="E36" s="46"/>
      <c r="F36" s="84"/>
      <c r="G36" s="41"/>
      <c r="H36" s="41"/>
      <c r="I36" s="138"/>
      <c r="J36" s="139"/>
    </row>
    <row r="37" spans="2:10" s="39" customFormat="1" ht="18" customHeight="1" x14ac:dyDescent="0.25">
      <c r="B37" s="42"/>
      <c r="C37" s="47"/>
      <c r="D37" s="43"/>
      <c r="E37" s="47"/>
      <c r="F37" s="83"/>
      <c r="G37" s="43"/>
      <c r="H37" s="43"/>
      <c r="I37" s="129"/>
      <c r="J37" s="137"/>
    </row>
    <row r="38" spans="2:10" s="39" customFormat="1" ht="18" customHeight="1" x14ac:dyDescent="0.25">
      <c r="B38" s="40"/>
      <c r="C38" s="46"/>
      <c r="D38" s="41"/>
      <c r="E38" s="46"/>
      <c r="F38" s="84"/>
      <c r="G38" s="41"/>
      <c r="H38" s="41"/>
      <c r="I38" s="128"/>
      <c r="J38" s="130"/>
    </row>
    <row r="39" spans="2:10" s="39" customFormat="1" ht="18" customHeight="1" x14ac:dyDescent="0.25">
      <c r="B39" s="42"/>
      <c r="C39" s="47"/>
      <c r="D39" s="43"/>
      <c r="E39" s="47"/>
      <c r="F39" s="83"/>
      <c r="G39" s="43"/>
      <c r="H39" s="43"/>
      <c r="I39" s="129"/>
      <c r="J39" s="137"/>
    </row>
    <row r="40" spans="2:10" s="48" customFormat="1" ht="18" customHeight="1" x14ac:dyDescent="0.25">
      <c r="B40" s="49"/>
      <c r="C40" s="50"/>
      <c r="D40" s="51"/>
      <c r="E40" s="50"/>
      <c r="F40" s="52"/>
      <c r="G40" s="51"/>
      <c r="H40" s="51"/>
      <c r="I40" s="138"/>
      <c r="J40" s="139"/>
    </row>
    <row r="41" spans="2:10" s="39" customFormat="1" ht="18" customHeight="1" x14ac:dyDescent="0.25">
      <c r="B41" s="42"/>
      <c r="C41" s="47"/>
      <c r="D41" s="43"/>
      <c r="E41" s="47"/>
      <c r="F41" s="83"/>
      <c r="G41" s="43"/>
      <c r="H41" s="43"/>
      <c r="I41" s="129"/>
      <c r="J41" s="137"/>
    </row>
    <row r="42" spans="2:10" s="39" customFormat="1" ht="18" customHeight="1" x14ac:dyDescent="0.25">
      <c r="B42" s="40"/>
      <c r="C42" s="46"/>
      <c r="D42" s="41"/>
      <c r="E42" s="46"/>
      <c r="F42" s="84"/>
      <c r="G42" s="41"/>
      <c r="H42" s="41"/>
      <c r="I42" s="128"/>
      <c r="J42" s="130"/>
    </row>
    <row r="43" spans="2:10" ht="18" customHeight="1" x14ac:dyDescent="0.25">
      <c r="B43" s="54" t="s">
        <v>23</v>
      </c>
      <c r="C43" s="68">
        <f>SUM(C32:C42)</f>
        <v>0</v>
      </c>
      <c r="D43" s="10"/>
      <c r="E43" s="68">
        <f>SUM(E32:E42)</f>
        <v>0</v>
      </c>
      <c r="F43" s="10"/>
      <c r="G43" s="10"/>
      <c r="H43" s="10"/>
      <c r="I43" s="10"/>
      <c r="J43" s="35"/>
    </row>
    <row r="44" spans="2:10" x14ac:dyDescent="0.25">
      <c r="B44" s="36"/>
      <c r="C44" s="37"/>
      <c r="D44" s="21"/>
      <c r="E44" s="37"/>
      <c r="F44" s="21"/>
      <c r="G44" s="21"/>
      <c r="H44" s="21"/>
      <c r="I44" s="21"/>
      <c r="J44" s="23"/>
    </row>
    <row r="45" spans="2:10" x14ac:dyDescent="0.25">
      <c r="B45" s="1"/>
      <c r="C45" s="38"/>
      <c r="E45" s="38"/>
    </row>
    <row r="47" spans="2:10" x14ac:dyDescent="0.25">
      <c r="B47" s="1" t="s">
        <v>24</v>
      </c>
    </row>
    <row r="48" spans="2:10" s="4" customFormat="1" ht="7.5" customHeight="1" x14ac:dyDescent="0.25">
      <c r="B48" s="2"/>
    </row>
    <row r="49" spans="2:10" s="39" customFormat="1" ht="20.25" customHeight="1" x14ac:dyDescent="0.25">
      <c r="B49" s="53" t="s">
        <v>25</v>
      </c>
      <c r="C49" s="127" t="s">
        <v>26</v>
      </c>
      <c r="D49" s="127"/>
      <c r="E49" s="127"/>
      <c r="F49" s="127"/>
      <c r="G49" s="127"/>
      <c r="H49" s="85" t="s">
        <v>27</v>
      </c>
      <c r="I49" s="127" t="s">
        <v>22</v>
      </c>
      <c r="J49" s="131"/>
    </row>
    <row r="50" spans="2:10" s="39" customFormat="1" ht="18" customHeight="1" x14ac:dyDescent="0.25">
      <c r="B50" s="217" t="s">
        <v>186</v>
      </c>
      <c r="C50" s="213"/>
      <c r="D50" s="211"/>
      <c r="E50" s="213"/>
      <c r="F50" s="69"/>
      <c r="G50" s="211"/>
      <c r="H50" s="211"/>
      <c r="I50" s="218"/>
      <c r="J50" s="219"/>
    </row>
    <row r="51" spans="2:10" s="39" customFormat="1" ht="18" customHeight="1" x14ac:dyDescent="0.25">
      <c r="B51" s="42"/>
      <c r="C51" s="129"/>
      <c r="D51" s="129"/>
      <c r="E51" s="129"/>
      <c r="F51" s="129"/>
      <c r="G51" s="129"/>
      <c r="H51" s="43"/>
      <c r="I51" s="140"/>
      <c r="J51" s="141"/>
    </row>
    <row r="52" spans="2:10" s="39" customFormat="1" ht="18" customHeight="1" x14ac:dyDescent="0.25">
      <c r="B52" s="40"/>
      <c r="C52" s="128"/>
      <c r="D52" s="128"/>
      <c r="E52" s="128"/>
      <c r="F52" s="128"/>
      <c r="G52" s="128"/>
      <c r="H52" s="41"/>
      <c r="I52" s="142"/>
      <c r="J52" s="143"/>
    </row>
    <row r="53" spans="2:10" s="39" customFormat="1" ht="18" customHeight="1" x14ac:dyDescent="0.25">
      <c r="B53" s="42"/>
      <c r="C53" s="129"/>
      <c r="D53" s="129"/>
      <c r="E53" s="129"/>
      <c r="F53" s="129"/>
      <c r="G53" s="129"/>
      <c r="H53" s="43"/>
      <c r="I53" s="140"/>
      <c r="J53" s="141"/>
    </row>
    <row r="54" spans="2:10" s="39" customFormat="1" ht="18" customHeight="1" x14ac:dyDescent="0.25">
      <c r="B54" s="40"/>
      <c r="C54" s="128"/>
      <c r="D54" s="128"/>
      <c r="E54" s="128"/>
      <c r="F54" s="128"/>
      <c r="G54" s="128"/>
      <c r="H54" s="41"/>
      <c r="I54" s="142"/>
      <c r="J54" s="143"/>
    </row>
    <row r="55" spans="2:10" s="39" customFormat="1" ht="18" customHeight="1" x14ac:dyDescent="0.25">
      <c r="B55" s="42"/>
      <c r="C55" s="129"/>
      <c r="D55" s="129"/>
      <c r="E55" s="129"/>
      <c r="F55" s="129"/>
      <c r="G55" s="129"/>
      <c r="H55" s="43"/>
      <c r="I55" s="140"/>
      <c r="J55" s="141"/>
    </row>
    <row r="56" spans="2:10" s="39" customFormat="1" ht="18" customHeight="1" x14ac:dyDescent="0.25">
      <c r="B56" s="40"/>
      <c r="C56" s="128"/>
      <c r="D56" s="128"/>
      <c r="E56" s="128"/>
      <c r="F56" s="128"/>
      <c r="G56" s="128"/>
      <c r="H56" s="41"/>
      <c r="I56" s="142"/>
      <c r="J56" s="143"/>
    </row>
    <row r="57" spans="2:10" s="39" customFormat="1" ht="18" customHeight="1" x14ac:dyDescent="0.25">
      <c r="B57" s="42"/>
      <c r="C57" s="129"/>
      <c r="D57" s="129"/>
      <c r="E57" s="129"/>
      <c r="F57" s="129"/>
      <c r="G57" s="129"/>
      <c r="H57" s="43"/>
      <c r="I57" s="140"/>
      <c r="J57" s="141"/>
    </row>
    <row r="58" spans="2:10" s="39" customFormat="1" ht="18" customHeight="1" x14ac:dyDescent="0.25">
      <c r="B58" s="40"/>
      <c r="C58" s="128"/>
      <c r="D58" s="128"/>
      <c r="E58" s="128"/>
      <c r="F58" s="128"/>
      <c r="G58" s="128"/>
      <c r="H58" s="41"/>
      <c r="I58" s="142"/>
      <c r="J58" s="143"/>
    </row>
    <row r="59" spans="2:10" s="39" customFormat="1" ht="18" customHeight="1" x14ac:dyDescent="0.25">
      <c r="B59" s="42"/>
      <c r="C59" s="129"/>
      <c r="D59" s="129"/>
      <c r="E59" s="129"/>
      <c r="F59" s="129"/>
      <c r="G59" s="129"/>
      <c r="H59" s="43"/>
      <c r="I59" s="140"/>
      <c r="J59" s="141"/>
    </row>
    <row r="60" spans="2:10" s="39" customFormat="1" ht="18" customHeight="1" x14ac:dyDescent="0.25">
      <c r="B60" s="40"/>
      <c r="C60" s="128"/>
      <c r="D60" s="128"/>
      <c r="E60" s="128"/>
      <c r="F60" s="128"/>
      <c r="G60" s="128"/>
      <c r="H60" s="41"/>
      <c r="I60" s="142"/>
      <c r="J60" s="143"/>
    </row>
    <row r="61" spans="2:10" s="39" customFormat="1" ht="18" customHeight="1" x14ac:dyDescent="0.25">
      <c r="B61" s="42"/>
      <c r="C61" s="129"/>
      <c r="D61" s="129"/>
      <c r="E61" s="129"/>
      <c r="F61" s="129"/>
      <c r="G61" s="129"/>
      <c r="H61" s="43"/>
      <c r="I61" s="140"/>
      <c r="J61" s="141"/>
    </row>
    <row r="62" spans="2:10" s="39" customFormat="1" x14ac:dyDescent="0.25">
      <c r="B62" s="44"/>
      <c r="C62" s="132"/>
      <c r="D62" s="132"/>
      <c r="E62" s="132"/>
      <c r="F62" s="132"/>
      <c r="G62" s="132"/>
      <c r="H62" s="45"/>
      <c r="I62" s="144"/>
      <c r="J62" s="145"/>
    </row>
    <row r="63" spans="2:10" s="39" customFormat="1" x14ac:dyDescent="0.25"/>
    <row r="64" spans="2:10" s="39" customFormat="1" ht="9.75" customHeight="1" x14ac:dyDescent="0.25">
      <c r="B64" s="60"/>
      <c r="C64" s="61"/>
      <c r="D64" s="61"/>
      <c r="E64" s="61"/>
      <c r="F64" s="62"/>
      <c r="I64" s="60"/>
      <c r="J64" s="62"/>
    </row>
    <row r="65" spans="2:10" x14ac:dyDescent="0.25">
      <c r="B65" s="63" t="s">
        <v>78</v>
      </c>
      <c r="C65" s="10"/>
      <c r="D65" s="10"/>
      <c r="E65" s="10"/>
      <c r="F65" s="35"/>
      <c r="I65" s="64" t="s">
        <v>80</v>
      </c>
      <c r="J65" s="35"/>
    </row>
    <row r="66" spans="2:10" ht="9" customHeight="1" x14ac:dyDescent="0.25">
      <c r="B66" s="64"/>
      <c r="C66" s="10"/>
      <c r="D66" s="10"/>
      <c r="E66" s="10"/>
      <c r="F66" s="35"/>
      <c r="I66" s="64"/>
      <c r="J66" s="35"/>
    </row>
    <row r="67" spans="2:10" x14ac:dyDescent="0.25">
      <c r="B67" s="65" t="s">
        <v>79</v>
      </c>
      <c r="C67" s="10"/>
      <c r="D67" s="10"/>
      <c r="E67" s="10"/>
      <c r="F67" s="66"/>
      <c r="I67" s="64"/>
      <c r="J67" s="35"/>
    </row>
    <row r="68" spans="2:10" ht="9" customHeight="1" x14ac:dyDescent="0.25">
      <c r="B68" s="67"/>
      <c r="C68" s="21"/>
      <c r="D68" s="21"/>
      <c r="E68" s="21"/>
      <c r="F68" s="23"/>
      <c r="I68" s="67"/>
      <c r="J68" s="23"/>
    </row>
  </sheetData>
  <mergeCells count="46">
    <mergeCell ref="C61:G61"/>
    <mergeCell ref="I61:J61"/>
    <mergeCell ref="C62:G62"/>
    <mergeCell ref="I62:J62"/>
    <mergeCell ref="H7:I11"/>
    <mergeCell ref="C58:G58"/>
    <mergeCell ref="I58:J58"/>
    <mergeCell ref="C59:G59"/>
    <mergeCell ref="I59:J59"/>
    <mergeCell ref="C60:G60"/>
    <mergeCell ref="I60:J60"/>
    <mergeCell ref="C55:G55"/>
    <mergeCell ref="I55:J55"/>
    <mergeCell ref="C56:G56"/>
    <mergeCell ref="I56:J56"/>
    <mergeCell ref="C57:G57"/>
    <mergeCell ref="I57:J57"/>
    <mergeCell ref="C52:G52"/>
    <mergeCell ref="I52:J52"/>
    <mergeCell ref="C53:G53"/>
    <mergeCell ref="I53:J53"/>
    <mergeCell ref="C54:G54"/>
    <mergeCell ref="I54:J54"/>
    <mergeCell ref="C49:G49"/>
    <mergeCell ref="I49:J49"/>
    <mergeCell ref="I50:J50"/>
    <mergeCell ref="C51:G51"/>
    <mergeCell ref="I51:J51"/>
    <mergeCell ref="I37:J37"/>
    <mergeCell ref="I38:J38"/>
    <mergeCell ref="I39:J39"/>
    <mergeCell ref="I40:J40"/>
    <mergeCell ref="I41:J41"/>
    <mergeCell ref="I42:J42"/>
    <mergeCell ref="I31:J31"/>
    <mergeCell ref="I32:J32"/>
    <mergeCell ref="I33:J33"/>
    <mergeCell ref="I34:J34"/>
    <mergeCell ref="I35:J35"/>
    <mergeCell ref="I36:J36"/>
    <mergeCell ref="B1:J1"/>
    <mergeCell ref="I21:J21"/>
    <mergeCell ref="I22:J22"/>
    <mergeCell ref="I23:J23"/>
    <mergeCell ref="I24:J24"/>
    <mergeCell ref="I25:J25"/>
  </mergeCells>
  <dataValidations count="3">
    <dataValidation showDropDown="1" showInputMessage="1" showErrorMessage="1" sqref="F6:F7"/>
    <dataValidation type="list" allowBlank="1" showInputMessage="1" showErrorMessage="1" sqref="E4">
      <formula1>"Acquis,Clôturé,Refusé,Sollicité"</formula1>
    </dataValidation>
    <dataValidation type="list" allowBlank="1" showInputMessage="1" showErrorMessage="1" sqref="C3">
      <formula1>Liste_des_subventions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G51"/>
  <sheetViews>
    <sheetView topLeftCell="A34" zoomScaleNormal="100" zoomScaleSheetLayoutView="85" workbookViewId="0">
      <selection activeCell="A30" sqref="A30"/>
    </sheetView>
  </sheetViews>
  <sheetFormatPr baseColWidth="10" defaultRowHeight="15.75" x14ac:dyDescent="0.25"/>
  <cols>
    <col min="1" max="1" width="20.5703125" style="3" customWidth="1"/>
    <col min="2" max="2" width="16.7109375" style="3" customWidth="1"/>
    <col min="3" max="3" width="20.7109375" style="3" customWidth="1"/>
    <col min="4" max="4" width="20.85546875" style="3" customWidth="1"/>
    <col min="5" max="5" width="22.85546875" style="3" customWidth="1"/>
    <col min="6" max="6" width="20.7109375" style="3" customWidth="1"/>
    <col min="7" max="7" width="19.42578125" style="3" customWidth="1"/>
    <col min="8" max="8" width="17.42578125" style="3" bestFit="1" customWidth="1"/>
    <col min="9" max="9" width="15.28515625" style="3" bestFit="1" customWidth="1"/>
    <col min="10" max="16384" width="11.42578125" style="3"/>
  </cols>
  <sheetData>
    <row r="1" spans="1:7" ht="18.75" x14ac:dyDescent="0.3">
      <c r="A1" s="126" t="s">
        <v>110</v>
      </c>
      <c r="B1" s="126"/>
      <c r="C1" s="126"/>
      <c r="D1" s="126"/>
      <c r="E1" s="126"/>
      <c r="F1" s="126"/>
      <c r="G1" s="126"/>
    </row>
    <row r="3" spans="1:7" x14ac:dyDescent="0.25">
      <c r="A3" s="101" t="s">
        <v>87</v>
      </c>
      <c r="C3" s="7" t="s">
        <v>8</v>
      </c>
      <c r="D3" s="90" t="str">
        <f>VLOOKUP(A4,Subventions,2,FALSE)</f>
        <v>Acquis</v>
      </c>
      <c r="E3" s="6" t="s">
        <v>2</v>
      </c>
      <c r="F3" s="12"/>
    </row>
    <row r="4" spans="1:7" x14ac:dyDescent="0.25">
      <c r="A4" s="102">
        <v>15002</v>
      </c>
      <c r="B4" s="8"/>
      <c r="C4" s="13"/>
      <c r="D4" s="8"/>
      <c r="E4" s="14" t="s">
        <v>4</v>
      </c>
      <c r="F4" s="93" t="str">
        <f>VLOOKUP(A4,Subventions,4,FALSE)</f>
        <v>TRUC</v>
      </c>
    </row>
    <row r="5" spans="1:7" x14ac:dyDescent="0.25">
      <c r="A5" s="8"/>
      <c r="B5" s="8"/>
      <c r="C5" s="6" t="s">
        <v>9</v>
      </c>
      <c r="D5" s="16"/>
      <c r="E5" s="14" t="s">
        <v>52</v>
      </c>
      <c r="F5" s="93" t="str">
        <f>VLOOKUP(A4,Subventions,6,FALSE)</f>
        <v>EXSDOOOEIE</v>
      </c>
    </row>
    <row r="6" spans="1:7" x14ac:dyDescent="0.25">
      <c r="A6" s="8"/>
      <c r="B6" s="8"/>
      <c r="C6" s="14" t="s">
        <v>48</v>
      </c>
      <c r="D6" s="90">
        <f>VLOOKUP(A4,Subventions,14,FALSE)</f>
        <v>0</v>
      </c>
      <c r="E6" s="14" t="s">
        <v>104</v>
      </c>
      <c r="F6" s="17"/>
    </row>
    <row r="7" spans="1:7" x14ac:dyDescent="0.25">
      <c r="A7" s="8"/>
      <c r="B7" s="8"/>
      <c r="C7" s="18" t="s">
        <v>49</v>
      </c>
      <c r="D7" s="91">
        <f>VLOOKUP(A4,Subventions,15,FALSE)</f>
        <v>0</v>
      </c>
      <c r="E7" s="122" t="str">
        <f>VLOOKUP(A4,Subventions,5,FALSE)</f>
        <v>Projet numéro 2</v>
      </c>
      <c r="F7" s="123"/>
    </row>
    <row r="8" spans="1:7" ht="20.25" customHeight="1" x14ac:dyDescent="0.25">
      <c r="A8" s="8"/>
      <c r="B8" s="8"/>
      <c r="E8" s="122"/>
      <c r="F8" s="123"/>
    </row>
    <row r="9" spans="1:7" ht="18" customHeight="1" x14ac:dyDescent="0.25">
      <c r="A9" s="8"/>
      <c r="B9" s="8"/>
      <c r="C9" s="7" t="s">
        <v>72</v>
      </c>
      <c r="D9" s="92" t="str">
        <f>VLOOKUP(A4,Subventions,3,FALSE)</f>
        <v>OPS-FCR</v>
      </c>
      <c r="E9" s="122"/>
      <c r="F9" s="123"/>
    </row>
    <row r="10" spans="1:7" ht="18" customHeight="1" x14ac:dyDescent="0.25">
      <c r="A10" s="8"/>
      <c r="B10" s="8"/>
      <c r="E10" s="122"/>
      <c r="F10" s="123"/>
    </row>
    <row r="11" spans="1:7" ht="18" customHeight="1" x14ac:dyDescent="0.25">
      <c r="A11" s="8"/>
      <c r="B11" s="8"/>
      <c r="C11" s="7" t="s">
        <v>88</v>
      </c>
      <c r="D11" s="89"/>
      <c r="E11" s="124"/>
      <c r="F11" s="125"/>
    </row>
    <row r="12" spans="1:7" ht="18" customHeight="1" x14ac:dyDescent="0.25">
      <c r="A12" s="8"/>
      <c r="B12" s="8"/>
      <c r="C12" s="8"/>
      <c r="D12" s="9"/>
      <c r="E12" s="8"/>
      <c r="F12" s="8"/>
      <c r="G12" s="8"/>
    </row>
    <row r="13" spans="1:7" ht="18" customHeight="1" x14ac:dyDescent="0.25">
      <c r="A13" s="1" t="s">
        <v>10</v>
      </c>
    </row>
    <row r="14" spans="1:7" s="39" customFormat="1" ht="18" customHeight="1" x14ac:dyDescent="0.25">
      <c r="A14" s="53" t="s">
        <v>11</v>
      </c>
      <c r="B14" s="85" t="s">
        <v>12</v>
      </c>
      <c r="C14" s="85" t="s">
        <v>81</v>
      </c>
      <c r="D14" s="85" t="s">
        <v>13</v>
      </c>
      <c r="E14" s="85" t="s">
        <v>83</v>
      </c>
      <c r="F14" s="85" t="s">
        <v>14</v>
      </c>
      <c r="G14" s="85" t="s">
        <v>15</v>
      </c>
    </row>
    <row r="15" spans="1:7" s="39" customFormat="1" ht="18" customHeight="1" x14ac:dyDescent="0.25">
      <c r="A15" s="94" t="s">
        <v>82</v>
      </c>
      <c r="B15" s="95">
        <v>42069</v>
      </c>
      <c r="C15" s="96">
        <f>VLOOKUP(A4,Subventions,10,FALSE)</f>
        <v>42369</v>
      </c>
      <c r="D15" s="96">
        <f ca="1">VLOOKUP(A4,Subventions,11,FALSE)</f>
        <v>1</v>
      </c>
      <c r="E15" s="98"/>
      <c r="F15" s="97" t="str">
        <f>VLOOKUP(A4,Subventions,7,FALSE)</f>
        <v>Privé</v>
      </c>
      <c r="G15" s="97">
        <f>VLOOKUP(A4,Subventions,8,FALSE)</f>
        <v>0</v>
      </c>
    </row>
    <row r="16" spans="1:7" ht="18" customHeight="1" x14ac:dyDescent="0.25">
      <c r="A16" s="19"/>
      <c r="B16" s="20"/>
      <c r="C16" s="22"/>
      <c r="D16" s="20"/>
      <c r="E16" s="21"/>
      <c r="F16" s="20"/>
      <c r="G16" s="23"/>
    </row>
    <row r="17" spans="1:7" ht="18" customHeight="1" x14ac:dyDescent="0.25">
      <c r="A17" s="24"/>
      <c r="B17" s="25"/>
      <c r="C17" s="26"/>
      <c r="D17" s="25"/>
      <c r="E17" s="10"/>
      <c r="F17" s="25"/>
      <c r="G17" s="10"/>
    </row>
    <row r="18" spans="1:7" ht="18" customHeight="1" x14ac:dyDescent="0.25">
      <c r="A18" s="1" t="s">
        <v>16</v>
      </c>
    </row>
    <row r="19" spans="1:7" s="1" customFormat="1" ht="18" customHeight="1" x14ac:dyDescent="0.25">
      <c r="A19" s="107" t="s">
        <v>69</v>
      </c>
      <c r="B19" s="108" t="s">
        <v>102</v>
      </c>
      <c r="C19" s="108" t="s">
        <v>98</v>
      </c>
      <c r="D19" s="182" t="s">
        <v>103</v>
      </c>
      <c r="E19" s="182"/>
      <c r="F19" s="182"/>
      <c r="G19" s="182"/>
    </row>
    <row r="20" spans="1:7" ht="18" customHeight="1" x14ac:dyDescent="0.25">
      <c r="A20" s="111" t="e">
        <f>IF(Echéancier!#REF!&gt;0,Echéancier!#REF!,"")</f>
        <v>#REF!</v>
      </c>
      <c r="B20" s="112" t="e">
        <f>IF(Echéancier!#REF!&gt;0,Echéancier!#REF!,"")</f>
        <v>#REF!</v>
      </c>
      <c r="C20" s="112" t="e">
        <f>IF(Echéancier!#REF!&gt;0,Echéancier!#REF!,"")</f>
        <v>#REF!</v>
      </c>
      <c r="D20" s="113" t="e">
        <f>IF(Echéancier!#REF!&gt;0,Echéancier!#REF!,"")</f>
        <v>#REF!</v>
      </c>
      <c r="E20" s="114"/>
      <c r="F20" s="114"/>
      <c r="G20" s="114"/>
    </row>
    <row r="21" spans="1:7" x14ac:dyDescent="0.25">
      <c r="A21" s="111" t="e">
        <f>IF(Echéancier!#REF!&gt;0,Echéancier!#REF!,"")</f>
        <v>#REF!</v>
      </c>
      <c r="B21" s="112" t="e">
        <f>IF(Echéancier!#REF!&gt;0,Echéancier!#REF!,"")</f>
        <v>#REF!</v>
      </c>
      <c r="C21" s="112" t="e">
        <f>IF(Echéancier!#REF!&gt;0,Echéancier!#REF!,"")</f>
        <v>#REF!</v>
      </c>
      <c r="D21" s="113" t="e">
        <f>IF(Echéancier!#REF!&gt;0,Echéancier!#REF!,"")</f>
        <v>#REF!</v>
      </c>
      <c r="E21" s="114"/>
      <c r="F21" s="114"/>
      <c r="G21" s="114"/>
    </row>
    <row r="22" spans="1:7" x14ac:dyDescent="0.25">
      <c r="A22" s="111" t="e">
        <f>IF(Echéancier!#REF!&gt;0,Echéancier!#REF!,"")</f>
        <v>#REF!</v>
      </c>
      <c r="B22" s="112" t="e">
        <f>IF(Echéancier!#REF!&gt;0,Echéancier!#REF!,"")</f>
        <v>#REF!</v>
      </c>
      <c r="C22" s="112" t="e">
        <f>IF(Echéancier!#REF!&gt;0,Echéancier!#REF!,"")</f>
        <v>#REF!</v>
      </c>
      <c r="D22" s="113" t="e">
        <f>IF(Echéancier!#REF!&gt;0,Echéancier!#REF!,"")</f>
        <v>#REF!</v>
      </c>
      <c r="E22" s="114"/>
      <c r="F22" s="114"/>
      <c r="G22" s="114"/>
    </row>
    <row r="23" spans="1:7" ht="9.75" customHeight="1" x14ac:dyDescent="0.25">
      <c r="A23" s="111" t="e">
        <f>IF(Echéancier!#REF!&gt;0,Echéancier!#REF!,"")</f>
        <v>#REF!</v>
      </c>
      <c r="B23" s="112" t="e">
        <f>IF(Echéancier!#REF!&gt;0,Echéancier!#REF!,"")</f>
        <v>#REF!</v>
      </c>
      <c r="C23" s="112" t="e">
        <f>IF(Echéancier!#REF!&gt;0,Echéancier!#REF!,"")</f>
        <v>#REF!</v>
      </c>
      <c r="D23" s="113" t="e">
        <f>IF(Echéancier!#REF!&gt;0,Echéancier!#REF!,"")</f>
        <v>#REF!</v>
      </c>
      <c r="E23" s="114"/>
      <c r="F23" s="114"/>
      <c r="G23" s="114"/>
    </row>
    <row r="24" spans="1:7" x14ac:dyDescent="0.25">
      <c r="A24" s="111" t="e">
        <f>IF(Echéancier!#REF!&gt;0,Echéancier!#REF!,"")</f>
        <v>#REF!</v>
      </c>
      <c r="B24" s="112" t="e">
        <f>IF(Echéancier!#REF!&gt;0,Echéancier!#REF!,"")</f>
        <v>#REF!</v>
      </c>
      <c r="C24" s="112" t="e">
        <f>IF(Echéancier!#REF!&gt;0,Echéancier!#REF!,"")</f>
        <v>#REF!</v>
      </c>
      <c r="D24" s="113" t="e">
        <f>IF(Echéancier!#REF!&gt;0,Echéancier!#REF!,"")</f>
        <v>#REF!</v>
      </c>
      <c r="E24" s="114"/>
      <c r="F24" s="114"/>
      <c r="G24" s="114"/>
    </row>
    <row r="25" spans="1:7" ht="9" customHeight="1" x14ac:dyDescent="0.25">
      <c r="A25" s="111" t="e">
        <f>IF(Echéancier!#REF!&gt;0,Echéancier!#REF!,"")</f>
        <v>#REF!</v>
      </c>
      <c r="B25" s="112" t="e">
        <f>IF(Echéancier!#REF!&gt;0,Echéancier!#REF!,"")</f>
        <v>#REF!</v>
      </c>
      <c r="C25" s="112" t="e">
        <f>IF(Echéancier!#REF!&gt;0,Echéancier!#REF!,"")</f>
        <v>#REF!</v>
      </c>
      <c r="D25" s="113" t="e">
        <f>IF(Echéancier!#REF!&gt;0,Echéancier!#REF!,"")</f>
        <v>#REF!</v>
      </c>
      <c r="E25" s="114"/>
      <c r="F25" s="114"/>
      <c r="G25" s="114"/>
    </row>
    <row r="26" spans="1:7" x14ac:dyDescent="0.25">
      <c r="A26" s="103" t="s">
        <v>111</v>
      </c>
      <c r="B26" s="105" t="e">
        <f>SUM(B20:B25)</f>
        <v>#REF!</v>
      </c>
      <c r="C26" s="105" t="e">
        <f>SUM(C20:C25)</f>
        <v>#REF!</v>
      </c>
      <c r="D26" s="181"/>
      <c r="E26" s="181"/>
      <c r="F26" s="181"/>
      <c r="G26" s="181"/>
    </row>
    <row r="28" spans="1:7" x14ac:dyDescent="0.25">
      <c r="A28" s="1" t="s">
        <v>107</v>
      </c>
    </row>
    <row r="29" spans="1:7" s="1" customFormat="1" ht="30" x14ac:dyDescent="0.25">
      <c r="A29" s="80" t="s">
        <v>69</v>
      </c>
      <c r="B29" s="108" t="s">
        <v>101</v>
      </c>
      <c r="C29" s="108" t="s">
        <v>102</v>
      </c>
      <c r="D29" s="109" t="s">
        <v>106</v>
      </c>
      <c r="E29" s="109" t="s">
        <v>105</v>
      </c>
      <c r="F29" s="110"/>
      <c r="G29" s="110"/>
    </row>
    <row r="30" spans="1:7" x14ac:dyDescent="0.25">
      <c r="A30" s="114" t="e">
        <f>IF(#REF!&gt;0,#REF!,"")</f>
        <v>#REF!</v>
      </c>
      <c r="B30" s="114" t="e">
        <f>IF(#REF!&gt;0,#REF!,"")</f>
        <v>#REF!</v>
      </c>
      <c r="C30" s="114" t="e">
        <f>IF(LEN(#REF!)&gt;0,#REF!,"")</f>
        <v>#REF!</v>
      </c>
      <c r="D30" s="115" t="e">
        <f>IF(#REF!&gt;0,#REF!,"")</f>
        <v>#REF!</v>
      </c>
      <c r="E30" s="114"/>
      <c r="F30" s="114"/>
      <c r="G30" s="114"/>
    </row>
    <row r="31" spans="1:7" x14ac:dyDescent="0.25">
      <c r="A31" s="114" t="e">
        <f>IF(#REF!&gt;0,#REF!,"")</f>
        <v>#REF!</v>
      </c>
      <c r="B31" s="114" t="e">
        <f>IF(#REF!&gt;0,#REF!,"")</f>
        <v>#REF!</v>
      </c>
      <c r="C31" s="114" t="e">
        <f>IF(LEN(#REF!)&gt;0,#REF!,"")</f>
        <v>#REF!</v>
      </c>
      <c r="D31" s="115" t="e">
        <f>IF(#REF!&gt;0,#REF!,"")</f>
        <v>#REF!</v>
      </c>
      <c r="E31" s="114"/>
      <c r="F31" s="114"/>
      <c r="G31" s="114"/>
    </row>
    <row r="32" spans="1:7" x14ac:dyDescent="0.25">
      <c r="A32" s="114" t="e">
        <f>IF(#REF!&gt;0,#REF!,"")</f>
        <v>#REF!</v>
      </c>
      <c r="B32" s="114" t="e">
        <f>IF(#REF!&gt;0,#REF!,"")</f>
        <v>#REF!</v>
      </c>
      <c r="C32" s="114" t="e">
        <f>IF(LEN(#REF!)&gt;0,#REF!,"")</f>
        <v>#REF!</v>
      </c>
      <c r="D32" s="115" t="e">
        <f>IF(#REF!&gt;0,#REF!,"")</f>
        <v>#REF!</v>
      </c>
      <c r="E32" s="114"/>
      <c r="F32" s="114"/>
      <c r="G32" s="114"/>
    </row>
    <row r="33" spans="1:7" x14ac:dyDescent="0.25">
      <c r="A33" s="114" t="e">
        <f>IF(#REF!&gt;0,#REF!,"")</f>
        <v>#REF!</v>
      </c>
      <c r="B33" s="114" t="e">
        <f>IF(#REF!&gt;0,#REF!,"")</f>
        <v>#REF!</v>
      </c>
      <c r="C33" s="114" t="e">
        <f>IF(LEN(#REF!)&gt;0,#REF!,"")</f>
        <v>#REF!</v>
      </c>
      <c r="D33" s="115" t="e">
        <f>IF(#REF!&gt;0,#REF!,"")</f>
        <v>#REF!</v>
      </c>
      <c r="E33" s="114"/>
      <c r="F33" s="114"/>
      <c r="G33" s="114"/>
    </row>
    <row r="34" spans="1:7" x14ac:dyDescent="0.25">
      <c r="A34" s="114" t="e">
        <f>IF(#REF!&gt;0,#REF!,"")</f>
        <v>#REF!</v>
      </c>
      <c r="B34" s="114" t="e">
        <f>IF(#REF!&gt;0,#REF!,"")</f>
        <v>#REF!</v>
      </c>
      <c r="C34" s="114" t="e">
        <f>IF(LEN(#REF!)&gt;0,#REF!,"")</f>
        <v>#REF!</v>
      </c>
      <c r="D34" s="115" t="e">
        <f>IF(#REF!&gt;0,#REF!,"")</f>
        <v>#REF!</v>
      </c>
      <c r="E34" s="114"/>
      <c r="F34" s="114"/>
      <c r="G34" s="114"/>
    </row>
    <row r="35" spans="1:7" x14ac:dyDescent="0.25">
      <c r="A35" s="114" t="e">
        <f>IF(#REF!&gt;0,#REF!,"")</f>
        <v>#REF!</v>
      </c>
      <c r="B35" s="114" t="e">
        <f>IF(#REF!&gt;0,#REF!,"")</f>
        <v>#REF!</v>
      </c>
      <c r="C35" s="114" t="e">
        <f>IF(LEN(#REF!)&gt;0,#REF!,"")</f>
        <v>#REF!</v>
      </c>
      <c r="D35" s="115" t="e">
        <f>IF(#REF!&gt;0,#REF!,"")</f>
        <v>#REF!</v>
      </c>
      <c r="E35" s="114"/>
      <c r="F35" s="114"/>
      <c r="G35" s="114"/>
    </row>
    <row r="36" spans="1:7" x14ac:dyDescent="0.25">
      <c r="A36" s="103" t="s">
        <v>111</v>
      </c>
      <c r="B36" s="105" t="e">
        <f>SUM(B30:B35)</f>
        <v>#REF!</v>
      </c>
      <c r="C36" s="106"/>
      <c r="D36" s="106"/>
      <c r="E36" s="106"/>
      <c r="F36" s="106"/>
      <c r="G36" s="106"/>
    </row>
    <row r="38" spans="1:7" x14ac:dyDescent="0.25">
      <c r="A38" s="1" t="s">
        <v>112</v>
      </c>
    </row>
    <row r="39" spans="1:7" ht="30" customHeight="1" x14ac:dyDescent="0.25">
      <c r="A39" s="81" t="s">
        <v>25</v>
      </c>
      <c r="B39" s="120" t="s">
        <v>109</v>
      </c>
      <c r="C39" s="120"/>
      <c r="D39" s="80" t="s">
        <v>27</v>
      </c>
      <c r="E39" s="121" t="s">
        <v>22</v>
      </c>
      <c r="F39" s="121"/>
      <c r="G39" s="121"/>
    </row>
    <row r="40" spans="1:7" x14ac:dyDescent="0.25">
      <c r="A40" s="116">
        <f>IF(Rapports!B2008&gt;0,Rapports!B2008,"")</f>
        <v>42069</v>
      </c>
      <c r="B40" s="119" t="str">
        <f>IF(LEN(Rapports!C2008)&gt;0,Rapports!C2008,"")</f>
        <v>Plan de rédaction du rapport + facture</v>
      </c>
      <c r="C40" s="119"/>
      <c r="D40" s="116">
        <f>IF(Rapports!D2008&gt;0,Rapports!D2008,"")</f>
        <v>42078</v>
      </c>
      <c r="E40" s="119" t="str">
        <f>IF(LEN(Rapports!E2008)&gt;0,Rapports!E2008,"")</f>
        <v/>
      </c>
      <c r="F40" s="119"/>
      <c r="G40" s="119"/>
    </row>
    <row r="41" spans="1:7" x14ac:dyDescent="0.25">
      <c r="A41" s="116">
        <f>IF(Rapports!B2009&gt;0,Rapports!B2009,"")</f>
        <v>42100</v>
      </c>
      <c r="B41" s="119" t="str">
        <f>IF(LEN(Rapports!C2009)&gt;0,Rapports!C2009,"")</f>
        <v>Remise du document projet et annexe</v>
      </c>
      <c r="C41" s="119"/>
      <c r="D41" s="116" t="str">
        <f>IF(Rapports!D2009&gt;0,Rapports!D2009,"")</f>
        <v/>
      </c>
      <c r="E41" s="119" t="str">
        <f>IF(LEN(Rapports!E2009)&gt;0,Rapports!E2009,"")</f>
        <v/>
      </c>
      <c r="F41" s="119"/>
      <c r="G41" s="119"/>
    </row>
    <row r="42" spans="1:7" x14ac:dyDescent="0.25">
      <c r="A42" s="116">
        <f>IF(Rapports!B2010&gt;0,Rapports!B2010,"")</f>
        <v>42130</v>
      </c>
      <c r="B42" s="119" t="str">
        <f>IF(LEN(Rapports!C2010)&gt;0,Rapports!C2010,"")</f>
        <v/>
      </c>
      <c r="C42" s="119"/>
      <c r="D42" s="116" t="str">
        <f>IF(Rapports!D2010&gt;0,Rapports!D2010,"")</f>
        <v/>
      </c>
      <c r="E42" s="119" t="str">
        <f>IF(LEN(Rapports!E2010)&gt;0,Rapports!E2010,"")</f>
        <v/>
      </c>
      <c r="F42" s="119"/>
      <c r="G42" s="119"/>
    </row>
    <row r="43" spans="1:7" x14ac:dyDescent="0.25">
      <c r="A43" s="116" t="str">
        <f>IF(Rapports!B2011&gt;0,Rapports!B2011,"")</f>
        <v/>
      </c>
      <c r="B43" s="119" t="str">
        <f>IF(LEN(Rapports!C2011)&gt;0,Rapports!C2011,"")</f>
        <v/>
      </c>
      <c r="C43" s="119"/>
      <c r="D43" s="116" t="str">
        <f>IF(Rapports!D2011&gt;0,Rapports!D2011,"")</f>
        <v/>
      </c>
      <c r="E43" s="119" t="str">
        <f>IF(LEN(Rapports!E2011)&gt;0,Rapports!E2011,"")</f>
        <v/>
      </c>
      <c r="F43" s="119"/>
      <c r="G43" s="119"/>
    </row>
    <row r="44" spans="1:7" x14ac:dyDescent="0.25">
      <c r="A44" s="116" t="str">
        <f>IF(Rapports!B2012&gt;0,Rapports!B2012,"")</f>
        <v/>
      </c>
      <c r="B44" s="119" t="str">
        <f>IF(LEN(Rapports!C2012)&gt;0,Rapports!C2012,"")</f>
        <v/>
      </c>
      <c r="C44" s="119"/>
      <c r="D44" s="116" t="str">
        <f>IF(Rapports!D2012&gt;0,Rapports!D2012,"")</f>
        <v/>
      </c>
      <c r="E44" s="119" t="str">
        <f>IF(LEN(Rapports!E2012)&gt;0,Rapports!E2012,"")</f>
        <v/>
      </c>
      <c r="F44" s="119"/>
      <c r="G44" s="119"/>
    </row>
    <row r="45" spans="1:7" x14ac:dyDescent="0.25">
      <c r="A45" s="116" t="str">
        <f>IF(Rapports!B2013&gt;0,Rapports!B2013,"")</f>
        <v/>
      </c>
      <c r="B45" s="119" t="str">
        <f>IF(LEN(Rapports!C2013)&gt;0,Rapports!C2013,"")</f>
        <v/>
      </c>
      <c r="C45" s="119"/>
      <c r="D45" s="116" t="str">
        <f>IF(Rapports!D2013&gt;0,Rapports!D2013,"")</f>
        <v/>
      </c>
      <c r="E45" s="119" t="str">
        <f>IF(LEN(Rapports!E2013)&gt;0,Rapports!E2013,"")</f>
        <v/>
      </c>
      <c r="F45" s="119"/>
      <c r="G45" s="119"/>
    </row>
    <row r="46" spans="1:7" x14ac:dyDescent="0.25">
      <c r="A46" s="116" t="str">
        <f>IF(Rapports!B2014&gt;0,Rapports!B2014,"")</f>
        <v/>
      </c>
      <c r="B46" s="119" t="str">
        <f>IF(LEN(Rapports!C2014)&gt;0,Rapports!C2014,"")</f>
        <v/>
      </c>
      <c r="C46" s="119"/>
      <c r="D46" s="116" t="str">
        <f>IF(Rapports!D2014&gt;0,Rapports!D2014,"")</f>
        <v/>
      </c>
      <c r="E46" s="119" t="str">
        <f>IF(LEN(Rapports!E2014)&gt;0,Rapports!E2014,"")</f>
        <v/>
      </c>
      <c r="F46" s="119"/>
      <c r="G46" s="119"/>
    </row>
    <row r="47" spans="1:7" x14ac:dyDescent="0.25">
      <c r="A47" s="116" t="str">
        <f>IF(Rapports!B2015&gt;0,Rapports!B2015,"")</f>
        <v/>
      </c>
      <c r="B47" s="119" t="str">
        <f>IF(LEN(Rapports!C2015)&gt;0,Rapports!C2015,"")</f>
        <v/>
      </c>
      <c r="C47" s="119"/>
      <c r="D47" s="116" t="str">
        <f>IF(Rapports!D2015&gt;0,Rapports!D2015,"")</f>
        <v/>
      </c>
      <c r="E47" s="119" t="str">
        <f>IF(LEN(Rapports!E2015)&gt;0,Rapports!E2015,"")</f>
        <v/>
      </c>
      <c r="F47" s="119"/>
      <c r="G47" s="119"/>
    </row>
    <row r="48" spans="1:7" x14ac:dyDescent="0.25">
      <c r="A48" s="116" t="str">
        <f>IF(Rapports!B2016&gt;0,Rapports!B2016,"")</f>
        <v/>
      </c>
      <c r="B48" s="119" t="str">
        <f>IF(LEN(Rapports!C2016)&gt;0,Rapports!C2016,"")</f>
        <v/>
      </c>
      <c r="C48" s="119"/>
      <c r="D48" s="116" t="str">
        <f>IF(Rapports!D2016&gt;0,Rapports!D2016,"")</f>
        <v/>
      </c>
      <c r="E48" s="119" t="str">
        <f>IF(LEN(Rapports!E2016)&gt;0,Rapports!E2016,"")</f>
        <v/>
      </c>
      <c r="F48" s="119"/>
      <c r="G48" s="119"/>
    </row>
    <row r="49" spans="1:7" x14ac:dyDescent="0.25">
      <c r="A49" s="116" t="str">
        <f>IF(Rapports!B2017&gt;0,Rapports!B2017,"")</f>
        <v/>
      </c>
      <c r="B49" s="119" t="str">
        <f>IF(LEN(Rapports!C2017)&gt;0,Rapports!C2017,"")</f>
        <v/>
      </c>
      <c r="C49" s="119"/>
      <c r="D49" s="116" t="str">
        <f>IF(Rapports!D2017&gt;0,Rapports!D2017,"")</f>
        <v/>
      </c>
      <c r="E49" s="119" t="str">
        <f>IF(LEN(Rapports!E2017)&gt;0,Rapports!E2017,"")</f>
        <v/>
      </c>
      <c r="F49" s="119"/>
      <c r="G49" s="119"/>
    </row>
    <row r="50" spans="1:7" x14ac:dyDescent="0.25">
      <c r="A50" s="116" t="str">
        <f>IF(Rapports!B2018&gt;0,Rapports!B2018,"")</f>
        <v/>
      </c>
      <c r="B50" s="119" t="str">
        <f>IF(LEN(Rapports!C2018)&gt;0,Rapports!C2018,"")</f>
        <v/>
      </c>
      <c r="C50" s="119"/>
      <c r="D50" s="116" t="str">
        <f>IF(Rapports!D2018&gt;0,Rapports!D2018,"")</f>
        <v/>
      </c>
      <c r="E50" s="119" t="str">
        <f>IF(LEN(Rapports!E2018)&gt;0,Rapports!E2018,"")</f>
        <v/>
      </c>
      <c r="F50" s="119"/>
      <c r="G50" s="119"/>
    </row>
    <row r="51" spans="1:7" x14ac:dyDescent="0.25">
      <c r="A51" s="104"/>
      <c r="B51" s="104"/>
      <c r="C51" s="104"/>
      <c r="D51" s="104"/>
      <c r="E51" s="104"/>
      <c r="F51" s="104"/>
      <c r="G51" s="104"/>
    </row>
  </sheetData>
  <mergeCells count="28">
    <mergeCell ref="D26:G26"/>
    <mergeCell ref="D19:G19"/>
    <mergeCell ref="E7:F11"/>
    <mergeCell ref="A1:G1"/>
    <mergeCell ref="E50:G50"/>
    <mergeCell ref="B43:C43"/>
    <mergeCell ref="E49:G49"/>
    <mergeCell ref="B39:C39"/>
    <mergeCell ref="E39:G39"/>
    <mergeCell ref="B40:C40"/>
    <mergeCell ref="B41:C41"/>
    <mergeCell ref="B42:C42"/>
    <mergeCell ref="B50:C50"/>
    <mergeCell ref="E40:G40"/>
    <mergeCell ref="E41:G41"/>
    <mergeCell ref="E42:G42"/>
    <mergeCell ref="E43:G43"/>
    <mergeCell ref="E44:G44"/>
    <mergeCell ref="E45:G45"/>
    <mergeCell ref="E46:G46"/>
    <mergeCell ref="E47:G47"/>
    <mergeCell ref="E48:G48"/>
    <mergeCell ref="B44:C44"/>
    <mergeCell ref="B45:C45"/>
    <mergeCell ref="B46:C46"/>
    <mergeCell ref="B47:C47"/>
    <mergeCell ref="B48:C48"/>
    <mergeCell ref="B49:C49"/>
  </mergeCells>
  <dataValidations count="3">
    <dataValidation type="list" allowBlank="1" showInputMessage="1" showErrorMessage="1" sqref="F5">
      <formula1>"Commune,Convention Non Financière,Département,Etat,International,Privé,Région Rhône Alpes, Région"</formula1>
    </dataValidation>
    <dataValidation type="list" allowBlank="1" showInputMessage="1" showErrorMessage="1" sqref="C4">
      <formula1>"Acquis,Clôturé,Refusé,Sollicité"</formula1>
    </dataValidation>
    <dataValidation type="list" allowBlank="1" showInputMessage="1" showErrorMessage="1" errorTitle="Choisir dans la liste" error="Choisir dans la liste !" sqref="A4">
      <formula1>Liste_Subventions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A1:X6"/>
  <sheetViews>
    <sheetView topLeftCell="J1" zoomScale="85" zoomScaleNormal="85" workbookViewId="0">
      <pane ySplit="2" topLeftCell="A3" activePane="bottomLeft" state="frozen"/>
      <selection pane="bottomLeft" activeCell="P6" sqref="P6"/>
    </sheetView>
  </sheetViews>
  <sheetFormatPr baseColWidth="10" defaultRowHeight="20.25" customHeight="1" x14ac:dyDescent="0.25"/>
  <cols>
    <col min="1" max="1" width="9.7109375" style="73" customWidth="1"/>
    <col min="2" max="2" width="15.140625" style="73" customWidth="1"/>
    <col min="3" max="3" width="13.42578125" style="73" customWidth="1"/>
    <col min="4" max="4" width="10.85546875" style="73" customWidth="1"/>
    <col min="5" max="5" width="23" style="73" customWidth="1"/>
    <col min="6" max="6" width="21.28515625" style="73" customWidth="1"/>
    <col min="7" max="7" width="14.5703125" style="73" customWidth="1"/>
    <col min="8" max="8" width="11.7109375" style="73" customWidth="1"/>
    <col min="9" max="10" width="14.28515625" style="77" customWidth="1"/>
    <col min="11" max="11" width="12.7109375" style="73" customWidth="1"/>
    <col min="12" max="12" width="15.28515625" style="73" bestFit="1" customWidth="1"/>
    <col min="13" max="16" width="16.42578125" style="73" customWidth="1"/>
    <col min="17" max="17" width="13.140625" style="73" bestFit="1" customWidth="1"/>
    <col min="18" max="18" width="15.28515625" style="73" bestFit="1" customWidth="1"/>
    <col min="19" max="19" width="11.42578125" style="73"/>
    <col min="20" max="22" width="13.140625" style="73" bestFit="1" customWidth="1"/>
    <col min="23" max="16384" width="11.42578125" style="73"/>
  </cols>
  <sheetData>
    <row r="1" spans="1:24" ht="20.25" customHeight="1" x14ac:dyDescent="0.35">
      <c r="A1" s="76" t="s">
        <v>90</v>
      </c>
      <c r="M1" s="74">
        <f>SUBTOTAL(9,M3:M992)</f>
        <v>1000000</v>
      </c>
      <c r="N1" s="74"/>
      <c r="O1" s="74">
        <f>SUBTOTAL(9,O3:O992)</f>
        <v>300000</v>
      </c>
      <c r="P1" s="74">
        <f>SUBTOTAL(9,P3:P992)</f>
        <v>600000</v>
      </c>
      <c r="T1" s="74">
        <f>SUBTOTAL(9,T3:T992)</f>
        <v>200000</v>
      </c>
      <c r="U1" s="74">
        <f>SUBTOTAL(9,U3:U992)</f>
        <v>100000</v>
      </c>
      <c r="V1" s="74">
        <f>SUBTOTAL(9,V3:V992)</f>
        <v>0</v>
      </c>
    </row>
    <row r="4" spans="1:24" s="152" customFormat="1" ht="45" x14ac:dyDescent="0.25">
      <c r="A4" s="146" t="s">
        <v>113</v>
      </c>
      <c r="B4" s="147" t="s">
        <v>0</v>
      </c>
      <c r="C4" s="147" t="s">
        <v>1</v>
      </c>
      <c r="D4" s="147" t="s">
        <v>7</v>
      </c>
      <c r="E4" s="147" t="s">
        <v>77</v>
      </c>
      <c r="F4" s="183" t="s">
        <v>171</v>
      </c>
      <c r="G4" s="147" t="s">
        <v>52</v>
      </c>
      <c r="H4" s="147" t="s">
        <v>172</v>
      </c>
      <c r="I4" s="147" t="s">
        <v>114</v>
      </c>
      <c r="J4" s="147" t="s">
        <v>115</v>
      </c>
      <c r="K4" s="147" t="s">
        <v>85</v>
      </c>
      <c r="L4" s="148" t="s">
        <v>81</v>
      </c>
      <c r="M4" s="149" t="s">
        <v>116</v>
      </c>
      <c r="N4" s="149" t="s">
        <v>173</v>
      </c>
      <c r="O4" s="150" t="s">
        <v>117</v>
      </c>
      <c r="P4" s="150" t="s">
        <v>118</v>
      </c>
      <c r="Q4" s="150" t="s">
        <v>119</v>
      </c>
      <c r="R4" s="150" t="s">
        <v>120</v>
      </c>
      <c r="S4" s="150" t="s">
        <v>187</v>
      </c>
      <c r="T4" s="150" t="s">
        <v>121</v>
      </c>
      <c r="U4" s="150" t="s">
        <v>122</v>
      </c>
      <c r="V4" s="150" t="s">
        <v>124</v>
      </c>
      <c r="W4" s="150" t="s">
        <v>50</v>
      </c>
      <c r="X4" s="151" t="s">
        <v>51</v>
      </c>
    </row>
    <row r="5" spans="1:24" ht="20.25" customHeight="1" x14ac:dyDescent="0.25">
      <c r="A5" s="73">
        <v>15001</v>
      </c>
      <c r="B5" s="73" t="s">
        <v>5</v>
      </c>
      <c r="C5" s="73" t="s">
        <v>6</v>
      </c>
      <c r="D5" s="73" t="s">
        <v>86</v>
      </c>
      <c r="E5" s="73" t="s">
        <v>92</v>
      </c>
      <c r="F5" s="73" t="s">
        <v>174</v>
      </c>
      <c r="G5" s="73" t="s">
        <v>41</v>
      </c>
      <c r="H5" s="77"/>
      <c r="I5" s="77">
        <v>42069</v>
      </c>
      <c r="J5" s="77">
        <v>42861</v>
      </c>
      <c r="K5" s="72">
        <f ca="1">SUMPRODUCT((Rapports!A:A=A5)*(Rapports!F:F="Alerte Rapport"))</f>
        <v>2</v>
      </c>
      <c r="L5" s="74">
        <v>1000000</v>
      </c>
      <c r="M5" s="74">
        <v>800000</v>
      </c>
      <c r="N5" s="74">
        <v>0</v>
      </c>
      <c r="O5" s="74">
        <v>300000</v>
      </c>
      <c r="P5" s="197">
        <f>SUMIFS(Echéancier!D:D,Echéancier!A:A,Subventions!A5,Echéancier!C:C,"2015")</f>
        <v>500000</v>
      </c>
      <c r="Q5" s="197">
        <f>SUMIFS(Echéancier!E:E,Echéancier!A:A,Subventions!A5,Echéancier!C:C,"2015")</f>
        <v>200000</v>
      </c>
      <c r="R5" s="197">
        <f>P5-Q5</f>
        <v>300000</v>
      </c>
      <c r="S5" s="73">
        <f ca="1">SUMPRODUCT((Echéancier!A:A=A5)*(Echéancier!L:L="Alerte Paiement"))</f>
        <v>2</v>
      </c>
      <c r="T5" s="197">
        <f>SUMIFS(Echéancier!D:D,Echéancier!A:A,Subventions!A5,Echéancier!C:C,"2016")</f>
        <v>200000</v>
      </c>
      <c r="U5" s="197">
        <f>SUMIFS(Echéancier!D:D,Echéancier!A:A,Subventions!A5,Echéancier!C:C,"2017")</f>
        <v>100000</v>
      </c>
      <c r="V5" s="197">
        <f>SUMIFS(Echéancier!D:D,Echéancier!A:A,Subventions!A5,Echéancier!C:C,"2018")</f>
        <v>0</v>
      </c>
      <c r="W5" s="158" t="s">
        <v>126</v>
      </c>
      <c r="X5" s="158">
        <f>IF(ISBLANK(W5),"",LOOKUP(W5,Paramètres!A3:A20,Paramètres!B3:B20))</f>
        <v>74101000</v>
      </c>
    </row>
    <row r="6" spans="1:24" ht="20.25" customHeight="1" x14ac:dyDescent="0.25">
      <c r="A6" s="73">
        <v>15002</v>
      </c>
      <c r="B6" s="73" t="s">
        <v>165</v>
      </c>
      <c r="C6" s="73" t="s">
        <v>65</v>
      </c>
      <c r="D6" s="73" t="s">
        <v>91</v>
      </c>
      <c r="E6" s="73" t="s">
        <v>93</v>
      </c>
      <c r="F6" s="73" t="s">
        <v>175</v>
      </c>
      <c r="G6" s="73" t="s">
        <v>43</v>
      </c>
      <c r="H6" s="77"/>
      <c r="I6" s="77">
        <v>42161</v>
      </c>
      <c r="J6" s="77">
        <v>42369</v>
      </c>
      <c r="K6" s="72">
        <f ca="1">SUMPRODUCT((Rapports!A:A=A6)*(Rapports!F:F="Alerte Rapport"))</f>
        <v>1</v>
      </c>
      <c r="L6" s="74">
        <v>200000</v>
      </c>
      <c r="M6" s="74">
        <v>200000</v>
      </c>
      <c r="N6" s="74">
        <v>0</v>
      </c>
      <c r="O6" s="74">
        <v>0</v>
      </c>
      <c r="P6" s="197">
        <f>SUMIFS(Echéancier!D:D,Echéancier!A:A,Subventions!A6,Echéancier!C:C,"2015")</f>
        <v>100000</v>
      </c>
      <c r="Q6" s="197">
        <f>SUMIFS(Echéancier!E:E,Echéancier!A:A,Subventions!A6,Echéancier!C:C,"2015")</f>
        <v>0</v>
      </c>
      <c r="R6" s="197">
        <f>P6-Q6</f>
        <v>100000</v>
      </c>
      <c r="S6" s="73">
        <f ca="1">SUMPRODUCT((Echéancier!A:A=A6)*(Echéancier!L:L="Alerte Paiement"))</f>
        <v>0</v>
      </c>
      <c r="T6" s="197">
        <f>SUMIFS(Echéancier!D:D,Echéancier!A:A,Subventions!A6,Echéancier!C:C,"2016")</f>
        <v>0</v>
      </c>
      <c r="U6" s="197">
        <f>SUMIFS(Echéancier!D:D,Echéancier!A:A,Subventions!A6,Echéancier!C:C,"2017")</f>
        <v>0</v>
      </c>
      <c r="V6" s="197">
        <f>SUMIFS(Echéancier!D:D,Echéancier!A:A,Subventions!A6,Echéancier!C:C,"2018")</f>
        <v>0</v>
      </c>
      <c r="W6" s="158" t="s">
        <v>34</v>
      </c>
      <c r="X6" s="158">
        <f>IF(ISBLANK(W6),"",LOOKUP(W6,Paramètres!A4:A21,Paramètres!B4:B21))</f>
        <v>74103000</v>
      </c>
    </row>
  </sheetData>
  <dataValidations count="4">
    <dataValidation type="list" allowBlank="1" showInputMessage="1" showErrorMessage="1" errorTitle="Choisir dans la liste" error="Choisir dans la liste !_x000a_" sqref="B1:B4 B7:B1048576">
      <formula1>Liste_Statuts</formula1>
    </dataValidation>
    <dataValidation type="list" allowBlank="1" showInputMessage="1" showErrorMessage="1" errorTitle="Choisir dans la liste" error="Choisir dans la liste :" sqref="C1:C4 C7:C1048576">
      <formula1>Liste_Responsables</formula1>
    </dataValidation>
    <dataValidation type="list" allowBlank="1" showInputMessage="1" showErrorMessage="1" errorTitle="Choisir dans la liste" error="Choisir dans la liste !" sqref="H1:H3 G1:G4 G7:H1048576">
      <formula1>Liste_Types_Financement</formula1>
    </dataValidation>
    <dataValidation type="list" allowBlank="1" showInputMessage="1" showErrorMessage="1" errorTitle="Choisir dans la liste" error="Choisir dans la liste !" sqref="R1:R1048576">
      <formula1>Liste_Comptes_Recette</formula1>
    </dataValidation>
  </dataValidations>
  <pageMargins left="0.7" right="0.7" top="0.75" bottom="0.75" header="0.3" footer="0.3"/>
  <pageSetup paperSize="9" orientation="portrait" r:id="rId1"/>
  <ignoredErrors>
    <ignoredError sqref="W5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FF31AE24-AE51-4F16-97FB-EDE31714AB64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K5:K6</xm:sqref>
        </x14:conditionalFormatting>
        <x14:conditionalFormatting xmlns:xm="http://schemas.microsoft.com/office/excel/2006/main">
          <x14:cfRule type="iconSet" priority="1" id="{37B98651-5C60-4824-8C9A-504F382150C2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S5:S6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Paramètres!$A$3:$A$20</xm:f>
          </x14:formula1>
          <xm:sqref>W5:W6</xm:sqref>
        </x14:dataValidation>
        <x14:dataValidation type="list" allowBlank="1" showInputMessage="1" showErrorMessage="1" errorTitle="Choisir dans la liste" error="Choisir dans la liste :">
          <x14:formula1>
            <xm:f>Paramètres!$F$3:$F$29</xm:f>
          </x14:formula1>
          <xm:sqref>C5:C6</xm:sqref>
        </x14:dataValidation>
        <x14:dataValidation type="list" allowBlank="1" showInputMessage="1" showErrorMessage="1" errorTitle="Choisir dans la liste" error="Choisir dans la liste !">
          <x14:formula1>
            <xm:f>Paramètres!$I$3:$I$10</xm:f>
          </x14:formula1>
          <xm:sqref>G5:G6</xm:sqref>
        </x14:dataValidation>
        <x14:dataValidation type="list" allowBlank="1" showInputMessage="1" showErrorMessage="1" errorTitle="Choisir dans la liste" error="Choisir dans la liste !_x000a_">
          <x14:formula1>
            <xm:f>Paramètres!$K$3:$K$6</xm:f>
          </x14:formula1>
          <xm:sqref>B5:B6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13"/>
  <sheetViews>
    <sheetView workbookViewId="0">
      <selection activeCell="A4" sqref="A4:G13"/>
    </sheetView>
  </sheetViews>
  <sheetFormatPr baseColWidth="10" defaultRowHeight="15" x14ac:dyDescent="0.25"/>
  <cols>
    <col min="3" max="3" width="15.28515625" customWidth="1"/>
    <col min="4" max="4" width="15.5703125" customWidth="1"/>
    <col min="5" max="5" width="15.28515625" customWidth="1"/>
    <col min="7" max="7" width="15.28515625" customWidth="1"/>
  </cols>
  <sheetData>
    <row r="1" spans="1:7" ht="18.75" x14ac:dyDescent="0.3">
      <c r="A1" s="100" t="s">
        <v>180</v>
      </c>
      <c r="D1" s="100"/>
    </row>
    <row r="2" spans="1:7" x14ac:dyDescent="0.25">
      <c r="A2" s="99"/>
      <c r="D2" s="99"/>
    </row>
    <row r="3" spans="1:7" ht="30" x14ac:dyDescent="0.25">
      <c r="A3" s="70" t="s">
        <v>87</v>
      </c>
      <c r="B3" s="201" t="s">
        <v>181</v>
      </c>
      <c r="C3" s="201" t="s">
        <v>70</v>
      </c>
      <c r="D3" s="201" t="s">
        <v>71</v>
      </c>
      <c r="E3" s="201" t="s">
        <v>17</v>
      </c>
      <c r="F3" s="201" t="s">
        <v>84</v>
      </c>
      <c r="G3" s="202" t="s">
        <v>22</v>
      </c>
    </row>
    <row r="4" spans="1:7" x14ac:dyDescent="0.25">
      <c r="A4" s="203">
        <v>15001</v>
      </c>
      <c r="B4" s="199">
        <v>2015</v>
      </c>
      <c r="C4" s="199" t="s">
        <v>182</v>
      </c>
      <c r="D4" s="199" t="s">
        <v>75</v>
      </c>
      <c r="E4" s="200">
        <v>400000</v>
      </c>
      <c r="F4" s="199"/>
      <c r="G4" s="177"/>
    </row>
    <row r="5" spans="1:7" x14ac:dyDescent="0.25">
      <c r="A5" s="204">
        <v>15001</v>
      </c>
      <c r="B5" s="194">
        <v>2016</v>
      </c>
      <c r="C5" s="194" t="s">
        <v>183</v>
      </c>
      <c r="D5" s="194" t="s">
        <v>76</v>
      </c>
      <c r="E5" s="198">
        <v>400000</v>
      </c>
      <c r="F5" s="194"/>
      <c r="G5" s="205"/>
    </row>
    <row r="6" spans="1:7" x14ac:dyDescent="0.25">
      <c r="A6" s="204"/>
      <c r="B6" s="194"/>
      <c r="C6" s="194"/>
      <c r="D6" s="194"/>
      <c r="E6" s="198"/>
      <c r="F6" s="194"/>
      <c r="G6" s="205"/>
    </row>
    <row r="7" spans="1:7" x14ac:dyDescent="0.25">
      <c r="A7" s="204"/>
      <c r="B7" s="194"/>
      <c r="C7" s="194"/>
      <c r="D7" s="194"/>
      <c r="E7" s="198"/>
      <c r="F7" s="194"/>
      <c r="G7" s="205"/>
    </row>
    <row r="8" spans="1:7" x14ac:dyDescent="0.25">
      <c r="A8" s="204"/>
      <c r="B8" s="194"/>
      <c r="C8" s="194"/>
      <c r="D8" s="194"/>
      <c r="E8" s="198"/>
      <c r="F8" s="194"/>
      <c r="G8" s="205"/>
    </row>
    <row r="9" spans="1:7" x14ac:dyDescent="0.25">
      <c r="A9" s="204"/>
      <c r="B9" s="194"/>
      <c r="C9" s="194"/>
      <c r="D9" s="194"/>
      <c r="E9" s="198"/>
      <c r="F9" s="194"/>
      <c r="G9" s="205"/>
    </row>
    <row r="10" spans="1:7" x14ac:dyDescent="0.25">
      <c r="A10" s="204"/>
      <c r="B10" s="194"/>
      <c r="C10" s="194"/>
      <c r="D10" s="194"/>
      <c r="E10" s="198"/>
      <c r="F10" s="194"/>
      <c r="G10" s="205"/>
    </row>
    <row r="11" spans="1:7" x14ac:dyDescent="0.25">
      <c r="A11" s="204"/>
      <c r="B11" s="194"/>
      <c r="C11" s="194"/>
      <c r="D11" s="194"/>
      <c r="E11" s="198"/>
      <c r="F11" s="194"/>
      <c r="G11" s="205"/>
    </row>
    <row r="12" spans="1:7" x14ac:dyDescent="0.25">
      <c r="A12" s="204"/>
      <c r="B12" s="194"/>
      <c r="C12" s="194"/>
      <c r="D12" s="194"/>
      <c r="E12" s="198"/>
      <c r="F12" s="194"/>
      <c r="G12" s="205"/>
    </row>
    <row r="13" spans="1:7" x14ac:dyDescent="0.25">
      <c r="A13" s="206"/>
      <c r="B13" s="207"/>
      <c r="C13" s="207"/>
      <c r="D13" s="207"/>
      <c r="E13" s="208"/>
      <c r="F13" s="207"/>
      <c r="G13" s="20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F2010"/>
  <sheetViews>
    <sheetView workbookViewId="0">
      <selection activeCell="F7" sqref="F7"/>
    </sheetView>
  </sheetViews>
  <sheetFormatPr baseColWidth="10" defaultRowHeight="15" x14ac:dyDescent="0.25"/>
  <cols>
    <col min="1" max="1" width="11.42578125" style="99"/>
    <col min="3" max="3" width="38.140625" customWidth="1"/>
    <col min="4" max="4" width="11.42578125" style="99"/>
    <col min="5" max="5" width="30" customWidth="1"/>
    <col min="6" max="6" width="19.7109375" customWidth="1"/>
  </cols>
  <sheetData>
    <row r="1" spans="1:6" ht="18.75" x14ac:dyDescent="0.3">
      <c r="A1" s="100" t="s">
        <v>108</v>
      </c>
      <c r="D1" s="100"/>
    </row>
    <row r="3" spans="1:6" ht="30" x14ac:dyDescent="0.25">
      <c r="A3" s="146" t="s">
        <v>87</v>
      </c>
      <c r="B3" s="147" t="s">
        <v>25</v>
      </c>
      <c r="C3" s="147" t="s">
        <v>26</v>
      </c>
      <c r="D3" s="146" t="s">
        <v>27</v>
      </c>
      <c r="E3" s="147" t="s">
        <v>22</v>
      </c>
      <c r="F3" s="147" t="s">
        <v>103</v>
      </c>
    </row>
    <row r="4" spans="1:6" x14ac:dyDescent="0.25">
      <c r="A4" s="189">
        <v>15001</v>
      </c>
      <c r="B4" s="190">
        <v>42069</v>
      </c>
      <c r="C4" s="191" t="s">
        <v>73</v>
      </c>
      <c r="D4" s="190">
        <v>42078</v>
      </c>
      <c r="E4" s="191"/>
      <c r="F4" s="192" t="str">
        <f ca="1">IF(ISBLANK(B4),"",IF(TODAY()&gt;B4,"Alerte Rapport",""))</f>
        <v>Alerte Rapport</v>
      </c>
    </row>
    <row r="5" spans="1:6" x14ac:dyDescent="0.25">
      <c r="A5" s="189">
        <v>15001</v>
      </c>
      <c r="B5" s="190">
        <v>42130</v>
      </c>
      <c r="C5" s="191" t="s">
        <v>74</v>
      </c>
      <c r="D5" s="190"/>
      <c r="E5" s="191"/>
      <c r="F5" s="192" t="str">
        <f t="shared" ref="F5:F27" ca="1" si="0">IF(ISBLANK(B5),"",IF(TODAY()&gt;B5,"Alerte Rapport",""))</f>
        <v>Alerte Rapport</v>
      </c>
    </row>
    <row r="6" spans="1:6" ht="14.25" customHeight="1" x14ac:dyDescent="0.25">
      <c r="A6" s="189">
        <v>15001</v>
      </c>
      <c r="B6" s="190">
        <v>42369</v>
      </c>
      <c r="C6" s="191" t="s">
        <v>176</v>
      </c>
      <c r="D6" s="190"/>
      <c r="E6" s="191"/>
      <c r="F6" s="192" t="str">
        <f t="shared" ca="1" si="0"/>
        <v/>
      </c>
    </row>
    <row r="7" spans="1:6" x14ac:dyDescent="0.25">
      <c r="A7" s="189">
        <v>15002</v>
      </c>
      <c r="B7" s="190">
        <v>42161</v>
      </c>
      <c r="C7" s="191" t="s">
        <v>177</v>
      </c>
      <c r="D7" s="193">
        <v>42161</v>
      </c>
      <c r="E7" s="194"/>
      <c r="F7" s="195" t="str">
        <f t="shared" ca="1" si="0"/>
        <v>Alerte Rapport</v>
      </c>
    </row>
    <row r="8" spans="1:6" x14ac:dyDescent="0.25">
      <c r="A8" s="189">
        <v>15002</v>
      </c>
      <c r="B8" s="190">
        <v>42369</v>
      </c>
      <c r="C8" s="191" t="s">
        <v>176</v>
      </c>
      <c r="D8" s="193"/>
      <c r="E8" s="194"/>
      <c r="F8" s="192" t="str">
        <f t="shared" ca="1" si="0"/>
        <v/>
      </c>
    </row>
    <row r="9" spans="1:6" x14ac:dyDescent="0.25">
      <c r="A9" s="189"/>
      <c r="B9" s="190"/>
      <c r="C9" s="191"/>
      <c r="D9" s="193"/>
      <c r="E9" s="194"/>
      <c r="F9" s="192" t="str">
        <f t="shared" ca="1" si="0"/>
        <v/>
      </c>
    </row>
    <row r="10" spans="1:6" x14ac:dyDescent="0.25">
      <c r="A10" s="189"/>
      <c r="B10" s="190"/>
      <c r="C10" s="191"/>
      <c r="D10" s="193"/>
      <c r="E10" s="194"/>
      <c r="F10" s="192" t="str">
        <f t="shared" ca="1" si="0"/>
        <v/>
      </c>
    </row>
    <row r="11" spans="1:6" x14ac:dyDescent="0.25">
      <c r="A11" s="189"/>
      <c r="B11" s="190"/>
      <c r="C11" s="191"/>
      <c r="D11" s="193"/>
      <c r="E11" s="194"/>
      <c r="F11" s="192" t="str">
        <f t="shared" ca="1" si="0"/>
        <v/>
      </c>
    </row>
    <row r="12" spans="1:6" x14ac:dyDescent="0.25">
      <c r="A12" s="189"/>
      <c r="B12" s="190"/>
      <c r="C12" s="191"/>
      <c r="D12" s="193"/>
      <c r="E12" s="194"/>
      <c r="F12" s="192" t="str">
        <f t="shared" ca="1" si="0"/>
        <v/>
      </c>
    </row>
    <row r="13" spans="1:6" x14ac:dyDescent="0.25">
      <c r="A13" s="189"/>
      <c r="B13" s="190"/>
      <c r="C13" s="191"/>
      <c r="D13" s="193"/>
      <c r="E13" s="194"/>
      <c r="F13" s="192" t="str">
        <f t="shared" ca="1" si="0"/>
        <v/>
      </c>
    </row>
    <row r="14" spans="1:6" x14ac:dyDescent="0.25">
      <c r="A14" s="189"/>
      <c r="B14" s="190"/>
      <c r="C14" s="191"/>
      <c r="D14" s="193"/>
      <c r="E14" s="194"/>
      <c r="F14" s="192" t="str">
        <f t="shared" ca="1" si="0"/>
        <v/>
      </c>
    </row>
    <row r="15" spans="1:6" x14ac:dyDescent="0.25">
      <c r="A15" s="189"/>
      <c r="B15" s="190"/>
      <c r="C15" s="191"/>
      <c r="D15" s="193"/>
      <c r="E15" s="194"/>
      <c r="F15" s="192" t="str">
        <f t="shared" ca="1" si="0"/>
        <v/>
      </c>
    </row>
    <row r="16" spans="1:6" x14ac:dyDescent="0.25">
      <c r="A16" s="189"/>
      <c r="B16" s="190"/>
      <c r="C16" s="191"/>
      <c r="D16" s="193"/>
      <c r="E16" s="194"/>
      <c r="F16" s="192" t="str">
        <f t="shared" ca="1" si="0"/>
        <v/>
      </c>
    </row>
    <row r="17" spans="1:6" x14ac:dyDescent="0.25">
      <c r="A17" s="193"/>
      <c r="B17" s="194"/>
      <c r="C17" s="194"/>
      <c r="D17" s="193"/>
      <c r="E17" s="194"/>
      <c r="F17" s="192" t="str">
        <f t="shared" ca="1" si="0"/>
        <v/>
      </c>
    </row>
    <row r="18" spans="1:6" x14ac:dyDescent="0.25">
      <c r="A18" s="193"/>
      <c r="B18" s="194"/>
      <c r="C18" s="194"/>
      <c r="D18" s="193"/>
      <c r="E18" s="194"/>
      <c r="F18" s="192" t="str">
        <f t="shared" ca="1" si="0"/>
        <v/>
      </c>
    </row>
    <row r="19" spans="1:6" x14ac:dyDescent="0.25">
      <c r="A19" s="193"/>
      <c r="B19" s="194"/>
      <c r="C19" s="194"/>
      <c r="D19" s="193"/>
      <c r="E19" s="194"/>
      <c r="F19" s="192" t="str">
        <f t="shared" ca="1" si="0"/>
        <v/>
      </c>
    </row>
    <row r="20" spans="1:6" x14ac:dyDescent="0.25">
      <c r="A20" s="193"/>
      <c r="B20" s="194"/>
      <c r="C20" s="194"/>
      <c r="D20" s="193"/>
      <c r="E20" s="194"/>
      <c r="F20" s="192" t="str">
        <f t="shared" ca="1" si="0"/>
        <v/>
      </c>
    </row>
    <row r="21" spans="1:6" x14ac:dyDescent="0.25">
      <c r="A21" s="193"/>
      <c r="B21" s="194"/>
      <c r="C21" s="194"/>
      <c r="D21" s="193"/>
      <c r="E21" s="194"/>
      <c r="F21" s="192" t="str">
        <f t="shared" ca="1" si="0"/>
        <v/>
      </c>
    </row>
    <row r="22" spans="1:6" x14ac:dyDescent="0.25">
      <c r="A22" s="193"/>
      <c r="B22" s="194"/>
      <c r="C22" s="194"/>
      <c r="D22" s="193"/>
      <c r="E22" s="194"/>
      <c r="F22" s="192" t="str">
        <f t="shared" ca="1" si="0"/>
        <v/>
      </c>
    </row>
    <row r="23" spans="1:6" x14ac:dyDescent="0.25">
      <c r="A23" s="193"/>
      <c r="B23" s="194"/>
      <c r="C23" s="194"/>
      <c r="D23" s="193"/>
      <c r="E23" s="194"/>
      <c r="F23" s="192" t="str">
        <f t="shared" ca="1" si="0"/>
        <v/>
      </c>
    </row>
    <row r="24" spans="1:6" x14ac:dyDescent="0.25">
      <c r="A24" s="193"/>
      <c r="B24" s="194"/>
      <c r="C24" s="194"/>
      <c r="D24" s="193"/>
      <c r="E24" s="194"/>
      <c r="F24" s="192" t="str">
        <f t="shared" ca="1" si="0"/>
        <v/>
      </c>
    </row>
    <row r="25" spans="1:6" x14ac:dyDescent="0.25">
      <c r="A25" s="193"/>
      <c r="B25" s="194"/>
      <c r="C25" s="194"/>
      <c r="D25" s="193"/>
      <c r="E25" s="194"/>
      <c r="F25" s="192" t="str">
        <f t="shared" ca="1" si="0"/>
        <v/>
      </c>
    </row>
    <row r="26" spans="1:6" x14ac:dyDescent="0.25">
      <c r="A26" s="193"/>
      <c r="B26" s="194"/>
      <c r="C26" s="194"/>
      <c r="D26" s="193"/>
      <c r="E26" s="194"/>
      <c r="F26" s="192" t="str">
        <f t="shared" ca="1" si="0"/>
        <v/>
      </c>
    </row>
    <row r="27" spans="1:6" x14ac:dyDescent="0.25">
      <c r="A27" s="193"/>
      <c r="B27" s="194"/>
      <c r="C27" s="194"/>
      <c r="D27" s="193"/>
      <c r="E27" s="194"/>
      <c r="F27" s="192" t="str">
        <f t="shared" ca="1" si="0"/>
        <v/>
      </c>
    </row>
    <row r="2007" spans="1:5" ht="30" x14ac:dyDescent="0.25">
      <c r="A2007" s="80" t="s">
        <v>87</v>
      </c>
      <c r="B2007" s="81" t="s">
        <v>25</v>
      </c>
      <c r="C2007" s="80" t="s">
        <v>109</v>
      </c>
      <c r="D2007" s="80" t="s">
        <v>27</v>
      </c>
      <c r="E2007" s="80" t="s">
        <v>22</v>
      </c>
    </row>
    <row r="2008" spans="1:5" x14ac:dyDescent="0.25">
      <c r="A2008" s="71">
        <v>15001</v>
      </c>
      <c r="B2008" s="77">
        <v>42069</v>
      </c>
      <c r="C2008" s="73" t="s">
        <v>73</v>
      </c>
      <c r="D2008" s="71">
        <v>42078</v>
      </c>
      <c r="E2008" s="73"/>
    </row>
    <row r="2009" spans="1:5" x14ac:dyDescent="0.25">
      <c r="A2009" s="71">
        <v>15001</v>
      </c>
      <c r="B2009" s="77">
        <v>42100</v>
      </c>
      <c r="C2009" s="73" t="s">
        <v>74</v>
      </c>
      <c r="D2009" s="71"/>
      <c r="E2009" s="73"/>
    </row>
    <row r="2010" spans="1:5" x14ac:dyDescent="0.25">
      <c r="A2010" s="71">
        <v>15001</v>
      </c>
      <c r="B2010" s="77">
        <v>42130</v>
      </c>
      <c r="C2010" s="73"/>
      <c r="D2010" s="71"/>
      <c r="E2010" s="73"/>
    </row>
  </sheetData>
  <pageMargins left="0.7" right="0.7" top="0.75" bottom="0.75" header="0.3" footer="0.3"/>
  <pageSetup paperSize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:L21"/>
  <sheetViews>
    <sheetView tabSelected="1" zoomScale="90" zoomScaleNormal="90" workbookViewId="0">
      <pane ySplit="17" topLeftCell="A18" activePane="bottomLeft" state="frozen"/>
      <selection pane="bottomLeft" activeCell="E13" sqref="A13:E17"/>
    </sheetView>
  </sheetViews>
  <sheetFormatPr baseColWidth="10" defaultRowHeight="15" x14ac:dyDescent="0.25"/>
  <cols>
    <col min="1" max="3" width="11.42578125" style="71"/>
    <col min="4" max="5" width="15.140625" style="78" customWidth="1"/>
    <col min="6" max="8" width="13.85546875" style="71" customWidth="1"/>
    <col min="9" max="9" width="15.7109375" style="78" bestFit="1" customWidth="1"/>
    <col min="10" max="10" width="14.28515625" style="78" customWidth="1"/>
    <col min="11" max="11" width="15.42578125" style="78" bestFit="1" customWidth="1"/>
    <col min="12" max="12" width="33.140625" style="82" customWidth="1"/>
  </cols>
  <sheetData>
    <row r="1" spans="1:12" ht="18.75" x14ac:dyDescent="0.25">
      <c r="A1" s="79" t="s">
        <v>99</v>
      </c>
      <c r="I1" s="78">
        <f>SUBTOTAL(9,I5:I1010)</f>
        <v>4100000</v>
      </c>
      <c r="J1" s="78">
        <f>SUBTOTAL(9,J5:J1010)</f>
        <v>1000000</v>
      </c>
      <c r="K1" s="78">
        <f>SUBTOTAL(9,K5:K1010)</f>
        <v>3100000</v>
      </c>
    </row>
    <row r="2" spans="1:12" x14ac:dyDescent="0.25">
      <c r="D2" s="157">
        <f>SUBTOTAL(9,D5:D1010)</f>
        <v>900000</v>
      </c>
      <c r="E2" s="157">
        <f>SUBTOTAL(9,E5:E1010)</f>
        <v>200000</v>
      </c>
    </row>
    <row r="5" spans="1:12" s="75" customFormat="1" ht="30" x14ac:dyDescent="0.25">
      <c r="A5" s="147" t="s">
        <v>87</v>
      </c>
      <c r="B5" s="146" t="s">
        <v>18</v>
      </c>
      <c r="C5" s="147" t="s">
        <v>69</v>
      </c>
      <c r="D5" s="146" t="s">
        <v>17</v>
      </c>
      <c r="E5" s="147" t="s">
        <v>125</v>
      </c>
      <c r="F5" s="146" t="s">
        <v>123</v>
      </c>
      <c r="G5" s="155" t="s">
        <v>21</v>
      </c>
      <c r="H5" s="155" t="s">
        <v>22</v>
      </c>
      <c r="I5" s="146" t="s">
        <v>100</v>
      </c>
      <c r="J5" s="147" t="s">
        <v>102</v>
      </c>
      <c r="K5" s="146" t="s">
        <v>98</v>
      </c>
      <c r="L5" s="147" t="s">
        <v>103</v>
      </c>
    </row>
    <row r="6" spans="1:12" x14ac:dyDescent="0.25">
      <c r="A6" s="71">
        <v>15001</v>
      </c>
      <c r="B6" s="153">
        <v>42069</v>
      </c>
      <c r="C6" s="117">
        <f>IF(ISBLANK(B6),"",YEAR(B6))</f>
        <v>2015</v>
      </c>
      <c r="D6" s="154">
        <v>200000</v>
      </c>
      <c r="E6" s="154">
        <v>200000</v>
      </c>
      <c r="F6" s="196">
        <v>42078</v>
      </c>
      <c r="G6" s="71" t="s">
        <v>178</v>
      </c>
      <c r="I6" s="118">
        <f>SUMIF(A:A,A6,D:D)</f>
        <v>800000</v>
      </c>
      <c r="J6" s="118">
        <f>SUMIF(A:A,A6,E:E)</f>
        <v>200000</v>
      </c>
      <c r="K6" s="118">
        <f>I6-J6</f>
        <v>600000</v>
      </c>
      <c r="L6" s="82" t="str">
        <f ca="1">IF(ISBLANK(B6),"",IF(AND(TODAY()&gt;B6,D6-E6&lt;&gt;0),"Alerte Paiement",""))</f>
        <v/>
      </c>
    </row>
    <row r="7" spans="1:12" x14ac:dyDescent="0.25">
      <c r="A7" s="71">
        <v>15001</v>
      </c>
      <c r="B7" s="153">
        <v>42069</v>
      </c>
      <c r="C7" s="117">
        <f t="shared" ref="C7:C17" si="0">IF(ISBLANK(B7),"",YEAR(B7))</f>
        <v>2015</v>
      </c>
      <c r="D7" s="154">
        <v>200000</v>
      </c>
      <c r="E7" s="154"/>
      <c r="H7" s="71" t="s">
        <v>179</v>
      </c>
      <c r="I7" s="118">
        <f>SUMIF(A:A,A7,D:D)</f>
        <v>800000</v>
      </c>
      <c r="J7" s="118">
        <f>SUMIF(A:A,A7,E:E)</f>
        <v>200000</v>
      </c>
      <c r="K7" s="118">
        <f t="shared" ref="K7:K17" si="1">I7-J7</f>
        <v>600000</v>
      </c>
      <c r="L7" s="82" t="str">
        <f ca="1">IF(ISBLANK(B7),"",IF(AND(TODAY()&gt;B7,D7-E7&lt;&gt;0),"Alerte Paiement",""))</f>
        <v>Alerte Paiement</v>
      </c>
    </row>
    <row r="8" spans="1:12" x14ac:dyDescent="0.25">
      <c r="A8" s="71">
        <v>15001</v>
      </c>
      <c r="B8" s="153">
        <v>42161</v>
      </c>
      <c r="C8" s="117">
        <f t="shared" si="0"/>
        <v>2015</v>
      </c>
      <c r="D8" s="154">
        <v>100000</v>
      </c>
      <c r="E8" s="154"/>
      <c r="H8" s="71" t="s">
        <v>179</v>
      </c>
      <c r="I8" s="118">
        <f>SUMIF(A:A,A8,D:D)</f>
        <v>800000</v>
      </c>
      <c r="J8" s="118">
        <f>SUMIF(A:A,A8,E:E)</f>
        <v>200000</v>
      </c>
      <c r="K8" s="118">
        <f t="shared" si="1"/>
        <v>600000</v>
      </c>
      <c r="L8" s="82" t="str">
        <f t="shared" ref="L8:L17" ca="1" si="2">IF(ISBLANK(B8),"",IF(AND(TODAY()&gt;B8,D8-E8&lt;&gt;0),"Alerte Paiement",""))</f>
        <v>Alerte Paiement</v>
      </c>
    </row>
    <row r="9" spans="1:12" x14ac:dyDescent="0.25">
      <c r="A9" s="71">
        <v>15001</v>
      </c>
      <c r="B9" s="153">
        <v>42735</v>
      </c>
      <c r="C9" s="117">
        <v>2016</v>
      </c>
      <c r="D9" s="154">
        <v>200000</v>
      </c>
      <c r="E9" s="154"/>
      <c r="H9" s="71" t="s">
        <v>179</v>
      </c>
      <c r="I9" s="118">
        <f>SUMIF(A:A,A9,D:D)</f>
        <v>800000</v>
      </c>
      <c r="J9" s="118">
        <f>SUMIF(A:A,A9,E:E)</f>
        <v>200000</v>
      </c>
      <c r="K9" s="118">
        <f t="shared" ref="K9" si="3">I9-J9</f>
        <v>600000</v>
      </c>
      <c r="L9" s="82" t="str">
        <f t="shared" ref="L9" ca="1" si="4">IF(ISBLANK(B9),"",IF(AND(TODAY()&gt;B9,D9-E9&lt;&gt;0),"Alerte Paiement",""))</f>
        <v/>
      </c>
    </row>
    <row r="10" spans="1:12" x14ac:dyDescent="0.25">
      <c r="A10" s="71">
        <v>15001</v>
      </c>
      <c r="B10" s="153">
        <v>42735</v>
      </c>
      <c r="C10" s="117">
        <v>2017</v>
      </c>
      <c r="D10" s="154">
        <v>100000</v>
      </c>
      <c r="E10" s="154"/>
      <c r="H10" s="71" t="s">
        <v>179</v>
      </c>
      <c r="I10" s="118">
        <f>SUMIF(A:A,A10,D:D)</f>
        <v>800000</v>
      </c>
      <c r="J10" s="118">
        <f>SUMIF(A:A,A10,E:E)</f>
        <v>200000</v>
      </c>
      <c r="K10" s="118">
        <f t="shared" ref="K10" si="5">I10-J10</f>
        <v>600000</v>
      </c>
      <c r="L10" s="82" t="str">
        <f t="shared" ref="L10" ca="1" si="6">IF(ISBLANK(B10),"",IF(AND(TODAY()&gt;B10,D10-E10&lt;&gt;0),"Alerte Paiement",""))</f>
        <v/>
      </c>
    </row>
    <row r="11" spans="1:12" x14ac:dyDescent="0.25">
      <c r="A11" s="71">
        <v>15002</v>
      </c>
      <c r="B11" s="153">
        <v>42369</v>
      </c>
      <c r="C11" s="117">
        <f t="shared" si="0"/>
        <v>2015</v>
      </c>
      <c r="D11" s="154">
        <v>100000</v>
      </c>
      <c r="E11" s="154"/>
      <c r="I11" s="118">
        <f>SUMIF(A:A,A11,D:D)</f>
        <v>100000</v>
      </c>
      <c r="J11" s="118">
        <f>SUMIF(A:A,A11,E:E)</f>
        <v>0</v>
      </c>
      <c r="K11" s="118">
        <f t="shared" si="1"/>
        <v>100000</v>
      </c>
      <c r="L11" s="82" t="str">
        <f t="shared" ca="1" si="2"/>
        <v/>
      </c>
    </row>
    <row r="12" spans="1:12" x14ac:dyDescent="0.25">
      <c r="B12" s="153"/>
      <c r="C12" s="117" t="str">
        <f t="shared" si="0"/>
        <v/>
      </c>
      <c r="D12" s="154"/>
      <c r="E12" s="154"/>
      <c r="I12" s="118">
        <f>SUMIF(A:A,A12,D:D)</f>
        <v>0</v>
      </c>
      <c r="J12" s="118">
        <f>SUMIF(A:A,A12,E:E)</f>
        <v>0</v>
      </c>
      <c r="K12" s="118">
        <f t="shared" si="1"/>
        <v>0</v>
      </c>
      <c r="L12" s="82" t="str">
        <f t="shared" ca="1" si="2"/>
        <v/>
      </c>
    </row>
    <row r="13" spans="1:12" x14ac:dyDescent="0.25">
      <c r="B13" s="153"/>
      <c r="C13" s="117" t="str">
        <f t="shared" si="0"/>
        <v/>
      </c>
      <c r="D13" s="154"/>
      <c r="E13" s="154"/>
      <c r="I13" s="118">
        <f>SUMIF(A:A,A13,D:D)</f>
        <v>0</v>
      </c>
      <c r="J13" s="118">
        <f>SUMIF(A:A,A13,E:E)</f>
        <v>0</v>
      </c>
      <c r="K13" s="118">
        <f t="shared" si="1"/>
        <v>0</v>
      </c>
      <c r="L13" s="82" t="str">
        <f t="shared" ca="1" si="2"/>
        <v/>
      </c>
    </row>
    <row r="14" spans="1:12" x14ac:dyDescent="0.25">
      <c r="B14" s="153"/>
      <c r="C14" s="117" t="str">
        <f t="shared" si="0"/>
        <v/>
      </c>
      <c r="D14" s="154"/>
      <c r="E14" s="154"/>
      <c r="I14" s="118">
        <f>SUMIF(A:A,A14,D:D)</f>
        <v>0</v>
      </c>
      <c r="J14" s="118">
        <f>SUMIF(A:A,A14,E:E)</f>
        <v>0</v>
      </c>
      <c r="K14" s="118">
        <f t="shared" si="1"/>
        <v>0</v>
      </c>
      <c r="L14" s="82" t="str">
        <f t="shared" ca="1" si="2"/>
        <v/>
      </c>
    </row>
    <row r="15" spans="1:12" x14ac:dyDescent="0.25">
      <c r="B15" s="153"/>
      <c r="C15" s="117" t="str">
        <f t="shared" si="0"/>
        <v/>
      </c>
      <c r="D15" s="154"/>
      <c r="E15" s="154"/>
      <c r="I15" s="118">
        <f>SUMIF(A:A,A15,D:D)</f>
        <v>0</v>
      </c>
      <c r="J15" s="118">
        <f>SUMIF(A:A,A15,E:E)</f>
        <v>0</v>
      </c>
      <c r="K15" s="118">
        <f t="shared" si="1"/>
        <v>0</v>
      </c>
      <c r="L15" s="82" t="str">
        <f t="shared" ca="1" si="2"/>
        <v/>
      </c>
    </row>
    <row r="16" spans="1:12" x14ac:dyDescent="0.25">
      <c r="B16" s="153"/>
      <c r="C16" s="117" t="str">
        <f t="shared" si="0"/>
        <v/>
      </c>
      <c r="D16" s="154"/>
      <c r="E16" s="154"/>
      <c r="I16" s="118">
        <f>SUMIF(A:A,A16,D:D)</f>
        <v>0</v>
      </c>
      <c r="J16" s="118">
        <f>SUMIF(A:A,A16,E:E)</f>
        <v>0</v>
      </c>
      <c r="K16" s="118">
        <f t="shared" si="1"/>
        <v>0</v>
      </c>
      <c r="L16" s="82" t="str">
        <f t="shared" ca="1" si="2"/>
        <v/>
      </c>
    </row>
    <row r="17" spans="2:12" x14ac:dyDescent="0.25">
      <c r="B17" s="153"/>
      <c r="C17" s="117" t="str">
        <f t="shared" si="0"/>
        <v/>
      </c>
      <c r="D17" s="154"/>
      <c r="E17" s="154"/>
      <c r="I17" s="118">
        <f>SUMIF(A:A,A17,D:D)</f>
        <v>0</v>
      </c>
      <c r="J17" s="118">
        <f>SUMIF(A:A,A17,E:E)</f>
        <v>0</v>
      </c>
      <c r="K17" s="118">
        <f t="shared" si="1"/>
        <v>0</v>
      </c>
      <c r="L17" s="82" t="str">
        <f t="shared" ca="1" si="2"/>
        <v/>
      </c>
    </row>
    <row r="20" spans="2:12" x14ac:dyDescent="0.25">
      <c r="F20" s="78"/>
    </row>
    <row r="21" spans="2:12" x14ac:dyDescent="0.25">
      <c r="F21" s="156"/>
    </row>
  </sheetData>
  <autoFilter ref="A5:L17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K29"/>
  <sheetViews>
    <sheetView workbookViewId="0">
      <selection activeCell="H19" sqref="H19"/>
    </sheetView>
  </sheetViews>
  <sheetFormatPr baseColWidth="10" defaultRowHeight="15" x14ac:dyDescent="0.25"/>
  <cols>
    <col min="1" max="1" width="9.85546875" bestFit="1" customWidth="1"/>
    <col min="2" max="2" width="12.42578125" bestFit="1" customWidth="1"/>
    <col min="3" max="3" width="34.42578125" bestFit="1" customWidth="1"/>
    <col min="4" max="4" width="25.42578125" bestFit="1" customWidth="1"/>
    <col min="5" max="5" width="3.7109375" customWidth="1"/>
    <col min="6" max="6" width="18.28515625" bestFit="1" customWidth="1"/>
    <col min="7" max="7" width="18.5703125" bestFit="1" customWidth="1"/>
    <col min="8" max="8" width="3.5703125" customWidth="1"/>
    <col min="9" max="9" width="25.42578125" bestFit="1" customWidth="1"/>
    <col min="10" max="10" width="3.85546875" customWidth="1"/>
    <col min="11" max="11" width="15.85546875" bestFit="1" customWidth="1"/>
  </cols>
  <sheetData>
    <row r="2" spans="1:11" x14ac:dyDescent="0.25">
      <c r="A2" s="174" t="s">
        <v>28</v>
      </c>
      <c r="B2" s="175" t="s">
        <v>29</v>
      </c>
      <c r="C2" s="175" t="s">
        <v>30</v>
      </c>
      <c r="D2" s="176" t="s">
        <v>3</v>
      </c>
      <c r="F2" s="174" t="s">
        <v>1</v>
      </c>
      <c r="G2" s="176" t="s">
        <v>162</v>
      </c>
      <c r="I2" s="178" t="s">
        <v>163</v>
      </c>
      <c r="K2" s="178" t="s">
        <v>164</v>
      </c>
    </row>
    <row r="3" spans="1:11" x14ac:dyDescent="0.25">
      <c r="A3" s="170" t="s">
        <v>31</v>
      </c>
      <c r="B3" s="171">
        <v>0</v>
      </c>
      <c r="C3" s="172" t="s">
        <v>32</v>
      </c>
      <c r="D3" s="173" t="s">
        <v>33</v>
      </c>
      <c r="F3" s="170" t="s">
        <v>56</v>
      </c>
      <c r="G3" s="177"/>
      <c r="I3" s="179" t="s">
        <v>94</v>
      </c>
      <c r="K3" s="179" t="s">
        <v>165</v>
      </c>
    </row>
    <row r="4" spans="1:11" x14ac:dyDescent="0.25">
      <c r="A4" s="160" t="s">
        <v>126</v>
      </c>
      <c r="B4" s="164">
        <v>74101000</v>
      </c>
      <c r="C4" s="159" t="s">
        <v>127</v>
      </c>
      <c r="D4" s="165" t="s">
        <v>128</v>
      </c>
      <c r="F4" s="160" t="s">
        <v>152</v>
      </c>
      <c r="G4" s="161"/>
      <c r="I4" s="179" t="s">
        <v>33</v>
      </c>
      <c r="K4" s="179" t="s">
        <v>166</v>
      </c>
    </row>
    <row r="5" spans="1:11" x14ac:dyDescent="0.25">
      <c r="A5" s="160" t="s">
        <v>129</v>
      </c>
      <c r="B5" s="164">
        <v>74101100</v>
      </c>
      <c r="C5" s="159" t="s">
        <v>130</v>
      </c>
      <c r="D5" s="165" t="s">
        <v>128</v>
      </c>
      <c r="F5" s="160" t="s">
        <v>153</v>
      </c>
      <c r="G5" s="161"/>
      <c r="I5" s="179" t="s">
        <v>95</v>
      </c>
      <c r="K5" s="179" t="s">
        <v>167</v>
      </c>
    </row>
    <row r="6" spans="1:11" x14ac:dyDescent="0.25">
      <c r="A6" s="160" t="s">
        <v>131</v>
      </c>
      <c r="B6" s="164">
        <v>74101200</v>
      </c>
      <c r="C6" s="159" t="s">
        <v>132</v>
      </c>
      <c r="D6" s="165" t="s">
        <v>128</v>
      </c>
      <c r="F6" s="160" t="s">
        <v>154</v>
      </c>
      <c r="G6" s="161"/>
      <c r="I6" s="179" t="s">
        <v>89</v>
      </c>
      <c r="K6" s="180" t="s">
        <v>5</v>
      </c>
    </row>
    <row r="7" spans="1:11" x14ac:dyDescent="0.25">
      <c r="A7" s="160" t="s">
        <v>133</v>
      </c>
      <c r="B7" s="164">
        <v>74102000</v>
      </c>
      <c r="C7" s="159" t="s">
        <v>134</v>
      </c>
      <c r="D7" s="165" t="s">
        <v>135</v>
      </c>
      <c r="F7" s="160" t="s">
        <v>155</v>
      </c>
      <c r="G7" s="161"/>
      <c r="I7" s="179" t="s">
        <v>41</v>
      </c>
    </row>
    <row r="8" spans="1:11" x14ac:dyDescent="0.25">
      <c r="A8" s="160" t="s">
        <v>34</v>
      </c>
      <c r="B8" s="164">
        <v>74103000</v>
      </c>
      <c r="C8" s="159" t="s">
        <v>35</v>
      </c>
      <c r="D8" s="165" t="s">
        <v>36</v>
      </c>
      <c r="F8" s="160" t="s">
        <v>62</v>
      </c>
      <c r="G8" s="161"/>
      <c r="I8" s="179" t="s">
        <v>43</v>
      </c>
    </row>
    <row r="9" spans="1:11" x14ac:dyDescent="0.25">
      <c r="A9" s="160" t="s">
        <v>37</v>
      </c>
      <c r="B9" s="164">
        <v>74103100</v>
      </c>
      <c r="C9" s="159" t="s">
        <v>38</v>
      </c>
      <c r="D9" s="165" t="s">
        <v>36</v>
      </c>
      <c r="F9" s="160" t="s">
        <v>55</v>
      </c>
      <c r="G9" s="161"/>
      <c r="I9" s="179" t="s">
        <v>96</v>
      </c>
    </row>
    <row r="10" spans="1:11" x14ac:dyDescent="0.25">
      <c r="A10" s="160" t="s">
        <v>39</v>
      </c>
      <c r="B10" s="164">
        <v>74104000</v>
      </c>
      <c r="C10" s="159" t="s">
        <v>40</v>
      </c>
      <c r="D10" s="165" t="s">
        <v>41</v>
      </c>
      <c r="F10" s="160" t="s">
        <v>57</v>
      </c>
      <c r="G10" s="161"/>
      <c r="I10" s="180" t="s">
        <v>97</v>
      </c>
    </row>
    <row r="11" spans="1:11" x14ac:dyDescent="0.25">
      <c r="A11" s="166">
        <v>44104100</v>
      </c>
      <c r="B11" s="164">
        <v>74104100</v>
      </c>
      <c r="C11" s="159" t="s">
        <v>42</v>
      </c>
      <c r="D11" s="165" t="s">
        <v>41</v>
      </c>
      <c r="F11" s="160" t="s">
        <v>63</v>
      </c>
      <c r="G11" s="161"/>
    </row>
    <row r="12" spans="1:11" x14ac:dyDescent="0.25">
      <c r="A12" s="160" t="s">
        <v>136</v>
      </c>
      <c r="B12" s="164">
        <v>74105000</v>
      </c>
      <c r="C12" s="159" t="s">
        <v>137</v>
      </c>
      <c r="D12" s="165" t="s">
        <v>135</v>
      </c>
      <c r="F12" s="160" t="s">
        <v>156</v>
      </c>
      <c r="G12" s="161"/>
    </row>
    <row r="13" spans="1:11" x14ac:dyDescent="0.25">
      <c r="A13" s="160" t="s">
        <v>138</v>
      </c>
      <c r="B13" s="164">
        <v>74106000</v>
      </c>
      <c r="C13" s="159" t="s">
        <v>139</v>
      </c>
      <c r="D13" s="165" t="s">
        <v>140</v>
      </c>
      <c r="F13" s="160" t="s">
        <v>157</v>
      </c>
      <c r="G13" s="161"/>
    </row>
    <row r="14" spans="1:11" x14ac:dyDescent="0.25">
      <c r="A14" s="160" t="s">
        <v>141</v>
      </c>
      <c r="B14" s="164">
        <v>74106100</v>
      </c>
      <c r="C14" s="159" t="s">
        <v>142</v>
      </c>
      <c r="D14" s="165" t="s">
        <v>140</v>
      </c>
      <c r="F14" s="160" t="s">
        <v>53</v>
      </c>
      <c r="G14" s="161"/>
    </row>
    <row r="15" spans="1:11" x14ac:dyDescent="0.25">
      <c r="A15" s="160" t="s">
        <v>143</v>
      </c>
      <c r="B15" s="164">
        <v>74106200</v>
      </c>
      <c r="C15" s="159" t="s">
        <v>144</v>
      </c>
      <c r="D15" s="165" t="s">
        <v>140</v>
      </c>
      <c r="F15" s="160" t="s">
        <v>158</v>
      </c>
      <c r="G15" s="161"/>
    </row>
    <row r="16" spans="1:11" x14ac:dyDescent="0.25">
      <c r="A16" s="160" t="s">
        <v>145</v>
      </c>
      <c r="B16" s="164">
        <v>74107000</v>
      </c>
      <c r="C16" s="159" t="s">
        <v>146</v>
      </c>
      <c r="D16" s="165" t="s">
        <v>147</v>
      </c>
      <c r="F16" s="160" t="s">
        <v>159</v>
      </c>
      <c r="G16" s="161"/>
    </row>
    <row r="17" spans="1:7" x14ac:dyDescent="0.25">
      <c r="A17" s="160" t="s">
        <v>148</v>
      </c>
      <c r="B17" s="164">
        <v>74109000</v>
      </c>
      <c r="C17" s="159" t="s">
        <v>149</v>
      </c>
      <c r="D17" s="165" t="s">
        <v>135</v>
      </c>
      <c r="F17" s="160" t="s">
        <v>160</v>
      </c>
      <c r="G17" s="161"/>
    </row>
    <row r="18" spans="1:7" x14ac:dyDescent="0.25">
      <c r="A18" s="160" t="s">
        <v>150</v>
      </c>
      <c r="B18" s="164">
        <v>74501000</v>
      </c>
      <c r="C18" s="159" t="s">
        <v>151</v>
      </c>
      <c r="D18" s="165" t="s">
        <v>43</v>
      </c>
      <c r="F18" s="160" t="s">
        <v>161</v>
      </c>
      <c r="G18" s="161"/>
    </row>
    <row r="19" spans="1:7" x14ac:dyDescent="0.25">
      <c r="A19" s="160" t="s">
        <v>44</v>
      </c>
      <c r="B19" s="164">
        <v>74502000</v>
      </c>
      <c r="C19" s="159" t="s">
        <v>45</v>
      </c>
      <c r="D19" s="165" t="s">
        <v>43</v>
      </c>
      <c r="F19" s="160" t="s">
        <v>60</v>
      </c>
      <c r="G19" s="161"/>
    </row>
    <row r="20" spans="1:7" x14ac:dyDescent="0.25">
      <c r="A20" s="162" t="s">
        <v>46</v>
      </c>
      <c r="B20" s="167">
        <v>74509000</v>
      </c>
      <c r="C20" s="168" t="s">
        <v>47</v>
      </c>
      <c r="D20" s="169" t="s">
        <v>43</v>
      </c>
      <c r="F20" s="160" t="s">
        <v>58</v>
      </c>
      <c r="G20" s="161"/>
    </row>
    <row r="21" spans="1:7" x14ac:dyDescent="0.25">
      <c r="F21" s="160" t="s">
        <v>67</v>
      </c>
      <c r="G21" s="161"/>
    </row>
    <row r="22" spans="1:7" x14ac:dyDescent="0.25">
      <c r="F22" s="160" t="s">
        <v>66</v>
      </c>
      <c r="G22" s="161"/>
    </row>
    <row r="23" spans="1:7" x14ac:dyDescent="0.25">
      <c r="F23" s="160" t="s">
        <v>54</v>
      </c>
      <c r="G23" s="161"/>
    </row>
    <row r="24" spans="1:7" x14ac:dyDescent="0.25">
      <c r="F24" s="160" t="s">
        <v>53</v>
      </c>
      <c r="G24" s="161"/>
    </row>
    <row r="25" spans="1:7" x14ac:dyDescent="0.25">
      <c r="F25" s="160" t="s">
        <v>65</v>
      </c>
      <c r="G25" s="161"/>
    </row>
    <row r="26" spans="1:7" x14ac:dyDescent="0.25">
      <c r="F26" s="160" t="s">
        <v>59</v>
      </c>
      <c r="G26" s="161"/>
    </row>
    <row r="27" spans="1:7" x14ac:dyDescent="0.25">
      <c r="F27" s="160" t="s">
        <v>6</v>
      </c>
      <c r="G27" s="161"/>
    </row>
    <row r="28" spans="1:7" x14ac:dyDescent="0.25">
      <c r="F28" s="160" t="s">
        <v>64</v>
      </c>
      <c r="G28" s="161"/>
    </row>
    <row r="29" spans="1:7" x14ac:dyDescent="0.25">
      <c r="F29" s="162" t="s">
        <v>61</v>
      </c>
      <c r="G29" s="16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Fiche nouvelle</vt:lpstr>
      <vt:lpstr>Fiche</vt:lpstr>
      <vt:lpstr>Subventions</vt:lpstr>
      <vt:lpstr>Analytique</vt:lpstr>
      <vt:lpstr>Rapports</vt:lpstr>
      <vt:lpstr>Echéancier</vt:lpstr>
      <vt:lpstr>Paramètres</vt:lpstr>
      <vt:lpstr>Analytique</vt:lpstr>
      <vt:lpstr>Critères</vt:lpstr>
      <vt:lpstr>Echéanciers</vt:lpstr>
      <vt:lpstr>Echéanciers_Trouvés</vt:lpstr>
      <vt:lpstr>Extraction_Rapports</vt:lpstr>
      <vt:lpstr>Rapports!Extraire</vt:lpstr>
      <vt:lpstr>Liste_des_subventions</vt:lpstr>
      <vt:lpstr>Rapports</vt:lpstr>
      <vt:lpstr>Subventions</vt:lpstr>
      <vt:lpstr>Fiche!Zone_d_impression</vt:lpstr>
      <vt:lpstr>'Fiche nouvelle'!Zone_d_impression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Nelly HAZEBROUCK</dc:creator>
  <cp:lastModifiedBy>Nelly</cp:lastModifiedBy>
  <cp:lastPrinted>2015-06-11T13:20:44Z</cp:lastPrinted>
  <dcterms:created xsi:type="dcterms:W3CDTF">2015-06-09T12:41:20Z</dcterms:created>
  <dcterms:modified xsi:type="dcterms:W3CDTF">2015-06-14T17:28:19Z</dcterms:modified>
</cp:coreProperties>
</file>